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OneDrive - Khon Kaen University\ปี 2565\1.รายงานผล PARA 65\02.Export จาก Google Sheet\05. ข้อมูล ณ 31 ม.ค. 65\รายงาน Ver3 มีบริหารจัดการและยั่งยืน\"/>
    </mc:Choice>
  </mc:AlternateContent>
  <xr:revisionPtr revIDLastSave="1" documentId="11_33348A3B9D14BF7AD8F61FEE5438C2E46B4179A9" xr6:coauthVersionLast="37" xr6:coauthVersionMax="37" xr10:uidLastSave="{B94AF17F-4455-459A-A0BE-C86A752D3E98}"/>
  <bookViews>
    <workbookView xWindow="0" yWindow="0" windowWidth="17970" windowHeight="565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calcPr calcId="179021"/>
</workbook>
</file>

<file path=xl/calcChain.xml><?xml version="1.0" encoding="utf-8"?>
<calcChain xmlns="http://schemas.openxmlformats.org/spreadsheetml/2006/main">
  <c r="J635" i="18" l="1"/>
  <c r="I635" i="18"/>
  <c r="J634" i="18"/>
  <c r="I634" i="18"/>
  <c r="K634" i="18" s="1"/>
  <c r="J633" i="18"/>
  <c r="I633" i="18"/>
  <c r="K633" i="18" s="1"/>
  <c r="J632" i="18"/>
  <c r="I632" i="18"/>
  <c r="J631" i="18"/>
  <c r="I631" i="18"/>
  <c r="K631" i="18" s="1"/>
  <c r="J630" i="18"/>
  <c r="I630" i="18"/>
  <c r="K630" i="18" s="1"/>
  <c r="J629" i="18"/>
  <c r="I629" i="18"/>
  <c r="J628" i="18"/>
  <c r="I628" i="18"/>
  <c r="K628" i="18" s="1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O601" i="18" s="1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K589" i="18" s="1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K580" i="18" s="1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K573" i="18" s="1"/>
  <c r="N572" i="18"/>
  <c r="N571" i="18"/>
  <c r="N570" i="18"/>
  <c r="N569" i="18"/>
  <c r="N568" i="18"/>
  <c r="L568" i="18"/>
  <c r="N567" i="18"/>
  <c r="L567" i="18"/>
  <c r="O567" i="18" s="1"/>
  <c r="N566" i="18"/>
  <c r="L566" i="18"/>
  <c r="O565" i="18"/>
  <c r="N565" i="18"/>
  <c r="L565" i="18"/>
  <c r="N564" i="18"/>
  <c r="L564" i="18"/>
  <c r="J564" i="18"/>
  <c r="I564" i="18"/>
  <c r="J563" i="18"/>
  <c r="I563" i="18"/>
  <c r="J562" i="18"/>
  <c r="I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K547" i="18" s="1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K498" i="18" s="1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K481" i="18" s="1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K466" i="18" s="1"/>
  <c r="J465" i="18"/>
  <c r="I465" i="18"/>
  <c r="J464" i="18"/>
  <c r="I464" i="18"/>
  <c r="K464" i="18" s="1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K427" i="18" s="1"/>
  <c r="J426" i="18"/>
  <c r="I426" i="18"/>
  <c r="J425" i="18"/>
  <c r="I425" i="18"/>
  <c r="K425" i="18" s="1"/>
  <c r="J424" i="18"/>
  <c r="I424" i="18"/>
  <c r="K424" i="18" s="1"/>
  <c r="J423" i="18"/>
  <c r="I423" i="18"/>
  <c r="J422" i="18"/>
  <c r="I422" i="18"/>
  <c r="J421" i="18"/>
  <c r="I421" i="18"/>
  <c r="K421" i="18" s="1"/>
  <c r="J420" i="18"/>
  <c r="I420" i="18"/>
  <c r="K420" i="18" s="1"/>
  <c r="J419" i="18"/>
  <c r="I419" i="18"/>
  <c r="K419" i="18" s="1"/>
  <c r="J418" i="18"/>
  <c r="I418" i="18"/>
  <c r="K418" i="18" s="1"/>
  <c r="J417" i="18"/>
  <c r="I417" i="18"/>
  <c r="K417" i="18" s="1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O406" i="18" s="1"/>
  <c r="N405" i="18"/>
  <c r="L405" i="18"/>
  <c r="O405" i="18" s="1"/>
  <c r="N404" i="18"/>
  <c r="L404" i="18"/>
  <c r="N403" i="18"/>
  <c r="L403" i="18"/>
  <c r="O403" i="18" s="1"/>
  <c r="J402" i="18"/>
  <c r="I402" i="18"/>
  <c r="K402" i="18" s="1"/>
  <c r="N401" i="18"/>
  <c r="L401" i="18"/>
  <c r="J401" i="18"/>
  <c r="I401" i="18"/>
  <c r="K401" i="18" s="1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O385" i="18" s="1"/>
  <c r="N384" i="18"/>
  <c r="L384" i="18"/>
  <c r="N383" i="18"/>
  <c r="L383" i="18"/>
  <c r="N382" i="18"/>
  <c r="L382" i="18"/>
  <c r="J381" i="18"/>
  <c r="I381" i="18"/>
  <c r="K381" i="18" s="1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K375" i="18" s="1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O352" i="18" s="1"/>
  <c r="N351" i="18"/>
  <c r="L351" i="18"/>
  <c r="O351" i="18" s="1"/>
  <c r="J350" i="18"/>
  <c r="K350" i="18" s="1"/>
  <c r="I350" i="18"/>
  <c r="N349" i="18"/>
  <c r="L349" i="18"/>
  <c r="K349" i="18"/>
  <c r="J349" i="18"/>
  <c r="I349" i="18"/>
  <c r="N347" i="18"/>
  <c r="L347" i="18"/>
  <c r="J346" i="18"/>
  <c r="I346" i="18"/>
  <c r="K346" i="18" s="1"/>
  <c r="J345" i="18"/>
  <c r="K345" i="18" s="1"/>
  <c r="I345" i="18"/>
  <c r="J344" i="18"/>
  <c r="I344" i="18"/>
  <c r="K344" i="18" s="1"/>
  <c r="J343" i="18"/>
  <c r="K343" i="18" s="1"/>
  <c r="I343" i="18"/>
  <c r="J342" i="18"/>
  <c r="I342" i="18"/>
  <c r="K342" i="18" s="1"/>
  <c r="J341" i="18"/>
  <c r="K341" i="18" s="1"/>
  <c r="I341" i="18"/>
  <c r="J340" i="18"/>
  <c r="I340" i="18"/>
  <c r="J339" i="18"/>
  <c r="I339" i="18"/>
  <c r="K339" i="18" s="1"/>
  <c r="N337" i="18"/>
  <c r="L337" i="18"/>
  <c r="O337" i="18" s="1"/>
  <c r="L335" i="18"/>
  <c r="L334" i="18"/>
  <c r="N333" i="18"/>
  <c r="M333" i="18"/>
  <c r="P333" i="18" s="1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N312" i="18" s="1"/>
  <c r="N310" i="18" s="1"/>
  <c r="M314" i="18"/>
  <c r="O313" i="18"/>
  <c r="N311" i="18"/>
  <c r="M311" i="18"/>
  <c r="L311" i="18"/>
  <c r="O311" i="18" s="1"/>
  <c r="J309" i="18"/>
  <c r="I309" i="18"/>
  <c r="K309" i="18" s="1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P294" i="18" s="1"/>
  <c r="O293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M271" i="18" s="1"/>
  <c r="O274" i="18"/>
  <c r="N272" i="18"/>
  <c r="M272" i="18"/>
  <c r="P272" i="18" s="1"/>
  <c r="L272" i="18"/>
  <c r="O272" i="18" s="1"/>
  <c r="J270" i="18"/>
  <c r="I270" i="18"/>
  <c r="J269" i="18"/>
  <c r="J268" i="18"/>
  <c r="J267" i="18"/>
  <c r="I267" i="18"/>
  <c r="J266" i="18"/>
  <c r="I266" i="18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L254" i="18" s="1"/>
  <c r="N254" i="18"/>
  <c r="N252" i="18" s="1"/>
  <c r="M254" i="18"/>
  <c r="O253" i="18"/>
  <c r="N251" i="18"/>
  <c r="M251" i="18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L226" i="18"/>
  <c r="L225" i="18"/>
  <c r="N224" i="18"/>
  <c r="M224" i="18"/>
  <c r="M222" i="18" s="1"/>
  <c r="O223" i="18"/>
  <c r="N221" i="18"/>
  <c r="M221" i="18"/>
  <c r="P221" i="18" s="1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N142" i="18"/>
  <c r="P141" i="18"/>
  <c r="N141" i="18"/>
  <c r="M141" i="18"/>
  <c r="L141" i="18"/>
  <c r="O141" i="18" s="1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J109" i="18"/>
  <c r="I109" i="18"/>
  <c r="J108" i="18"/>
  <c r="I108" i="18"/>
  <c r="K108" i="18" s="1"/>
  <c r="J107" i="18"/>
  <c r="J106" i="18"/>
  <c r="J105" i="18"/>
  <c r="J104" i="18"/>
  <c r="N102" i="18"/>
  <c r="L102" i="18"/>
  <c r="L100" i="18"/>
  <c r="L99" i="18"/>
  <c r="N98" i="18"/>
  <c r="N96" i="18" s="1"/>
  <c r="N94" i="18" s="1"/>
  <c r="M98" i="18"/>
  <c r="M96" i="18" s="1"/>
  <c r="O97" i="18"/>
  <c r="O95" i="18"/>
  <c r="N95" i="18"/>
  <c r="M95" i="18"/>
  <c r="P95" i="18" s="1"/>
  <c r="L95" i="18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O54" i="18"/>
  <c r="N54" i="18"/>
  <c r="M54" i="18"/>
  <c r="P54" i="18" s="1"/>
  <c r="L54" i="18"/>
  <c r="N49" i="18"/>
  <c r="L49" i="18"/>
  <c r="O49" i="18" s="1"/>
  <c r="L47" i="18"/>
  <c r="L45" i="18" s="1"/>
  <c r="L46" i="18"/>
  <c r="N45" i="18"/>
  <c r="M45" i="18"/>
  <c r="M43" i="18" s="1"/>
  <c r="P42" i="18"/>
  <c r="O42" i="18"/>
  <c r="N42" i="18"/>
  <c r="M42" i="18"/>
  <c r="L42" i="18"/>
  <c r="P36" i="18"/>
  <c r="O36" i="18"/>
  <c r="P35" i="18"/>
  <c r="O35" i="18"/>
  <c r="P34" i="18"/>
  <c r="M34" i="18"/>
  <c r="M33" i="18"/>
  <c r="P33" i="18" s="1"/>
  <c r="M32" i="18"/>
  <c r="P32" i="18" s="1"/>
  <c r="M31" i="18"/>
  <c r="M11" i="18" s="1"/>
  <c r="P30" i="18"/>
  <c r="M30" i="18"/>
  <c r="P26" i="18"/>
  <c r="M26" i="18"/>
  <c r="N25" i="18"/>
  <c r="N15" i="18" s="1"/>
  <c r="M25" i="18"/>
  <c r="P25" i="18" s="1"/>
  <c r="L25" i="18"/>
  <c r="O25" i="18" s="1"/>
  <c r="N24" i="18"/>
  <c r="M24" i="18"/>
  <c r="P24" i="18" s="1"/>
  <c r="N23" i="18"/>
  <c r="M23" i="18"/>
  <c r="P21" i="18"/>
  <c r="N21" i="18"/>
  <c r="M21" i="18"/>
  <c r="M19" i="18" s="1"/>
  <c r="L21" i="18"/>
  <c r="O21" i="18" s="1"/>
  <c r="O19" i="18"/>
  <c r="L19" i="18"/>
  <c r="M16" i="18"/>
  <c r="P16" i="18" s="1"/>
  <c r="M15" i="18"/>
  <c r="P15" i="18" s="1"/>
  <c r="P14" i="18"/>
  <c r="M14" i="18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K628" i="17" s="1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O597" i="17" s="1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O567" i="17"/>
  <c r="N567" i="17"/>
  <c r="L567" i="17"/>
  <c r="N566" i="17"/>
  <c r="L566" i="17"/>
  <c r="N565" i="17"/>
  <c r="L565" i="17"/>
  <c r="O565" i="17" s="1"/>
  <c r="N564" i="17"/>
  <c r="L564" i="17"/>
  <c r="J564" i="17"/>
  <c r="I564" i="17"/>
  <c r="J563" i="17"/>
  <c r="I563" i="17"/>
  <c r="J562" i="17"/>
  <c r="I562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K473" i="17" s="1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K466" i="17" s="1"/>
  <c r="J465" i="17"/>
  <c r="I465" i="17"/>
  <c r="K465" i="17" s="1"/>
  <c r="J464" i="17"/>
  <c r="I464" i="17"/>
  <c r="N463" i="17"/>
  <c r="N462" i="17"/>
  <c r="N461" i="17"/>
  <c r="N460" i="17"/>
  <c r="N459" i="17"/>
  <c r="L459" i="17"/>
  <c r="O459" i="17" s="1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K449" i="17" s="1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O435" i="17" s="1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K422" i="17" s="1"/>
  <c r="J421" i="17"/>
  <c r="I421" i="17"/>
  <c r="K421" i="17" s="1"/>
  <c r="J420" i="17"/>
  <c r="I420" i="17"/>
  <c r="J419" i="17"/>
  <c r="I419" i="17"/>
  <c r="J418" i="17"/>
  <c r="I418" i="17"/>
  <c r="K418" i="17" s="1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O404" i="17" s="1"/>
  <c r="N403" i="17"/>
  <c r="L403" i="17"/>
  <c r="O403" i="17" s="1"/>
  <c r="J402" i="17"/>
  <c r="I402" i="17"/>
  <c r="N401" i="17"/>
  <c r="L401" i="17"/>
  <c r="O401" i="17" s="1"/>
  <c r="J401" i="17"/>
  <c r="I401" i="17"/>
  <c r="J400" i="17"/>
  <c r="J399" i="17"/>
  <c r="J398" i="17"/>
  <c r="I398" i="17"/>
  <c r="K398" i="17" s="1"/>
  <c r="J397" i="17"/>
  <c r="I397" i="17"/>
  <c r="K397" i="17" s="1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O384" i="17"/>
  <c r="N384" i="17"/>
  <c r="L384" i="17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I367" i="17"/>
  <c r="K367" i="17" s="1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K345" i="17" s="1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P330" i="17" s="1"/>
  <c r="L330" i="17"/>
  <c r="J328" i="17"/>
  <c r="I328" i="17"/>
  <c r="K328" i="17" s="1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N312" i="17" s="1"/>
  <c r="M314" i="17"/>
  <c r="P314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L294" i="17" s="1"/>
  <c r="N294" i="17"/>
  <c r="N292" i="17" s="1"/>
  <c r="N290" i="17" s="1"/>
  <c r="M294" i="17"/>
  <c r="P294" i="17" s="1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P275" i="17" s="1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P254" i="17" s="1"/>
  <c r="M254" i="17"/>
  <c r="O253" i="17"/>
  <c r="M252" i="17"/>
  <c r="P251" i="17"/>
  <c r="O251" i="17"/>
  <c r="N251" i="17"/>
  <c r="M251" i="17"/>
  <c r="L251" i="17"/>
  <c r="M250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K235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M220" i="17" s="1"/>
  <c r="O223" i="17"/>
  <c r="O221" i="17"/>
  <c r="N221" i="17"/>
  <c r="M221" i="17"/>
  <c r="P221" i="17" s="1"/>
  <c r="L221" i="17"/>
  <c r="J219" i="17"/>
  <c r="I219" i="17"/>
  <c r="K219" i="17" s="1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K204" i="17"/>
  <c r="J204" i="17"/>
  <c r="I204" i="17"/>
  <c r="J203" i="17"/>
  <c r="J202" i="17"/>
  <c r="J201" i="17"/>
  <c r="I201" i="17"/>
  <c r="K201" i="17" s="1"/>
  <c r="J200" i="17"/>
  <c r="I200" i="17"/>
  <c r="K200" i="17" s="1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P141" i="17" s="1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N120" i="17" s="1"/>
  <c r="M122" i="17"/>
  <c r="M120" i="17" s="1"/>
  <c r="O121" i="17"/>
  <c r="N119" i="17"/>
  <c r="M119" i="17"/>
  <c r="L119" i="17"/>
  <c r="O119" i="17" s="1"/>
  <c r="J117" i="17"/>
  <c r="K117" i="17" s="1"/>
  <c r="I117" i="17"/>
  <c r="J115" i="17"/>
  <c r="J114" i="17"/>
  <c r="J113" i="17"/>
  <c r="I113" i="17"/>
  <c r="J112" i="17"/>
  <c r="I112" i="17"/>
  <c r="J111" i="17"/>
  <c r="I111" i="17"/>
  <c r="J110" i="17"/>
  <c r="I110" i="17"/>
  <c r="K110" i="17" s="1"/>
  <c r="J109" i="17"/>
  <c r="I109" i="17"/>
  <c r="J108" i="17"/>
  <c r="I108" i="17"/>
  <c r="J107" i="17"/>
  <c r="J106" i="17"/>
  <c r="J105" i="17"/>
  <c r="J104" i="17"/>
  <c r="N102" i="17"/>
  <c r="L102" i="17"/>
  <c r="O102" i="17" s="1"/>
  <c r="L100" i="17"/>
  <c r="L99" i="17"/>
  <c r="L98" i="17" s="1"/>
  <c r="N98" i="17"/>
  <c r="M98" i="17"/>
  <c r="O97" i="17"/>
  <c r="N96" i="17"/>
  <c r="N94" i="17" s="1"/>
  <c r="P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N68" i="17" s="1"/>
  <c r="M70" i="17"/>
  <c r="P70" i="17" s="1"/>
  <c r="O69" i="17"/>
  <c r="N67" i="17"/>
  <c r="M67" i="17"/>
  <c r="P67" i="17" s="1"/>
  <c r="L67" i="17"/>
  <c r="K65" i="17"/>
  <c r="J65" i="17"/>
  <c r="I65" i="17"/>
  <c r="J64" i="17"/>
  <c r="I64" i="17"/>
  <c r="K64" i="17" s="1"/>
  <c r="N61" i="17"/>
  <c r="L61" i="17"/>
  <c r="O61" i="17" s="1"/>
  <c r="L59" i="17"/>
  <c r="L58" i="17"/>
  <c r="N57" i="17"/>
  <c r="N55" i="17" s="1"/>
  <c r="M57" i="17"/>
  <c r="M55" i="17" s="1"/>
  <c r="N54" i="17"/>
  <c r="M54" i="17"/>
  <c r="L54" i="17"/>
  <c r="O54" i="17" s="1"/>
  <c r="N49" i="17"/>
  <c r="L49" i="17"/>
  <c r="L47" i="17"/>
  <c r="L46" i="17"/>
  <c r="N45" i="17"/>
  <c r="M45" i="17"/>
  <c r="M43" i="17" s="1"/>
  <c r="M41" i="17" s="1"/>
  <c r="O42" i="17"/>
  <c r="N42" i="17"/>
  <c r="M42" i="17"/>
  <c r="P42" i="17" s="1"/>
  <c r="L42" i="17"/>
  <c r="P36" i="17"/>
  <c r="O36" i="17"/>
  <c r="P35" i="17"/>
  <c r="O35" i="17"/>
  <c r="P34" i="17"/>
  <c r="M34" i="17"/>
  <c r="M33" i="17"/>
  <c r="P33" i="17" s="1"/>
  <c r="M32" i="17"/>
  <c r="M31" i="17"/>
  <c r="P31" i="17" s="1"/>
  <c r="L31" i="17"/>
  <c r="M26" i="17"/>
  <c r="P26" i="17" s="1"/>
  <c r="N25" i="17"/>
  <c r="N15" i="17" s="1"/>
  <c r="M25" i="17"/>
  <c r="M19" i="17" s="1"/>
  <c r="L25" i="17"/>
  <c r="O25" i="17" s="1"/>
  <c r="N24" i="17"/>
  <c r="M24" i="17"/>
  <c r="P24" i="17" s="1"/>
  <c r="P23" i="17"/>
  <c r="N23" i="17"/>
  <c r="M23" i="17"/>
  <c r="P21" i="17"/>
  <c r="O21" i="17"/>
  <c r="N21" i="17"/>
  <c r="M21" i="17"/>
  <c r="L21" i="17"/>
  <c r="L19" i="17"/>
  <c r="O19" i="17" s="1"/>
  <c r="M13" i="17"/>
  <c r="P13" i="17" s="1"/>
  <c r="M11" i="17"/>
  <c r="P11" i="17" s="1"/>
  <c r="L11" i="17"/>
  <c r="J635" i="16"/>
  <c r="I635" i="16"/>
  <c r="K635" i="16" s="1"/>
  <c r="J634" i="16"/>
  <c r="K634" i="16" s="1"/>
  <c r="I634" i="16"/>
  <c r="J633" i="16"/>
  <c r="I633" i="16"/>
  <c r="J632" i="16"/>
  <c r="I632" i="16"/>
  <c r="J631" i="16"/>
  <c r="I631" i="16"/>
  <c r="J630" i="16"/>
  <c r="I630" i="16"/>
  <c r="J629" i="16"/>
  <c r="I629" i="16"/>
  <c r="K629" i="16" s="1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O597" i="16" s="1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K592" i="16"/>
  <c r="J592" i="16"/>
  <c r="I592" i="16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O568" i="16" s="1"/>
  <c r="N567" i="16"/>
  <c r="L567" i="16"/>
  <c r="O567" i="16" s="1"/>
  <c r="N566" i="16"/>
  <c r="L566" i="16"/>
  <c r="N565" i="16"/>
  <c r="L565" i="16"/>
  <c r="O565" i="16" s="1"/>
  <c r="N564" i="16"/>
  <c r="L564" i="16"/>
  <c r="O564" i="16" s="1"/>
  <c r="J564" i="16"/>
  <c r="I564" i="16"/>
  <c r="J563" i="16"/>
  <c r="I563" i="16"/>
  <c r="K563" i="16" s="1"/>
  <c r="J562" i="16"/>
  <c r="I562" i="16"/>
  <c r="K562" i="16" s="1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K499" i="16" s="1"/>
  <c r="J498" i="16"/>
  <c r="I498" i="16"/>
  <c r="K498" i="16" s="1"/>
  <c r="J497" i="16"/>
  <c r="I497" i="16"/>
  <c r="K497" i="16" s="1"/>
  <c r="J496" i="16"/>
  <c r="I496" i="16"/>
  <c r="K496" i="16" s="1"/>
  <c r="J495" i="16"/>
  <c r="I495" i="16"/>
  <c r="K495" i="16" s="1"/>
  <c r="J494" i="16"/>
  <c r="I494" i="16"/>
  <c r="K494" i="16" s="1"/>
  <c r="K493" i="16"/>
  <c r="J493" i="16"/>
  <c r="I493" i="16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K479" i="16"/>
  <c r="J479" i="16"/>
  <c r="I479" i="16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K426" i="16" s="1"/>
  <c r="J425" i="16"/>
  <c r="I425" i="16"/>
  <c r="J424" i="16"/>
  <c r="I424" i="16"/>
  <c r="J423" i="16"/>
  <c r="I423" i="16"/>
  <c r="K423" i="16" s="1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O404" i="16" s="1"/>
  <c r="N403" i="16"/>
  <c r="L403" i="16"/>
  <c r="O403" i="16" s="1"/>
  <c r="J402" i="16"/>
  <c r="I402" i="16"/>
  <c r="N401" i="16"/>
  <c r="L401" i="16"/>
  <c r="J401" i="16"/>
  <c r="I401" i="16"/>
  <c r="K401" i="16" s="1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K380" i="16" s="1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O347" i="16" s="1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K341" i="16" s="1"/>
  <c r="J340" i="16"/>
  <c r="I340" i="16"/>
  <c r="J339" i="16"/>
  <c r="I339" i="16"/>
  <c r="K339" i="16" s="1"/>
  <c r="N337" i="16"/>
  <c r="L337" i="16"/>
  <c r="L335" i="16"/>
  <c r="L334" i="16"/>
  <c r="L333" i="16" s="1"/>
  <c r="N333" i="16"/>
  <c r="M333" i="16"/>
  <c r="O332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O311" i="16"/>
  <c r="N311" i="16"/>
  <c r="M311" i="16"/>
  <c r="P311" i="16" s="1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P291" i="16" s="1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O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L226" i="16"/>
  <c r="L225" i="16"/>
  <c r="L224" i="16" s="1"/>
  <c r="N224" i="16"/>
  <c r="M224" i="16"/>
  <c r="O223" i="16"/>
  <c r="N221" i="16"/>
  <c r="M221" i="16"/>
  <c r="L221" i="16"/>
  <c r="O221" i="16" s="1"/>
  <c r="J219" i="16"/>
  <c r="I219" i="16"/>
  <c r="K219" i="16" s="1"/>
  <c r="J218" i="16"/>
  <c r="J217" i="16"/>
  <c r="K216" i="16"/>
  <c r="J216" i="16"/>
  <c r="I216" i="16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K189" i="16" s="1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K173" i="16" s="1"/>
  <c r="J172" i="16"/>
  <c r="J171" i="16"/>
  <c r="J170" i="16"/>
  <c r="J169" i="16"/>
  <c r="J164" i="16"/>
  <c r="I164" i="16"/>
  <c r="K164" i="16" s="1"/>
  <c r="J163" i="16"/>
  <c r="J162" i="16"/>
  <c r="J161" i="16"/>
  <c r="J160" i="16"/>
  <c r="J159" i="16"/>
  <c r="J158" i="16"/>
  <c r="K158" i="16" s="1"/>
  <c r="I158" i="16"/>
  <c r="J157" i="16"/>
  <c r="J156" i="16"/>
  <c r="J155" i="16"/>
  <c r="J154" i="16"/>
  <c r="K149" i="16"/>
  <c r="J149" i="16"/>
  <c r="I149" i="16"/>
  <c r="N148" i="16"/>
  <c r="L148" i="16"/>
  <c r="O148" i="16" s="1"/>
  <c r="L146" i="16"/>
  <c r="L145" i="16"/>
  <c r="L144" i="16" s="1"/>
  <c r="L142" i="16" s="1"/>
  <c r="N144" i="16"/>
  <c r="M144" i="16"/>
  <c r="O143" i="16"/>
  <c r="N141" i="16"/>
  <c r="M141" i="16"/>
  <c r="L141" i="16"/>
  <c r="O141" i="16" s="1"/>
  <c r="K138" i="16"/>
  <c r="J138" i="16"/>
  <c r="I138" i="16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N120" i="16" s="1"/>
  <c r="N118" i="16" s="1"/>
  <c r="M122" i="16"/>
  <c r="O121" i="16"/>
  <c r="P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M96" i="16"/>
  <c r="M94" i="16" s="1"/>
  <c r="P94" i="16" s="1"/>
  <c r="P95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J84" i="16"/>
  <c r="I84" i="16"/>
  <c r="K84" i="16" s="1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O74" i="16" s="1"/>
  <c r="L72" i="16"/>
  <c r="L71" i="16"/>
  <c r="N70" i="16"/>
  <c r="N68" i="16" s="1"/>
  <c r="N66" i="16" s="1"/>
  <c r="M70" i="16"/>
  <c r="M68" i="16" s="1"/>
  <c r="O69" i="16"/>
  <c r="P67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L47" i="16"/>
  <c r="L46" i="16"/>
  <c r="N45" i="16"/>
  <c r="M45" i="16"/>
  <c r="L45" i="16"/>
  <c r="L43" i="16" s="1"/>
  <c r="P42" i="16"/>
  <c r="O42" i="16"/>
  <c r="N42" i="16"/>
  <c r="M42" i="16"/>
  <c r="L42" i="16"/>
  <c r="P36" i="16"/>
  <c r="O36" i="16"/>
  <c r="P35" i="16"/>
  <c r="O35" i="16"/>
  <c r="M34" i="16"/>
  <c r="P34" i="16" s="1"/>
  <c r="L34" i="16"/>
  <c r="P33" i="16"/>
  <c r="M33" i="16"/>
  <c r="L33" i="16"/>
  <c r="O33" i="16" s="1"/>
  <c r="P32" i="16"/>
  <c r="M32" i="16"/>
  <c r="M31" i="16"/>
  <c r="M30" i="16"/>
  <c r="P30" i="16" s="1"/>
  <c r="P26" i="16"/>
  <c r="M26" i="16"/>
  <c r="P25" i="16"/>
  <c r="O25" i="16"/>
  <c r="N25" i="16"/>
  <c r="N19" i="16" s="1"/>
  <c r="M25" i="16"/>
  <c r="L25" i="16"/>
  <c r="P24" i="16"/>
  <c r="N24" i="16"/>
  <c r="M24" i="16"/>
  <c r="N23" i="16"/>
  <c r="M23" i="16"/>
  <c r="P21" i="16"/>
  <c r="N21" i="16"/>
  <c r="M21" i="16"/>
  <c r="M19" i="16" s="1"/>
  <c r="L21" i="16"/>
  <c r="P19" i="16"/>
  <c r="M16" i="16"/>
  <c r="P16" i="16" s="1"/>
  <c r="N15" i="16"/>
  <c r="M15" i="16"/>
  <c r="P15" i="16" s="1"/>
  <c r="L15" i="16"/>
  <c r="O15" i="16" s="1"/>
  <c r="M14" i="16"/>
  <c r="P14" i="16" s="1"/>
  <c r="J635" i="15"/>
  <c r="I635" i="15"/>
  <c r="J634" i="15"/>
  <c r="I634" i="15"/>
  <c r="J633" i="15"/>
  <c r="I633" i="15"/>
  <c r="K633" i="15" s="1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O598" i="15"/>
  <c r="N598" i="15"/>
  <c r="L598" i="15"/>
  <c r="N597" i="15"/>
  <c r="L597" i="15"/>
  <c r="J597" i="15"/>
  <c r="I597" i="15"/>
  <c r="J596" i="15"/>
  <c r="I596" i="15"/>
  <c r="K596" i="15" s="1"/>
  <c r="J595" i="15"/>
  <c r="I595" i="15"/>
  <c r="K595" i="15" s="1"/>
  <c r="K594" i="15"/>
  <c r="J594" i="15"/>
  <c r="I594" i="15"/>
  <c r="J593" i="15"/>
  <c r="I593" i="15"/>
  <c r="K593" i="15" s="1"/>
  <c r="K592" i="15"/>
  <c r="J592" i="15"/>
  <c r="I592" i="15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O564" i="15" s="1"/>
  <c r="J564" i="15"/>
  <c r="I564" i="15"/>
  <c r="J563" i="15"/>
  <c r="I563" i="15"/>
  <c r="K563" i="15" s="1"/>
  <c r="J562" i="15"/>
  <c r="I562" i="15"/>
  <c r="K562" i="15" s="1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K547" i="15" s="1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K502" i="15"/>
  <c r="J502" i="15"/>
  <c r="I502" i="15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K474" i="15" s="1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O455" i="15" s="1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K428" i="15" s="1"/>
  <c r="J427" i="15"/>
  <c r="I427" i="15"/>
  <c r="J426" i="15"/>
  <c r="I426" i="15"/>
  <c r="J425" i="15"/>
  <c r="I425" i="15"/>
  <c r="K425" i="15" s="1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K416" i="15" s="1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K402" i="15" s="1"/>
  <c r="N401" i="15"/>
  <c r="L401" i="15"/>
  <c r="J401" i="15"/>
  <c r="K401" i="15" s="1"/>
  <c r="I401" i="15"/>
  <c r="J400" i="15"/>
  <c r="J399" i="15"/>
  <c r="J398" i="15"/>
  <c r="K398" i="15" s="1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O380" i="15" s="1"/>
  <c r="J380" i="15"/>
  <c r="I380" i="15"/>
  <c r="J379" i="15"/>
  <c r="J378" i="15"/>
  <c r="J377" i="15"/>
  <c r="I377" i="15"/>
  <c r="K377" i="15" s="1"/>
  <c r="J376" i="15"/>
  <c r="I376" i="15"/>
  <c r="K376" i="15" s="1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K368" i="15" s="1"/>
  <c r="J367" i="15"/>
  <c r="J366" i="15"/>
  <c r="K365" i="15"/>
  <c r="J365" i="15"/>
  <c r="I365" i="15"/>
  <c r="J364" i="15"/>
  <c r="J363" i="15"/>
  <c r="J362" i="15"/>
  <c r="J361" i="15"/>
  <c r="J360" i="15"/>
  <c r="N358" i="15"/>
  <c r="N357" i="15"/>
  <c r="N356" i="15"/>
  <c r="N355" i="15"/>
  <c r="N354" i="15"/>
  <c r="O354" i="15" s="1"/>
  <c r="L354" i="15"/>
  <c r="N353" i="15"/>
  <c r="L353" i="15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K345" i="15" s="1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L333" i="15" s="1"/>
  <c r="N333" i="15"/>
  <c r="N331" i="15" s="1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N312" i="15" s="1"/>
  <c r="N310" i="15" s="1"/>
  <c r="M314" i="15"/>
  <c r="P314" i="15" s="1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N273" i="15" s="1"/>
  <c r="M275" i="15"/>
  <c r="O274" i="15"/>
  <c r="P272" i="15"/>
  <c r="N272" i="15"/>
  <c r="M272" i="15"/>
  <c r="L272" i="15"/>
  <c r="J270" i="15"/>
  <c r="I270" i="15"/>
  <c r="K270" i="15" s="1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O258" i="15" s="1"/>
  <c r="L256" i="15"/>
  <c r="L255" i="15"/>
  <c r="N254" i="15"/>
  <c r="N252" i="15" s="1"/>
  <c r="N250" i="15" s="1"/>
  <c r="M254" i="15"/>
  <c r="P254" i="15" s="1"/>
  <c r="O253" i="15"/>
  <c r="M252" i="15"/>
  <c r="P252" i="15" s="1"/>
  <c r="P251" i="15"/>
  <c r="O251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K235" i="15" s="1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O141" i="15"/>
  <c r="N141" i="15"/>
  <c r="M141" i="15"/>
  <c r="P141" i="15" s="1"/>
  <c r="L141" i="15"/>
  <c r="J138" i="15"/>
  <c r="I138" i="15"/>
  <c r="J135" i="15"/>
  <c r="J134" i="15"/>
  <c r="J133" i="15"/>
  <c r="I133" i="15"/>
  <c r="K133" i="15" s="1"/>
  <c r="J132" i="15"/>
  <c r="I132" i="15"/>
  <c r="J131" i="15"/>
  <c r="J130" i="15"/>
  <c r="J129" i="15"/>
  <c r="J128" i="15"/>
  <c r="N126" i="15"/>
  <c r="L126" i="15"/>
  <c r="L124" i="15"/>
  <c r="L123" i="15"/>
  <c r="N122" i="15"/>
  <c r="M122" i="15"/>
  <c r="M120" i="15" s="1"/>
  <c r="M118" i="15" s="1"/>
  <c r="O121" i="15"/>
  <c r="N120" i="15"/>
  <c r="N119" i="15"/>
  <c r="M119" i="15"/>
  <c r="P119" i="15" s="1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N96" i="15" s="1"/>
  <c r="N94" i="15" s="1"/>
  <c r="M98" i="15"/>
  <c r="O97" i="15"/>
  <c r="N95" i="15"/>
  <c r="M95" i="15"/>
  <c r="L95" i="15"/>
  <c r="O95" i="15" s="1"/>
  <c r="K93" i="15"/>
  <c r="J93" i="15"/>
  <c r="I93" i="15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J81" i="15"/>
  <c r="I81" i="15"/>
  <c r="J80" i="15"/>
  <c r="I80" i="15"/>
  <c r="K80" i="15" s="1"/>
  <c r="J79" i="15"/>
  <c r="J78" i="15"/>
  <c r="J77" i="15"/>
  <c r="J76" i="15"/>
  <c r="N74" i="15"/>
  <c r="L74" i="15"/>
  <c r="L72" i="15"/>
  <c r="L70" i="15" s="1"/>
  <c r="L71" i="15"/>
  <c r="N70" i="15"/>
  <c r="N68" i="15" s="1"/>
  <c r="N66" i="15" s="1"/>
  <c r="M70" i="15"/>
  <c r="M68" i="15" s="1"/>
  <c r="O69" i="15"/>
  <c r="P67" i="15"/>
  <c r="N67" i="15"/>
  <c r="M67" i="15"/>
  <c r="L67" i="15"/>
  <c r="J65" i="15"/>
  <c r="K65" i="15" s="1"/>
  <c r="I65" i="15"/>
  <c r="K64" i="15"/>
  <c r="J64" i="15"/>
  <c r="I64" i="15"/>
  <c r="O61" i="15"/>
  <c r="N61" i="15"/>
  <c r="L61" i="15"/>
  <c r="L59" i="15"/>
  <c r="L58" i="15"/>
  <c r="N57" i="15"/>
  <c r="N55" i="15" s="1"/>
  <c r="N53" i="15" s="1"/>
  <c r="M57" i="15"/>
  <c r="N54" i="15"/>
  <c r="M54" i="15"/>
  <c r="L54" i="15"/>
  <c r="O54" i="15" s="1"/>
  <c r="N49" i="15"/>
  <c r="L49" i="15"/>
  <c r="O49" i="15" s="1"/>
  <c r="L47" i="15"/>
  <c r="L46" i="15"/>
  <c r="N45" i="15"/>
  <c r="M45" i="15"/>
  <c r="N42" i="15"/>
  <c r="M42" i="15"/>
  <c r="P42" i="15" s="1"/>
  <c r="L42" i="15"/>
  <c r="O42" i="15" s="1"/>
  <c r="P36" i="15"/>
  <c r="O36" i="15"/>
  <c r="P35" i="15"/>
  <c r="O35" i="15"/>
  <c r="M34" i="15"/>
  <c r="P34" i="15" s="1"/>
  <c r="M33" i="15"/>
  <c r="P33" i="15" s="1"/>
  <c r="M32" i="15"/>
  <c r="P31" i="15"/>
  <c r="M31" i="15"/>
  <c r="P29" i="15"/>
  <c r="M29" i="15"/>
  <c r="M26" i="15"/>
  <c r="N25" i="15"/>
  <c r="M25" i="15"/>
  <c r="L25" i="15"/>
  <c r="P24" i="15"/>
  <c r="N24" i="15"/>
  <c r="M24" i="15"/>
  <c r="P23" i="15"/>
  <c r="N23" i="15"/>
  <c r="M23" i="15"/>
  <c r="O21" i="15"/>
  <c r="N21" i="15"/>
  <c r="M21" i="15"/>
  <c r="P21" i="15" s="1"/>
  <c r="L21" i="15"/>
  <c r="M19" i="15"/>
  <c r="L19" i="15"/>
  <c r="O19" i="15" s="1"/>
  <c r="N15" i="15"/>
  <c r="M14" i="15"/>
  <c r="P14" i="15" s="1"/>
  <c r="M13" i="15"/>
  <c r="P13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K618" i="14" s="1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O599" i="14" s="1"/>
  <c r="N598" i="14"/>
  <c r="L598" i="14"/>
  <c r="O598" i="14" s="1"/>
  <c r="N597" i="14"/>
  <c r="L597" i="14"/>
  <c r="J597" i="14"/>
  <c r="I597" i="14"/>
  <c r="K597" i="14" s="1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N580" i="14"/>
  <c r="L580" i="14"/>
  <c r="J580" i="14"/>
  <c r="I580" i="14"/>
  <c r="J579" i="14"/>
  <c r="I579" i="14"/>
  <c r="K579" i="14" s="1"/>
  <c r="K578" i="14"/>
  <c r="J578" i="14"/>
  <c r="I578" i="14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K573" i="14" s="1"/>
  <c r="N572" i="14"/>
  <c r="N571" i="14"/>
  <c r="N570" i="14"/>
  <c r="N569" i="14"/>
  <c r="N568" i="14"/>
  <c r="L568" i="14"/>
  <c r="N567" i="14"/>
  <c r="L567" i="14"/>
  <c r="O567" i="14" s="1"/>
  <c r="N566" i="14"/>
  <c r="L566" i="14"/>
  <c r="O566" i="14" s="1"/>
  <c r="N565" i="14"/>
  <c r="L565" i="14"/>
  <c r="O565" i="14" s="1"/>
  <c r="N564" i="14"/>
  <c r="L564" i="14"/>
  <c r="J564" i="14"/>
  <c r="I564" i="14"/>
  <c r="K564" i="14" s="1"/>
  <c r="J563" i="14"/>
  <c r="I563" i="14"/>
  <c r="K563" i="14" s="1"/>
  <c r="J562" i="14"/>
  <c r="I562" i="14"/>
  <c r="J561" i="14"/>
  <c r="I561" i="14"/>
  <c r="K561" i="14" s="1"/>
  <c r="J560" i="14"/>
  <c r="I560" i="14"/>
  <c r="N559" i="14"/>
  <c r="N558" i="14"/>
  <c r="N557" i="14"/>
  <c r="N556" i="14"/>
  <c r="N555" i="14"/>
  <c r="L555" i="14"/>
  <c r="O554" i="14"/>
  <c r="N554" i="14"/>
  <c r="L554" i="14"/>
  <c r="N553" i="14"/>
  <c r="O553" i="14" s="1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K481" i="14" s="1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K473" i="14" s="1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K466" i="14" s="1"/>
  <c r="J465" i="14"/>
  <c r="I465" i="14"/>
  <c r="K465" i="14" s="1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K435" i="14" s="1"/>
  <c r="J434" i="14"/>
  <c r="J433" i="14"/>
  <c r="J432" i="14"/>
  <c r="I432" i="14"/>
  <c r="J431" i="14"/>
  <c r="I431" i="14"/>
  <c r="K431" i="14" s="1"/>
  <c r="J430" i="14"/>
  <c r="I430" i="14"/>
  <c r="J429" i="14"/>
  <c r="I429" i="14"/>
  <c r="K429" i="14" s="1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J422" i="14"/>
  <c r="I422" i="14"/>
  <c r="K422" i="14" s="1"/>
  <c r="J421" i="14"/>
  <c r="I421" i="14"/>
  <c r="K421" i="14" s="1"/>
  <c r="J420" i="14"/>
  <c r="I420" i="14"/>
  <c r="K420" i="14" s="1"/>
  <c r="J419" i="14"/>
  <c r="I419" i="14"/>
  <c r="K419" i="14" s="1"/>
  <c r="J418" i="14"/>
  <c r="I418" i="14"/>
  <c r="J417" i="14"/>
  <c r="I417" i="14"/>
  <c r="K417" i="14" s="1"/>
  <c r="J416" i="14"/>
  <c r="I416" i="14"/>
  <c r="K416" i="14" s="1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K397" i="14" s="1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K381" i="14" s="1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O351" i="14" s="1"/>
  <c r="J350" i="14"/>
  <c r="I350" i="14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K343" i="14" s="1"/>
  <c r="J342" i="14"/>
  <c r="I342" i="14"/>
  <c r="K342" i="14" s="1"/>
  <c r="J341" i="14"/>
  <c r="I341" i="14"/>
  <c r="J340" i="14"/>
  <c r="I340" i="14"/>
  <c r="K340" i="14" s="1"/>
  <c r="J339" i="14"/>
  <c r="I339" i="14"/>
  <c r="K339" i="14" s="1"/>
  <c r="N337" i="14"/>
  <c r="L337" i="14"/>
  <c r="O337" i="14" s="1"/>
  <c r="L335" i="14"/>
  <c r="L334" i="14"/>
  <c r="L333" i="14" s="1"/>
  <c r="N333" i="14"/>
  <c r="M333" i="14"/>
  <c r="P333" i="14" s="1"/>
  <c r="O332" i="14"/>
  <c r="N331" i="14"/>
  <c r="N329" i="14" s="1"/>
  <c r="P330" i="14"/>
  <c r="O330" i="14"/>
  <c r="N330" i="14"/>
  <c r="M330" i="14"/>
  <c r="L330" i="14"/>
  <c r="J328" i="14"/>
  <c r="I328" i="14"/>
  <c r="K328" i="14" s="1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L314" i="14" s="1"/>
  <c r="N314" i="14"/>
  <c r="N312" i="14" s="1"/>
  <c r="M314" i="14"/>
  <c r="P314" i="14" s="1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L294" i="14" s="1"/>
  <c r="N294" i="14"/>
  <c r="M294" i="14"/>
  <c r="M292" i="14" s="1"/>
  <c r="P292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L277" i="14"/>
  <c r="L276" i="14"/>
  <c r="N275" i="14"/>
  <c r="M275" i="14"/>
  <c r="M273" i="14" s="1"/>
  <c r="O274" i="14"/>
  <c r="O272" i="14"/>
  <c r="N272" i="14"/>
  <c r="M272" i="14"/>
  <c r="P272" i="14" s="1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4" i="14" s="1"/>
  <c r="L255" i="14"/>
  <c r="N254" i="14"/>
  <c r="M254" i="14"/>
  <c r="P254" i="14" s="1"/>
  <c r="O253" i="14"/>
  <c r="M252" i="14"/>
  <c r="P252" i="14" s="1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M222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K215" i="14"/>
  <c r="J215" i="14"/>
  <c r="I215" i="14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L144" i="14" s="1"/>
  <c r="N144" i="14"/>
  <c r="N142" i="14" s="1"/>
  <c r="N140" i="14" s="1"/>
  <c r="M144" i="14"/>
  <c r="P144" i="14" s="1"/>
  <c r="O143" i="14"/>
  <c r="P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O126" i="14"/>
  <c r="N126" i="14"/>
  <c r="L126" i="14"/>
  <c r="L124" i="14"/>
  <c r="L123" i="14"/>
  <c r="N122" i="14"/>
  <c r="N120" i="14" s="1"/>
  <c r="M122" i="14"/>
  <c r="P122" i="14" s="1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O102" i="14" s="1"/>
  <c r="L102" i="14"/>
  <c r="L100" i="14"/>
  <c r="L99" i="14"/>
  <c r="N98" i="14"/>
  <c r="M98" i="14"/>
  <c r="O97" i="14"/>
  <c r="O95" i="14"/>
  <c r="N95" i="14"/>
  <c r="M95" i="14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L70" i="14" s="1"/>
  <c r="O70" i="14" s="1"/>
  <c r="N70" i="14"/>
  <c r="N68" i="14" s="1"/>
  <c r="N66" i="14" s="1"/>
  <c r="M70" i="14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N26" i="14" s="1"/>
  <c r="N16" i="14" s="1"/>
  <c r="L61" i="14"/>
  <c r="O61" i="14" s="1"/>
  <c r="L59" i="14"/>
  <c r="L58" i="14"/>
  <c r="N57" i="14"/>
  <c r="M57" i="14"/>
  <c r="N55" i="14"/>
  <c r="N54" i="14"/>
  <c r="M54" i="14"/>
  <c r="L54" i="14"/>
  <c r="O54" i="14" s="1"/>
  <c r="N49" i="14"/>
  <c r="L49" i="14"/>
  <c r="L47" i="14"/>
  <c r="L46" i="14"/>
  <c r="N45" i="14"/>
  <c r="N43" i="14" s="1"/>
  <c r="M45" i="14"/>
  <c r="M43" i="14" s="1"/>
  <c r="O42" i="14"/>
  <c r="N42" i="14"/>
  <c r="M42" i="14"/>
  <c r="P42" i="14" s="1"/>
  <c r="L42" i="14"/>
  <c r="M41" i="14"/>
  <c r="P36" i="14"/>
  <c r="O36" i="14"/>
  <c r="P35" i="14"/>
  <c r="O35" i="14"/>
  <c r="P34" i="14"/>
  <c r="M34" i="14"/>
  <c r="M33" i="14"/>
  <c r="P33" i="14" s="1"/>
  <c r="M32" i="14"/>
  <c r="M31" i="14"/>
  <c r="P31" i="14" s="1"/>
  <c r="M29" i="14"/>
  <c r="M26" i="14"/>
  <c r="P26" i="14" s="1"/>
  <c r="N25" i="14"/>
  <c r="N15" i="14" s="1"/>
  <c r="M25" i="14"/>
  <c r="P25" i="14" s="1"/>
  <c r="L25" i="14"/>
  <c r="O25" i="14" s="1"/>
  <c r="N24" i="14"/>
  <c r="M24" i="14"/>
  <c r="P24" i="14" s="1"/>
  <c r="N23" i="14"/>
  <c r="M23" i="14"/>
  <c r="P23" i="14" s="1"/>
  <c r="P21" i="14"/>
  <c r="O21" i="14"/>
  <c r="N21" i="14"/>
  <c r="M21" i="14"/>
  <c r="L21" i="14"/>
  <c r="L19" i="14" s="1"/>
  <c r="O19" i="14" s="1"/>
  <c r="N19" i="14"/>
  <c r="M19" i="14"/>
  <c r="P16" i="14"/>
  <c r="M16" i="14"/>
  <c r="O15" i="14"/>
  <c r="M15" i="14"/>
  <c r="P15" i="14" s="1"/>
  <c r="L15" i="14"/>
  <c r="M13" i="14"/>
  <c r="P13" i="14" s="1"/>
  <c r="M11" i="14"/>
  <c r="P11" i="14" s="1"/>
  <c r="M9" i="14"/>
  <c r="J635" i="13"/>
  <c r="I635" i="13"/>
  <c r="J634" i="13"/>
  <c r="I634" i="13"/>
  <c r="K634" i="13" s="1"/>
  <c r="J633" i="13"/>
  <c r="I633" i="13"/>
  <c r="K633" i="13" s="1"/>
  <c r="J632" i="13"/>
  <c r="I632" i="13"/>
  <c r="K632" i="13" s="1"/>
  <c r="J631" i="13"/>
  <c r="I631" i="13"/>
  <c r="K631" i="13" s="1"/>
  <c r="J630" i="13"/>
  <c r="I630" i="13"/>
  <c r="K630" i="13" s="1"/>
  <c r="J629" i="13"/>
  <c r="I629" i="13"/>
  <c r="J628" i="13"/>
  <c r="I628" i="13"/>
  <c r="K628" i="13" s="1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O601" i="13" s="1"/>
  <c r="L601" i="13"/>
  <c r="O600" i="13"/>
  <c r="N600" i="13"/>
  <c r="L600" i="13"/>
  <c r="N599" i="13"/>
  <c r="O599" i="13" s="1"/>
  <c r="L599" i="13"/>
  <c r="O598" i="13"/>
  <c r="N598" i="13"/>
  <c r="L598" i="13"/>
  <c r="N597" i="13"/>
  <c r="L597" i="13"/>
  <c r="J597" i="13"/>
  <c r="I597" i="13"/>
  <c r="K597" i="13" s="1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K573" i="13" s="1"/>
  <c r="N572" i="13"/>
  <c r="N571" i="13"/>
  <c r="N570" i="13"/>
  <c r="N569" i="13"/>
  <c r="N568" i="13"/>
  <c r="L568" i="13"/>
  <c r="O567" i="13"/>
  <c r="N567" i="13"/>
  <c r="L567" i="13"/>
  <c r="N566" i="13"/>
  <c r="O566" i="13" s="1"/>
  <c r="L566" i="13"/>
  <c r="N565" i="13"/>
  <c r="L565" i="13"/>
  <c r="O565" i="13" s="1"/>
  <c r="N564" i="13"/>
  <c r="L564" i="13"/>
  <c r="J564" i="13"/>
  <c r="I564" i="13"/>
  <c r="J563" i="13"/>
  <c r="I563" i="13"/>
  <c r="J562" i="13"/>
  <c r="I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K512" i="13"/>
  <c r="J512" i="13"/>
  <c r="I512" i="13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O459" i="13" s="1"/>
  <c r="N458" i="13"/>
  <c r="L458" i="13"/>
  <c r="O458" i="13" s="1"/>
  <c r="N457" i="13"/>
  <c r="L457" i="13"/>
  <c r="O457" i="13" s="1"/>
  <c r="N456" i="13"/>
  <c r="L456" i="13"/>
  <c r="O456" i="13" s="1"/>
  <c r="N455" i="13"/>
  <c r="L455" i="13"/>
  <c r="J455" i="13"/>
  <c r="I455" i="13"/>
  <c r="K455" i="13" s="1"/>
  <c r="J454" i="13"/>
  <c r="J453" i="13"/>
  <c r="J452" i="13"/>
  <c r="I452" i="13"/>
  <c r="K452" i="13" s="1"/>
  <c r="J451" i="13"/>
  <c r="I451" i="13"/>
  <c r="K451" i="13" s="1"/>
  <c r="J450" i="13"/>
  <c r="I450" i="13"/>
  <c r="K450" i="13" s="1"/>
  <c r="J449" i="13"/>
  <c r="I449" i="13"/>
  <c r="K449" i="13" s="1"/>
  <c r="J448" i="13"/>
  <c r="J447" i="13"/>
  <c r="J446" i="13"/>
  <c r="J445" i="13"/>
  <c r="N443" i="13"/>
  <c r="N442" i="13"/>
  <c r="N441" i="13"/>
  <c r="N440" i="13"/>
  <c r="N439" i="13"/>
  <c r="L439" i="13"/>
  <c r="O439" i="13" s="1"/>
  <c r="N438" i="13"/>
  <c r="L438" i="13"/>
  <c r="O438" i="13" s="1"/>
  <c r="N437" i="13"/>
  <c r="L437" i="13"/>
  <c r="N436" i="13"/>
  <c r="L436" i="13"/>
  <c r="O436" i="13" s="1"/>
  <c r="N435" i="13"/>
  <c r="L435" i="13"/>
  <c r="O435" i="13" s="1"/>
  <c r="J435" i="13"/>
  <c r="I435" i="13"/>
  <c r="J434" i="13"/>
  <c r="J433" i="13"/>
  <c r="J432" i="13"/>
  <c r="I432" i="13"/>
  <c r="K432" i="13" s="1"/>
  <c r="J431" i="13"/>
  <c r="I431" i="13"/>
  <c r="K431" i="13" s="1"/>
  <c r="J430" i="13"/>
  <c r="I430" i="13"/>
  <c r="K430" i="13" s="1"/>
  <c r="J429" i="13"/>
  <c r="I429" i="13"/>
  <c r="J428" i="13"/>
  <c r="I428" i="13"/>
  <c r="J427" i="13"/>
  <c r="I427" i="13"/>
  <c r="J426" i="13"/>
  <c r="I426" i="13"/>
  <c r="K426" i="13" s="1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K416" i="13" s="1"/>
  <c r="J415" i="13"/>
  <c r="J414" i="13"/>
  <c r="J413" i="13"/>
  <c r="J412" i="13"/>
  <c r="N410" i="13"/>
  <c r="N409" i="13"/>
  <c r="N408" i="13"/>
  <c r="N407" i="13"/>
  <c r="N406" i="13"/>
  <c r="L406" i="13"/>
  <c r="O406" i="13" s="1"/>
  <c r="N405" i="13"/>
  <c r="L405" i="13"/>
  <c r="O405" i="13" s="1"/>
  <c r="N404" i="13"/>
  <c r="L404" i="13"/>
  <c r="O404" i="13" s="1"/>
  <c r="N403" i="13"/>
  <c r="L403" i="13"/>
  <c r="O403" i="13" s="1"/>
  <c r="J402" i="13"/>
  <c r="I402" i="13"/>
  <c r="K402" i="13" s="1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O383" i="13" s="1"/>
  <c r="N382" i="13"/>
  <c r="L382" i="13"/>
  <c r="J381" i="13"/>
  <c r="I381" i="13"/>
  <c r="N380" i="13"/>
  <c r="L380" i="13"/>
  <c r="O380" i="13" s="1"/>
  <c r="J380" i="13"/>
  <c r="I380" i="13"/>
  <c r="K380" i="13" s="1"/>
  <c r="J379" i="13"/>
  <c r="J378" i="13"/>
  <c r="J377" i="13"/>
  <c r="I377" i="13"/>
  <c r="J376" i="13"/>
  <c r="I376" i="13"/>
  <c r="K376" i="13" s="1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K349" i="13" s="1"/>
  <c r="N347" i="13"/>
  <c r="L347" i="13"/>
  <c r="K346" i="13"/>
  <c r="J346" i="13"/>
  <c r="I346" i="13"/>
  <c r="J345" i="13"/>
  <c r="I345" i="13"/>
  <c r="J344" i="13"/>
  <c r="I344" i="13"/>
  <c r="K344" i="13" s="1"/>
  <c r="J343" i="13"/>
  <c r="I343" i="13"/>
  <c r="J342" i="13"/>
  <c r="I342" i="13"/>
  <c r="K342" i="13" s="1"/>
  <c r="J341" i="13"/>
  <c r="K341" i="13" s="1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M331" i="13" s="1"/>
  <c r="O332" i="13"/>
  <c r="O330" i="13"/>
  <c r="N330" i="13"/>
  <c r="M330" i="13"/>
  <c r="P330" i="13" s="1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L296" i="13"/>
  <c r="L295" i="13"/>
  <c r="N294" i="13"/>
  <c r="N292" i="13" s="1"/>
  <c r="M294" i="13"/>
  <c r="O293" i="13"/>
  <c r="O291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N252" i="13" s="1"/>
  <c r="N250" i="13" s="1"/>
  <c r="M254" i="13"/>
  <c r="O253" i="13"/>
  <c r="P251" i="13"/>
  <c r="O251" i="13"/>
  <c r="N251" i="13"/>
  <c r="M251" i="13"/>
  <c r="L251" i="13"/>
  <c r="J249" i="13"/>
  <c r="I249" i="13"/>
  <c r="K249" i="13" s="1"/>
  <c r="J246" i="13"/>
  <c r="J245" i="13"/>
  <c r="K244" i="13"/>
  <c r="J244" i="13"/>
  <c r="I244" i="13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L224" i="13" s="1"/>
  <c r="O224" i="13" s="1"/>
  <c r="N224" i="13"/>
  <c r="N222" i="13" s="1"/>
  <c r="N220" i="13" s="1"/>
  <c r="M224" i="13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K189" i="13" s="1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K176" i="13"/>
  <c r="J176" i="13"/>
  <c r="I176" i="13"/>
  <c r="J175" i="13"/>
  <c r="J174" i="13"/>
  <c r="J173" i="13"/>
  <c r="I173" i="13"/>
  <c r="K173" i="13" s="1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K149" i="13" s="1"/>
  <c r="I149" i="13"/>
  <c r="N148" i="13"/>
  <c r="L148" i="13"/>
  <c r="O148" i="13" s="1"/>
  <c r="L146" i="13"/>
  <c r="L145" i="13"/>
  <c r="N144" i="13"/>
  <c r="M144" i="13"/>
  <c r="M142" i="13" s="1"/>
  <c r="M140" i="13" s="1"/>
  <c r="O143" i="13"/>
  <c r="P141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N119" i="13"/>
  <c r="M119" i="13"/>
  <c r="L119" i="13"/>
  <c r="O119" i="13" s="1"/>
  <c r="J117" i="13"/>
  <c r="I117" i="13"/>
  <c r="J115" i="13"/>
  <c r="J114" i="13"/>
  <c r="J113" i="13"/>
  <c r="I113" i="13"/>
  <c r="K113" i="13" s="1"/>
  <c r="K112" i="13"/>
  <c r="J112" i="13"/>
  <c r="I112" i="13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N96" i="13"/>
  <c r="N94" i="13" s="1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N42" i="13"/>
  <c r="M42" i="13"/>
  <c r="L42" i="13"/>
  <c r="O42" i="13" s="1"/>
  <c r="P36" i="13"/>
  <c r="O36" i="13"/>
  <c r="P35" i="13"/>
  <c r="O35" i="13"/>
  <c r="P34" i="13"/>
  <c r="N34" i="13"/>
  <c r="N14" i="13" s="1"/>
  <c r="M34" i="13"/>
  <c r="M14" i="13" s="1"/>
  <c r="P14" i="13" s="1"/>
  <c r="P33" i="13"/>
  <c r="M33" i="13"/>
  <c r="N32" i="13"/>
  <c r="N30" i="13" s="1"/>
  <c r="M32" i="13"/>
  <c r="P32" i="13" s="1"/>
  <c r="M31" i="13"/>
  <c r="M29" i="13" s="1"/>
  <c r="P29" i="13" s="1"/>
  <c r="P30" i="13"/>
  <c r="M30" i="13"/>
  <c r="P26" i="13"/>
  <c r="M26" i="13"/>
  <c r="N25" i="13"/>
  <c r="N15" i="13" s="1"/>
  <c r="M25" i="13"/>
  <c r="P25" i="13" s="1"/>
  <c r="L25" i="13"/>
  <c r="O25" i="13" s="1"/>
  <c r="P24" i="13"/>
  <c r="N24" i="13"/>
  <c r="M24" i="13"/>
  <c r="N23" i="13"/>
  <c r="M23" i="13"/>
  <c r="P21" i="13"/>
  <c r="O21" i="13"/>
  <c r="N21" i="13"/>
  <c r="N19" i="13" s="1"/>
  <c r="M21" i="13"/>
  <c r="M19" i="13" s="1"/>
  <c r="P19" i="13" s="1"/>
  <c r="L21" i="13"/>
  <c r="L19" i="13"/>
  <c r="M16" i="13"/>
  <c r="P16" i="13" s="1"/>
  <c r="P15" i="13"/>
  <c r="M15" i="13"/>
  <c r="L15" i="13"/>
  <c r="O15" i="13" s="1"/>
  <c r="M11" i="13"/>
  <c r="P11" i="13" s="1"/>
  <c r="K635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K629" i="12" s="1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K619" i="12" s="1"/>
  <c r="J610" i="12"/>
  <c r="J609" i="12"/>
  <c r="J608" i="12"/>
  <c r="J607" i="12"/>
  <c r="N605" i="12"/>
  <c r="N604" i="12"/>
  <c r="N603" i="12"/>
  <c r="N602" i="12"/>
  <c r="N601" i="12"/>
  <c r="L601" i="12"/>
  <c r="N600" i="12"/>
  <c r="N33" i="12" s="1"/>
  <c r="N13" i="12" s="1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O566" i="12" s="1"/>
  <c r="N565" i="12"/>
  <c r="L565" i="12"/>
  <c r="O565" i="12" s="1"/>
  <c r="N564" i="12"/>
  <c r="L564" i="12"/>
  <c r="J564" i="12"/>
  <c r="I564" i="12"/>
  <c r="K564" i="12" s="1"/>
  <c r="J563" i="12"/>
  <c r="I563" i="12"/>
  <c r="J562" i="12"/>
  <c r="I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O533" i="12" s="1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K480" i="12"/>
  <c r="J480" i="12"/>
  <c r="I480" i="12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K464" i="12" s="1"/>
  <c r="N463" i="12"/>
  <c r="N462" i="12"/>
  <c r="N461" i="12"/>
  <c r="N460" i="12"/>
  <c r="N459" i="12"/>
  <c r="L459" i="12"/>
  <c r="O459" i="12" s="1"/>
  <c r="N458" i="12"/>
  <c r="L458" i="12"/>
  <c r="O458" i="12" s="1"/>
  <c r="N457" i="12"/>
  <c r="L457" i="12"/>
  <c r="O457" i="12" s="1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O439" i="12" s="1"/>
  <c r="N438" i="12"/>
  <c r="L438" i="12"/>
  <c r="O438" i="12" s="1"/>
  <c r="N437" i="12"/>
  <c r="O437" i="12" s="1"/>
  <c r="L437" i="12"/>
  <c r="N436" i="12"/>
  <c r="L436" i="12"/>
  <c r="O436" i="12" s="1"/>
  <c r="N435" i="12"/>
  <c r="L435" i="12"/>
  <c r="J435" i="12"/>
  <c r="K435" i="12" s="1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O401" i="12" s="1"/>
  <c r="J401" i="12"/>
  <c r="I401" i="12"/>
  <c r="K401" i="12" s="1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L32" i="12" s="1"/>
  <c r="L30" i="12" s="1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J370" i="12"/>
  <c r="I370" i="12"/>
  <c r="K370" i="12" s="1"/>
  <c r="J369" i="12"/>
  <c r="I369" i="12"/>
  <c r="K369" i="12" s="1"/>
  <c r="J368" i="12"/>
  <c r="I368" i="12"/>
  <c r="K368" i="12" s="1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O354" i="12" s="1"/>
  <c r="N353" i="12"/>
  <c r="L353" i="12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K340" i="12"/>
  <c r="J340" i="12"/>
  <c r="I340" i="12"/>
  <c r="J339" i="12"/>
  <c r="I339" i="12"/>
  <c r="K339" i="12" s="1"/>
  <c r="N337" i="12"/>
  <c r="L337" i="12"/>
  <c r="O337" i="12" s="1"/>
  <c r="L335" i="12"/>
  <c r="L333" i="12" s="1"/>
  <c r="L334" i="12"/>
  <c r="N333" i="12"/>
  <c r="M333" i="12"/>
  <c r="O332" i="12"/>
  <c r="M331" i="12"/>
  <c r="M329" i="12" s="1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N292" i="12" s="1"/>
  <c r="N290" i="12" s="1"/>
  <c r="M294" i="12"/>
  <c r="P294" i="12" s="1"/>
  <c r="O293" i="12"/>
  <c r="P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L277" i="12"/>
  <c r="L276" i="12"/>
  <c r="L275" i="12" s="1"/>
  <c r="O275" i="12" s="1"/>
  <c r="N275" i="12"/>
  <c r="M275" i="12"/>
  <c r="O274" i="12"/>
  <c r="N272" i="12"/>
  <c r="M272" i="12"/>
  <c r="P272" i="12" s="1"/>
  <c r="L272" i="12"/>
  <c r="J270" i="12"/>
  <c r="K270" i="12" s="1"/>
  <c r="I270" i="12"/>
  <c r="J269" i="12"/>
  <c r="J268" i="12"/>
  <c r="J267" i="12"/>
  <c r="I267" i="12"/>
  <c r="K267" i="12" s="1"/>
  <c r="J266" i="12"/>
  <c r="I266" i="12"/>
  <c r="J265" i="12"/>
  <c r="I265" i="12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M252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N222" i="12" s="1"/>
  <c r="N220" i="12" s="1"/>
  <c r="M224" i="12"/>
  <c r="O223" i="12"/>
  <c r="P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N142" i="12" s="1"/>
  <c r="N140" i="12" s="1"/>
  <c r="M144" i="12"/>
  <c r="O143" i="12"/>
  <c r="O141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K133" i="12" s="1"/>
  <c r="J132" i="12"/>
  <c r="I132" i="12"/>
  <c r="J131" i="12"/>
  <c r="J130" i="12"/>
  <c r="J129" i="12"/>
  <c r="J128" i="12"/>
  <c r="N126" i="12"/>
  <c r="L126" i="12"/>
  <c r="O126" i="12" s="1"/>
  <c r="L124" i="12"/>
  <c r="L123" i="12"/>
  <c r="L122" i="12" s="1"/>
  <c r="N122" i="12"/>
  <c r="M122" i="12"/>
  <c r="P122" i="12" s="1"/>
  <c r="O121" i="12"/>
  <c r="N120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L98" i="12" s="1"/>
  <c r="N98" i="12"/>
  <c r="N96" i="12" s="1"/>
  <c r="M98" i="12"/>
  <c r="M96" i="12" s="1"/>
  <c r="O97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0" i="12" s="1"/>
  <c r="L68" i="12" s="1"/>
  <c r="L71" i="12"/>
  <c r="N70" i="12"/>
  <c r="M70" i="12"/>
  <c r="M68" i="12" s="1"/>
  <c r="O69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/>
  <c r="O54" i="12"/>
  <c r="N54" i="12"/>
  <c r="M54" i="12"/>
  <c r="L54" i="12"/>
  <c r="N49" i="12"/>
  <c r="L49" i="12"/>
  <c r="L47" i="12"/>
  <c r="L46" i="12"/>
  <c r="N45" i="12"/>
  <c r="M45" i="12"/>
  <c r="M43" i="12"/>
  <c r="M41" i="12" s="1"/>
  <c r="N42" i="12"/>
  <c r="M42" i="12"/>
  <c r="P42" i="12" s="1"/>
  <c r="L42" i="12"/>
  <c r="O42" i="12" s="1"/>
  <c r="P36" i="12"/>
  <c r="O36" i="12"/>
  <c r="P35" i="12"/>
  <c r="O35" i="12"/>
  <c r="M34" i="12"/>
  <c r="P34" i="12" s="1"/>
  <c r="P33" i="12"/>
  <c r="M33" i="12"/>
  <c r="M32" i="12"/>
  <c r="P32" i="12" s="1"/>
  <c r="P31" i="12"/>
  <c r="M31" i="12"/>
  <c r="P29" i="12"/>
  <c r="M29" i="12"/>
  <c r="P26" i="12"/>
  <c r="M26" i="12"/>
  <c r="M16" i="12" s="1"/>
  <c r="P16" i="12" s="1"/>
  <c r="N25" i="12"/>
  <c r="M25" i="12"/>
  <c r="L25" i="12"/>
  <c r="N24" i="12"/>
  <c r="M24" i="12"/>
  <c r="P24" i="12" s="1"/>
  <c r="N23" i="12"/>
  <c r="M23" i="12"/>
  <c r="O21" i="12"/>
  <c r="N21" i="12"/>
  <c r="N19" i="12" s="1"/>
  <c r="M21" i="12"/>
  <c r="P21" i="12" s="1"/>
  <c r="L21" i="12"/>
  <c r="M19" i="12"/>
  <c r="L19" i="12"/>
  <c r="N15" i="12"/>
  <c r="M14" i="12"/>
  <c r="P14" i="12" s="1"/>
  <c r="M11" i="12"/>
  <c r="P11" i="12" s="1"/>
  <c r="J635" i="11"/>
  <c r="I635" i="11"/>
  <c r="J634" i="11"/>
  <c r="I634" i="11"/>
  <c r="J633" i="11"/>
  <c r="I633" i="11"/>
  <c r="K633" i="11" s="1"/>
  <c r="K632" i="11"/>
  <c r="J632" i="11"/>
  <c r="I632" i="11"/>
  <c r="J631" i="11"/>
  <c r="I631" i="11"/>
  <c r="K630" i="11"/>
  <c r="J630" i="11"/>
  <c r="I630" i="11"/>
  <c r="J629" i="11"/>
  <c r="I629" i="11"/>
  <c r="J628" i="11"/>
  <c r="I628" i="11"/>
  <c r="K628" i="11" s="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K617" i="11" s="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O599" i="11" s="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K573" i="11" s="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I563" i="11"/>
  <c r="K563" i="11" s="1"/>
  <c r="J562" i="11"/>
  <c r="I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O554" i="11"/>
  <c r="N554" i="11"/>
  <c r="L554" i="11"/>
  <c r="N553" i="11"/>
  <c r="L553" i="11"/>
  <c r="O553" i="11" s="1"/>
  <c r="O552" i="11"/>
  <c r="N552" i="11"/>
  <c r="L552" i="1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O537" i="11" s="1"/>
  <c r="N536" i="11"/>
  <c r="L536" i="11"/>
  <c r="O536" i="11" s="1"/>
  <c r="N535" i="11"/>
  <c r="L535" i="11"/>
  <c r="O535" i="11" s="1"/>
  <c r="N534" i="11"/>
  <c r="L534" i="11"/>
  <c r="O534" i="11" s="1"/>
  <c r="N533" i="11"/>
  <c r="L533" i="11"/>
  <c r="J533" i="11"/>
  <c r="I533" i="11"/>
  <c r="K533" i="11" s="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K481" i="11" s="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K464" i="11" s="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K372" i="11" s="1"/>
  <c r="J371" i="11"/>
  <c r="I371" i="1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O349" i="11" s="1"/>
  <c r="J349" i="11"/>
  <c r="I349" i="11"/>
  <c r="N347" i="11"/>
  <c r="L347" i="11"/>
  <c r="O347" i="11" s="1"/>
  <c r="J346" i="11"/>
  <c r="I346" i="11"/>
  <c r="K346" i="11" s="1"/>
  <c r="J345" i="11"/>
  <c r="K345" i="11" s="1"/>
  <c r="I345" i="11"/>
  <c r="J344" i="11"/>
  <c r="I344" i="11"/>
  <c r="K344" i="11" s="1"/>
  <c r="J343" i="11"/>
  <c r="I343" i="11"/>
  <c r="K343" i="11" s="1"/>
  <c r="J342" i="11"/>
  <c r="I342" i="11"/>
  <c r="K342" i="11" s="1"/>
  <c r="J341" i="11"/>
  <c r="I341" i="11"/>
  <c r="K341" i="11" s="1"/>
  <c r="J340" i="11"/>
  <c r="I340" i="11"/>
  <c r="J339" i="11"/>
  <c r="I339" i="11"/>
  <c r="K339" i="11" s="1"/>
  <c r="N337" i="11"/>
  <c r="L337" i="11"/>
  <c r="L335" i="11"/>
  <c r="L334" i="11"/>
  <c r="L333" i="11" s="1"/>
  <c r="N333" i="11"/>
  <c r="M333" i="11"/>
  <c r="O332" i="11"/>
  <c r="N330" i="11"/>
  <c r="M330" i="11"/>
  <c r="P330" i="11" s="1"/>
  <c r="L330" i="11"/>
  <c r="J328" i="11"/>
  <c r="K328" i="11" s="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N312" i="11" s="1"/>
  <c r="M314" i="11"/>
  <c r="M312" i="11" s="1"/>
  <c r="P312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L296" i="11"/>
  <c r="L295" i="11"/>
  <c r="N294" i="11"/>
  <c r="M294" i="11"/>
  <c r="P294" i="11" s="1"/>
  <c r="O293" i="11"/>
  <c r="N291" i="11"/>
  <c r="M291" i="11"/>
  <c r="L291" i="11"/>
  <c r="O291" i="11" s="1"/>
  <c r="J289" i="11"/>
  <c r="I289" i="11"/>
  <c r="K289" i="11" s="1"/>
  <c r="J287" i="11"/>
  <c r="J286" i="11"/>
  <c r="J285" i="11"/>
  <c r="K285" i="11" s="1"/>
  <c r="I285" i="11"/>
  <c r="J284" i="11"/>
  <c r="J283" i="11"/>
  <c r="J282" i="11"/>
  <c r="J281" i="11"/>
  <c r="O279" i="11"/>
  <c r="N279" i="11"/>
  <c r="L279" i="11"/>
  <c r="L277" i="11"/>
  <c r="L276" i="11"/>
  <c r="N275" i="11"/>
  <c r="M275" i="11"/>
  <c r="M273" i="11" s="1"/>
  <c r="O274" i="11"/>
  <c r="P272" i="11"/>
  <c r="O272" i="11"/>
  <c r="N272" i="11"/>
  <c r="M272" i="1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L254" i="11" s="1"/>
  <c r="N254" i="11"/>
  <c r="P254" i="11" s="1"/>
  <c r="M254" i="11"/>
  <c r="M252" i="11" s="1"/>
  <c r="O253" i="11"/>
  <c r="O251" i="11"/>
  <c r="N251" i="11"/>
  <c r="M251" i="11"/>
  <c r="P251" i="11" s="1"/>
  <c r="L251" i="11"/>
  <c r="J249" i="11"/>
  <c r="I249" i="11"/>
  <c r="J246" i="11"/>
  <c r="J245" i="11"/>
  <c r="K244" i="11"/>
  <c r="J244" i="11"/>
  <c r="I244" i="11"/>
  <c r="J243" i="11"/>
  <c r="J242" i="11"/>
  <c r="J241" i="11"/>
  <c r="J240" i="11"/>
  <c r="J238" i="11"/>
  <c r="I238" i="11"/>
  <c r="K238" i="11" s="1"/>
  <c r="J237" i="11"/>
  <c r="J236" i="11"/>
  <c r="J235" i="11"/>
  <c r="I235" i="11"/>
  <c r="K235" i="11" s="1"/>
  <c r="J234" i="11"/>
  <c r="J233" i="11"/>
  <c r="J232" i="11"/>
  <c r="J231" i="11"/>
  <c r="J229" i="11"/>
  <c r="I229" i="11"/>
  <c r="K229" i="11" s="1"/>
  <c r="N228" i="11"/>
  <c r="L228" i="11"/>
  <c r="L226" i="11"/>
  <c r="L225" i="11"/>
  <c r="N224" i="11"/>
  <c r="M224" i="11"/>
  <c r="O223" i="11"/>
  <c r="O221" i="11"/>
  <c r="N221" i="11"/>
  <c r="M221" i="11"/>
  <c r="L221" i="11"/>
  <c r="K219" i="11"/>
  <c r="J219" i="11"/>
  <c r="I219" i="11"/>
  <c r="J218" i="11"/>
  <c r="J217" i="11"/>
  <c r="K216" i="11"/>
  <c r="J216" i="11"/>
  <c r="I216" i="1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K189" i="11" s="1"/>
  <c r="I189" i="11"/>
  <c r="J188" i="11"/>
  <c r="J187" i="11"/>
  <c r="J186" i="11"/>
  <c r="I186" i="11"/>
  <c r="K186" i="11" s="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K158" i="11" s="1"/>
  <c r="J157" i="11"/>
  <c r="J156" i="11"/>
  <c r="J155" i="11"/>
  <c r="J154" i="11"/>
  <c r="J149" i="11"/>
  <c r="I149" i="11"/>
  <c r="K149" i="11" s="1"/>
  <c r="N148" i="11"/>
  <c r="L148" i="11"/>
  <c r="O148" i="11" s="1"/>
  <c r="L146" i="11"/>
  <c r="L144" i="11" s="1"/>
  <c r="O144" i="11" s="1"/>
  <c r="L145" i="11"/>
  <c r="N144" i="11"/>
  <c r="M144" i="11"/>
  <c r="O143" i="11"/>
  <c r="N141" i="11"/>
  <c r="M141" i="11"/>
  <c r="P141" i="11" s="1"/>
  <c r="L141" i="11"/>
  <c r="J138" i="11"/>
  <c r="K138" i="11" s="1"/>
  <c r="I138" i="11"/>
  <c r="J135" i="11"/>
  <c r="J134" i="11"/>
  <c r="J133" i="11"/>
  <c r="I133" i="11"/>
  <c r="K133" i="11" s="1"/>
  <c r="J132" i="11"/>
  <c r="I132" i="11"/>
  <c r="J131" i="11"/>
  <c r="J130" i="11"/>
  <c r="J129" i="11"/>
  <c r="J128" i="11"/>
  <c r="N126" i="11"/>
  <c r="N120" i="11" s="1"/>
  <c r="N118" i="11" s="1"/>
  <c r="L126" i="11"/>
  <c r="O126" i="11" s="1"/>
  <c r="L124" i="11"/>
  <c r="L123" i="11"/>
  <c r="N122" i="11"/>
  <c r="M122" i="11"/>
  <c r="P122" i="11" s="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N96" i="11" s="1"/>
  <c r="N94" i="11" s="1"/>
  <c r="M98" i="11"/>
  <c r="P98" i="11" s="1"/>
  <c r="O97" i="11"/>
  <c r="P95" i="11"/>
  <c r="N95" i="11"/>
  <c r="M95" i="11"/>
  <c r="L95" i="11"/>
  <c r="J93" i="11"/>
  <c r="I93" i="11"/>
  <c r="K93" i="11" s="1"/>
  <c r="J92" i="11"/>
  <c r="I92" i="11"/>
  <c r="K92" i="11" s="1"/>
  <c r="J90" i="11"/>
  <c r="J89" i="11"/>
  <c r="K88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0" i="11" s="1"/>
  <c r="O70" i="11" s="1"/>
  <c r="L71" i="11"/>
  <c r="N70" i="11"/>
  <c r="N68" i="11" s="1"/>
  <c r="N66" i="11" s="1"/>
  <c r="M70" i="11"/>
  <c r="O69" i="11"/>
  <c r="P67" i="11"/>
  <c r="O67" i="11"/>
  <c r="N67" i="11"/>
  <c r="M67" i="1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L47" i="11"/>
  <c r="L46" i="11"/>
  <c r="L45" i="11" s="1"/>
  <c r="N45" i="11"/>
  <c r="N43" i="11" s="1"/>
  <c r="N41" i="11" s="1"/>
  <c r="M45" i="11"/>
  <c r="N42" i="11"/>
  <c r="M42" i="11"/>
  <c r="L42" i="11"/>
  <c r="O42" i="11" s="1"/>
  <c r="P36" i="11"/>
  <c r="O36" i="11"/>
  <c r="P35" i="11"/>
  <c r="O35" i="11"/>
  <c r="N34" i="11"/>
  <c r="N14" i="11" s="1"/>
  <c r="M34" i="11"/>
  <c r="P34" i="11" s="1"/>
  <c r="M33" i="11"/>
  <c r="P33" i="11" s="1"/>
  <c r="P32" i="11"/>
  <c r="M32" i="11"/>
  <c r="P31" i="11"/>
  <c r="M31" i="11"/>
  <c r="P30" i="11"/>
  <c r="M30" i="11"/>
  <c r="M29" i="11"/>
  <c r="M26" i="11"/>
  <c r="P26" i="11" s="1"/>
  <c r="P25" i="11"/>
  <c r="N25" i="11"/>
  <c r="M25" i="11"/>
  <c r="L25" i="11"/>
  <c r="O25" i="11" s="1"/>
  <c r="N24" i="11"/>
  <c r="M24" i="11"/>
  <c r="P24" i="11" s="1"/>
  <c r="P23" i="11"/>
  <c r="N23" i="11"/>
  <c r="M23" i="11"/>
  <c r="M13" i="11" s="1"/>
  <c r="P13" i="11" s="1"/>
  <c r="P21" i="11"/>
  <c r="N21" i="11"/>
  <c r="N19" i="11" s="1"/>
  <c r="M21" i="11"/>
  <c r="M19" i="11" s="1"/>
  <c r="L21" i="11"/>
  <c r="P19" i="11"/>
  <c r="M16" i="11"/>
  <c r="P16" i="11" s="1"/>
  <c r="N15" i="11"/>
  <c r="M15" i="11"/>
  <c r="P15" i="11" s="1"/>
  <c r="M14" i="11"/>
  <c r="P14" i="11" s="1"/>
  <c r="M11" i="11"/>
  <c r="M9" i="11" s="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K591" i="10" s="1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N566" i="10"/>
  <c r="L566" i="10"/>
  <c r="N565" i="10"/>
  <c r="L565" i="10"/>
  <c r="N564" i="10"/>
  <c r="L564" i="10"/>
  <c r="J564" i="10"/>
  <c r="I564" i="10"/>
  <c r="J563" i="10"/>
  <c r="I563" i="10"/>
  <c r="J562" i="10"/>
  <c r="I562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K551" i="10" s="1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O537" i="10" s="1"/>
  <c r="L537" i="10"/>
  <c r="N536" i="10"/>
  <c r="L536" i="10"/>
  <c r="O536" i="10" s="1"/>
  <c r="N535" i="10"/>
  <c r="L535" i="10"/>
  <c r="O535" i="10" s="1"/>
  <c r="N534" i="10"/>
  <c r="L534" i="10"/>
  <c r="O534" i="10" s="1"/>
  <c r="N533" i="10"/>
  <c r="O533" i="10" s="1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K495" i="10"/>
  <c r="J495" i="10"/>
  <c r="I495" i="10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K489" i="10"/>
  <c r="J489" i="10"/>
  <c r="I489" i="10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O455" i="10" s="1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K449" i="10" s="1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O437" i="10" s="1"/>
  <c r="N436" i="10"/>
  <c r="L436" i="10"/>
  <c r="O436" i="10" s="1"/>
  <c r="N435" i="10"/>
  <c r="L435" i="10"/>
  <c r="J435" i="10"/>
  <c r="I435" i="10"/>
  <c r="K435" i="10" s="1"/>
  <c r="J434" i="10"/>
  <c r="J433" i="10"/>
  <c r="J432" i="10"/>
  <c r="I432" i="10"/>
  <c r="K432" i="10" s="1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K426" i="10" s="1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K420" i="10" s="1"/>
  <c r="J419" i="10"/>
  <c r="I419" i="10"/>
  <c r="J418" i="10"/>
  <c r="I418" i="10"/>
  <c r="J417" i="10"/>
  <c r="I417" i="10"/>
  <c r="J416" i="10"/>
  <c r="I416" i="10"/>
  <c r="K416" i="10" s="1"/>
  <c r="J415" i="10"/>
  <c r="J414" i="10"/>
  <c r="J413" i="10"/>
  <c r="J412" i="10"/>
  <c r="N410" i="10"/>
  <c r="N409" i="10"/>
  <c r="N408" i="10"/>
  <c r="N407" i="10"/>
  <c r="N406" i="10"/>
  <c r="L406" i="10"/>
  <c r="O406" i="10" s="1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K398" i="10" s="1"/>
  <c r="J397" i="10"/>
  <c r="I397" i="10"/>
  <c r="K397" i="10" s="1"/>
  <c r="J396" i="10"/>
  <c r="I396" i="10"/>
  <c r="K396" i="10" s="1"/>
  <c r="J394" i="10"/>
  <c r="J393" i="10"/>
  <c r="J392" i="10"/>
  <c r="J391" i="10"/>
  <c r="N389" i="10"/>
  <c r="N388" i="10"/>
  <c r="N387" i="10"/>
  <c r="N386" i="10"/>
  <c r="N385" i="10"/>
  <c r="L385" i="10"/>
  <c r="L34" i="10" s="1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K373" i="10"/>
  <c r="J373" i="10"/>
  <c r="I373" i="10"/>
  <c r="J372" i="10"/>
  <c r="I372" i="10"/>
  <c r="K372" i="10" s="1"/>
  <c r="J371" i="10"/>
  <c r="I371" i="10"/>
  <c r="K371" i="10" s="1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N351" i="10"/>
  <c r="L351" i="10"/>
  <c r="O351" i="10" s="1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O347" i="10" s="1"/>
  <c r="J346" i="10"/>
  <c r="I346" i="10"/>
  <c r="K346" i="10" s="1"/>
  <c r="J345" i="10"/>
  <c r="K345" i="10" s="1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K339" i="10"/>
  <c r="J339" i="10"/>
  <c r="I339" i="10"/>
  <c r="N337" i="10"/>
  <c r="L337" i="10"/>
  <c r="L335" i="10"/>
  <c r="L334" i="10"/>
  <c r="N333" i="10"/>
  <c r="M333" i="10"/>
  <c r="P333" i="10" s="1"/>
  <c r="O332" i="10"/>
  <c r="N331" i="10"/>
  <c r="M331" i="10"/>
  <c r="P330" i="10"/>
  <c r="N330" i="10"/>
  <c r="M330" i="10"/>
  <c r="L330" i="10"/>
  <c r="N329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P311" i="10" s="1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N292" i="10" s="1"/>
  <c r="M294" i="10"/>
  <c r="O293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N273" i="10" s="1"/>
  <c r="L279" i="10"/>
  <c r="L277" i="10"/>
  <c r="L276" i="10"/>
  <c r="L275" i="10" s="1"/>
  <c r="O275" i="10" s="1"/>
  <c r="N275" i="10"/>
  <c r="M275" i="10"/>
  <c r="O274" i="10"/>
  <c r="O272" i="10"/>
  <c r="N272" i="10"/>
  <c r="M272" i="10"/>
  <c r="P272" i="10" s="1"/>
  <c r="L272" i="10"/>
  <c r="N271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L254" i="10" s="1"/>
  <c r="L252" i="10" s="1"/>
  <c r="N254" i="10"/>
  <c r="M254" i="10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P224" i="10" s="1"/>
  <c r="O223" i="10"/>
  <c r="N221" i="10"/>
  <c r="M221" i="10"/>
  <c r="L221" i="10"/>
  <c r="O221" i="10" s="1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K213" i="10"/>
  <c r="J213" i="10"/>
  <c r="I213" i="10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K185" i="10"/>
  <c r="J185" i="10"/>
  <c r="I185" i="10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K158" i="10" s="1"/>
  <c r="I158" i="10"/>
  <c r="J157" i="10"/>
  <c r="J156" i="10"/>
  <c r="J155" i="10"/>
  <c r="J154" i="10"/>
  <c r="J149" i="10"/>
  <c r="I149" i="10"/>
  <c r="N148" i="10"/>
  <c r="L148" i="10"/>
  <c r="L146" i="10"/>
  <c r="L145" i="10"/>
  <c r="N144" i="10"/>
  <c r="N142" i="10" s="1"/>
  <c r="N140" i="10" s="1"/>
  <c r="M144" i="10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L122" i="10" s="1"/>
  <c r="O122" i="10" s="1"/>
  <c r="N122" i="10"/>
  <c r="N120" i="10" s="1"/>
  <c r="M122" i="10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M96" i="10"/>
  <c r="P96" i="10" s="1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N68" i="10" s="1"/>
  <c r="N66" i="10" s="1"/>
  <c r="L74" i="10"/>
  <c r="O74" i="10" s="1"/>
  <c r="L72" i="10"/>
  <c r="L71" i="10"/>
  <c r="N70" i="10"/>
  <c r="M70" i="10"/>
  <c r="L70" i="10"/>
  <c r="O70" i="10" s="1"/>
  <c r="O69" i="10"/>
  <c r="O67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N55" i="10" s="1"/>
  <c r="N53" i="10" s="1"/>
  <c r="M57" i="10"/>
  <c r="P54" i="10"/>
  <c r="O54" i="10"/>
  <c r="N54" i="10"/>
  <c r="M54" i="10"/>
  <c r="L54" i="10"/>
  <c r="N49" i="10"/>
  <c r="L49" i="10"/>
  <c r="L47" i="10"/>
  <c r="L46" i="10"/>
  <c r="N45" i="10"/>
  <c r="N43" i="10" s="1"/>
  <c r="M45" i="10"/>
  <c r="P42" i="10"/>
  <c r="O42" i="10"/>
  <c r="N42" i="10"/>
  <c r="M42" i="10"/>
  <c r="L42" i="10"/>
  <c r="P36" i="10"/>
  <c r="O36" i="10"/>
  <c r="P35" i="10"/>
  <c r="O35" i="10"/>
  <c r="M34" i="10"/>
  <c r="P34" i="10" s="1"/>
  <c r="P33" i="10"/>
  <c r="M33" i="10"/>
  <c r="P32" i="10"/>
  <c r="M32" i="10"/>
  <c r="M31" i="10"/>
  <c r="P31" i="10" s="1"/>
  <c r="M30" i="10"/>
  <c r="P30" i="10" s="1"/>
  <c r="M29" i="10"/>
  <c r="P26" i="10"/>
  <c r="M26" i="10"/>
  <c r="P25" i="10"/>
  <c r="O25" i="10"/>
  <c r="N25" i="10"/>
  <c r="M25" i="10"/>
  <c r="L25" i="10"/>
  <c r="N24" i="10"/>
  <c r="M24" i="10"/>
  <c r="P24" i="10" s="1"/>
  <c r="N23" i="10"/>
  <c r="M23" i="10"/>
  <c r="P23" i="10" s="1"/>
  <c r="P21" i="10"/>
  <c r="N21" i="10"/>
  <c r="M21" i="10"/>
  <c r="L21" i="10"/>
  <c r="P19" i="10"/>
  <c r="N19" i="10"/>
  <c r="M19" i="10"/>
  <c r="M16" i="10"/>
  <c r="P16" i="10" s="1"/>
  <c r="N15" i="10"/>
  <c r="M15" i="10"/>
  <c r="P15" i="10" s="1"/>
  <c r="L15" i="10"/>
  <c r="O15" i="10" s="1"/>
  <c r="M14" i="10"/>
  <c r="P14" i="10" s="1"/>
  <c r="M11" i="10"/>
  <c r="P11" i="10" s="1"/>
  <c r="M9" i="10"/>
  <c r="J635" i="9"/>
  <c r="K635" i="9" s="1"/>
  <c r="I635" i="9"/>
  <c r="J634" i="9"/>
  <c r="I634" i="9"/>
  <c r="J633" i="9"/>
  <c r="K633" i="9" s="1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O601" i="9"/>
  <c r="N601" i="9"/>
  <c r="L601" i="9"/>
  <c r="N600" i="9"/>
  <c r="L600" i="9"/>
  <c r="O600" i="9" s="1"/>
  <c r="N599" i="9"/>
  <c r="O599" i="9" s="1"/>
  <c r="L599" i="9"/>
  <c r="N598" i="9"/>
  <c r="L598" i="9"/>
  <c r="O598" i="9" s="1"/>
  <c r="N597" i="9"/>
  <c r="O597" i="9" s="1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K593" i="9" s="1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I563" i="9"/>
  <c r="J562" i="9"/>
  <c r="I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K449" i="9" s="1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O437" i="9" s="1"/>
  <c r="N436" i="9"/>
  <c r="L436" i="9"/>
  <c r="O436" i="9" s="1"/>
  <c r="N435" i="9"/>
  <c r="L435" i="9"/>
  <c r="J435" i="9"/>
  <c r="I435" i="9"/>
  <c r="J434" i="9"/>
  <c r="J433" i="9"/>
  <c r="J432" i="9"/>
  <c r="I432" i="9"/>
  <c r="K432" i="9" s="1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K416" i="9" s="1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K398" i="9" s="1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O383" i="9" s="1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N331" i="9" s="1"/>
  <c r="L337" i="9"/>
  <c r="L335" i="9"/>
  <c r="L334" i="9"/>
  <c r="N333" i="9"/>
  <c r="M333" i="9"/>
  <c r="O332" i="9"/>
  <c r="M331" i="9"/>
  <c r="O330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L314" i="9" s="1"/>
  <c r="O314" i="9" s="1"/>
  <c r="N314" i="9"/>
  <c r="M314" i="9"/>
  <c r="O313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L294" i="9" s="1"/>
  <c r="N294" i="9"/>
  <c r="M294" i="9"/>
  <c r="P294" i="9" s="1"/>
  <c r="O293" i="9"/>
  <c r="P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L275" i="9" s="1"/>
  <c r="N275" i="9"/>
  <c r="M275" i="9"/>
  <c r="P275" i="9" s="1"/>
  <c r="O274" i="9"/>
  <c r="P272" i="9"/>
  <c r="N272" i="9"/>
  <c r="M272" i="9"/>
  <c r="L272" i="9"/>
  <c r="O272" i="9" s="1"/>
  <c r="J270" i="9"/>
  <c r="I270" i="9"/>
  <c r="K270" i="9" s="1"/>
  <c r="J269" i="9"/>
  <c r="J268" i="9"/>
  <c r="K267" i="9"/>
  <c r="J267" i="9"/>
  <c r="I267" i="9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N252" i="9" s="1"/>
  <c r="N250" i="9" s="1"/>
  <c r="M254" i="9"/>
  <c r="P254" i="9" s="1"/>
  <c r="O253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K235" i="9" s="1"/>
  <c r="J234" i="9"/>
  <c r="J233" i="9"/>
  <c r="J232" i="9"/>
  <c r="J231" i="9"/>
  <c r="J229" i="9"/>
  <c r="I229" i="9"/>
  <c r="N228" i="9"/>
  <c r="L228" i="9"/>
  <c r="L226" i="9"/>
  <c r="L225" i="9"/>
  <c r="L224" i="9" s="1"/>
  <c r="N224" i="9"/>
  <c r="M224" i="9"/>
  <c r="O223" i="9"/>
  <c r="P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L144" i="9" s="1"/>
  <c r="N144" i="9"/>
  <c r="M144" i="9"/>
  <c r="M142" i="9" s="1"/>
  <c r="O143" i="9"/>
  <c r="O141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O102" i="9"/>
  <c r="N102" i="9"/>
  <c r="L102" i="9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P70" i="9" s="1"/>
  <c r="O69" i="9"/>
  <c r="P67" i="9"/>
  <c r="N67" i="9"/>
  <c r="M67" i="9"/>
  <c r="L67" i="9"/>
  <c r="O67" i="9" s="1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O54" i="9"/>
  <c r="N54" i="9"/>
  <c r="M54" i="9"/>
  <c r="P54" i="9" s="1"/>
  <c r="L54" i="9"/>
  <c r="N49" i="9"/>
  <c r="L49" i="9"/>
  <c r="O49" i="9" s="1"/>
  <c r="L47" i="9"/>
  <c r="L46" i="9"/>
  <c r="N45" i="9"/>
  <c r="M45" i="9"/>
  <c r="M43" i="9" s="1"/>
  <c r="P42" i="9"/>
  <c r="N42" i="9"/>
  <c r="M42" i="9"/>
  <c r="L42" i="9"/>
  <c r="O42" i="9" s="1"/>
  <c r="P36" i="9"/>
  <c r="O36" i="9"/>
  <c r="P35" i="9"/>
  <c r="O35" i="9"/>
  <c r="M34" i="9"/>
  <c r="P34" i="9" s="1"/>
  <c r="P33" i="9"/>
  <c r="M33" i="9"/>
  <c r="M32" i="9"/>
  <c r="P32" i="9" s="1"/>
  <c r="P31" i="9"/>
  <c r="M31" i="9"/>
  <c r="M29" i="9" s="1"/>
  <c r="M30" i="9"/>
  <c r="P30" i="9" s="1"/>
  <c r="P26" i="9"/>
  <c r="M26" i="9"/>
  <c r="O25" i="9"/>
  <c r="N25" i="9"/>
  <c r="M25" i="9"/>
  <c r="P25" i="9" s="1"/>
  <c r="L25" i="9"/>
  <c r="P24" i="9"/>
  <c r="N24" i="9"/>
  <c r="M24" i="9"/>
  <c r="N23" i="9"/>
  <c r="M23" i="9"/>
  <c r="P23" i="9" s="1"/>
  <c r="N21" i="9"/>
  <c r="M21" i="9"/>
  <c r="P21" i="9" s="1"/>
  <c r="L21" i="9"/>
  <c r="O21" i="9" s="1"/>
  <c r="O19" i="9"/>
  <c r="N19" i="9"/>
  <c r="L19" i="9"/>
  <c r="M16" i="9"/>
  <c r="P16" i="9" s="1"/>
  <c r="N15" i="9"/>
  <c r="M15" i="9"/>
  <c r="P15" i="9" s="1"/>
  <c r="L15" i="9"/>
  <c r="O15" i="9" s="1"/>
  <c r="M14" i="9"/>
  <c r="P14" i="9" s="1"/>
  <c r="J635" i="8"/>
  <c r="I635" i="8"/>
  <c r="J634" i="8"/>
  <c r="I634" i="8"/>
  <c r="J633" i="8"/>
  <c r="I633" i="8"/>
  <c r="J632" i="8"/>
  <c r="I632" i="8"/>
  <c r="J631" i="8"/>
  <c r="I631" i="8"/>
  <c r="K631" i="8" s="1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5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K619" i="8" s="1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O599" i="8" s="1"/>
  <c r="N598" i="8"/>
  <c r="L598" i="8"/>
  <c r="O598" i="8" s="1"/>
  <c r="N597" i="8"/>
  <c r="L597" i="8"/>
  <c r="J597" i="8"/>
  <c r="I597" i="8"/>
  <c r="K597" i="8" s="1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K591" i="8" s="1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O580" i="8" s="1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K564" i="8" s="1"/>
  <c r="I564" i="8"/>
  <c r="J563" i="8"/>
  <c r="I563" i="8"/>
  <c r="K563" i="8" s="1"/>
  <c r="J562" i="8"/>
  <c r="I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O535" i="8" s="1"/>
  <c r="N534" i="8"/>
  <c r="L534" i="8"/>
  <c r="O534" i="8" s="1"/>
  <c r="N533" i="8"/>
  <c r="L533" i="8"/>
  <c r="J533" i="8"/>
  <c r="I533" i="8"/>
  <c r="K533" i="8" s="1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K479" i="8"/>
  <c r="J479" i="8"/>
  <c r="I479" i="8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K450" i="8"/>
  <c r="J450" i="8"/>
  <c r="I450" i="8"/>
  <c r="J449" i="8"/>
  <c r="I449" i="8"/>
  <c r="K449" i="8" s="1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L32" i="8" s="1"/>
  <c r="N436" i="8"/>
  <c r="L436" i="8"/>
  <c r="O436" i="8" s="1"/>
  <c r="N435" i="8"/>
  <c r="L435" i="8"/>
  <c r="J435" i="8"/>
  <c r="I435" i="8"/>
  <c r="J434" i="8"/>
  <c r="J433" i="8"/>
  <c r="J432" i="8"/>
  <c r="I432" i="8"/>
  <c r="K432" i="8" s="1"/>
  <c r="J431" i="8"/>
  <c r="I431" i="8"/>
  <c r="J430" i="8"/>
  <c r="I430" i="8"/>
  <c r="J429" i="8"/>
  <c r="I429" i="8"/>
  <c r="J428" i="8"/>
  <c r="I428" i="8"/>
  <c r="J427" i="8"/>
  <c r="K427" i="8" s="1"/>
  <c r="I427" i="8"/>
  <c r="J426" i="8"/>
  <c r="I426" i="8"/>
  <c r="K426" i="8" s="1"/>
  <c r="J425" i="8"/>
  <c r="I425" i="8"/>
  <c r="J424" i="8"/>
  <c r="I424" i="8"/>
  <c r="J423" i="8"/>
  <c r="I423" i="8"/>
  <c r="J422" i="8"/>
  <c r="I422" i="8"/>
  <c r="J421" i="8"/>
  <c r="K421" i="8" s="1"/>
  <c r="I421" i="8"/>
  <c r="J420" i="8"/>
  <c r="I420" i="8"/>
  <c r="K420" i="8" s="1"/>
  <c r="J419" i="8"/>
  <c r="I419" i="8"/>
  <c r="J418" i="8"/>
  <c r="I418" i="8"/>
  <c r="J417" i="8"/>
  <c r="I417" i="8"/>
  <c r="J416" i="8"/>
  <c r="I416" i="8"/>
  <c r="K416" i="8" s="1"/>
  <c r="J415" i="8"/>
  <c r="J414" i="8"/>
  <c r="J413" i="8"/>
  <c r="J412" i="8"/>
  <c r="N410" i="8"/>
  <c r="N409" i="8"/>
  <c r="N408" i="8"/>
  <c r="N407" i="8"/>
  <c r="N406" i="8"/>
  <c r="L406" i="8"/>
  <c r="O406" i="8" s="1"/>
  <c r="N405" i="8"/>
  <c r="L405" i="8"/>
  <c r="N404" i="8"/>
  <c r="L404" i="8"/>
  <c r="N403" i="8"/>
  <c r="L403" i="8"/>
  <c r="O403" i="8" s="1"/>
  <c r="J402" i="8"/>
  <c r="I402" i="8"/>
  <c r="N401" i="8"/>
  <c r="L401" i="8"/>
  <c r="O401" i="8" s="1"/>
  <c r="J401" i="8"/>
  <c r="I401" i="8"/>
  <c r="J400" i="8"/>
  <c r="J399" i="8"/>
  <c r="J398" i="8"/>
  <c r="I398" i="8"/>
  <c r="K398" i="8" s="1"/>
  <c r="J397" i="8"/>
  <c r="I397" i="8"/>
  <c r="J396" i="8"/>
  <c r="K396" i="8" s="1"/>
  <c r="I396" i="8"/>
  <c r="J394" i="8"/>
  <c r="J393" i="8"/>
  <c r="J392" i="8"/>
  <c r="J391" i="8"/>
  <c r="N389" i="8"/>
  <c r="N388" i="8"/>
  <c r="N387" i="8"/>
  <c r="N386" i="8"/>
  <c r="N385" i="8"/>
  <c r="L385" i="8"/>
  <c r="N384" i="8"/>
  <c r="N33" i="8" s="1"/>
  <c r="N13" i="8" s="1"/>
  <c r="L384" i="8"/>
  <c r="O384" i="8" s="1"/>
  <c r="N383" i="8"/>
  <c r="L383" i="8"/>
  <c r="N382" i="8"/>
  <c r="L382" i="8"/>
  <c r="J381" i="8"/>
  <c r="I381" i="8"/>
  <c r="N380" i="8"/>
  <c r="L380" i="8"/>
  <c r="O380" i="8" s="1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K368" i="8" s="1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L314" i="8" s="1"/>
  <c r="O314" i="8" s="1"/>
  <c r="N314" i="8"/>
  <c r="M314" i="8"/>
  <c r="P314" i="8" s="1"/>
  <c r="O313" i="8"/>
  <c r="M312" i="8"/>
  <c r="P312" i="8" s="1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N291" i="8"/>
  <c r="M291" i="8"/>
  <c r="L291" i="8"/>
  <c r="O291" i="8" s="1"/>
  <c r="J289" i="8"/>
  <c r="I289" i="8"/>
  <c r="K289" i="8" s="1"/>
  <c r="J287" i="8"/>
  <c r="J286" i="8"/>
  <c r="J285" i="8"/>
  <c r="I285" i="8"/>
  <c r="K285" i="8" s="1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M273" i="8"/>
  <c r="M271" i="8" s="1"/>
  <c r="N272" i="8"/>
  <c r="M272" i="8"/>
  <c r="P272" i="8" s="1"/>
  <c r="L272" i="8"/>
  <c r="J270" i="8"/>
  <c r="I270" i="8"/>
  <c r="K270" i="8" s="1"/>
  <c r="J269" i="8"/>
  <c r="J268" i="8"/>
  <c r="J267" i="8"/>
  <c r="I267" i="8"/>
  <c r="J266" i="8"/>
  <c r="I266" i="8"/>
  <c r="J265" i="8"/>
  <c r="I265" i="8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L254" i="8" s="1"/>
  <c r="N254" i="8"/>
  <c r="N252" i="8" s="1"/>
  <c r="M254" i="8"/>
  <c r="O253" i="8"/>
  <c r="M252" i="8"/>
  <c r="N251" i="8"/>
  <c r="M251" i="8"/>
  <c r="P251" i="8" s="1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J200" i="8"/>
  <c r="I200" i="8"/>
  <c r="K200" i="8" s="1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K185" i="8"/>
  <c r="J185" i="8"/>
  <c r="I185" i="8"/>
  <c r="J184" i="8"/>
  <c r="J183" i="8"/>
  <c r="J182" i="8"/>
  <c r="J181" i="8"/>
  <c r="J176" i="8"/>
  <c r="I176" i="8"/>
  <c r="K176" i="8" s="1"/>
  <c r="J175" i="8"/>
  <c r="J174" i="8"/>
  <c r="J173" i="8"/>
  <c r="I173" i="8"/>
  <c r="K173" i="8" s="1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L144" i="8" s="1"/>
  <c r="O144" i="8" s="1"/>
  <c r="N144" i="8"/>
  <c r="N142" i="8" s="1"/>
  <c r="N140" i="8" s="1"/>
  <c r="M144" i="8"/>
  <c r="O143" i="8"/>
  <c r="O141" i="8"/>
  <c r="N141" i="8"/>
  <c r="M141" i="8"/>
  <c r="P141" i="8" s="1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N119" i="8"/>
  <c r="M119" i="8"/>
  <c r="L119" i="8"/>
  <c r="O119" i="8" s="1"/>
  <c r="J117" i="8"/>
  <c r="I117" i="8"/>
  <c r="J115" i="8"/>
  <c r="J114" i="8"/>
  <c r="J113" i="8"/>
  <c r="I113" i="8"/>
  <c r="J112" i="8"/>
  <c r="I112" i="8"/>
  <c r="J111" i="8"/>
  <c r="I111" i="8"/>
  <c r="K111" i="8" s="1"/>
  <c r="J110" i="8"/>
  <c r="I110" i="8"/>
  <c r="J109" i="8"/>
  <c r="I109" i="8"/>
  <c r="J108" i="8"/>
  <c r="I108" i="8"/>
  <c r="K108" i="8" s="1"/>
  <c r="J107" i="8"/>
  <c r="J106" i="8"/>
  <c r="J105" i="8"/>
  <c r="J104" i="8"/>
  <c r="N102" i="8"/>
  <c r="L102" i="8"/>
  <c r="L100" i="8"/>
  <c r="L99" i="8"/>
  <c r="N98" i="8"/>
  <c r="M98" i="8"/>
  <c r="M96" i="8" s="1"/>
  <c r="L98" i="8"/>
  <c r="O97" i="8"/>
  <c r="O95" i="8"/>
  <c r="N95" i="8"/>
  <c r="M95" i="8"/>
  <c r="L95" i="8"/>
  <c r="J93" i="8"/>
  <c r="I93" i="8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L72" i="8"/>
  <c r="L71" i="8"/>
  <c r="N70" i="8"/>
  <c r="M70" i="8"/>
  <c r="O69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O54" i="8"/>
  <c r="N54" i="8"/>
  <c r="M54" i="8"/>
  <c r="L54" i="8"/>
  <c r="N49" i="8"/>
  <c r="L49" i="8"/>
  <c r="L47" i="8"/>
  <c r="L46" i="8"/>
  <c r="N45" i="8"/>
  <c r="M45" i="8"/>
  <c r="M43" i="8" s="1"/>
  <c r="P42" i="8"/>
  <c r="N42" i="8"/>
  <c r="M42" i="8"/>
  <c r="L42" i="8"/>
  <c r="O42" i="8" s="1"/>
  <c r="P36" i="8"/>
  <c r="O36" i="8"/>
  <c r="P35" i="8"/>
  <c r="O35" i="8"/>
  <c r="M34" i="8"/>
  <c r="P34" i="8" s="1"/>
  <c r="P33" i="8"/>
  <c r="M33" i="8"/>
  <c r="M32" i="8"/>
  <c r="P32" i="8" s="1"/>
  <c r="M31" i="8"/>
  <c r="P31" i="8" s="1"/>
  <c r="M30" i="8"/>
  <c r="P30" i="8" s="1"/>
  <c r="P26" i="8"/>
  <c r="M26" i="8"/>
  <c r="O25" i="8"/>
  <c r="N25" i="8"/>
  <c r="M25" i="8"/>
  <c r="L25" i="8"/>
  <c r="N24" i="8"/>
  <c r="M24" i="8"/>
  <c r="P24" i="8" s="1"/>
  <c r="N23" i="8"/>
  <c r="M23" i="8"/>
  <c r="P21" i="8"/>
  <c r="O21" i="8"/>
  <c r="N21" i="8"/>
  <c r="N19" i="8" s="1"/>
  <c r="M21" i="8"/>
  <c r="L21" i="8"/>
  <c r="O19" i="8"/>
  <c r="M19" i="8"/>
  <c r="L19" i="8"/>
  <c r="M16" i="8"/>
  <c r="P16" i="8" s="1"/>
  <c r="N15" i="8"/>
  <c r="L15" i="8"/>
  <c r="O15" i="8" s="1"/>
  <c r="P14" i="8"/>
  <c r="M14" i="8"/>
  <c r="M11" i="8"/>
  <c r="P11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K629" i="7" s="1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O601" i="7" s="1"/>
  <c r="N600" i="7"/>
  <c r="L600" i="7"/>
  <c r="O600" i="7" s="1"/>
  <c r="N599" i="7"/>
  <c r="L599" i="7"/>
  <c r="O599" i="7" s="1"/>
  <c r="N598" i="7"/>
  <c r="L598" i="7"/>
  <c r="O598" i="7" s="1"/>
  <c r="N597" i="7"/>
  <c r="L597" i="7"/>
  <c r="J597" i="7"/>
  <c r="I597" i="7"/>
  <c r="K596" i="7"/>
  <c r="J596" i="7"/>
  <c r="I596" i="7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I563" i="7"/>
  <c r="J562" i="7"/>
  <c r="I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K464" i="7" s="1"/>
  <c r="N463" i="7"/>
  <c r="N462" i="7"/>
  <c r="N461" i="7"/>
  <c r="N460" i="7"/>
  <c r="N459" i="7"/>
  <c r="L459" i="7"/>
  <c r="O459" i="7" s="1"/>
  <c r="N458" i="7"/>
  <c r="L458" i="7"/>
  <c r="N457" i="7"/>
  <c r="L457" i="7"/>
  <c r="N456" i="7"/>
  <c r="L456" i="7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K432" i="7" s="1"/>
  <c r="J431" i="7"/>
  <c r="I431" i="7"/>
  <c r="J430" i="7"/>
  <c r="I430" i="7"/>
  <c r="J429" i="7"/>
  <c r="I429" i="7"/>
  <c r="K429" i="7" s="1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O404" i="7" s="1"/>
  <c r="N403" i="7"/>
  <c r="L403" i="7"/>
  <c r="O403" i="7" s="1"/>
  <c r="J402" i="7"/>
  <c r="I402" i="7"/>
  <c r="K402" i="7" s="1"/>
  <c r="N401" i="7"/>
  <c r="L401" i="7"/>
  <c r="J401" i="7"/>
  <c r="K401" i="7" s="1"/>
  <c r="I401" i="7"/>
  <c r="J400" i="7"/>
  <c r="J399" i="7"/>
  <c r="J398" i="7"/>
  <c r="I398" i="7"/>
  <c r="J397" i="7"/>
  <c r="K397" i="7" s="1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O349" i="7" s="1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K341" i="7" s="1"/>
  <c r="J340" i="7"/>
  <c r="I340" i="7"/>
  <c r="J339" i="7"/>
  <c r="I339" i="7"/>
  <c r="K339" i="7" s="1"/>
  <c r="N337" i="7"/>
  <c r="L337" i="7"/>
  <c r="O337" i="7" s="1"/>
  <c r="L335" i="7"/>
  <c r="L334" i="7"/>
  <c r="L333" i="7" s="1"/>
  <c r="N333" i="7"/>
  <c r="M333" i="7"/>
  <c r="O332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L294" i="7" s="1"/>
  <c r="O294" i="7" s="1"/>
  <c r="N294" i="7"/>
  <c r="M294" i="7"/>
  <c r="M292" i="7" s="1"/>
  <c r="P292" i="7" s="1"/>
  <c r="O293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N273" i="7" s="1"/>
  <c r="N271" i="7" s="1"/>
  <c r="M275" i="7"/>
  <c r="M273" i="7" s="1"/>
  <c r="M271" i="7" s="1"/>
  <c r="P271" i="7" s="1"/>
  <c r="O274" i="7"/>
  <c r="P272" i="7"/>
  <c r="O272" i="7"/>
  <c r="N272" i="7"/>
  <c r="M272" i="7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N252" i="7" s="1"/>
  <c r="M254" i="7"/>
  <c r="P254" i="7" s="1"/>
  <c r="O253" i="7"/>
  <c r="P251" i="7"/>
  <c r="O251" i="7"/>
  <c r="N251" i="7"/>
  <c r="M251" i="7"/>
  <c r="L251" i="7"/>
  <c r="J249" i="7"/>
  <c r="I249" i="7"/>
  <c r="K249" i="7" s="1"/>
  <c r="J246" i="7"/>
  <c r="J245" i="7"/>
  <c r="K244" i="7"/>
  <c r="J244" i="7"/>
  <c r="I244" i="7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M222" i="7" s="1"/>
  <c r="O223" i="7"/>
  <c r="O221" i="7"/>
  <c r="N221" i="7"/>
  <c r="M221" i="7"/>
  <c r="L221" i="7"/>
  <c r="J219" i="7"/>
  <c r="I219" i="7"/>
  <c r="J218" i="7"/>
  <c r="J217" i="7"/>
  <c r="J216" i="7"/>
  <c r="I216" i="7"/>
  <c r="J215" i="7"/>
  <c r="I215" i="7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K200" i="7" s="1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K173" i="7" s="1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L144" i="7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K112" i="7" s="1"/>
  <c r="J111" i="7"/>
  <c r="I111" i="7"/>
  <c r="J110" i="7"/>
  <c r="I110" i="7"/>
  <c r="J109" i="7"/>
  <c r="I109" i="7"/>
  <c r="K109" i="7" s="1"/>
  <c r="J108" i="7"/>
  <c r="I108" i="7"/>
  <c r="J107" i="7"/>
  <c r="J106" i="7"/>
  <c r="J105" i="7"/>
  <c r="J104" i="7"/>
  <c r="N102" i="7"/>
  <c r="N96" i="7" s="1"/>
  <c r="N94" i="7" s="1"/>
  <c r="L102" i="7"/>
  <c r="L100" i="7"/>
  <c r="L99" i="7"/>
  <c r="N98" i="7"/>
  <c r="M98" i="7"/>
  <c r="M96" i="7" s="1"/>
  <c r="O97" i="7"/>
  <c r="P95" i="7"/>
  <c r="N95" i="7"/>
  <c r="M95" i="7"/>
  <c r="L95" i="7"/>
  <c r="J93" i="7"/>
  <c r="I93" i="7"/>
  <c r="J92" i="7"/>
  <c r="I92" i="7"/>
  <c r="K92" i="7" s="1"/>
  <c r="J90" i="7"/>
  <c r="J89" i="7"/>
  <c r="K88" i="7"/>
  <c r="J88" i="7"/>
  <c r="I88" i="7"/>
  <c r="J87" i="7"/>
  <c r="I87" i="7"/>
  <c r="J86" i="7"/>
  <c r="K86" i="7" s="1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P67" i="7"/>
  <c r="O67" i="7"/>
  <c r="N67" i="7"/>
  <c r="M67" i="7"/>
  <c r="L67" i="7"/>
  <c r="J65" i="7"/>
  <c r="I65" i="7"/>
  <c r="J64" i="7"/>
  <c r="I64" i="7"/>
  <c r="N61" i="7"/>
  <c r="L61" i="7"/>
  <c r="O61" i="7" s="1"/>
  <c r="L59" i="7"/>
  <c r="L58" i="7"/>
  <c r="N57" i="7"/>
  <c r="M57" i="7"/>
  <c r="M55" i="7" s="1"/>
  <c r="P54" i="7"/>
  <c r="N54" i="7"/>
  <c r="M54" i="7"/>
  <c r="L54" i="7"/>
  <c r="N49" i="7"/>
  <c r="L49" i="7"/>
  <c r="L47" i="7"/>
  <c r="L46" i="7"/>
  <c r="N45" i="7"/>
  <c r="M45" i="7"/>
  <c r="M43" i="7" s="1"/>
  <c r="N42" i="7"/>
  <c r="M42" i="7"/>
  <c r="L42" i="7"/>
  <c r="O42" i="7" s="1"/>
  <c r="P36" i="7"/>
  <c r="O36" i="7"/>
  <c r="P35" i="7"/>
  <c r="O35" i="7"/>
  <c r="M34" i="7"/>
  <c r="P34" i="7" s="1"/>
  <c r="M33" i="7"/>
  <c r="P33" i="7" s="1"/>
  <c r="P32" i="7"/>
  <c r="M32" i="7"/>
  <c r="P31" i="7"/>
  <c r="M31" i="7"/>
  <c r="P30" i="7"/>
  <c r="M30" i="7"/>
  <c r="M29" i="7"/>
  <c r="M28" i="7" s="1"/>
  <c r="P28" i="7" s="1"/>
  <c r="M26" i="7"/>
  <c r="P25" i="7"/>
  <c r="N25" i="7"/>
  <c r="M25" i="7"/>
  <c r="L25" i="7"/>
  <c r="P24" i="7"/>
  <c r="N24" i="7"/>
  <c r="M24" i="7"/>
  <c r="P23" i="7"/>
  <c r="N23" i="7"/>
  <c r="M23" i="7"/>
  <c r="N21" i="7"/>
  <c r="M21" i="7"/>
  <c r="P21" i="7" s="1"/>
  <c r="L21" i="7"/>
  <c r="O21" i="7" s="1"/>
  <c r="L19" i="7"/>
  <c r="N15" i="7"/>
  <c r="M15" i="7"/>
  <c r="P15" i="7" s="1"/>
  <c r="M14" i="7"/>
  <c r="P14" i="7" s="1"/>
  <c r="J635" i="6"/>
  <c r="I635" i="6"/>
  <c r="K635" i="6" s="1"/>
  <c r="J634" i="6"/>
  <c r="I634" i="6"/>
  <c r="K634" i="6" s="1"/>
  <c r="J633" i="6"/>
  <c r="I633" i="6"/>
  <c r="K633" i="6" s="1"/>
  <c r="J632" i="6"/>
  <c r="I632" i="6"/>
  <c r="K632" i="6" s="1"/>
  <c r="J631" i="6"/>
  <c r="I631" i="6"/>
  <c r="K631" i="6" s="1"/>
  <c r="J630" i="6"/>
  <c r="I630" i="6"/>
  <c r="K630" i="6" s="1"/>
  <c r="J629" i="6"/>
  <c r="I629" i="6"/>
  <c r="K629" i="6" s="1"/>
  <c r="J628" i="6"/>
  <c r="I628" i="6"/>
  <c r="K628" i="6" s="1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K613" i="6" s="1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O597" i="6" s="1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O564" i="6" s="1"/>
  <c r="J564" i="6"/>
  <c r="I564" i="6"/>
  <c r="J563" i="6"/>
  <c r="I563" i="6"/>
  <c r="J562" i="6"/>
  <c r="I562" i="6"/>
  <c r="K562" i="6" s="1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O537" i="6" s="1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K466" i="6" s="1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K429" i="6" s="1"/>
  <c r="J428" i="6"/>
  <c r="I428" i="6"/>
  <c r="J427" i="6"/>
  <c r="I427" i="6"/>
  <c r="K427" i="6" s="1"/>
  <c r="J426" i="6"/>
  <c r="I426" i="6"/>
  <c r="J425" i="6"/>
  <c r="I425" i="6"/>
  <c r="J424" i="6"/>
  <c r="I424" i="6"/>
  <c r="J423" i="6"/>
  <c r="I423" i="6"/>
  <c r="J422" i="6"/>
  <c r="I422" i="6"/>
  <c r="J421" i="6"/>
  <c r="I421" i="6"/>
  <c r="K421" i="6" s="1"/>
  <c r="J420" i="6"/>
  <c r="I420" i="6"/>
  <c r="J419" i="6"/>
  <c r="I419" i="6"/>
  <c r="J418" i="6"/>
  <c r="I418" i="6"/>
  <c r="K418" i="6" s="1"/>
  <c r="J417" i="6"/>
  <c r="I417" i="6"/>
  <c r="K417" i="6" s="1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K402" i="6" s="1"/>
  <c r="N401" i="6"/>
  <c r="L401" i="6"/>
  <c r="J401" i="6"/>
  <c r="I401" i="6"/>
  <c r="J400" i="6"/>
  <c r="J399" i="6"/>
  <c r="J398" i="6"/>
  <c r="I398" i="6"/>
  <c r="J397" i="6"/>
  <c r="I397" i="6"/>
  <c r="J396" i="6"/>
  <c r="I396" i="6"/>
  <c r="K396" i="6" s="1"/>
  <c r="J394" i="6"/>
  <c r="J393" i="6"/>
  <c r="J392" i="6"/>
  <c r="J391" i="6"/>
  <c r="N389" i="6"/>
  <c r="N388" i="6"/>
  <c r="N387" i="6"/>
  <c r="N386" i="6"/>
  <c r="N385" i="6"/>
  <c r="L385" i="6"/>
  <c r="O385" i="6" s="1"/>
  <c r="N384" i="6"/>
  <c r="L384" i="6"/>
  <c r="O384" i="6" s="1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J376" i="6"/>
  <c r="I376" i="6"/>
  <c r="K376" i="6" s="1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K370" i="6" s="1"/>
  <c r="J369" i="6"/>
  <c r="I369" i="6"/>
  <c r="K369" i="6" s="1"/>
  <c r="J368" i="6"/>
  <c r="I368" i="6"/>
  <c r="J367" i="6"/>
  <c r="I367" i="6"/>
  <c r="K367" i="6" s="1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3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P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L316" i="6"/>
  <c r="L315" i="6"/>
  <c r="N314" i="6"/>
  <c r="N312" i="6" s="1"/>
  <c r="M314" i="6"/>
  <c r="P314" i="6" s="1"/>
  <c r="O313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L294" i="6" s="1"/>
  <c r="O294" i="6" s="1"/>
  <c r="N294" i="6"/>
  <c r="M294" i="6"/>
  <c r="P294" i="6" s="1"/>
  <c r="O293" i="6"/>
  <c r="N291" i="6"/>
  <c r="M291" i="6"/>
  <c r="L291" i="6"/>
  <c r="O291" i="6" s="1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5" i="6" s="1"/>
  <c r="L276" i="6"/>
  <c r="P275" i="6"/>
  <c r="N275" i="6"/>
  <c r="M275" i="6"/>
  <c r="O274" i="6"/>
  <c r="M273" i="6"/>
  <c r="O272" i="6"/>
  <c r="N272" i="6"/>
  <c r="M272" i="6"/>
  <c r="L272" i="6"/>
  <c r="J270" i="6"/>
  <c r="I270" i="6"/>
  <c r="J269" i="6"/>
  <c r="J268" i="6"/>
  <c r="J267" i="6"/>
  <c r="I267" i="6"/>
  <c r="K267" i="6" s="1"/>
  <c r="J266" i="6"/>
  <c r="I266" i="6"/>
  <c r="J265" i="6"/>
  <c r="I265" i="6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N252" i="6" s="1"/>
  <c r="M254" i="6"/>
  <c r="O253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K229" i="6" s="1"/>
  <c r="N228" i="6"/>
  <c r="L228" i="6"/>
  <c r="O228" i="6" s="1"/>
  <c r="L226" i="6"/>
  <c r="L225" i="6"/>
  <c r="N224" i="6"/>
  <c r="M224" i="6"/>
  <c r="M222" i="6" s="1"/>
  <c r="O223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N142" i="6" s="1"/>
  <c r="N140" i="6" s="1"/>
  <c r="M144" i="6"/>
  <c r="O143" i="6"/>
  <c r="P141" i="6"/>
  <c r="N141" i="6"/>
  <c r="M141" i="6"/>
  <c r="L141" i="6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N120" i="6" s="1"/>
  <c r="N118" i="6" s="1"/>
  <c r="L126" i="6"/>
  <c r="O126" i="6" s="1"/>
  <c r="L124" i="6"/>
  <c r="L123" i="6"/>
  <c r="N122" i="6"/>
  <c r="M122" i="6"/>
  <c r="O121" i="6"/>
  <c r="P119" i="6"/>
  <c r="O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O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O67" i="6"/>
  <c r="N67" i="6"/>
  <c r="M67" i="6"/>
  <c r="L67" i="6"/>
  <c r="J65" i="6"/>
  <c r="I65" i="6"/>
  <c r="K65" i="6" s="1"/>
  <c r="J64" i="6"/>
  <c r="I64" i="6"/>
  <c r="N61" i="6"/>
  <c r="L61" i="6"/>
  <c r="O61" i="6" s="1"/>
  <c r="L59" i="6"/>
  <c r="L58" i="6"/>
  <c r="N57" i="6"/>
  <c r="M57" i="6"/>
  <c r="P57" i="6" s="1"/>
  <c r="N55" i="6"/>
  <c r="P54" i="6"/>
  <c r="O54" i="6"/>
  <c r="N54" i="6"/>
  <c r="M54" i="6"/>
  <c r="L54" i="6"/>
  <c r="N49" i="6"/>
  <c r="L49" i="6"/>
  <c r="L47" i="6"/>
  <c r="L46" i="6"/>
  <c r="L45" i="6" s="1"/>
  <c r="N45" i="6"/>
  <c r="M45" i="6"/>
  <c r="N43" i="6"/>
  <c r="P42" i="6"/>
  <c r="O42" i="6"/>
  <c r="N42" i="6"/>
  <c r="M42" i="6"/>
  <c r="L42" i="6"/>
  <c r="N41" i="6"/>
  <c r="P36" i="6"/>
  <c r="O36" i="6"/>
  <c r="P35" i="6"/>
  <c r="O35" i="6"/>
  <c r="P34" i="6"/>
  <c r="M34" i="6"/>
  <c r="P33" i="6"/>
  <c r="M33" i="6"/>
  <c r="P32" i="6"/>
  <c r="M32" i="6"/>
  <c r="M31" i="6"/>
  <c r="P31" i="6" s="1"/>
  <c r="M30" i="6"/>
  <c r="P30" i="6" s="1"/>
  <c r="M29" i="6"/>
  <c r="P26" i="6"/>
  <c r="M26" i="6"/>
  <c r="P25" i="6"/>
  <c r="O25" i="6"/>
  <c r="N25" i="6"/>
  <c r="N15" i="6" s="1"/>
  <c r="M25" i="6"/>
  <c r="L25" i="6"/>
  <c r="N24" i="6"/>
  <c r="M24" i="6"/>
  <c r="P24" i="6" s="1"/>
  <c r="N23" i="6"/>
  <c r="M23" i="6"/>
  <c r="P23" i="6" s="1"/>
  <c r="P21" i="6"/>
  <c r="N21" i="6"/>
  <c r="M21" i="6"/>
  <c r="L21" i="6"/>
  <c r="P19" i="6"/>
  <c r="N19" i="6"/>
  <c r="M19" i="6"/>
  <c r="M16" i="6"/>
  <c r="P16" i="6" s="1"/>
  <c r="M15" i="6"/>
  <c r="P15" i="6" s="1"/>
  <c r="L15" i="6"/>
  <c r="O15" i="6" s="1"/>
  <c r="M11" i="6"/>
  <c r="P11" i="6" s="1"/>
  <c r="J635" i="5"/>
  <c r="I635" i="5"/>
  <c r="J634" i="5"/>
  <c r="I634" i="5"/>
  <c r="K634" i="5" s="1"/>
  <c r="J633" i="5"/>
  <c r="I633" i="5"/>
  <c r="K633" i="5" s="1"/>
  <c r="J632" i="5"/>
  <c r="I632" i="5"/>
  <c r="K632" i="5" s="1"/>
  <c r="J631" i="5"/>
  <c r="I631" i="5"/>
  <c r="J630" i="5"/>
  <c r="I630" i="5"/>
  <c r="K630" i="5" s="1"/>
  <c r="J629" i="5"/>
  <c r="I629" i="5"/>
  <c r="J628" i="5"/>
  <c r="I628" i="5"/>
  <c r="K628" i="5" s="1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5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I613" i="1" s="1"/>
  <c r="J612" i="5"/>
  <c r="I612" i="5"/>
  <c r="J611" i="5"/>
  <c r="I611" i="5"/>
  <c r="J610" i="5"/>
  <c r="J609" i="5"/>
  <c r="J609" i="1" s="1"/>
  <c r="J608" i="5"/>
  <c r="J607" i="5"/>
  <c r="N605" i="5"/>
  <c r="N604" i="5"/>
  <c r="N603" i="5"/>
  <c r="N602" i="5"/>
  <c r="N601" i="5"/>
  <c r="L601" i="5"/>
  <c r="N600" i="5"/>
  <c r="L600" i="5"/>
  <c r="O600" i="5" s="1"/>
  <c r="O599" i="5"/>
  <c r="N599" i="5"/>
  <c r="L599" i="5"/>
  <c r="N598" i="5"/>
  <c r="L598" i="5"/>
  <c r="O598" i="5" s="1"/>
  <c r="O597" i="5"/>
  <c r="N597" i="5"/>
  <c r="L597" i="5"/>
  <c r="J597" i="5"/>
  <c r="I597" i="5"/>
  <c r="K597" i="5" s="1"/>
  <c r="K596" i="5"/>
  <c r="J596" i="5"/>
  <c r="I596" i="5"/>
  <c r="J595" i="5"/>
  <c r="I595" i="5"/>
  <c r="K595" i="5" s="1"/>
  <c r="K594" i="5"/>
  <c r="J594" i="5"/>
  <c r="I594" i="5"/>
  <c r="J593" i="5"/>
  <c r="I593" i="5"/>
  <c r="K593" i="5" s="1"/>
  <c r="K592" i="5"/>
  <c r="J592" i="5"/>
  <c r="I592" i="5"/>
  <c r="J591" i="5"/>
  <c r="I591" i="5"/>
  <c r="K591" i="5" s="1"/>
  <c r="K590" i="5"/>
  <c r="J590" i="5"/>
  <c r="I590" i="5"/>
  <c r="J589" i="5"/>
  <c r="I589" i="5"/>
  <c r="K589" i="5" s="1"/>
  <c r="N588" i="5"/>
  <c r="N587" i="5"/>
  <c r="N586" i="5"/>
  <c r="N585" i="5"/>
  <c r="N584" i="5"/>
  <c r="O584" i="5" s="1"/>
  <c r="L584" i="5"/>
  <c r="N583" i="5"/>
  <c r="L583" i="5"/>
  <c r="O583" i="5" s="1"/>
  <c r="N582" i="5"/>
  <c r="L582" i="5"/>
  <c r="N581" i="5"/>
  <c r="L581" i="5"/>
  <c r="O581" i="5" s="1"/>
  <c r="N580" i="5"/>
  <c r="O580" i="5" s="1"/>
  <c r="L580" i="5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I563" i="5"/>
  <c r="J562" i="5"/>
  <c r="I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K510" i="5"/>
  <c r="J510" i="5"/>
  <c r="I510" i="5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K464" i="5" s="1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K455" i="5" s="1"/>
  <c r="J454" i="5"/>
  <c r="J453" i="5"/>
  <c r="J452" i="5"/>
  <c r="I452" i="5"/>
  <c r="K452" i="5" s="1"/>
  <c r="J451" i="5"/>
  <c r="I451" i="5"/>
  <c r="K451" i="5" s="1"/>
  <c r="J450" i="5"/>
  <c r="I450" i="5"/>
  <c r="J449" i="5"/>
  <c r="K449" i="5" s="1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L32" i="5" s="1"/>
  <c r="N436" i="5"/>
  <c r="L436" i="5"/>
  <c r="N435" i="5"/>
  <c r="O435" i="5" s="1"/>
  <c r="L435" i="5"/>
  <c r="J435" i="5"/>
  <c r="I435" i="5"/>
  <c r="J434" i="5"/>
  <c r="J433" i="5"/>
  <c r="J432" i="5"/>
  <c r="K432" i="5" s="1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O406" i="5" s="1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K398" i="5" s="1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O380" i="5" s="1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K350" i="5"/>
  <c r="J350" i="5"/>
  <c r="I350" i="5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K343" i="5" s="1"/>
  <c r="J342" i="5"/>
  <c r="I342" i="5"/>
  <c r="K342" i="5" s="1"/>
  <c r="J341" i="5"/>
  <c r="I341" i="5"/>
  <c r="J340" i="5"/>
  <c r="I340" i="5"/>
  <c r="K340" i="5" s="1"/>
  <c r="J339" i="5"/>
  <c r="I339" i="5"/>
  <c r="K339" i="5" s="1"/>
  <c r="N337" i="5"/>
  <c r="L337" i="5"/>
  <c r="L335" i="5"/>
  <c r="L334" i="5"/>
  <c r="N333" i="5"/>
  <c r="N331" i="5" s="1"/>
  <c r="M333" i="5"/>
  <c r="M331" i="5" s="1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N312" i="5" s="1"/>
  <c r="N310" i="5" s="1"/>
  <c r="L318" i="5"/>
  <c r="O318" i="5" s="1"/>
  <c r="L316" i="5"/>
  <c r="L315" i="5"/>
  <c r="N314" i="5"/>
  <c r="M314" i="5"/>
  <c r="P314" i="5" s="1"/>
  <c r="O313" i="5"/>
  <c r="P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N292" i="5" s="1"/>
  <c r="N290" i="5" s="1"/>
  <c r="L298" i="5"/>
  <c r="O298" i="5" s="1"/>
  <c r="L296" i="5"/>
  <c r="L295" i="5"/>
  <c r="N294" i="5"/>
  <c r="M294" i="5"/>
  <c r="P294" i="5" s="1"/>
  <c r="O293" i="5"/>
  <c r="P291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M273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L254" i="5" s="1"/>
  <c r="N254" i="5"/>
  <c r="M254" i="5"/>
  <c r="P254" i="5" s="1"/>
  <c r="O253" i="5"/>
  <c r="P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K229" i="5" s="1"/>
  <c r="I229" i="5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L144" i="5" s="1"/>
  <c r="N144" i="5"/>
  <c r="M144" i="5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N120" i="5" s="1"/>
  <c r="N118" i="5" s="1"/>
  <c r="M122" i="5"/>
  <c r="O121" i="5"/>
  <c r="M120" i="5"/>
  <c r="O119" i="5"/>
  <c r="N119" i="5"/>
  <c r="M119" i="5"/>
  <c r="P119" i="5" s="1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K111" i="5" s="1"/>
  <c r="J110" i="5"/>
  <c r="I110" i="5"/>
  <c r="J109" i="5"/>
  <c r="I109" i="5"/>
  <c r="K109" i="5" s="1"/>
  <c r="J108" i="5"/>
  <c r="I108" i="5"/>
  <c r="J107" i="5"/>
  <c r="J106" i="5"/>
  <c r="J105" i="5"/>
  <c r="J104" i="5"/>
  <c r="N102" i="5"/>
  <c r="L102" i="5"/>
  <c r="O102" i="5" s="1"/>
  <c r="L100" i="5"/>
  <c r="L99" i="5"/>
  <c r="N98" i="5"/>
  <c r="M98" i="5"/>
  <c r="P98" i="5" s="1"/>
  <c r="O97" i="5"/>
  <c r="N96" i="5"/>
  <c r="N95" i="5"/>
  <c r="M95" i="5"/>
  <c r="P95" i="5" s="1"/>
  <c r="L95" i="5"/>
  <c r="O95" i="5" s="1"/>
  <c r="J93" i="5"/>
  <c r="I93" i="5"/>
  <c r="K93" i="5" s="1"/>
  <c r="J92" i="5"/>
  <c r="I92" i="5"/>
  <c r="J90" i="5"/>
  <c r="J89" i="5"/>
  <c r="J88" i="5"/>
  <c r="I88" i="5"/>
  <c r="K88" i="5" s="1"/>
  <c r="K87" i="5"/>
  <c r="J87" i="5"/>
  <c r="I87" i="5"/>
  <c r="J86" i="5"/>
  <c r="I86" i="5"/>
  <c r="K86" i="5" s="1"/>
  <c r="K85" i="5"/>
  <c r="J85" i="5"/>
  <c r="I85" i="5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L72" i="5"/>
  <c r="L71" i="5"/>
  <c r="N70" i="5"/>
  <c r="M70" i="5"/>
  <c r="P70" i="5" s="1"/>
  <c r="O69" i="5"/>
  <c r="N67" i="5"/>
  <c r="M67" i="5"/>
  <c r="L67" i="5"/>
  <c r="O67" i="5" s="1"/>
  <c r="J65" i="5"/>
  <c r="I65" i="5"/>
  <c r="K65" i="5" s="1"/>
  <c r="J64" i="5"/>
  <c r="I64" i="5"/>
  <c r="K64" i="5" s="1"/>
  <c r="O61" i="5"/>
  <c r="N61" i="5"/>
  <c r="L61" i="5"/>
  <c r="L59" i="5"/>
  <c r="L58" i="5"/>
  <c r="N57" i="5"/>
  <c r="N55" i="5" s="1"/>
  <c r="M57" i="5"/>
  <c r="N54" i="5"/>
  <c r="M54" i="5"/>
  <c r="P54" i="5" s="1"/>
  <c r="L54" i="5"/>
  <c r="O54" i="5" s="1"/>
  <c r="N49" i="5"/>
  <c r="L49" i="5"/>
  <c r="O49" i="5" s="1"/>
  <c r="L47" i="5"/>
  <c r="L46" i="5"/>
  <c r="N45" i="5"/>
  <c r="M45" i="5"/>
  <c r="N43" i="5"/>
  <c r="M43" i="5"/>
  <c r="O42" i="5"/>
  <c r="N42" i="5"/>
  <c r="M42" i="5"/>
  <c r="P42" i="5" s="1"/>
  <c r="L42" i="5"/>
  <c r="N41" i="5"/>
  <c r="M41" i="5"/>
  <c r="P36" i="5"/>
  <c r="O36" i="5"/>
  <c r="P35" i="5"/>
  <c r="O35" i="5"/>
  <c r="P34" i="5"/>
  <c r="M34" i="5"/>
  <c r="M33" i="5"/>
  <c r="P33" i="5" s="1"/>
  <c r="M32" i="5"/>
  <c r="P32" i="5" s="1"/>
  <c r="M31" i="5"/>
  <c r="M26" i="5"/>
  <c r="P26" i="5" s="1"/>
  <c r="N25" i="5"/>
  <c r="N15" i="5" s="1"/>
  <c r="M25" i="5"/>
  <c r="P25" i="5" s="1"/>
  <c r="L25" i="5"/>
  <c r="O25" i="5" s="1"/>
  <c r="N24" i="5"/>
  <c r="M24" i="5"/>
  <c r="P23" i="5"/>
  <c r="N23" i="5"/>
  <c r="M23" i="5"/>
  <c r="P21" i="5"/>
  <c r="O21" i="5"/>
  <c r="N21" i="5"/>
  <c r="M21" i="5"/>
  <c r="L21" i="5"/>
  <c r="N19" i="5"/>
  <c r="M19" i="5"/>
  <c r="P19" i="5" s="1"/>
  <c r="L19" i="5"/>
  <c r="O19" i="5" s="1"/>
  <c r="M13" i="5"/>
  <c r="P13" i="5" s="1"/>
  <c r="M11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K618" i="4" s="1"/>
  <c r="J610" i="4"/>
  <c r="J609" i="4"/>
  <c r="J608" i="4"/>
  <c r="J607" i="4"/>
  <c r="N605" i="4"/>
  <c r="N604" i="4"/>
  <c r="N603" i="4"/>
  <c r="N603" i="1" s="1"/>
  <c r="N602" i="4"/>
  <c r="N601" i="4"/>
  <c r="L601" i="4"/>
  <c r="N600" i="4"/>
  <c r="L600" i="4"/>
  <c r="O600" i="4" s="1"/>
  <c r="N599" i="4"/>
  <c r="N599" i="1" s="1"/>
  <c r="L599" i="4"/>
  <c r="N598" i="4"/>
  <c r="L598" i="4"/>
  <c r="O598" i="4" s="1"/>
  <c r="N597" i="4"/>
  <c r="L597" i="4"/>
  <c r="J597" i="4"/>
  <c r="J597" i="1" s="1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J591" i="1" s="1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N580" i="1" s="1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J575" i="1" s="1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N566" i="1" s="1"/>
  <c r="L566" i="4"/>
  <c r="N565" i="4"/>
  <c r="L565" i="4"/>
  <c r="O565" i="4" s="1"/>
  <c r="N564" i="4"/>
  <c r="L564" i="4"/>
  <c r="J564" i="4"/>
  <c r="I564" i="4"/>
  <c r="J563" i="4"/>
  <c r="I563" i="4"/>
  <c r="K563" i="4" s="1"/>
  <c r="J562" i="4"/>
  <c r="I562" i="4"/>
  <c r="J561" i="4"/>
  <c r="J561" i="1" s="1"/>
  <c r="I561" i="4"/>
  <c r="K561" i="4" s="1"/>
  <c r="J560" i="4"/>
  <c r="I560" i="4"/>
  <c r="K560" i="4" s="1"/>
  <c r="N559" i="4"/>
  <c r="N558" i="4"/>
  <c r="N557" i="4"/>
  <c r="N557" i="1" s="1"/>
  <c r="N556" i="4"/>
  <c r="N555" i="4"/>
  <c r="L555" i="4"/>
  <c r="O555" i="4" s="1"/>
  <c r="N554" i="4"/>
  <c r="L554" i="4"/>
  <c r="O554" i="4" s="1"/>
  <c r="N553" i="4"/>
  <c r="N553" i="1" s="1"/>
  <c r="L553" i="4"/>
  <c r="N552" i="4"/>
  <c r="L552" i="4"/>
  <c r="O552" i="4" s="1"/>
  <c r="N551" i="4"/>
  <c r="L551" i="4"/>
  <c r="J551" i="4"/>
  <c r="J551" i="1" s="1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J543" i="1" s="1"/>
  <c r="N541" i="4"/>
  <c r="N540" i="4"/>
  <c r="N539" i="4"/>
  <c r="N538" i="4"/>
  <c r="N537" i="4"/>
  <c r="L537" i="4"/>
  <c r="O537" i="4" s="1"/>
  <c r="N536" i="4"/>
  <c r="L536" i="4"/>
  <c r="O536" i="4" s="1"/>
  <c r="N535" i="4"/>
  <c r="L535" i="4"/>
  <c r="O535" i="4" s="1"/>
  <c r="N534" i="4"/>
  <c r="L534" i="4"/>
  <c r="O534" i="4" s="1"/>
  <c r="N533" i="4"/>
  <c r="L533" i="4"/>
  <c r="J533" i="4"/>
  <c r="I533" i="4"/>
  <c r="J532" i="4"/>
  <c r="I532" i="4"/>
  <c r="I532" i="1" s="1"/>
  <c r="J531" i="4"/>
  <c r="I531" i="4"/>
  <c r="J530" i="4"/>
  <c r="I530" i="4"/>
  <c r="J529" i="4"/>
  <c r="I529" i="4"/>
  <c r="I529" i="1" s="1"/>
  <c r="J528" i="4"/>
  <c r="I528" i="4"/>
  <c r="J527" i="4"/>
  <c r="I527" i="4"/>
  <c r="J526" i="4"/>
  <c r="I526" i="4"/>
  <c r="I526" i="1" s="1"/>
  <c r="J525" i="4"/>
  <c r="I525" i="4"/>
  <c r="J524" i="4"/>
  <c r="I524" i="4"/>
  <c r="J523" i="4"/>
  <c r="I523" i="4"/>
  <c r="I523" i="1" s="1"/>
  <c r="J522" i="4"/>
  <c r="I522" i="4"/>
  <c r="J521" i="4"/>
  <c r="I521" i="4"/>
  <c r="J520" i="4"/>
  <c r="I520" i="4"/>
  <c r="I520" i="1" s="1"/>
  <c r="J519" i="4"/>
  <c r="I519" i="4"/>
  <c r="J518" i="4"/>
  <c r="I518" i="4"/>
  <c r="J517" i="4"/>
  <c r="I517" i="4"/>
  <c r="J516" i="4"/>
  <c r="I516" i="4"/>
  <c r="K515" i="4"/>
  <c r="J515" i="4"/>
  <c r="I515" i="4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K509" i="4"/>
  <c r="J509" i="4"/>
  <c r="I509" i="4"/>
  <c r="J508" i="4"/>
  <c r="I508" i="4"/>
  <c r="K508" i="4" s="1"/>
  <c r="K507" i="4"/>
  <c r="J507" i="4"/>
  <c r="I507" i="4"/>
  <c r="J506" i="4"/>
  <c r="I506" i="4"/>
  <c r="K506" i="4" s="1"/>
  <c r="J505" i="4"/>
  <c r="I505" i="4"/>
  <c r="K505" i="4" s="1"/>
  <c r="J504" i="4"/>
  <c r="I504" i="4"/>
  <c r="K504" i="4" s="1"/>
  <c r="K503" i="4"/>
  <c r="J503" i="4"/>
  <c r="I503" i="4"/>
  <c r="J502" i="4"/>
  <c r="J502" i="1" s="1"/>
  <c r="I502" i="4"/>
  <c r="K502" i="4" s="1"/>
  <c r="J501" i="4"/>
  <c r="I501" i="4"/>
  <c r="K501" i="4" s="1"/>
  <c r="J500" i="4"/>
  <c r="I500" i="4"/>
  <c r="K500" i="4" s="1"/>
  <c r="J499" i="4"/>
  <c r="J499" i="1" s="1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J493" i="1" s="1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K474" i="4" s="1"/>
  <c r="J473" i="4"/>
  <c r="I473" i="4"/>
  <c r="I473" i="1" s="1"/>
  <c r="K473" i="1" s="1"/>
  <c r="J472" i="4"/>
  <c r="I472" i="4"/>
  <c r="K472" i="4" s="1"/>
  <c r="J471" i="4"/>
  <c r="I471" i="4"/>
  <c r="K471" i="4" s="1"/>
  <c r="K470" i="4"/>
  <c r="J470" i="4"/>
  <c r="I470" i="4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N459" i="1" s="1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6" i="1" s="1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4" i="1" s="1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K402" i="4" s="1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K380" i="4" s="1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K370" i="4" s="1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O352" i="4" s="1"/>
  <c r="N351" i="4"/>
  <c r="N31" i="4" s="1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L333" i="4" s="1"/>
  <c r="N333" i="4"/>
  <c r="M333" i="4"/>
  <c r="M331" i="4" s="1"/>
  <c r="O332" i="4"/>
  <c r="N330" i="4"/>
  <c r="M330" i="4"/>
  <c r="P330" i="4" s="1"/>
  <c r="L330" i="4"/>
  <c r="O330" i="4" s="1"/>
  <c r="J328" i="4"/>
  <c r="I328" i="4"/>
  <c r="K328" i="4" s="1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M312" i="4"/>
  <c r="P311" i="4"/>
  <c r="O311" i="4"/>
  <c r="N311" i="4"/>
  <c r="M311" i="4"/>
  <c r="L311" i="4"/>
  <c r="M310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4" i="4" s="1"/>
  <c r="L295" i="4"/>
  <c r="N294" i="4"/>
  <c r="N292" i="4" s="1"/>
  <c r="N290" i="4" s="1"/>
  <c r="M294" i="4"/>
  <c r="P294" i="4" s="1"/>
  <c r="O293" i="4"/>
  <c r="O291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M271" i="4" s="1"/>
  <c r="O274" i="4"/>
  <c r="P272" i="4"/>
  <c r="O272" i="4"/>
  <c r="N272" i="4"/>
  <c r="M272" i="4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O258" i="4"/>
  <c r="N258" i="4"/>
  <c r="L258" i="4"/>
  <c r="L256" i="4"/>
  <c r="L255" i="4"/>
  <c r="N254" i="4"/>
  <c r="M254" i="4"/>
  <c r="P254" i="4" s="1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P221" i="4"/>
  <c r="O221" i="4"/>
  <c r="N221" i="4"/>
  <c r="M221" i="4"/>
  <c r="L221" i="4"/>
  <c r="J219" i="4"/>
  <c r="I219" i="4"/>
  <c r="J218" i="4"/>
  <c r="J217" i="4"/>
  <c r="J216" i="4"/>
  <c r="K216" i="4" s="1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K164" i="4" s="1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4" i="4" s="1"/>
  <c r="L145" i="4"/>
  <c r="N144" i="4"/>
  <c r="N142" i="4" s="1"/>
  <c r="M144" i="4"/>
  <c r="M142" i="4" s="1"/>
  <c r="M140" i="4" s="1"/>
  <c r="O143" i="4"/>
  <c r="N141" i="4"/>
  <c r="M141" i="4"/>
  <c r="P141" i="4" s="1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L122" i="4" s="1"/>
  <c r="O122" i="4" s="1"/>
  <c r="N122" i="4"/>
  <c r="M122" i="4"/>
  <c r="P122" i="4" s="1"/>
  <c r="O121" i="4"/>
  <c r="N119" i="4"/>
  <c r="M119" i="4"/>
  <c r="L119" i="4"/>
  <c r="O119" i="4" s="1"/>
  <c r="J117" i="4"/>
  <c r="I117" i="4"/>
  <c r="K117" i="4" s="1"/>
  <c r="J115" i="4"/>
  <c r="J114" i="4"/>
  <c r="J113" i="4"/>
  <c r="I113" i="4"/>
  <c r="K113" i="4" s="1"/>
  <c r="J112" i="4"/>
  <c r="I112" i="4"/>
  <c r="J111" i="4"/>
  <c r="I111" i="4"/>
  <c r="J110" i="4"/>
  <c r="I110" i="4"/>
  <c r="K110" i="4" s="1"/>
  <c r="J109" i="4"/>
  <c r="I109" i="4"/>
  <c r="J108" i="4"/>
  <c r="I108" i="4"/>
  <c r="J107" i="4"/>
  <c r="J106" i="4"/>
  <c r="J105" i="4"/>
  <c r="J104" i="4"/>
  <c r="N102" i="4"/>
  <c r="L102" i="4"/>
  <c r="L100" i="4"/>
  <c r="L99" i="4"/>
  <c r="L98" i="4" s="1"/>
  <c r="N98" i="4"/>
  <c r="M98" i="4"/>
  <c r="M96" i="4" s="1"/>
  <c r="O97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J86" i="4"/>
  <c r="I86" i="4"/>
  <c r="J85" i="4"/>
  <c r="I85" i="4"/>
  <c r="K85" i="4" s="1"/>
  <c r="J84" i="4"/>
  <c r="I84" i="4"/>
  <c r="K84" i="4" s="1"/>
  <c r="K83" i="4"/>
  <c r="J83" i="4"/>
  <c r="I83" i="4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L67" i="4"/>
  <c r="J65" i="4"/>
  <c r="I65" i="4"/>
  <c r="J64" i="4"/>
  <c r="I64" i="4"/>
  <c r="N61" i="4"/>
  <c r="L61" i="4"/>
  <c r="O61" i="4" s="1"/>
  <c r="L59" i="4"/>
  <c r="L58" i="4"/>
  <c r="N57" i="4"/>
  <c r="M57" i="4"/>
  <c r="M55" i="4" s="1"/>
  <c r="O54" i="4"/>
  <c r="N54" i="4"/>
  <c r="M54" i="4"/>
  <c r="L54" i="4"/>
  <c r="N49" i="4"/>
  <c r="L49" i="4"/>
  <c r="L47" i="4"/>
  <c r="L46" i="4"/>
  <c r="N45" i="4"/>
  <c r="M45" i="4"/>
  <c r="M43" i="4" s="1"/>
  <c r="P42" i="4"/>
  <c r="O42" i="4"/>
  <c r="N42" i="4"/>
  <c r="M42" i="4"/>
  <c r="L42" i="4"/>
  <c r="M41" i="4"/>
  <c r="P36" i="4"/>
  <c r="O36" i="4"/>
  <c r="P35" i="4"/>
  <c r="O35" i="4"/>
  <c r="P34" i="4"/>
  <c r="M34" i="4"/>
  <c r="P33" i="4"/>
  <c r="M33" i="4"/>
  <c r="M32" i="4"/>
  <c r="M31" i="4"/>
  <c r="P31" i="4" s="1"/>
  <c r="P26" i="4"/>
  <c r="M26" i="4"/>
  <c r="O25" i="4"/>
  <c r="N25" i="4"/>
  <c r="N15" i="4" s="1"/>
  <c r="M25" i="4"/>
  <c r="M19" i="4" s="1"/>
  <c r="L25" i="4"/>
  <c r="N24" i="4"/>
  <c r="M24" i="4"/>
  <c r="P24" i="4" s="1"/>
  <c r="N23" i="4"/>
  <c r="M23" i="4"/>
  <c r="P23" i="4" s="1"/>
  <c r="P21" i="4"/>
  <c r="O21" i="4"/>
  <c r="N21" i="4"/>
  <c r="M21" i="4"/>
  <c r="L21" i="4"/>
  <c r="L19" i="4" s="1"/>
  <c r="O19" i="4" s="1"/>
  <c r="N19" i="4"/>
  <c r="M16" i="4"/>
  <c r="P16" i="4" s="1"/>
  <c r="L15" i="4"/>
  <c r="O15" i="4" s="1"/>
  <c r="M11" i="4"/>
  <c r="P11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J578" i="3"/>
  <c r="I578" i="3"/>
  <c r="K578" i="3" s="1"/>
  <c r="J577" i="3"/>
  <c r="I577" i="3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O566" i="3" s="1"/>
  <c r="N565" i="3"/>
  <c r="L565" i="3"/>
  <c r="O565" i="3" s="1"/>
  <c r="N564" i="3"/>
  <c r="L564" i="3"/>
  <c r="J564" i="3"/>
  <c r="I564" i="3"/>
  <c r="J563" i="3"/>
  <c r="I563" i="3"/>
  <c r="J562" i="3"/>
  <c r="I562" i="3"/>
  <c r="J561" i="3"/>
  <c r="I561" i="3"/>
  <c r="K561" i="3" s="1"/>
  <c r="J560" i="3"/>
  <c r="I560" i="3"/>
  <c r="K560" i="3" s="1"/>
  <c r="N559" i="3"/>
  <c r="N558" i="3"/>
  <c r="N557" i="3"/>
  <c r="N556" i="3"/>
  <c r="O555" i="3"/>
  <c r="N555" i="3"/>
  <c r="N555" i="1" s="1"/>
  <c r="L555" i="3"/>
  <c r="N554" i="3"/>
  <c r="L554" i="3"/>
  <c r="O554" i="3" s="1"/>
  <c r="N553" i="3"/>
  <c r="L553" i="3"/>
  <c r="O553" i="3" s="1"/>
  <c r="N552" i="3"/>
  <c r="N552" i="1" s="1"/>
  <c r="L552" i="3"/>
  <c r="O552" i="3" s="1"/>
  <c r="N551" i="3"/>
  <c r="L551" i="3"/>
  <c r="O551" i="3" s="1"/>
  <c r="J551" i="3"/>
  <c r="I551" i="3"/>
  <c r="K551" i="3" s="1"/>
  <c r="J550" i="3"/>
  <c r="J550" i="1" s="1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K499" i="3" s="1"/>
  <c r="J498" i="3"/>
  <c r="I498" i="3"/>
  <c r="J497" i="3"/>
  <c r="I497" i="3"/>
  <c r="K497" i="3" s="1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J465" i="1" s="1"/>
  <c r="I465" i="3"/>
  <c r="J464" i="3"/>
  <c r="I464" i="3"/>
  <c r="N463" i="3"/>
  <c r="N462" i="3"/>
  <c r="N461" i="3"/>
  <c r="N461" i="1" s="1"/>
  <c r="N460" i="3"/>
  <c r="N459" i="3"/>
  <c r="L459" i="3"/>
  <c r="O459" i="3" s="1"/>
  <c r="N458" i="3"/>
  <c r="L458" i="3"/>
  <c r="O458" i="3" s="1"/>
  <c r="N457" i="3"/>
  <c r="L457" i="3"/>
  <c r="N456" i="3"/>
  <c r="L456" i="3"/>
  <c r="N455" i="3"/>
  <c r="L455" i="3"/>
  <c r="J455" i="3"/>
  <c r="J455" i="1" s="1"/>
  <c r="I455" i="3"/>
  <c r="J454" i="3"/>
  <c r="J453" i="3"/>
  <c r="J452" i="3"/>
  <c r="I452" i="3"/>
  <c r="K452" i="3" s="1"/>
  <c r="J451" i="3"/>
  <c r="J451" i="1" s="1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O439" i="3" s="1"/>
  <c r="N438" i="3"/>
  <c r="L438" i="3"/>
  <c r="O438" i="3" s="1"/>
  <c r="N437" i="3"/>
  <c r="N437" i="1" s="1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K430" i="3" s="1"/>
  <c r="J429" i="3"/>
  <c r="I429" i="3"/>
  <c r="J428" i="3"/>
  <c r="J428" i="1" s="1"/>
  <c r="I428" i="3"/>
  <c r="J427" i="3"/>
  <c r="I427" i="3"/>
  <c r="K427" i="3" s="1"/>
  <c r="J426" i="3"/>
  <c r="I426" i="3"/>
  <c r="J425" i="3"/>
  <c r="J425" i="1" s="1"/>
  <c r="I425" i="3"/>
  <c r="J424" i="3"/>
  <c r="I424" i="3"/>
  <c r="J423" i="3"/>
  <c r="I423" i="3"/>
  <c r="J422" i="3"/>
  <c r="J422" i="1" s="1"/>
  <c r="I422" i="3"/>
  <c r="J421" i="3"/>
  <c r="I421" i="3"/>
  <c r="J420" i="3"/>
  <c r="I420" i="3"/>
  <c r="J419" i="3"/>
  <c r="I419" i="3"/>
  <c r="J418" i="3"/>
  <c r="I418" i="3"/>
  <c r="J417" i="3"/>
  <c r="I417" i="3"/>
  <c r="J416" i="3"/>
  <c r="J416" i="1" s="1"/>
  <c r="I416" i="3"/>
  <c r="J415" i="3"/>
  <c r="J414" i="3"/>
  <c r="J413" i="3"/>
  <c r="J412" i="3"/>
  <c r="N410" i="3"/>
  <c r="N410" i="1" s="1"/>
  <c r="N409" i="3"/>
  <c r="N408" i="3"/>
  <c r="N407" i="3"/>
  <c r="N406" i="3"/>
  <c r="O406" i="3" s="1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K401" i="3" s="1"/>
  <c r="I401" i="3"/>
  <c r="J400" i="3"/>
  <c r="J399" i="3"/>
  <c r="J398" i="3"/>
  <c r="I398" i="3"/>
  <c r="J397" i="3"/>
  <c r="I397" i="3"/>
  <c r="J396" i="3"/>
  <c r="J396" i="1" s="1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J381" i="1" s="1"/>
  <c r="K381" i="1" s="1"/>
  <c r="I381" i="3"/>
  <c r="N380" i="3"/>
  <c r="L380" i="3"/>
  <c r="O380" i="3" s="1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J369" i="1" s="1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I349" i="1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M312" i="3"/>
  <c r="P312" i="3" s="1"/>
  <c r="P311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L294" i="3" s="1"/>
  <c r="N294" i="3"/>
  <c r="N292" i="3" s="1"/>
  <c r="M294" i="3"/>
  <c r="P294" i="3" s="1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M273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P254" i="3" s="1"/>
  <c r="M254" i="3"/>
  <c r="O253" i="3"/>
  <c r="M252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P224" i="3" s="1"/>
  <c r="M224" i="3"/>
  <c r="M222" i="3" s="1"/>
  <c r="O223" i="3"/>
  <c r="P221" i="3"/>
  <c r="O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K149" i="3" s="1"/>
  <c r="N148" i="3"/>
  <c r="L148" i="3"/>
  <c r="O148" i="3" s="1"/>
  <c r="L146" i="3"/>
  <c r="L145" i="3"/>
  <c r="N144" i="3"/>
  <c r="M144" i="3"/>
  <c r="M142" i="3" s="1"/>
  <c r="O143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M120" i="3"/>
  <c r="P120" i="3" s="1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N96" i="3" s="1"/>
  <c r="M98" i="3"/>
  <c r="P98" i="3" s="1"/>
  <c r="O97" i="3"/>
  <c r="N95" i="3"/>
  <c r="M95" i="3"/>
  <c r="P95" i="3" s="1"/>
  <c r="L95" i="3"/>
  <c r="J93" i="3"/>
  <c r="I93" i="3"/>
  <c r="J92" i="3"/>
  <c r="I92" i="3"/>
  <c r="J90" i="3"/>
  <c r="J89" i="3"/>
  <c r="J88" i="3"/>
  <c r="I88" i="3"/>
  <c r="K88" i="3" s="1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P67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N42" i="3"/>
  <c r="M42" i="3"/>
  <c r="L42" i="3"/>
  <c r="P36" i="3"/>
  <c r="O36" i="3"/>
  <c r="P35" i="3"/>
  <c r="O35" i="3"/>
  <c r="M34" i="3"/>
  <c r="P34" i="3" s="1"/>
  <c r="M33" i="3"/>
  <c r="P33" i="3" s="1"/>
  <c r="M32" i="3"/>
  <c r="P32" i="3" s="1"/>
  <c r="P31" i="3"/>
  <c r="M31" i="3"/>
  <c r="M29" i="3" s="1"/>
  <c r="P29" i="3" s="1"/>
  <c r="M26" i="3"/>
  <c r="P26" i="3" s="1"/>
  <c r="N25" i="3"/>
  <c r="M25" i="3"/>
  <c r="P25" i="3" s="1"/>
  <c r="L25" i="3"/>
  <c r="O25" i="3" s="1"/>
  <c r="P24" i="3"/>
  <c r="N24" i="3"/>
  <c r="M24" i="3"/>
  <c r="P23" i="3"/>
  <c r="N23" i="3"/>
  <c r="M23" i="3"/>
  <c r="O21" i="3"/>
  <c r="N21" i="3"/>
  <c r="M21" i="3"/>
  <c r="L21" i="3"/>
  <c r="L19" i="3"/>
  <c r="N15" i="3"/>
  <c r="M14" i="3"/>
  <c r="P14" i="3" s="1"/>
  <c r="M13" i="3"/>
  <c r="P13" i="3" s="1"/>
  <c r="J635" i="2"/>
  <c r="I635" i="2"/>
  <c r="J634" i="2"/>
  <c r="I634" i="2"/>
  <c r="I634" i="1" s="1"/>
  <c r="J633" i="2"/>
  <c r="I633" i="2"/>
  <c r="J632" i="2"/>
  <c r="I632" i="2"/>
  <c r="J631" i="2"/>
  <c r="I631" i="2"/>
  <c r="J630" i="2"/>
  <c r="I630" i="2"/>
  <c r="J629" i="2"/>
  <c r="I629" i="2"/>
  <c r="J628" i="2"/>
  <c r="I628" i="2"/>
  <c r="I628" i="1" s="1"/>
  <c r="J626" i="2"/>
  <c r="I626" i="2"/>
  <c r="J625" i="2"/>
  <c r="I625" i="2"/>
  <c r="J624" i="2"/>
  <c r="I624" i="2"/>
  <c r="J623" i="2"/>
  <c r="J623" i="1" s="1"/>
  <c r="I623" i="2"/>
  <c r="J622" i="2"/>
  <c r="I622" i="2"/>
  <c r="J621" i="2"/>
  <c r="J621" i="1" s="1"/>
  <c r="I621" i="2"/>
  <c r="I621" i="1" s="1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I615" i="1" s="1"/>
  <c r="J614" i="2"/>
  <c r="I614" i="2"/>
  <c r="J613" i="2"/>
  <c r="I613" i="2"/>
  <c r="J612" i="2"/>
  <c r="I612" i="2"/>
  <c r="J611" i="2"/>
  <c r="I611" i="2"/>
  <c r="J610" i="2"/>
  <c r="J609" i="2"/>
  <c r="J608" i="2"/>
  <c r="J607" i="2"/>
  <c r="J607" i="1" s="1"/>
  <c r="N605" i="2"/>
  <c r="N605" i="1" s="1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J593" i="2"/>
  <c r="I593" i="2"/>
  <c r="I593" i="1" s="1"/>
  <c r="K593" i="1" s="1"/>
  <c r="J592" i="2"/>
  <c r="I592" i="2"/>
  <c r="J591" i="2"/>
  <c r="I591" i="2"/>
  <c r="J590" i="2"/>
  <c r="I590" i="2"/>
  <c r="J589" i="2"/>
  <c r="I589" i="2"/>
  <c r="N588" i="2"/>
  <c r="N587" i="2"/>
  <c r="N586" i="2"/>
  <c r="N586" i="1" s="1"/>
  <c r="N585" i="2"/>
  <c r="N585" i="1" s="1"/>
  <c r="N584" i="2"/>
  <c r="L584" i="2"/>
  <c r="N583" i="2"/>
  <c r="L583" i="2"/>
  <c r="O583" i="2" s="1"/>
  <c r="N582" i="2"/>
  <c r="L582" i="2"/>
  <c r="N581" i="2"/>
  <c r="N581" i="1" s="1"/>
  <c r="L581" i="2"/>
  <c r="O581" i="2" s="1"/>
  <c r="N580" i="2"/>
  <c r="L580" i="2"/>
  <c r="J580" i="2"/>
  <c r="I580" i="2"/>
  <c r="I580" i="1" s="1"/>
  <c r="J579" i="2"/>
  <c r="I579" i="2"/>
  <c r="K579" i="2" s="1"/>
  <c r="J578" i="2"/>
  <c r="I578" i="2"/>
  <c r="K578" i="2" s="1"/>
  <c r="J577" i="2"/>
  <c r="I577" i="2"/>
  <c r="K577" i="2" s="1"/>
  <c r="J576" i="2"/>
  <c r="J576" i="1" s="1"/>
  <c r="I576" i="2"/>
  <c r="K576" i="2" s="1"/>
  <c r="J575" i="2"/>
  <c r="I575" i="2"/>
  <c r="K575" i="2" s="1"/>
  <c r="J573" i="2"/>
  <c r="I573" i="2"/>
  <c r="I573" i="1" s="1"/>
  <c r="N572" i="2"/>
  <c r="N571" i="2"/>
  <c r="N570" i="2"/>
  <c r="N569" i="2"/>
  <c r="N568" i="2"/>
  <c r="L568" i="2"/>
  <c r="O568" i="2" s="1"/>
  <c r="N567" i="2"/>
  <c r="L567" i="2"/>
  <c r="O567" i="2" s="1"/>
  <c r="N566" i="2"/>
  <c r="L566" i="2"/>
  <c r="O566" i="2" s="1"/>
  <c r="N565" i="2"/>
  <c r="L565" i="2"/>
  <c r="O565" i="2" s="1"/>
  <c r="N564" i="2"/>
  <c r="O564" i="2" s="1"/>
  <c r="L564" i="2"/>
  <c r="J564" i="2"/>
  <c r="I564" i="2"/>
  <c r="J563" i="2"/>
  <c r="I563" i="2"/>
  <c r="K563" i="2" s="1"/>
  <c r="J562" i="2"/>
  <c r="I562" i="2"/>
  <c r="J561" i="2"/>
  <c r="I561" i="2"/>
  <c r="K561" i="2" s="1"/>
  <c r="J560" i="2"/>
  <c r="I560" i="2"/>
  <c r="N559" i="2"/>
  <c r="N559" i="1" s="1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9" i="1" s="1"/>
  <c r="K548" i="2"/>
  <c r="J548" i="2"/>
  <c r="I548" i="2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N535" i="1" s="1"/>
  <c r="L535" i="2"/>
  <c r="N534" i="2"/>
  <c r="N534" i="1" s="1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J515" i="1" s="1"/>
  <c r="I515" i="2"/>
  <c r="K515" i="2" s="1"/>
  <c r="J514" i="2"/>
  <c r="I514" i="2"/>
  <c r="K514" i="2" s="1"/>
  <c r="J513" i="2"/>
  <c r="I513" i="2"/>
  <c r="K513" i="2" s="1"/>
  <c r="J512" i="2"/>
  <c r="J512" i="1" s="1"/>
  <c r="I512" i="2"/>
  <c r="K512" i="2" s="1"/>
  <c r="J511" i="2"/>
  <c r="I511" i="2"/>
  <c r="K511" i="2" s="1"/>
  <c r="J510" i="2"/>
  <c r="I510" i="2"/>
  <c r="K510" i="2" s="1"/>
  <c r="J509" i="2"/>
  <c r="J509" i="1" s="1"/>
  <c r="I509" i="2"/>
  <c r="K509" i="2" s="1"/>
  <c r="J508" i="2"/>
  <c r="J508" i="1" s="1"/>
  <c r="I508" i="2"/>
  <c r="K508" i="2" s="1"/>
  <c r="J507" i="2"/>
  <c r="I507" i="2"/>
  <c r="K507" i="2" s="1"/>
  <c r="J506" i="2"/>
  <c r="I506" i="2"/>
  <c r="K506" i="2" s="1"/>
  <c r="K505" i="2"/>
  <c r="J505" i="2"/>
  <c r="I505" i="2"/>
  <c r="J504" i="2"/>
  <c r="I504" i="2"/>
  <c r="K504" i="2" s="1"/>
  <c r="K503" i="2"/>
  <c r="J503" i="2"/>
  <c r="I503" i="2"/>
  <c r="J502" i="2"/>
  <c r="I502" i="2"/>
  <c r="K502" i="2" s="1"/>
  <c r="J501" i="2"/>
  <c r="J501" i="1" s="1"/>
  <c r="I501" i="2"/>
  <c r="K501" i="2" s="1"/>
  <c r="J500" i="2"/>
  <c r="I500" i="2"/>
  <c r="K500" i="2" s="1"/>
  <c r="J499" i="2"/>
  <c r="I499" i="2"/>
  <c r="J498" i="2"/>
  <c r="J498" i="1" s="1"/>
  <c r="I498" i="2"/>
  <c r="J497" i="2"/>
  <c r="K497" i="2" s="1"/>
  <c r="I497" i="2"/>
  <c r="J496" i="2"/>
  <c r="I496" i="2"/>
  <c r="K496" i="2" s="1"/>
  <c r="J495" i="2"/>
  <c r="J495" i="1" s="1"/>
  <c r="I495" i="2"/>
  <c r="K495" i="2" s="1"/>
  <c r="J494" i="2"/>
  <c r="J494" i="1" s="1"/>
  <c r="I494" i="2"/>
  <c r="K494" i="2" s="1"/>
  <c r="J493" i="2"/>
  <c r="I493" i="2"/>
  <c r="K493" i="2" s="1"/>
  <c r="J492" i="2"/>
  <c r="J492" i="1" s="1"/>
  <c r="I492" i="2"/>
  <c r="K492" i="2" s="1"/>
  <c r="J491" i="2"/>
  <c r="I491" i="2"/>
  <c r="K491" i="2" s="1"/>
  <c r="J490" i="2"/>
  <c r="I490" i="2"/>
  <c r="K490" i="2" s="1"/>
  <c r="J489" i="2"/>
  <c r="J489" i="1" s="1"/>
  <c r="I489" i="2"/>
  <c r="K489" i="2" s="1"/>
  <c r="J488" i="2"/>
  <c r="I488" i="2"/>
  <c r="K488" i="2" s="1"/>
  <c r="J487" i="2"/>
  <c r="I487" i="2"/>
  <c r="K487" i="2" s="1"/>
  <c r="J486" i="2"/>
  <c r="J486" i="1" s="1"/>
  <c r="I486" i="2"/>
  <c r="K486" i="2" s="1"/>
  <c r="J485" i="2"/>
  <c r="I485" i="2"/>
  <c r="K485" i="2" s="1"/>
  <c r="J484" i="2"/>
  <c r="I484" i="2"/>
  <c r="K484" i="2" s="1"/>
  <c r="J483" i="2"/>
  <c r="J483" i="1" s="1"/>
  <c r="I483" i="2"/>
  <c r="K483" i="2" s="1"/>
  <c r="J482" i="2"/>
  <c r="I482" i="2"/>
  <c r="J481" i="2"/>
  <c r="I481" i="2"/>
  <c r="J480" i="2"/>
  <c r="J480" i="1" s="1"/>
  <c r="I480" i="2"/>
  <c r="K480" i="2" s="1"/>
  <c r="J479" i="2"/>
  <c r="I479" i="2"/>
  <c r="K479" i="2" s="1"/>
  <c r="J478" i="2"/>
  <c r="I478" i="2"/>
  <c r="K478" i="2" s="1"/>
  <c r="J477" i="2"/>
  <c r="J477" i="1" s="1"/>
  <c r="I477" i="2"/>
  <c r="K477" i="2" s="1"/>
  <c r="J476" i="2"/>
  <c r="I476" i="2"/>
  <c r="K476" i="2" s="1"/>
  <c r="J475" i="2"/>
  <c r="I475" i="2"/>
  <c r="K475" i="2" s="1"/>
  <c r="J474" i="2"/>
  <c r="J474" i="1" s="1"/>
  <c r="I474" i="2"/>
  <c r="J473" i="2"/>
  <c r="I473" i="2"/>
  <c r="J472" i="2"/>
  <c r="I472" i="2"/>
  <c r="K472" i="2" s="1"/>
  <c r="J471" i="2"/>
  <c r="J471" i="1" s="1"/>
  <c r="I471" i="2"/>
  <c r="K471" i="2" s="1"/>
  <c r="J470" i="2"/>
  <c r="I470" i="2"/>
  <c r="K470" i="2" s="1"/>
  <c r="J469" i="2"/>
  <c r="I469" i="2"/>
  <c r="K469" i="2" s="1"/>
  <c r="J468" i="2"/>
  <c r="J468" i="1" s="1"/>
  <c r="I468" i="2"/>
  <c r="K468" i="2" s="1"/>
  <c r="K467" i="2"/>
  <c r="J467" i="2"/>
  <c r="I467" i="2"/>
  <c r="J466" i="2"/>
  <c r="I466" i="2"/>
  <c r="K466" i="2" s="1"/>
  <c r="J465" i="2"/>
  <c r="I465" i="2"/>
  <c r="J464" i="2"/>
  <c r="I464" i="2"/>
  <c r="K464" i="2" s="1"/>
  <c r="N463" i="2"/>
  <c r="N463" i="1" s="1"/>
  <c r="N462" i="2"/>
  <c r="N462" i="1" s="1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K450" i="2" s="1"/>
  <c r="J449" i="2"/>
  <c r="I449" i="2"/>
  <c r="I449" i="1" s="1"/>
  <c r="J448" i="2"/>
  <c r="J447" i="2"/>
  <c r="J446" i="2"/>
  <c r="J445" i="2"/>
  <c r="N443" i="2"/>
  <c r="N442" i="2"/>
  <c r="N442" i="1" s="1"/>
  <c r="N441" i="2"/>
  <c r="N440" i="2"/>
  <c r="N439" i="2"/>
  <c r="L439" i="2"/>
  <c r="N438" i="2"/>
  <c r="N438" i="1" s="1"/>
  <c r="L438" i="2"/>
  <c r="O438" i="2" s="1"/>
  <c r="N437" i="2"/>
  <c r="L437" i="2"/>
  <c r="N436" i="2"/>
  <c r="L436" i="2"/>
  <c r="O436" i="2" s="1"/>
  <c r="N435" i="2"/>
  <c r="L435" i="2"/>
  <c r="L435" i="1" s="1"/>
  <c r="O435" i="1" s="1"/>
  <c r="J435" i="2"/>
  <c r="I435" i="2"/>
  <c r="J434" i="2"/>
  <c r="J433" i="2"/>
  <c r="J432" i="2"/>
  <c r="I432" i="2"/>
  <c r="J431" i="2"/>
  <c r="I431" i="2"/>
  <c r="J430" i="2"/>
  <c r="I430" i="2"/>
  <c r="J429" i="2"/>
  <c r="I429" i="2"/>
  <c r="I429" i="1" s="1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I417" i="1" s="1"/>
  <c r="J416" i="2"/>
  <c r="I416" i="2"/>
  <c r="J415" i="2"/>
  <c r="J414" i="2"/>
  <c r="J413" i="2"/>
  <c r="J412" i="2"/>
  <c r="J412" i="1" s="1"/>
  <c r="N410" i="2"/>
  <c r="N409" i="2"/>
  <c r="N409" i="1" s="1"/>
  <c r="N408" i="2"/>
  <c r="N407" i="2"/>
  <c r="N406" i="2"/>
  <c r="L406" i="2"/>
  <c r="L406" i="1" s="1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O401" i="2" s="1"/>
  <c r="J401" i="2"/>
  <c r="I401" i="2"/>
  <c r="I401" i="1" s="1"/>
  <c r="J400" i="2"/>
  <c r="J399" i="2"/>
  <c r="J398" i="2"/>
  <c r="I398" i="2"/>
  <c r="J397" i="2"/>
  <c r="I397" i="2"/>
  <c r="I397" i="1" s="1"/>
  <c r="J396" i="2"/>
  <c r="I396" i="2"/>
  <c r="J394" i="2"/>
  <c r="J393" i="2"/>
  <c r="J393" i="1" s="1"/>
  <c r="J392" i="2"/>
  <c r="J392" i="1" s="1"/>
  <c r="J391" i="2"/>
  <c r="J391" i="1" s="1"/>
  <c r="N389" i="2"/>
  <c r="N388" i="2"/>
  <c r="N387" i="2"/>
  <c r="N386" i="2"/>
  <c r="N386" i="1" s="1"/>
  <c r="N385" i="2"/>
  <c r="N385" i="1" s="1"/>
  <c r="L385" i="2"/>
  <c r="L385" i="1" s="1"/>
  <c r="N384" i="2"/>
  <c r="L384" i="2"/>
  <c r="N383" i="2"/>
  <c r="L383" i="2"/>
  <c r="O383" i="2" s="1"/>
  <c r="N382" i="2"/>
  <c r="N382" i="1" s="1"/>
  <c r="L382" i="2"/>
  <c r="J381" i="2"/>
  <c r="I381" i="2"/>
  <c r="N380" i="2"/>
  <c r="L380" i="2"/>
  <c r="J380" i="2"/>
  <c r="J380" i="1" s="1"/>
  <c r="I380" i="2"/>
  <c r="I380" i="1" s="1"/>
  <c r="J379" i="2"/>
  <c r="J378" i="2"/>
  <c r="J377" i="2"/>
  <c r="I377" i="2"/>
  <c r="K377" i="2" s="1"/>
  <c r="J376" i="2"/>
  <c r="J376" i="1" s="1"/>
  <c r="I376" i="2"/>
  <c r="K376" i="2" s="1"/>
  <c r="J375" i="2"/>
  <c r="I375" i="2"/>
  <c r="K375" i="2" s="1"/>
  <c r="J374" i="2"/>
  <c r="I374" i="2"/>
  <c r="K373" i="2"/>
  <c r="J373" i="2"/>
  <c r="J373" i="1" s="1"/>
  <c r="I373" i="2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3" i="1" s="1"/>
  <c r="J362" i="2"/>
  <c r="J361" i="2"/>
  <c r="J360" i="2"/>
  <c r="N358" i="2"/>
  <c r="N357" i="2"/>
  <c r="N356" i="2"/>
  <c r="N356" i="1" s="1"/>
  <c r="N355" i="2"/>
  <c r="N354" i="2"/>
  <c r="L354" i="2"/>
  <c r="O354" i="2" s="1"/>
  <c r="N353" i="2"/>
  <c r="L353" i="2"/>
  <c r="O353" i="2" s="1"/>
  <c r="N352" i="2"/>
  <c r="L352" i="2"/>
  <c r="O352" i="2" s="1"/>
  <c r="N351" i="2"/>
  <c r="N351" i="1" s="1"/>
  <c r="L351" i="2"/>
  <c r="O351" i="2" s="1"/>
  <c r="J350" i="2"/>
  <c r="I350" i="2"/>
  <c r="K350" i="2" s="1"/>
  <c r="N349" i="2"/>
  <c r="L349" i="2"/>
  <c r="O349" i="2" s="1"/>
  <c r="J349" i="2"/>
  <c r="J349" i="1" s="1"/>
  <c r="I349" i="2"/>
  <c r="K349" i="2" s="1"/>
  <c r="N347" i="2"/>
  <c r="L347" i="2"/>
  <c r="L347" i="1" s="1"/>
  <c r="O347" i="1" s="1"/>
  <c r="J346" i="2"/>
  <c r="I346" i="2"/>
  <c r="K346" i="2" s="1"/>
  <c r="J345" i="2"/>
  <c r="J345" i="1" s="1"/>
  <c r="I345" i="2"/>
  <c r="J344" i="2"/>
  <c r="I344" i="2"/>
  <c r="K344" i="2" s="1"/>
  <c r="J343" i="2"/>
  <c r="I343" i="2"/>
  <c r="J342" i="2"/>
  <c r="J342" i="1" s="1"/>
  <c r="I342" i="2"/>
  <c r="K342" i="2" s="1"/>
  <c r="J341" i="2"/>
  <c r="K341" i="2" s="1"/>
  <c r="I341" i="2"/>
  <c r="J340" i="2"/>
  <c r="I340" i="2"/>
  <c r="K340" i="2" s="1"/>
  <c r="J339" i="2"/>
  <c r="I339" i="2"/>
  <c r="K339" i="2" s="1"/>
  <c r="N337" i="2"/>
  <c r="N337" i="1" s="1"/>
  <c r="L337" i="2"/>
  <c r="O337" i="2" s="1"/>
  <c r="L335" i="2"/>
  <c r="L334" i="2"/>
  <c r="L334" i="1" s="1"/>
  <c r="N333" i="2"/>
  <c r="M333" i="2"/>
  <c r="M331" i="2" s="1"/>
  <c r="O332" i="2"/>
  <c r="N330" i="2"/>
  <c r="M330" i="2"/>
  <c r="P330" i="2" s="1"/>
  <c r="L330" i="2"/>
  <c r="J328" i="2"/>
  <c r="I328" i="2"/>
  <c r="J326" i="2"/>
  <c r="J326" i="1" s="1"/>
  <c r="J325" i="2"/>
  <c r="J324" i="2"/>
  <c r="J324" i="1" s="1"/>
  <c r="I324" i="2"/>
  <c r="J323" i="2"/>
  <c r="J322" i="2"/>
  <c r="J321" i="2"/>
  <c r="J321" i="1" s="1"/>
  <c r="J320" i="2"/>
  <c r="N318" i="2"/>
  <c r="N318" i="1" s="1"/>
  <c r="L318" i="2"/>
  <c r="O318" i="2" s="1"/>
  <c r="L316" i="2"/>
  <c r="L315" i="2"/>
  <c r="N314" i="2"/>
  <c r="N314" i="1" s="1"/>
  <c r="M314" i="2"/>
  <c r="O313" i="2"/>
  <c r="M312" i="2"/>
  <c r="N311" i="2"/>
  <c r="M311" i="2"/>
  <c r="L311" i="2"/>
  <c r="O311" i="2" s="1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J300" i="1" s="1"/>
  <c r="N298" i="2"/>
  <c r="L298" i="2"/>
  <c r="L296" i="2"/>
  <c r="L295" i="2"/>
  <c r="N294" i="2"/>
  <c r="M294" i="2"/>
  <c r="P294" i="2" s="1"/>
  <c r="O293" i="2"/>
  <c r="N291" i="2"/>
  <c r="M291" i="2"/>
  <c r="L291" i="2"/>
  <c r="J289" i="2"/>
  <c r="J289" i="1" s="1"/>
  <c r="I289" i="2"/>
  <c r="K289" i="2" s="1"/>
  <c r="J287" i="2"/>
  <c r="J286" i="2"/>
  <c r="J285" i="2"/>
  <c r="I285" i="2"/>
  <c r="J284" i="2"/>
  <c r="J284" i="1" s="1"/>
  <c r="J283" i="2"/>
  <c r="J283" i="1" s="1"/>
  <c r="J282" i="2"/>
  <c r="J281" i="2"/>
  <c r="N279" i="2"/>
  <c r="N273" i="2" s="1"/>
  <c r="L279" i="2"/>
  <c r="O279" i="2" s="1"/>
  <c r="L277" i="2"/>
  <c r="L276" i="2"/>
  <c r="L276" i="1" s="1"/>
  <c r="N275" i="2"/>
  <c r="M275" i="2"/>
  <c r="M273" i="2" s="1"/>
  <c r="M271" i="2" s="1"/>
  <c r="O274" i="2"/>
  <c r="O272" i="2"/>
  <c r="N272" i="2"/>
  <c r="M272" i="2"/>
  <c r="P272" i="2" s="1"/>
  <c r="L272" i="2"/>
  <c r="J270" i="2"/>
  <c r="I270" i="2"/>
  <c r="J269" i="2"/>
  <c r="J268" i="2"/>
  <c r="J268" i="1" s="1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J260" i="1" s="1"/>
  <c r="N258" i="2"/>
  <c r="L258" i="2"/>
  <c r="O258" i="2" s="1"/>
  <c r="L256" i="2"/>
  <c r="L255" i="2"/>
  <c r="N254" i="2"/>
  <c r="M254" i="2"/>
  <c r="P254" i="2" s="1"/>
  <c r="O253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2" i="1" s="1"/>
  <c r="J241" i="2"/>
  <c r="J240" i="2"/>
  <c r="J238" i="2"/>
  <c r="I238" i="2"/>
  <c r="K238" i="2" s="1"/>
  <c r="J237" i="2"/>
  <c r="J236" i="2"/>
  <c r="J236" i="1" s="1"/>
  <c r="J235" i="2"/>
  <c r="I235" i="2"/>
  <c r="J234" i="2"/>
  <c r="J233" i="2"/>
  <c r="J232" i="2"/>
  <c r="J231" i="2"/>
  <c r="J231" i="1" s="1"/>
  <c r="J229" i="2"/>
  <c r="I229" i="2"/>
  <c r="N228" i="2"/>
  <c r="L228" i="2"/>
  <c r="O228" i="2" s="1"/>
  <c r="L226" i="2"/>
  <c r="L225" i="2"/>
  <c r="L225" i="1" s="1"/>
  <c r="N224" i="2"/>
  <c r="M224" i="2"/>
  <c r="M222" i="2" s="1"/>
  <c r="O223" i="2"/>
  <c r="N221" i="2"/>
  <c r="M221" i="2"/>
  <c r="L221" i="2"/>
  <c r="J219" i="2"/>
  <c r="I219" i="2"/>
  <c r="J218" i="2"/>
  <c r="J217" i="2"/>
  <c r="J216" i="2"/>
  <c r="J216" i="1" s="1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3" i="1" s="1"/>
  <c r="J202" i="2"/>
  <c r="J201" i="2"/>
  <c r="I201" i="2"/>
  <c r="K201" i="2" s="1"/>
  <c r="J200" i="2"/>
  <c r="I200" i="2"/>
  <c r="K200" i="2" s="1"/>
  <c r="J199" i="2"/>
  <c r="J199" i="1" s="1"/>
  <c r="I199" i="2"/>
  <c r="J197" i="2"/>
  <c r="J196" i="2"/>
  <c r="J195" i="2"/>
  <c r="J194" i="2"/>
  <c r="J189" i="2"/>
  <c r="I189" i="2"/>
  <c r="I189" i="1" s="1"/>
  <c r="J188" i="2"/>
  <c r="J187" i="2"/>
  <c r="J186" i="2"/>
  <c r="I186" i="2"/>
  <c r="K186" i="2" s="1"/>
  <c r="J185" i="2"/>
  <c r="J185" i="1" s="1"/>
  <c r="I185" i="2"/>
  <c r="K185" i="2" s="1"/>
  <c r="J184" i="2"/>
  <c r="J183" i="2"/>
  <c r="J182" i="2"/>
  <c r="J181" i="2"/>
  <c r="J176" i="2"/>
  <c r="J176" i="1" s="1"/>
  <c r="I176" i="2"/>
  <c r="K176" i="2" s="1"/>
  <c r="J175" i="2"/>
  <c r="J174" i="2"/>
  <c r="J173" i="2"/>
  <c r="I173" i="2"/>
  <c r="K173" i="2" s="1"/>
  <c r="J172" i="2"/>
  <c r="J172" i="1" s="1"/>
  <c r="J171" i="2"/>
  <c r="J170" i="2"/>
  <c r="J169" i="2"/>
  <c r="J164" i="2"/>
  <c r="I164" i="2"/>
  <c r="K164" i="2" s="1"/>
  <c r="J163" i="2"/>
  <c r="J163" i="1" s="1"/>
  <c r="J162" i="2"/>
  <c r="J161" i="2"/>
  <c r="J160" i="2"/>
  <c r="J159" i="2"/>
  <c r="J158" i="2"/>
  <c r="I158" i="2"/>
  <c r="I158" i="1" s="1"/>
  <c r="K158" i="1" s="1"/>
  <c r="J157" i="2"/>
  <c r="J156" i="2"/>
  <c r="J155" i="2"/>
  <c r="J154" i="2"/>
  <c r="J149" i="2"/>
  <c r="J149" i="1" s="1"/>
  <c r="I149" i="2"/>
  <c r="I149" i="1" s="1"/>
  <c r="N148" i="2"/>
  <c r="L148" i="2"/>
  <c r="O148" i="2" s="1"/>
  <c r="L146" i="2"/>
  <c r="L145" i="2"/>
  <c r="N144" i="2"/>
  <c r="N142" i="2" s="1"/>
  <c r="N140" i="2" s="1"/>
  <c r="M144" i="2"/>
  <c r="M142" i="2" s="1"/>
  <c r="O143" i="2"/>
  <c r="N141" i="2"/>
  <c r="M141" i="2"/>
  <c r="P141" i="2" s="1"/>
  <c r="L141" i="2"/>
  <c r="J138" i="2"/>
  <c r="I138" i="2"/>
  <c r="K138" i="2" s="1"/>
  <c r="J135" i="2"/>
  <c r="J134" i="2"/>
  <c r="J133" i="2"/>
  <c r="I133" i="2"/>
  <c r="K133" i="2" s="1"/>
  <c r="J132" i="2"/>
  <c r="I132" i="2"/>
  <c r="J131" i="2"/>
  <c r="J130" i="2"/>
  <c r="J129" i="2"/>
  <c r="J128" i="2"/>
  <c r="J128" i="1" s="1"/>
  <c r="N126" i="2"/>
  <c r="L126" i="2"/>
  <c r="O126" i="2" s="1"/>
  <c r="L124" i="2"/>
  <c r="L123" i="2"/>
  <c r="L122" i="2" s="1"/>
  <c r="N122" i="2"/>
  <c r="M122" i="2"/>
  <c r="P122" i="2" s="1"/>
  <c r="O121" i="2"/>
  <c r="P119" i="2"/>
  <c r="N119" i="2"/>
  <c r="M119" i="2"/>
  <c r="L119" i="2"/>
  <c r="O119" i="2" s="1"/>
  <c r="J117" i="2"/>
  <c r="I117" i="2"/>
  <c r="J115" i="2"/>
  <c r="J115" i="1" s="1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J104" i="1" s="1"/>
  <c r="N102" i="2"/>
  <c r="L102" i="2"/>
  <c r="O102" i="2" s="1"/>
  <c r="L100" i="2"/>
  <c r="L99" i="2"/>
  <c r="L98" i="2" s="1"/>
  <c r="N98" i="2"/>
  <c r="N96" i="2" s="1"/>
  <c r="N94" i="2" s="1"/>
  <c r="M98" i="2"/>
  <c r="P98" i="2" s="1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J88" i="1" s="1"/>
  <c r="I88" i="2"/>
  <c r="K88" i="2" s="1"/>
  <c r="J87" i="2"/>
  <c r="I87" i="2"/>
  <c r="K87" i="2" s="1"/>
  <c r="J86" i="2"/>
  <c r="I86" i="2"/>
  <c r="K86" i="2" s="1"/>
  <c r="J85" i="2"/>
  <c r="J85" i="1" s="1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L70" i="2" s="1"/>
  <c r="N70" i="2"/>
  <c r="M70" i="2"/>
  <c r="O69" i="2"/>
  <c r="O67" i="2"/>
  <c r="N67" i="2"/>
  <c r="M67" i="2"/>
  <c r="P67" i="2" s="1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L47" i="2"/>
  <c r="L46" i="2"/>
  <c r="N45" i="2"/>
  <c r="M45" i="2"/>
  <c r="P42" i="2"/>
  <c r="N42" i="2"/>
  <c r="M42" i="2"/>
  <c r="L42" i="2"/>
  <c r="O42" i="2" s="1"/>
  <c r="P36" i="2"/>
  <c r="O36" i="2"/>
  <c r="P35" i="2"/>
  <c r="O35" i="2"/>
  <c r="M34" i="2"/>
  <c r="P34" i="2" s="1"/>
  <c r="P33" i="2"/>
  <c r="M33" i="2"/>
  <c r="P32" i="2"/>
  <c r="M32" i="2"/>
  <c r="M31" i="2"/>
  <c r="P31" i="2" s="1"/>
  <c r="M30" i="2"/>
  <c r="P30" i="2" s="1"/>
  <c r="M29" i="2"/>
  <c r="P26" i="2"/>
  <c r="M26" i="2"/>
  <c r="P25" i="2"/>
  <c r="O25" i="2"/>
  <c r="N25" i="2"/>
  <c r="M25" i="2"/>
  <c r="L25" i="2"/>
  <c r="N24" i="2"/>
  <c r="M24" i="2"/>
  <c r="P24" i="2" s="1"/>
  <c r="N23" i="2"/>
  <c r="M23" i="2"/>
  <c r="P21" i="2"/>
  <c r="N21" i="2"/>
  <c r="M21" i="2"/>
  <c r="L21" i="2"/>
  <c r="P19" i="2"/>
  <c r="N19" i="2"/>
  <c r="M19" i="2"/>
  <c r="M16" i="2"/>
  <c r="P16" i="2" s="1"/>
  <c r="N15" i="2"/>
  <c r="M15" i="2"/>
  <c r="P15" i="2" s="1"/>
  <c r="L15" i="2"/>
  <c r="O15" i="2" s="1"/>
  <c r="M14" i="2"/>
  <c r="P14" i="2" s="1"/>
  <c r="M11" i="2"/>
  <c r="P11" i="2" s="1"/>
  <c r="M9" i="2"/>
  <c r="J633" i="1"/>
  <c r="I632" i="1"/>
  <c r="J631" i="1"/>
  <c r="I630" i="1"/>
  <c r="J626" i="1"/>
  <c r="I625" i="1"/>
  <c r="J624" i="1"/>
  <c r="I623" i="1"/>
  <c r="J620" i="1"/>
  <c r="I619" i="1"/>
  <c r="J618" i="1"/>
  <c r="I617" i="1"/>
  <c r="J614" i="1"/>
  <c r="J612" i="1"/>
  <c r="I611" i="1"/>
  <c r="J610" i="1"/>
  <c r="N604" i="1"/>
  <c r="N602" i="1"/>
  <c r="N601" i="1"/>
  <c r="N600" i="1"/>
  <c r="L600" i="1"/>
  <c r="O600" i="1" s="1"/>
  <c r="N598" i="1"/>
  <c r="N597" i="1"/>
  <c r="I597" i="1"/>
  <c r="J596" i="1"/>
  <c r="J595" i="1"/>
  <c r="I595" i="1"/>
  <c r="J594" i="1"/>
  <c r="J593" i="1"/>
  <c r="J592" i="1"/>
  <c r="I591" i="1"/>
  <c r="J590" i="1"/>
  <c r="J589" i="1"/>
  <c r="I589" i="1"/>
  <c r="K589" i="1" s="1"/>
  <c r="N587" i="1"/>
  <c r="N584" i="1"/>
  <c r="L583" i="1"/>
  <c r="O583" i="1" s="1"/>
  <c r="N582" i="1"/>
  <c r="L581" i="1"/>
  <c r="O581" i="1" s="1"/>
  <c r="J579" i="1"/>
  <c r="I578" i="1"/>
  <c r="K578" i="1" s="1"/>
  <c r="J577" i="1"/>
  <c r="I576" i="1"/>
  <c r="K576" i="1" s="1"/>
  <c r="N572" i="1"/>
  <c r="N571" i="1"/>
  <c r="N569" i="1"/>
  <c r="N568" i="1"/>
  <c r="L567" i="1"/>
  <c r="O567" i="1" s="1"/>
  <c r="L566" i="1"/>
  <c r="N564" i="1"/>
  <c r="L564" i="1"/>
  <c r="I564" i="1"/>
  <c r="J563" i="1"/>
  <c r="I563" i="1"/>
  <c r="J562" i="1"/>
  <c r="I562" i="1"/>
  <c r="I561" i="1"/>
  <c r="J560" i="1"/>
  <c r="I560" i="1"/>
  <c r="N558" i="1"/>
  <c r="N556" i="1"/>
  <c r="N554" i="1"/>
  <c r="L554" i="1"/>
  <c r="O554" i="1" s="1"/>
  <c r="N551" i="1"/>
  <c r="I551" i="1"/>
  <c r="J548" i="1"/>
  <c r="I548" i="1"/>
  <c r="K548" i="1" s="1"/>
  <c r="J547" i="1"/>
  <c r="I547" i="1"/>
  <c r="J545" i="1"/>
  <c r="J544" i="1"/>
  <c r="N541" i="1"/>
  <c r="N540" i="1"/>
  <c r="N538" i="1"/>
  <c r="N537" i="1"/>
  <c r="L536" i="1"/>
  <c r="O536" i="1" s="1"/>
  <c r="L535" i="1"/>
  <c r="L534" i="1"/>
  <c r="O534" i="1" s="1"/>
  <c r="N533" i="1"/>
  <c r="L533" i="1"/>
  <c r="I533" i="1"/>
  <c r="J532" i="1"/>
  <c r="J531" i="1"/>
  <c r="I531" i="1"/>
  <c r="I530" i="1"/>
  <c r="J529" i="1"/>
  <c r="J528" i="1"/>
  <c r="I528" i="1"/>
  <c r="I527" i="1"/>
  <c r="J526" i="1"/>
  <c r="J525" i="1"/>
  <c r="I525" i="1"/>
  <c r="I524" i="1"/>
  <c r="J523" i="1"/>
  <c r="J522" i="1"/>
  <c r="I522" i="1"/>
  <c r="I521" i="1"/>
  <c r="J520" i="1"/>
  <c r="J519" i="1"/>
  <c r="I519" i="1"/>
  <c r="I518" i="1"/>
  <c r="J517" i="1"/>
  <c r="I517" i="1"/>
  <c r="J516" i="1"/>
  <c r="I516" i="1"/>
  <c r="I515" i="1"/>
  <c r="K515" i="1" s="1"/>
  <c r="J514" i="1"/>
  <c r="I514" i="1"/>
  <c r="K514" i="1" s="1"/>
  <c r="J513" i="1"/>
  <c r="I513" i="1"/>
  <c r="K513" i="1" s="1"/>
  <c r="J511" i="1"/>
  <c r="I511" i="1"/>
  <c r="K511" i="1" s="1"/>
  <c r="J510" i="1"/>
  <c r="I510" i="1"/>
  <c r="K510" i="1" s="1"/>
  <c r="I509" i="1"/>
  <c r="K509" i="1" s="1"/>
  <c r="I508" i="1"/>
  <c r="K508" i="1" s="1"/>
  <c r="J507" i="1"/>
  <c r="I506" i="1"/>
  <c r="K506" i="1" s="1"/>
  <c r="J505" i="1"/>
  <c r="J504" i="1"/>
  <c r="I504" i="1"/>
  <c r="K504" i="1" s="1"/>
  <c r="J503" i="1"/>
  <c r="I503" i="1"/>
  <c r="K503" i="1" s="1"/>
  <c r="I502" i="1"/>
  <c r="K502" i="1" s="1"/>
  <c r="I501" i="1"/>
  <c r="K501" i="1" s="1"/>
  <c r="J500" i="1"/>
  <c r="I500" i="1"/>
  <c r="K500" i="1" s="1"/>
  <c r="I499" i="1"/>
  <c r="I498" i="1"/>
  <c r="J497" i="1"/>
  <c r="I497" i="1"/>
  <c r="I496" i="1"/>
  <c r="K496" i="1" s="1"/>
  <c r="I494" i="1"/>
  <c r="K494" i="1" s="1"/>
  <c r="I493" i="1"/>
  <c r="K493" i="1" s="1"/>
  <c r="J491" i="1"/>
  <c r="I491" i="1"/>
  <c r="K491" i="1" s="1"/>
  <c r="J490" i="1"/>
  <c r="I490" i="1"/>
  <c r="K490" i="1" s="1"/>
  <c r="J488" i="1"/>
  <c r="I488" i="1"/>
  <c r="K488" i="1" s="1"/>
  <c r="J487" i="1"/>
  <c r="I487" i="1"/>
  <c r="K487" i="1" s="1"/>
  <c r="J485" i="1"/>
  <c r="I485" i="1"/>
  <c r="K485" i="1" s="1"/>
  <c r="J484" i="1"/>
  <c r="I484" i="1"/>
  <c r="K484" i="1" s="1"/>
  <c r="J482" i="1"/>
  <c r="I482" i="1"/>
  <c r="J481" i="1"/>
  <c r="I481" i="1"/>
  <c r="J479" i="1"/>
  <c r="I479" i="1"/>
  <c r="K479" i="1" s="1"/>
  <c r="J478" i="1"/>
  <c r="I478" i="1"/>
  <c r="K478" i="1" s="1"/>
  <c r="J476" i="1"/>
  <c r="I476" i="1"/>
  <c r="K476" i="1" s="1"/>
  <c r="J475" i="1"/>
  <c r="I475" i="1"/>
  <c r="K475" i="1" s="1"/>
  <c r="I474" i="1"/>
  <c r="J473" i="1"/>
  <c r="J472" i="1"/>
  <c r="I472" i="1"/>
  <c r="K472" i="1" s="1"/>
  <c r="I471" i="1"/>
  <c r="K471" i="1" s="1"/>
  <c r="J470" i="1"/>
  <c r="I470" i="1"/>
  <c r="K470" i="1" s="1"/>
  <c r="J469" i="1"/>
  <c r="I469" i="1"/>
  <c r="K469" i="1" s="1"/>
  <c r="I468" i="1"/>
  <c r="K468" i="1" s="1"/>
  <c r="J467" i="1"/>
  <c r="I467" i="1"/>
  <c r="K467" i="1" s="1"/>
  <c r="J466" i="1"/>
  <c r="I465" i="1"/>
  <c r="J464" i="1"/>
  <c r="I464" i="1"/>
  <c r="K464" i="1" s="1"/>
  <c r="N460" i="1"/>
  <c r="N458" i="1"/>
  <c r="N457" i="1"/>
  <c r="N456" i="1"/>
  <c r="L456" i="1"/>
  <c r="O456" i="1" s="1"/>
  <c r="N455" i="1"/>
  <c r="I455" i="1"/>
  <c r="J454" i="1"/>
  <c r="J453" i="1"/>
  <c r="J452" i="1"/>
  <c r="I451" i="1"/>
  <c r="J450" i="1"/>
  <c r="I450" i="1"/>
  <c r="J449" i="1"/>
  <c r="J447" i="1"/>
  <c r="J445" i="1"/>
  <c r="N443" i="1"/>
  <c r="N440" i="1"/>
  <c r="N439" i="1"/>
  <c r="L439" i="1"/>
  <c r="L437" i="1"/>
  <c r="L436" i="1"/>
  <c r="O436" i="1" s="1"/>
  <c r="N435" i="1"/>
  <c r="I435" i="1"/>
  <c r="J433" i="1"/>
  <c r="J432" i="1"/>
  <c r="J431" i="1"/>
  <c r="I431" i="1"/>
  <c r="J430" i="1"/>
  <c r="J429" i="1"/>
  <c r="J427" i="1"/>
  <c r="I427" i="1"/>
  <c r="J426" i="1"/>
  <c r="I425" i="1"/>
  <c r="J424" i="1"/>
  <c r="J423" i="1"/>
  <c r="I423" i="1"/>
  <c r="K423" i="1" s="1"/>
  <c r="J421" i="1"/>
  <c r="I421" i="1"/>
  <c r="J420" i="1"/>
  <c r="J419" i="1"/>
  <c r="I419" i="1"/>
  <c r="J418" i="1"/>
  <c r="J417" i="1"/>
  <c r="J415" i="1"/>
  <c r="J414" i="1"/>
  <c r="J413" i="1"/>
  <c r="N408" i="1"/>
  <c r="N407" i="1"/>
  <c r="N406" i="1"/>
  <c r="N405" i="1"/>
  <c r="L405" i="1"/>
  <c r="O405" i="1" s="1"/>
  <c r="N404" i="1"/>
  <c r="L404" i="1"/>
  <c r="N403" i="1"/>
  <c r="J402" i="1"/>
  <c r="I402" i="1"/>
  <c r="N401" i="1"/>
  <c r="L401" i="1"/>
  <c r="J401" i="1"/>
  <c r="J399" i="1"/>
  <c r="J398" i="1"/>
  <c r="I398" i="1"/>
  <c r="I396" i="1"/>
  <c r="J394" i="1"/>
  <c r="N389" i="1"/>
  <c r="N388" i="1"/>
  <c r="N387" i="1"/>
  <c r="N384" i="1"/>
  <c r="N383" i="1"/>
  <c r="L383" i="1"/>
  <c r="O383" i="1" s="1"/>
  <c r="I381" i="1"/>
  <c r="N380" i="1"/>
  <c r="J379" i="1"/>
  <c r="J378" i="1"/>
  <c r="J377" i="1"/>
  <c r="I377" i="1"/>
  <c r="K377" i="1" s="1"/>
  <c r="J375" i="1"/>
  <c r="I375" i="1"/>
  <c r="J374" i="1"/>
  <c r="I374" i="1"/>
  <c r="I373" i="1"/>
  <c r="K373" i="1" s="1"/>
  <c r="J372" i="1"/>
  <c r="I372" i="1"/>
  <c r="I371" i="1"/>
  <c r="K371" i="1" s="1"/>
  <c r="J370" i="1"/>
  <c r="I370" i="1"/>
  <c r="I369" i="1"/>
  <c r="K369" i="1" s="1"/>
  <c r="J367" i="1"/>
  <c r="J366" i="1"/>
  <c r="I365" i="1"/>
  <c r="K365" i="1" s="1"/>
  <c r="J364" i="1"/>
  <c r="J362" i="1"/>
  <c r="J361" i="1"/>
  <c r="N358" i="1"/>
  <c r="N357" i="1"/>
  <c r="N355" i="1"/>
  <c r="N354" i="1"/>
  <c r="N353" i="1"/>
  <c r="N352" i="1"/>
  <c r="L352" i="1"/>
  <c r="L351" i="1"/>
  <c r="O351" i="1" s="1"/>
  <c r="J350" i="1"/>
  <c r="I350" i="1"/>
  <c r="K350" i="1" s="1"/>
  <c r="N349" i="1"/>
  <c r="L349" i="1"/>
  <c r="N347" i="1"/>
  <c r="J346" i="1"/>
  <c r="I346" i="1"/>
  <c r="K346" i="1" s="1"/>
  <c r="I345" i="1"/>
  <c r="J344" i="1"/>
  <c r="J343" i="1"/>
  <c r="I343" i="1"/>
  <c r="I342" i="1"/>
  <c r="K342" i="1" s="1"/>
  <c r="I341" i="1"/>
  <c r="J340" i="1"/>
  <c r="J339" i="1"/>
  <c r="I339" i="1"/>
  <c r="K339" i="1" s="1"/>
  <c r="L337" i="1"/>
  <c r="L336" i="1"/>
  <c r="L335" i="1"/>
  <c r="N333" i="1"/>
  <c r="M333" i="1"/>
  <c r="P333" i="1" s="1"/>
  <c r="O332" i="1"/>
  <c r="N332" i="1"/>
  <c r="M332" i="1"/>
  <c r="L332" i="1"/>
  <c r="N330" i="1"/>
  <c r="M330" i="1"/>
  <c r="P330" i="1" s="1"/>
  <c r="L330" i="1"/>
  <c r="O330" i="1" s="1"/>
  <c r="J328" i="1"/>
  <c r="I328" i="1"/>
  <c r="J325" i="1"/>
  <c r="I324" i="1"/>
  <c r="J323" i="1"/>
  <c r="J322" i="1"/>
  <c r="J320" i="1"/>
  <c r="L318" i="1"/>
  <c r="O318" i="1" s="1"/>
  <c r="L317" i="1"/>
  <c r="L316" i="1"/>
  <c r="L315" i="1"/>
  <c r="M314" i="1"/>
  <c r="O313" i="1"/>
  <c r="N313" i="1"/>
  <c r="M313" i="1"/>
  <c r="L313" i="1"/>
  <c r="N311" i="1"/>
  <c r="M311" i="1"/>
  <c r="P311" i="1" s="1"/>
  <c r="L311" i="1"/>
  <c r="O311" i="1" s="1"/>
  <c r="J309" i="1"/>
  <c r="I309" i="1"/>
  <c r="J308" i="1"/>
  <c r="J307" i="1"/>
  <c r="J306" i="1"/>
  <c r="J304" i="1"/>
  <c r="I304" i="1"/>
  <c r="J303" i="1"/>
  <c r="J302" i="1"/>
  <c r="J301" i="1"/>
  <c r="N298" i="1"/>
  <c r="L298" i="1"/>
  <c r="O298" i="1" s="1"/>
  <c r="L297" i="1"/>
  <c r="L296" i="1"/>
  <c r="L295" i="1"/>
  <c r="N294" i="1"/>
  <c r="M294" i="1"/>
  <c r="N293" i="1"/>
  <c r="M293" i="1"/>
  <c r="L293" i="1"/>
  <c r="O293" i="1" s="1"/>
  <c r="P291" i="1"/>
  <c r="O291" i="1"/>
  <c r="N291" i="1"/>
  <c r="M291" i="1"/>
  <c r="L291" i="1"/>
  <c r="J287" i="1"/>
  <c r="J286" i="1"/>
  <c r="J285" i="1"/>
  <c r="I285" i="1"/>
  <c r="J282" i="1"/>
  <c r="J281" i="1"/>
  <c r="N279" i="1"/>
  <c r="L279" i="1"/>
  <c r="O279" i="1" s="1"/>
  <c r="L278" i="1"/>
  <c r="N275" i="1"/>
  <c r="M275" i="1"/>
  <c r="N274" i="1"/>
  <c r="M274" i="1"/>
  <c r="L274" i="1"/>
  <c r="O274" i="1" s="1"/>
  <c r="P272" i="1"/>
  <c r="O272" i="1"/>
  <c r="N272" i="1"/>
  <c r="M272" i="1"/>
  <c r="L272" i="1"/>
  <c r="J270" i="1"/>
  <c r="I270" i="1"/>
  <c r="J269" i="1"/>
  <c r="J267" i="1"/>
  <c r="I267" i="1"/>
  <c r="J266" i="1"/>
  <c r="I266" i="1"/>
  <c r="J265" i="1"/>
  <c r="J264" i="1"/>
  <c r="I264" i="1"/>
  <c r="J263" i="1"/>
  <c r="J262" i="1"/>
  <c r="J261" i="1"/>
  <c r="N258" i="1"/>
  <c r="L258" i="1"/>
  <c r="O258" i="1" s="1"/>
  <c r="L257" i="1"/>
  <c r="L256" i="1"/>
  <c r="L255" i="1"/>
  <c r="O253" i="1"/>
  <c r="N253" i="1"/>
  <c r="M253" i="1"/>
  <c r="L253" i="1"/>
  <c r="N251" i="1"/>
  <c r="M251" i="1"/>
  <c r="P251" i="1" s="1"/>
  <c r="L251" i="1"/>
  <c r="O251" i="1" s="1"/>
  <c r="J249" i="1"/>
  <c r="J246" i="1"/>
  <c r="J245" i="1"/>
  <c r="J244" i="1"/>
  <c r="J243" i="1"/>
  <c r="J241" i="1"/>
  <c r="J240" i="1"/>
  <c r="J238" i="1"/>
  <c r="J237" i="1"/>
  <c r="J235" i="1"/>
  <c r="I235" i="1"/>
  <c r="J234" i="1"/>
  <c r="J232" i="1"/>
  <c r="J229" i="1"/>
  <c r="I229" i="1"/>
  <c r="N228" i="1"/>
  <c r="L227" i="1"/>
  <c r="L226" i="1"/>
  <c r="N224" i="1"/>
  <c r="M224" i="1"/>
  <c r="N223" i="1"/>
  <c r="M223" i="1"/>
  <c r="L223" i="1"/>
  <c r="O223" i="1" s="1"/>
  <c r="P221" i="1"/>
  <c r="O221" i="1"/>
  <c r="N221" i="1"/>
  <c r="M221" i="1"/>
  <c r="L221" i="1"/>
  <c r="J219" i="1"/>
  <c r="I219" i="1"/>
  <c r="J218" i="1"/>
  <c r="J217" i="1"/>
  <c r="I216" i="1"/>
  <c r="J215" i="1"/>
  <c r="I215" i="1"/>
  <c r="J214" i="1"/>
  <c r="I214" i="1"/>
  <c r="J213" i="1"/>
  <c r="I213" i="1"/>
  <c r="J212" i="1"/>
  <c r="J211" i="1"/>
  <c r="J209" i="1"/>
  <c r="J204" i="1"/>
  <c r="I204" i="1"/>
  <c r="J202" i="1"/>
  <c r="J201" i="1"/>
  <c r="I201" i="1"/>
  <c r="J200" i="1"/>
  <c r="I200" i="1"/>
  <c r="I199" i="1"/>
  <c r="J198" i="1"/>
  <c r="J197" i="1"/>
  <c r="J196" i="1"/>
  <c r="J195" i="1"/>
  <c r="J194" i="1"/>
  <c r="J189" i="1"/>
  <c r="J188" i="1"/>
  <c r="J187" i="1"/>
  <c r="J186" i="1"/>
  <c r="I186" i="1"/>
  <c r="J184" i="1"/>
  <c r="J183" i="1"/>
  <c r="J182" i="1"/>
  <c r="J181" i="1"/>
  <c r="J175" i="1"/>
  <c r="J174" i="1"/>
  <c r="J173" i="1"/>
  <c r="I173" i="1"/>
  <c r="K173" i="1" s="1"/>
  <c r="J171" i="1"/>
  <c r="J170" i="1"/>
  <c r="J169" i="1"/>
  <c r="J164" i="1"/>
  <c r="I164" i="1"/>
  <c r="K164" i="1" s="1"/>
  <c r="J162" i="1"/>
  <c r="J161" i="1"/>
  <c r="J160" i="1"/>
  <c r="J159" i="1"/>
  <c r="J158" i="1"/>
  <c r="J157" i="1"/>
  <c r="J156" i="1"/>
  <c r="J155" i="1"/>
  <c r="J154" i="1"/>
  <c r="N148" i="1"/>
  <c r="L148" i="1"/>
  <c r="L147" i="1"/>
  <c r="L146" i="1"/>
  <c r="L145" i="1"/>
  <c r="N144" i="1"/>
  <c r="N143" i="1"/>
  <c r="M143" i="1"/>
  <c r="L143" i="1"/>
  <c r="O143" i="1" s="1"/>
  <c r="P141" i="1"/>
  <c r="O141" i="1"/>
  <c r="N141" i="1"/>
  <c r="M141" i="1"/>
  <c r="L141" i="1"/>
  <c r="J138" i="1"/>
  <c r="J135" i="1"/>
  <c r="J134" i="1"/>
  <c r="J133" i="1"/>
  <c r="J132" i="1"/>
  <c r="I132" i="1"/>
  <c r="K132" i="1" s="1"/>
  <c r="J131" i="1"/>
  <c r="J130" i="1"/>
  <c r="J129" i="1"/>
  <c r="N126" i="1"/>
  <c r="L125" i="1"/>
  <c r="L124" i="1"/>
  <c r="L123" i="1"/>
  <c r="N122" i="1"/>
  <c r="N121" i="1"/>
  <c r="M121" i="1"/>
  <c r="L121" i="1"/>
  <c r="O121" i="1" s="1"/>
  <c r="N119" i="1"/>
  <c r="M119" i="1"/>
  <c r="P119" i="1" s="1"/>
  <c r="L119" i="1"/>
  <c r="O119" i="1" s="1"/>
  <c r="I117" i="1"/>
  <c r="J114" i="1"/>
  <c r="J113" i="1"/>
  <c r="I113" i="1"/>
  <c r="J112" i="1"/>
  <c r="I112" i="1"/>
  <c r="J111" i="1"/>
  <c r="I111" i="1"/>
  <c r="K111" i="1" s="1"/>
  <c r="J110" i="1"/>
  <c r="J109" i="1"/>
  <c r="J108" i="1"/>
  <c r="I108" i="1"/>
  <c r="J107" i="1"/>
  <c r="J105" i="1"/>
  <c r="N102" i="1"/>
  <c r="L102" i="1"/>
  <c r="L101" i="1"/>
  <c r="L100" i="1"/>
  <c r="N98" i="1"/>
  <c r="M98" i="1"/>
  <c r="N97" i="1"/>
  <c r="M97" i="1"/>
  <c r="L97" i="1"/>
  <c r="O97" i="1" s="1"/>
  <c r="P95" i="1"/>
  <c r="O95" i="1"/>
  <c r="N95" i="1"/>
  <c r="M95" i="1"/>
  <c r="L95" i="1"/>
  <c r="J93" i="1"/>
  <c r="I93" i="1"/>
  <c r="K93" i="1" s="1"/>
  <c r="J92" i="1"/>
  <c r="I92" i="1"/>
  <c r="J90" i="1"/>
  <c r="J89" i="1"/>
  <c r="I88" i="1"/>
  <c r="J87" i="1"/>
  <c r="I87" i="1"/>
  <c r="J86" i="1"/>
  <c r="I86" i="1"/>
  <c r="I85" i="1"/>
  <c r="J84" i="1"/>
  <c r="I84" i="1"/>
  <c r="K84" i="1" s="1"/>
  <c r="J83" i="1"/>
  <c r="I83" i="1"/>
  <c r="J82" i="1"/>
  <c r="I82" i="1"/>
  <c r="K82" i="1" s="1"/>
  <c r="J81" i="1"/>
  <c r="I81" i="1"/>
  <c r="K81" i="1" s="1"/>
  <c r="J80" i="1"/>
  <c r="J79" i="1"/>
  <c r="J78" i="1"/>
  <c r="J77" i="1"/>
  <c r="J76" i="1"/>
  <c r="N74" i="1"/>
  <c r="L73" i="1"/>
  <c r="L72" i="1"/>
  <c r="L71" i="1"/>
  <c r="N70" i="1"/>
  <c r="M70" i="1"/>
  <c r="N69" i="1"/>
  <c r="N21" i="1" s="1"/>
  <c r="M69" i="1"/>
  <c r="L69" i="1"/>
  <c r="O69" i="1" s="1"/>
  <c r="N67" i="1"/>
  <c r="M67" i="1"/>
  <c r="P67" i="1" s="1"/>
  <c r="L67" i="1"/>
  <c r="O67" i="1" s="1"/>
  <c r="J65" i="1"/>
  <c r="I65" i="1"/>
  <c r="J64" i="1"/>
  <c r="I64" i="1"/>
  <c r="N61" i="1"/>
  <c r="L61" i="1"/>
  <c r="O61" i="1" s="1"/>
  <c r="L60" i="1"/>
  <c r="L59" i="1"/>
  <c r="L58" i="1"/>
  <c r="N57" i="1"/>
  <c r="M57" i="1"/>
  <c r="M55" i="1" s="1"/>
  <c r="M53" i="1" s="1"/>
  <c r="L56" i="1"/>
  <c r="P54" i="1"/>
  <c r="O54" i="1"/>
  <c r="N54" i="1"/>
  <c r="M54" i="1"/>
  <c r="L54" i="1"/>
  <c r="N49" i="1"/>
  <c r="L49" i="1"/>
  <c r="L48" i="1"/>
  <c r="L25" i="1" s="1"/>
  <c r="L47" i="1"/>
  <c r="L46" i="1"/>
  <c r="N45" i="1"/>
  <c r="M45" i="1"/>
  <c r="M43" i="1" s="1"/>
  <c r="L44" i="1"/>
  <c r="N42" i="1"/>
  <c r="M42" i="1"/>
  <c r="P36" i="1"/>
  <c r="O36" i="1"/>
  <c r="P35" i="1"/>
  <c r="O35" i="1"/>
  <c r="M34" i="1"/>
  <c r="P34" i="1" s="1"/>
  <c r="M33" i="1"/>
  <c r="P33" i="1" s="1"/>
  <c r="P32" i="1"/>
  <c r="M32" i="1"/>
  <c r="P31" i="1"/>
  <c r="M31" i="1"/>
  <c r="P30" i="1"/>
  <c r="M30" i="1"/>
  <c r="M29" i="1"/>
  <c r="P29" i="1" s="1"/>
  <c r="M28" i="1"/>
  <c r="P28" i="1" s="1"/>
  <c r="M26" i="1"/>
  <c r="P26" i="1" s="1"/>
  <c r="N25" i="1"/>
  <c r="M25" i="1"/>
  <c r="P25" i="1" s="1"/>
  <c r="P24" i="1"/>
  <c r="N24" i="1"/>
  <c r="M24" i="1"/>
  <c r="N23" i="1"/>
  <c r="M23" i="1"/>
  <c r="P23" i="1" s="1"/>
  <c r="M21" i="1"/>
  <c r="M19" i="1" s="1"/>
  <c r="L21" i="1"/>
  <c r="O21" i="1" s="1"/>
  <c r="M16" i="1"/>
  <c r="P16" i="1" s="1"/>
  <c r="N15" i="1"/>
  <c r="M15" i="1"/>
  <c r="P15" i="1" s="1"/>
  <c r="M14" i="1"/>
  <c r="P14" i="1" s="1"/>
  <c r="M13" i="1"/>
  <c r="P13" i="1" s="1"/>
  <c r="N29" i="4" l="1"/>
  <c r="N11" i="4"/>
  <c r="N9" i="4" s="1"/>
  <c r="I109" i="1"/>
  <c r="K109" i="1" s="1"/>
  <c r="M144" i="1"/>
  <c r="K264" i="1"/>
  <c r="I289" i="1"/>
  <c r="O352" i="1"/>
  <c r="I376" i="1"/>
  <c r="I480" i="1"/>
  <c r="K480" i="1" s="1"/>
  <c r="I483" i="1"/>
  <c r="K483" i="1" s="1"/>
  <c r="I486" i="1"/>
  <c r="K486" i="1" s="1"/>
  <c r="I489" i="1"/>
  <c r="K489" i="1" s="1"/>
  <c r="L552" i="1"/>
  <c r="O552" i="1" s="1"/>
  <c r="L568" i="1"/>
  <c r="N120" i="2"/>
  <c r="K219" i="2"/>
  <c r="J360" i="1"/>
  <c r="J365" i="1"/>
  <c r="N436" i="1"/>
  <c r="J578" i="1"/>
  <c r="N583" i="1"/>
  <c r="N68" i="3"/>
  <c r="N66" i="3" s="1"/>
  <c r="N312" i="3"/>
  <c r="N310" i="3" s="1"/>
  <c r="L33" i="4"/>
  <c r="O33" i="4" s="1"/>
  <c r="K158" i="4"/>
  <c r="O333" i="4"/>
  <c r="P45" i="5"/>
  <c r="K132" i="5"/>
  <c r="N222" i="5"/>
  <c r="N220" i="5" s="1"/>
  <c r="K377" i="6"/>
  <c r="K450" i="6"/>
  <c r="K611" i="6"/>
  <c r="L275" i="7"/>
  <c r="K633" i="8"/>
  <c r="K328" i="9"/>
  <c r="N33" i="9"/>
  <c r="N13" i="9" s="1"/>
  <c r="K372" i="9"/>
  <c r="K424" i="9"/>
  <c r="K200" i="10"/>
  <c r="K375" i="11"/>
  <c r="K381" i="11"/>
  <c r="O337" i="13"/>
  <c r="O349" i="13"/>
  <c r="O352" i="13"/>
  <c r="K466" i="13"/>
  <c r="K580" i="13"/>
  <c r="N252" i="14"/>
  <c r="K497" i="14"/>
  <c r="O439" i="15"/>
  <c r="O459" i="15"/>
  <c r="K482" i="15"/>
  <c r="K285" i="16"/>
  <c r="K430" i="16"/>
  <c r="K450" i="16"/>
  <c r="K264" i="17"/>
  <c r="O566" i="17"/>
  <c r="K573" i="17"/>
  <c r="K199" i="18"/>
  <c r="K498" i="1"/>
  <c r="K83" i="1"/>
  <c r="K92" i="1"/>
  <c r="K113" i="1"/>
  <c r="O337" i="1"/>
  <c r="J341" i="1"/>
  <c r="K341" i="1" s="1"/>
  <c r="O439" i="1"/>
  <c r="I477" i="1"/>
  <c r="K477" i="1" s="1"/>
  <c r="L537" i="1"/>
  <c r="O537" i="1" s="1"/>
  <c r="K597" i="1"/>
  <c r="J210" i="1"/>
  <c r="K451" i="2"/>
  <c r="K465" i="2"/>
  <c r="P70" i="3"/>
  <c r="K81" i="3"/>
  <c r="K92" i="3"/>
  <c r="O404" i="3"/>
  <c r="K109" i="4"/>
  <c r="K112" i="4"/>
  <c r="O349" i="4"/>
  <c r="K426" i="4"/>
  <c r="K189" i="5"/>
  <c r="K380" i="5"/>
  <c r="L43" i="6"/>
  <c r="M68" i="6"/>
  <c r="K108" i="6"/>
  <c r="N120" i="7"/>
  <c r="O333" i="7"/>
  <c r="I367" i="7"/>
  <c r="K367" i="7" s="1"/>
  <c r="K419" i="7"/>
  <c r="K425" i="7"/>
  <c r="K428" i="7"/>
  <c r="K619" i="7"/>
  <c r="K635" i="7"/>
  <c r="N43" i="8"/>
  <c r="N41" i="8" s="1"/>
  <c r="P41" i="8" s="1"/>
  <c r="N68" i="8"/>
  <c r="K81" i="8"/>
  <c r="N120" i="8"/>
  <c r="N222" i="8"/>
  <c r="O254" i="8"/>
  <c r="N292" i="8"/>
  <c r="N290" i="8" s="1"/>
  <c r="N331" i="8"/>
  <c r="N329" i="8" s="1"/>
  <c r="L33" i="9"/>
  <c r="O33" i="9" s="1"/>
  <c r="N96" i="9"/>
  <c r="N94" i="9" s="1"/>
  <c r="O224" i="9"/>
  <c r="O533" i="9"/>
  <c r="L43" i="11"/>
  <c r="O43" i="11" s="1"/>
  <c r="L314" i="11"/>
  <c r="L312" i="11" s="1"/>
  <c r="L310" i="11" s="1"/>
  <c r="O310" i="11" s="1"/>
  <c r="K173" i="12"/>
  <c r="N252" i="12"/>
  <c r="K164" i="14"/>
  <c r="K173" i="14"/>
  <c r="K200" i="14"/>
  <c r="K372" i="14"/>
  <c r="N142" i="15"/>
  <c r="L275" i="15"/>
  <c r="K632" i="15"/>
  <c r="P122" i="16"/>
  <c r="K345" i="16"/>
  <c r="K435" i="16"/>
  <c r="O566" i="16"/>
  <c r="L122" i="17"/>
  <c r="K380" i="17"/>
  <c r="K564" i="18"/>
  <c r="K87" i="1"/>
  <c r="I138" i="1"/>
  <c r="K138" i="1" s="1"/>
  <c r="K215" i="1"/>
  <c r="K219" i="1"/>
  <c r="M254" i="1"/>
  <c r="L353" i="1"/>
  <c r="O353" i="1" s="1"/>
  <c r="K481" i="1"/>
  <c r="I507" i="1"/>
  <c r="K507" i="1" s="1"/>
  <c r="L565" i="1"/>
  <c r="O565" i="1" s="1"/>
  <c r="J400" i="1"/>
  <c r="N441" i="1"/>
  <c r="J448" i="1"/>
  <c r="K189" i="3"/>
  <c r="K199" i="3"/>
  <c r="K229" i="3"/>
  <c r="K235" i="3"/>
  <c r="K381" i="3"/>
  <c r="K428" i="3"/>
  <c r="K435" i="3"/>
  <c r="K455" i="3"/>
  <c r="K465" i="3"/>
  <c r="N26" i="4"/>
  <c r="N16" i="4" s="1"/>
  <c r="N55" i="4"/>
  <c r="O404" i="4"/>
  <c r="K418" i="4"/>
  <c r="K421" i="4"/>
  <c r="K424" i="4"/>
  <c r="O553" i="4"/>
  <c r="K564" i="4"/>
  <c r="O566" i="4"/>
  <c r="P57" i="5"/>
  <c r="M96" i="5"/>
  <c r="K164" i="5"/>
  <c r="N273" i="5"/>
  <c r="N271" i="5" s="1"/>
  <c r="K466" i="5"/>
  <c r="K499" i="5"/>
  <c r="K547" i="5"/>
  <c r="O601" i="5"/>
  <c r="K199" i="6"/>
  <c r="L122" i="7"/>
  <c r="O122" i="7" s="1"/>
  <c r="K219" i="7"/>
  <c r="N292" i="7"/>
  <c r="N290" i="7" s="1"/>
  <c r="K563" i="7"/>
  <c r="O568" i="7"/>
  <c r="K573" i="7"/>
  <c r="L70" i="8"/>
  <c r="O70" i="8" s="1"/>
  <c r="P144" i="8"/>
  <c r="P224" i="8"/>
  <c r="K235" i="8"/>
  <c r="P333" i="8"/>
  <c r="O439" i="8"/>
  <c r="L98" i="9"/>
  <c r="O98" i="9" s="1"/>
  <c r="N142" i="9"/>
  <c r="N273" i="9"/>
  <c r="K591" i="9"/>
  <c r="K631" i="9"/>
  <c r="K634" i="9"/>
  <c r="M22" i="10"/>
  <c r="P144" i="10"/>
  <c r="K149" i="10"/>
  <c r="N252" i="10"/>
  <c r="N250" i="10" s="1"/>
  <c r="K498" i="10"/>
  <c r="K84" i="11"/>
  <c r="K376" i="11"/>
  <c r="K380" i="11"/>
  <c r="O385" i="11"/>
  <c r="K397" i="11"/>
  <c r="K580" i="11"/>
  <c r="K92" i="12"/>
  <c r="K200" i="12"/>
  <c r="O349" i="12"/>
  <c r="O352" i="12"/>
  <c r="L254" i="13"/>
  <c r="L252" i="13" s="1"/>
  <c r="L294" i="13"/>
  <c r="O294" i="13" s="1"/>
  <c r="K424" i="13"/>
  <c r="O533" i="14"/>
  <c r="K611" i="14"/>
  <c r="L45" i="15"/>
  <c r="K285" i="15"/>
  <c r="K423" i="15"/>
  <c r="O437" i="15"/>
  <c r="K149" i="17"/>
  <c r="K158" i="17"/>
  <c r="K81" i="18"/>
  <c r="K87" i="18"/>
  <c r="K92" i="18"/>
  <c r="K200" i="18"/>
  <c r="K249" i="18"/>
  <c r="N331" i="18"/>
  <c r="O580" i="18"/>
  <c r="K591" i="18"/>
  <c r="K629" i="18"/>
  <c r="K635" i="18"/>
  <c r="K591" i="13"/>
  <c r="N96" i="14"/>
  <c r="K285" i="14"/>
  <c r="K617" i="14"/>
  <c r="K533" i="16"/>
  <c r="K199" i="1"/>
  <c r="K108" i="1"/>
  <c r="L126" i="1"/>
  <c r="O126" i="1" s="1"/>
  <c r="I306" i="1"/>
  <c r="I368" i="1"/>
  <c r="K368" i="1" s="1"/>
  <c r="L458" i="1"/>
  <c r="O458" i="1" s="1"/>
  <c r="I495" i="1"/>
  <c r="K495" i="1" s="1"/>
  <c r="L598" i="1"/>
  <c r="O598" i="1" s="1"/>
  <c r="L275" i="2"/>
  <c r="J368" i="1"/>
  <c r="J371" i="1"/>
  <c r="K200" i="3"/>
  <c r="K249" i="3"/>
  <c r="P333" i="3"/>
  <c r="K370" i="3"/>
  <c r="K380" i="3"/>
  <c r="K429" i="3"/>
  <c r="K432" i="3"/>
  <c r="O435" i="3"/>
  <c r="O455" i="3"/>
  <c r="O601" i="3"/>
  <c r="L57" i="4"/>
  <c r="L55" i="4" s="1"/>
  <c r="N68" i="4"/>
  <c r="N66" i="4" s="1"/>
  <c r="N252" i="4"/>
  <c r="N250" i="4" s="1"/>
  <c r="K422" i="4"/>
  <c r="K431" i="4"/>
  <c r="K435" i="4"/>
  <c r="O437" i="4"/>
  <c r="K455" i="4"/>
  <c r="O457" i="4"/>
  <c r="K482" i="4"/>
  <c r="K497" i="4"/>
  <c r="K562" i="4"/>
  <c r="O564" i="4"/>
  <c r="O597" i="4"/>
  <c r="K625" i="4"/>
  <c r="K630" i="4"/>
  <c r="K633" i="4"/>
  <c r="K381" i="5"/>
  <c r="K402" i="5"/>
  <c r="O459" i="5"/>
  <c r="K635" i="5"/>
  <c r="K92" i="6"/>
  <c r="K113" i="6"/>
  <c r="K173" i="6"/>
  <c r="L314" i="6"/>
  <c r="O314" i="6" s="1"/>
  <c r="K350" i="6"/>
  <c r="K481" i="6"/>
  <c r="K499" i="6"/>
  <c r="L32" i="7"/>
  <c r="K65" i="7"/>
  <c r="K93" i="7"/>
  <c r="K108" i="7"/>
  <c r="K111" i="7"/>
  <c r="O347" i="7"/>
  <c r="O401" i="7"/>
  <c r="K466" i="7"/>
  <c r="K481" i="7"/>
  <c r="K499" i="7"/>
  <c r="K547" i="7"/>
  <c r="K634" i="7"/>
  <c r="P57" i="8"/>
  <c r="L96" i="8"/>
  <c r="L94" i="8" s="1"/>
  <c r="K189" i="8"/>
  <c r="M292" i="8"/>
  <c r="P292" i="8" s="1"/>
  <c r="I367" i="8"/>
  <c r="K367" i="8" s="1"/>
  <c r="K370" i="8"/>
  <c r="K376" i="8"/>
  <c r="K632" i="8"/>
  <c r="L24" i="9"/>
  <c r="O380" i="9"/>
  <c r="O537" i="9"/>
  <c r="K595" i="9"/>
  <c r="L45" i="10"/>
  <c r="L57" i="10"/>
  <c r="K65" i="10"/>
  <c r="K189" i="10"/>
  <c r="K270" i="10"/>
  <c r="K340" i="10"/>
  <c r="K343" i="10"/>
  <c r="K562" i="10"/>
  <c r="O584" i="10"/>
  <c r="K619" i="10"/>
  <c r="K625" i="10"/>
  <c r="K630" i="10"/>
  <c r="K64" i="11"/>
  <c r="N273" i="11"/>
  <c r="N271" i="11" s="1"/>
  <c r="L294" i="12"/>
  <c r="K350" i="12"/>
  <c r="K398" i="12"/>
  <c r="O601" i="12"/>
  <c r="L70" i="13"/>
  <c r="L333" i="13"/>
  <c r="O537" i="14"/>
  <c r="L122" i="15"/>
  <c r="O122" i="15" s="1"/>
  <c r="L294" i="15"/>
  <c r="K328" i="15"/>
  <c r="N33" i="15"/>
  <c r="N13" i="15" s="1"/>
  <c r="K424" i="15"/>
  <c r="L144" i="17"/>
  <c r="K533" i="17"/>
  <c r="K235" i="18"/>
  <c r="K340" i="18"/>
  <c r="I249" i="1"/>
  <c r="K249" i="1" s="1"/>
  <c r="I344" i="1"/>
  <c r="K344" i="1" s="1"/>
  <c r="K451" i="1"/>
  <c r="K465" i="1"/>
  <c r="I505" i="1"/>
  <c r="K505" i="1" s="1"/>
  <c r="I512" i="1"/>
  <c r="K512" i="1" s="1"/>
  <c r="M22" i="2"/>
  <c r="N55" i="2"/>
  <c r="N53" i="2" s="1"/>
  <c r="J106" i="1"/>
  <c r="J117" i="1"/>
  <c r="K117" i="1" s="1"/>
  <c r="J233" i="1"/>
  <c r="L254" i="2"/>
  <c r="L294" i="2"/>
  <c r="O294" i="2" s="1"/>
  <c r="N331" i="2"/>
  <c r="N536" i="1"/>
  <c r="K561" i="1"/>
  <c r="N55" i="3"/>
  <c r="N222" i="4"/>
  <c r="N220" i="4" s="1"/>
  <c r="N33" i="4"/>
  <c r="N13" i="4" s="1"/>
  <c r="N43" i="7"/>
  <c r="N222" i="7"/>
  <c r="N220" i="7" s="1"/>
  <c r="K622" i="9"/>
  <c r="N96" i="10"/>
  <c r="N94" i="10" s="1"/>
  <c r="K176" i="11"/>
  <c r="K372" i="12"/>
  <c r="K465" i="12"/>
  <c r="K547" i="12"/>
  <c r="N55" i="13"/>
  <c r="N53" i="13" s="1"/>
  <c r="L144" i="13"/>
  <c r="K533" i="13"/>
  <c r="K189" i="14"/>
  <c r="K634" i="14"/>
  <c r="K88" i="15"/>
  <c r="K189" i="15"/>
  <c r="K573" i="16"/>
  <c r="O49" i="17"/>
  <c r="K349" i="17"/>
  <c r="O354" i="17"/>
  <c r="K372" i="17"/>
  <c r="K375" i="17"/>
  <c r="K381" i="17"/>
  <c r="K474" i="18"/>
  <c r="K497" i="18"/>
  <c r="O437" i="1"/>
  <c r="O564" i="1"/>
  <c r="N32" i="1"/>
  <c r="N30" i="1" s="1"/>
  <c r="L144" i="2"/>
  <c r="K328" i="2"/>
  <c r="O102" i="3"/>
  <c r="N222" i="3"/>
  <c r="L224" i="3"/>
  <c r="L222" i="3" s="1"/>
  <c r="K264" i="3"/>
  <c r="K402" i="3"/>
  <c r="K219" i="4"/>
  <c r="L275" i="4"/>
  <c r="M292" i="4"/>
  <c r="O49" i="1"/>
  <c r="K285" i="1"/>
  <c r="N252" i="2"/>
  <c r="L33" i="3"/>
  <c r="O33" i="3" s="1"/>
  <c r="K138" i="3"/>
  <c r="N273" i="3"/>
  <c r="I367" i="3"/>
  <c r="K367" i="3" s="1"/>
  <c r="K563" i="3"/>
  <c r="K108" i="4"/>
  <c r="K111" i="4"/>
  <c r="K176" i="4"/>
  <c r="K185" i="4"/>
  <c r="K189" i="4"/>
  <c r="K264" i="4"/>
  <c r="K267" i="4"/>
  <c r="K377" i="4"/>
  <c r="O380" i="4"/>
  <c r="O383" i="4"/>
  <c r="N43" i="1"/>
  <c r="I367" i="1"/>
  <c r="K367" i="1" s="1"/>
  <c r="K324" i="1"/>
  <c r="K343" i="2"/>
  <c r="K158" i="3"/>
  <c r="K265" i="3"/>
  <c r="K420" i="3"/>
  <c r="K426" i="3"/>
  <c r="K149" i="4"/>
  <c r="K189" i="1"/>
  <c r="K270" i="2"/>
  <c r="N292" i="2"/>
  <c r="N290" i="2" s="1"/>
  <c r="J616" i="1"/>
  <c r="K616" i="1" s="1"/>
  <c r="J622" i="1"/>
  <c r="J625" i="1"/>
  <c r="J629" i="1"/>
  <c r="L314" i="3"/>
  <c r="K328" i="3"/>
  <c r="K547" i="3"/>
  <c r="K265" i="4"/>
  <c r="K324" i="4"/>
  <c r="N32" i="4"/>
  <c r="N30" i="4" s="1"/>
  <c r="O459" i="4"/>
  <c r="K464" i="4"/>
  <c r="K86" i="1"/>
  <c r="O102" i="1"/>
  <c r="K112" i="1"/>
  <c r="P314" i="1"/>
  <c r="K455" i="1"/>
  <c r="K482" i="1"/>
  <c r="K591" i="1"/>
  <c r="K595" i="1"/>
  <c r="N312" i="2"/>
  <c r="O535" i="2"/>
  <c r="K80" i="3"/>
  <c r="K83" i="3"/>
  <c r="K110" i="3"/>
  <c r="N120" i="3"/>
  <c r="N118" i="3" s="1"/>
  <c r="K164" i="3"/>
  <c r="L254" i="3"/>
  <c r="K270" i="3"/>
  <c r="K424" i="3"/>
  <c r="L23" i="4"/>
  <c r="O23" i="4" s="1"/>
  <c r="L224" i="4"/>
  <c r="N273" i="4"/>
  <c r="N271" i="4" s="1"/>
  <c r="P271" i="4" s="1"/>
  <c r="P314" i="4"/>
  <c r="K340" i="4"/>
  <c r="K343" i="4"/>
  <c r="K473" i="4"/>
  <c r="K499" i="4"/>
  <c r="N34" i="1"/>
  <c r="N14" i="1" s="1"/>
  <c r="O406" i="1"/>
  <c r="K417" i="1"/>
  <c r="K429" i="1"/>
  <c r="O568" i="4"/>
  <c r="O599" i="4"/>
  <c r="M55" i="5"/>
  <c r="M53" i="5" s="1"/>
  <c r="L70" i="5"/>
  <c r="O70" i="5" s="1"/>
  <c r="K424" i="5"/>
  <c r="K427" i="5"/>
  <c r="K564" i="5"/>
  <c r="N292" i="6"/>
  <c r="N290" i="6" s="1"/>
  <c r="O383" i="6"/>
  <c r="O435" i="6"/>
  <c r="K465" i="6"/>
  <c r="K113" i="7"/>
  <c r="P224" i="7"/>
  <c r="K340" i="7"/>
  <c r="K343" i="7"/>
  <c r="N312" i="8"/>
  <c r="O347" i="8"/>
  <c r="K201" i="10"/>
  <c r="O582" i="11"/>
  <c r="O404" i="12"/>
  <c r="K418" i="12"/>
  <c r="K424" i="12"/>
  <c r="K430" i="12"/>
  <c r="O537" i="12"/>
  <c r="K631" i="12"/>
  <c r="K401" i="13"/>
  <c r="K425" i="13"/>
  <c r="K464" i="13"/>
  <c r="K473" i="13"/>
  <c r="N292" i="14"/>
  <c r="N290" i="14" s="1"/>
  <c r="K345" i="14"/>
  <c r="O354" i="14"/>
  <c r="K423" i="14"/>
  <c r="K426" i="14"/>
  <c r="O457" i="14"/>
  <c r="O568" i="14"/>
  <c r="M312" i="15"/>
  <c r="P312" i="15" s="1"/>
  <c r="K229" i="16"/>
  <c r="K343" i="16"/>
  <c r="O385" i="16"/>
  <c r="O435" i="16"/>
  <c r="K481" i="16"/>
  <c r="K547" i="4"/>
  <c r="K551" i="4"/>
  <c r="O582" i="4"/>
  <c r="K595" i="4"/>
  <c r="L98" i="5"/>
  <c r="O98" i="5" s="1"/>
  <c r="K416" i="5"/>
  <c r="K425" i="5"/>
  <c r="P98" i="6"/>
  <c r="K219" i="6"/>
  <c r="K235" i="6"/>
  <c r="K563" i="6"/>
  <c r="O533" i="7"/>
  <c r="M142" i="8"/>
  <c r="K426" i="9"/>
  <c r="O580" i="9"/>
  <c r="O383" i="10"/>
  <c r="L68" i="11"/>
  <c r="L66" i="11" s="1"/>
  <c r="K199" i="11"/>
  <c r="P314" i="11"/>
  <c r="K613" i="11"/>
  <c r="L45" i="12"/>
  <c r="L43" i="12" s="1"/>
  <c r="L144" i="12"/>
  <c r="K350" i="13"/>
  <c r="O580" i="13"/>
  <c r="K149" i="14"/>
  <c r="K158" i="14"/>
  <c r="K420" i="15"/>
  <c r="L57" i="17"/>
  <c r="L55" i="17" s="1"/>
  <c r="L53" i="17" s="1"/>
  <c r="K112" i="17"/>
  <c r="K417" i="17"/>
  <c r="O457" i="17"/>
  <c r="K219" i="18"/>
  <c r="K270" i="18"/>
  <c r="K304" i="18"/>
  <c r="L122" i="5"/>
  <c r="K328" i="5"/>
  <c r="K631" i="5"/>
  <c r="N273" i="6"/>
  <c r="N271" i="6" s="1"/>
  <c r="K345" i="6"/>
  <c r="O401" i="6"/>
  <c r="N68" i="7"/>
  <c r="N66" i="7" s="1"/>
  <c r="L224" i="7"/>
  <c r="L222" i="7" s="1"/>
  <c r="P275" i="7"/>
  <c r="N312" i="7"/>
  <c r="K376" i="7"/>
  <c r="K418" i="7"/>
  <c r="K424" i="7"/>
  <c r="K628" i="7"/>
  <c r="K345" i="8"/>
  <c r="K349" i="8"/>
  <c r="O553" i="10"/>
  <c r="K350" i="11"/>
  <c r="L32" i="11"/>
  <c r="L30" i="11" s="1"/>
  <c r="K93" i="12"/>
  <c r="K402" i="12"/>
  <c r="O535" i="12"/>
  <c r="K428" i="13"/>
  <c r="K499" i="13"/>
  <c r="K562" i="13"/>
  <c r="K427" i="14"/>
  <c r="K117" i="15"/>
  <c r="M310" i="15"/>
  <c r="P310" i="15" s="1"/>
  <c r="L294" i="16"/>
  <c r="O294" i="16" s="1"/>
  <c r="L314" i="16"/>
  <c r="O383" i="16"/>
  <c r="K465" i="16"/>
  <c r="O599" i="16"/>
  <c r="K229" i="18"/>
  <c r="O349" i="18"/>
  <c r="O439" i="18"/>
  <c r="O533" i="18"/>
  <c r="O437" i="5"/>
  <c r="O537" i="5"/>
  <c r="K562" i="5"/>
  <c r="K112" i="6"/>
  <c r="O566" i="6"/>
  <c r="N34" i="7"/>
  <c r="N14" i="7" s="1"/>
  <c r="N273" i="8"/>
  <c r="N271" i="8" s="1"/>
  <c r="P271" i="8" s="1"/>
  <c r="M96" i="9"/>
  <c r="P96" i="9" s="1"/>
  <c r="N120" i="9"/>
  <c r="N118" i="9" s="1"/>
  <c r="K430" i="9"/>
  <c r="O459" i="9"/>
  <c r="K620" i="9"/>
  <c r="M96" i="11"/>
  <c r="M94" i="11" s="1"/>
  <c r="P94" i="11" s="1"/>
  <c r="K396" i="11"/>
  <c r="K450" i="11"/>
  <c r="O601" i="11"/>
  <c r="N43" i="13"/>
  <c r="N41" i="13" s="1"/>
  <c r="O401" i="13"/>
  <c r="K482" i="13"/>
  <c r="K533" i="14"/>
  <c r="O564" i="14"/>
  <c r="K164" i="15"/>
  <c r="N329" i="15"/>
  <c r="O333" i="15"/>
  <c r="K450" i="15"/>
  <c r="K466" i="15"/>
  <c r="K132" i="16"/>
  <c r="K618" i="16"/>
  <c r="L45" i="17"/>
  <c r="K133" i="17"/>
  <c r="N273" i="17"/>
  <c r="N271" i="17" s="1"/>
  <c r="K432" i="17"/>
  <c r="N292" i="18"/>
  <c r="N290" i="18" s="1"/>
  <c r="O347" i="18"/>
  <c r="K562" i="18"/>
  <c r="K597" i="18"/>
  <c r="O337" i="5"/>
  <c r="K380" i="6"/>
  <c r="K431" i="6"/>
  <c r="K435" i="6"/>
  <c r="O437" i="6"/>
  <c r="K455" i="6"/>
  <c r="K619" i="6"/>
  <c r="M252" i="7"/>
  <c r="K435" i="7"/>
  <c r="O437" i="7"/>
  <c r="K589" i="7"/>
  <c r="L333" i="8"/>
  <c r="O564" i="8"/>
  <c r="N31" i="8"/>
  <c r="N29" i="8" s="1"/>
  <c r="N34" i="8"/>
  <c r="K628" i="8"/>
  <c r="P45" i="9"/>
  <c r="M68" i="9"/>
  <c r="N292" i="9"/>
  <c r="N290" i="9" s="1"/>
  <c r="L34" i="9"/>
  <c r="K533" i="10"/>
  <c r="K597" i="10"/>
  <c r="K81" i="11"/>
  <c r="L275" i="11"/>
  <c r="N331" i="11"/>
  <c r="N329" i="11" s="1"/>
  <c r="K112" i="12"/>
  <c r="O406" i="12"/>
  <c r="N31" i="12"/>
  <c r="K630" i="12"/>
  <c r="L98" i="13"/>
  <c r="K133" i="13"/>
  <c r="K497" i="13"/>
  <c r="K341" i="14"/>
  <c r="K428" i="14"/>
  <c r="K430" i="14"/>
  <c r="K618" i="15"/>
  <c r="L275" i="16"/>
  <c r="O275" i="16" s="1"/>
  <c r="K375" i="16"/>
  <c r="K381" i="16"/>
  <c r="O455" i="16"/>
  <c r="K108" i="17"/>
  <c r="K564" i="17"/>
  <c r="K465" i="18"/>
  <c r="K473" i="18"/>
  <c r="O601" i="4"/>
  <c r="O535" i="5"/>
  <c r="O74" i="7"/>
  <c r="K80" i="7"/>
  <c r="O102" i="8"/>
  <c r="M222" i="8"/>
  <c r="L34" i="8"/>
  <c r="N68" i="9"/>
  <c r="K380" i="9"/>
  <c r="N31" i="9"/>
  <c r="K420" i="9"/>
  <c r="K425" i="9"/>
  <c r="O582" i="9"/>
  <c r="L314" i="10"/>
  <c r="K401" i="11"/>
  <c r="K435" i="11"/>
  <c r="O74" i="12"/>
  <c r="K235" i="13"/>
  <c r="O354" i="13"/>
  <c r="K595" i="13"/>
  <c r="O601" i="14"/>
  <c r="K81" i="15"/>
  <c r="K422" i="15"/>
  <c r="K455" i="15"/>
  <c r="K464" i="15"/>
  <c r="N312" i="16"/>
  <c r="O601" i="16"/>
  <c r="K628" i="16"/>
  <c r="K396" i="17"/>
  <c r="K416" i="17"/>
  <c r="K419" i="17"/>
  <c r="K464" i="17"/>
  <c r="O537" i="17"/>
  <c r="O551" i="17"/>
  <c r="O564" i="17"/>
  <c r="K597" i="17"/>
  <c r="O601" i="17"/>
  <c r="L70" i="18"/>
  <c r="L68" i="18" s="1"/>
  <c r="L144" i="18"/>
  <c r="K370" i="18"/>
  <c r="K423" i="18"/>
  <c r="O455" i="18"/>
  <c r="K482" i="18"/>
  <c r="O275" i="2"/>
  <c r="L273" i="2"/>
  <c r="K380" i="1"/>
  <c r="K370" i="1"/>
  <c r="K419" i="1"/>
  <c r="K427" i="1"/>
  <c r="K431" i="1"/>
  <c r="K614" i="1"/>
  <c r="L24" i="2"/>
  <c r="O144" i="2"/>
  <c r="K149" i="2"/>
  <c r="K158" i="2"/>
  <c r="K189" i="2"/>
  <c r="L333" i="2"/>
  <c r="L331" i="2" s="1"/>
  <c r="K85" i="1"/>
  <c r="M220" i="3"/>
  <c r="P222" i="3"/>
  <c r="K65" i="1"/>
  <c r="I80" i="1"/>
  <c r="K80" i="1" s="1"/>
  <c r="I110" i="1"/>
  <c r="K110" i="1" s="1"/>
  <c r="M122" i="1"/>
  <c r="P122" i="1" s="1"/>
  <c r="K266" i="1"/>
  <c r="L277" i="1"/>
  <c r="L24" i="1" s="1"/>
  <c r="O24" i="1" s="1"/>
  <c r="K306" i="1"/>
  <c r="O404" i="1"/>
  <c r="I452" i="1"/>
  <c r="K452" i="1" s="1"/>
  <c r="K474" i="1"/>
  <c r="I492" i="1"/>
  <c r="K492" i="1" s="1"/>
  <c r="P70" i="2"/>
  <c r="M68" i="2"/>
  <c r="I367" i="2"/>
  <c r="K367" i="2" s="1"/>
  <c r="K88" i="1"/>
  <c r="K149" i="1"/>
  <c r="L99" i="1"/>
  <c r="L23" i="1" s="1"/>
  <c r="O23" i="1" s="1"/>
  <c r="L74" i="1"/>
  <c r="O74" i="1" s="1"/>
  <c r="P70" i="1"/>
  <c r="I133" i="1"/>
  <c r="K133" i="1" s="1"/>
  <c r="K200" i="1"/>
  <c r="L228" i="1"/>
  <c r="O228" i="1" s="1"/>
  <c r="I238" i="1"/>
  <c r="K238" i="1" s="1"/>
  <c r="I244" i="1"/>
  <c r="K244" i="1" s="1"/>
  <c r="K345" i="1"/>
  <c r="K349" i="1"/>
  <c r="O385" i="1"/>
  <c r="K398" i="1"/>
  <c r="K402" i="1"/>
  <c r="K421" i="1"/>
  <c r="K425" i="1"/>
  <c r="K547" i="1"/>
  <c r="K551" i="1"/>
  <c r="L45" i="2"/>
  <c r="O45" i="2" s="1"/>
  <c r="N68" i="2"/>
  <c r="N66" i="2" s="1"/>
  <c r="K235" i="2"/>
  <c r="K381" i="2"/>
  <c r="O55" i="4"/>
  <c r="L53" i="4"/>
  <c r="O294" i="4"/>
  <c r="L292" i="4"/>
  <c r="L290" i="4" s="1"/>
  <c r="O290" i="4" s="1"/>
  <c r="P57" i="1"/>
  <c r="K201" i="1"/>
  <c r="P224" i="1"/>
  <c r="L354" i="1"/>
  <c r="O354" i="1" s="1"/>
  <c r="I466" i="1"/>
  <c r="L68" i="2"/>
  <c r="K376" i="1"/>
  <c r="P144" i="1"/>
  <c r="I176" i="1"/>
  <c r="K176" i="1" s="1"/>
  <c r="I185" i="1"/>
  <c r="K185" i="1" s="1"/>
  <c r="K229" i="1"/>
  <c r="K235" i="1"/>
  <c r="N254" i="1"/>
  <c r="P254" i="1" s="1"/>
  <c r="I265" i="1"/>
  <c r="K265" i="1" s="1"/>
  <c r="P275" i="1"/>
  <c r="K309" i="1"/>
  <c r="K328" i="1"/>
  <c r="I340" i="1"/>
  <c r="K340" i="1" s="1"/>
  <c r="K343" i="1"/>
  <c r="K372" i="1"/>
  <c r="K396" i="1"/>
  <c r="K401" i="1"/>
  <c r="L403" i="1"/>
  <c r="O403" i="1" s="1"/>
  <c r="L438" i="1"/>
  <c r="O438" i="1" s="1"/>
  <c r="K497" i="1"/>
  <c r="L34" i="2"/>
  <c r="N43" i="2"/>
  <c r="N41" i="2" s="1"/>
  <c r="P273" i="2"/>
  <c r="K309" i="2"/>
  <c r="K345" i="2"/>
  <c r="K380" i="2"/>
  <c r="O385" i="2"/>
  <c r="K401" i="2"/>
  <c r="K117" i="2"/>
  <c r="K132" i="2"/>
  <c r="L224" i="2"/>
  <c r="O224" i="2" s="1"/>
  <c r="P275" i="2"/>
  <c r="L314" i="2"/>
  <c r="O347" i="2"/>
  <c r="O404" i="2"/>
  <c r="J518" i="1"/>
  <c r="J521" i="1"/>
  <c r="J524" i="1"/>
  <c r="J527" i="1"/>
  <c r="J530" i="1"/>
  <c r="N539" i="1"/>
  <c r="J546" i="1"/>
  <c r="K560" i="2"/>
  <c r="K591" i="2"/>
  <c r="K597" i="2"/>
  <c r="K629" i="2"/>
  <c r="K635" i="2"/>
  <c r="K111" i="3"/>
  <c r="L122" i="3"/>
  <c r="O122" i="3" s="1"/>
  <c r="P144" i="3"/>
  <c r="L220" i="3"/>
  <c r="O224" i="3"/>
  <c r="N252" i="3"/>
  <c r="N250" i="3" s="1"/>
  <c r="K266" i="3"/>
  <c r="K285" i="3"/>
  <c r="M292" i="3"/>
  <c r="K349" i="3"/>
  <c r="K396" i="3"/>
  <c r="K416" i="3"/>
  <c r="K419" i="3"/>
  <c r="K422" i="3"/>
  <c r="K425" i="3"/>
  <c r="K464" i="3"/>
  <c r="K473" i="3"/>
  <c r="K498" i="3"/>
  <c r="K533" i="3"/>
  <c r="O535" i="3"/>
  <c r="K562" i="3"/>
  <c r="O599" i="3"/>
  <c r="K632" i="3"/>
  <c r="N43" i="4"/>
  <c r="P55" i="4"/>
  <c r="L70" i="4"/>
  <c r="L68" i="4" s="1"/>
  <c r="K87" i="4"/>
  <c r="K92" i="4"/>
  <c r="P144" i="4"/>
  <c r="M252" i="4"/>
  <c r="P252" i="4" s="1"/>
  <c r="L254" i="4"/>
  <c r="O254" i="4" s="1"/>
  <c r="K285" i="4"/>
  <c r="O354" i="4"/>
  <c r="I367" i="4"/>
  <c r="K367" i="4" s="1"/>
  <c r="K429" i="4"/>
  <c r="K432" i="4"/>
  <c r="P122" i="5"/>
  <c r="N252" i="5"/>
  <c r="N250" i="5" s="1"/>
  <c r="P331" i="5"/>
  <c r="M329" i="5"/>
  <c r="N32" i="5"/>
  <c r="N30" i="5" s="1"/>
  <c r="O222" i="3"/>
  <c r="M222" i="5"/>
  <c r="M220" i="5" s="1"/>
  <c r="P220" i="5" s="1"/>
  <c r="P224" i="5"/>
  <c r="K625" i="6"/>
  <c r="K623" i="6"/>
  <c r="K621" i="6"/>
  <c r="K626" i="6"/>
  <c r="K624" i="6"/>
  <c r="K622" i="6"/>
  <c r="K620" i="6"/>
  <c r="N29" i="9"/>
  <c r="N11" i="9"/>
  <c r="N9" i="9" s="1"/>
  <c r="O385" i="9"/>
  <c r="N34" i="9"/>
  <c r="O34" i="9" s="1"/>
  <c r="P122" i="10"/>
  <c r="M120" i="10"/>
  <c r="M271" i="11"/>
  <c r="P273" i="11"/>
  <c r="O333" i="11"/>
  <c r="L331" i="11"/>
  <c r="O331" i="11" s="1"/>
  <c r="O437" i="2"/>
  <c r="K473" i="2"/>
  <c r="K481" i="2"/>
  <c r="K633" i="2"/>
  <c r="K93" i="3"/>
  <c r="K109" i="3"/>
  <c r="M271" i="3"/>
  <c r="P275" i="3"/>
  <c r="K341" i="3"/>
  <c r="K397" i="3"/>
  <c r="K417" i="3"/>
  <c r="K423" i="3"/>
  <c r="O457" i="3"/>
  <c r="K482" i="3"/>
  <c r="O597" i="3"/>
  <c r="K618" i="3"/>
  <c r="K630" i="3"/>
  <c r="L31" i="4"/>
  <c r="L29" i="4" s="1"/>
  <c r="K65" i="4"/>
  <c r="K80" i="4"/>
  <c r="K93" i="4"/>
  <c r="M120" i="4"/>
  <c r="P120" i="4" s="1"/>
  <c r="P224" i="4"/>
  <c r="K235" i="4"/>
  <c r="M250" i="4"/>
  <c r="P250" i="4" s="1"/>
  <c r="K266" i="4"/>
  <c r="P275" i="4"/>
  <c r="K341" i="4"/>
  <c r="O347" i="4"/>
  <c r="K466" i="4"/>
  <c r="O551" i="4"/>
  <c r="O122" i="5"/>
  <c r="L120" i="5"/>
  <c r="N271" i="3"/>
  <c r="N290" i="3"/>
  <c r="P222" i="4"/>
  <c r="M329" i="4"/>
  <c r="O32" i="5"/>
  <c r="L30" i="5"/>
  <c r="O30" i="5" s="1"/>
  <c r="N331" i="6"/>
  <c r="N329" i="6" s="1"/>
  <c r="K474" i="2"/>
  <c r="K482" i="2"/>
  <c r="K499" i="2"/>
  <c r="K564" i="2"/>
  <c r="O582" i="2"/>
  <c r="K593" i="2"/>
  <c r="N22" i="3"/>
  <c r="L275" i="3"/>
  <c r="L273" i="3" s="1"/>
  <c r="K345" i="3"/>
  <c r="K350" i="3"/>
  <c r="K398" i="3"/>
  <c r="K418" i="3"/>
  <c r="K466" i="3"/>
  <c r="O537" i="3"/>
  <c r="K591" i="3"/>
  <c r="K628" i="3"/>
  <c r="K634" i="3"/>
  <c r="L24" i="4"/>
  <c r="K81" i="4"/>
  <c r="K249" i="4"/>
  <c r="N312" i="4"/>
  <c r="K349" i="4"/>
  <c r="O385" i="4"/>
  <c r="K397" i="4"/>
  <c r="K401" i="4"/>
  <c r="K425" i="4"/>
  <c r="K428" i="4"/>
  <c r="M118" i="5"/>
  <c r="P118" i="5" s="1"/>
  <c r="P120" i="5"/>
  <c r="L34" i="6"/>
  <c r="O439" i="6"/>
  <c r="P252" i="3"/>
  <c r="N331" i="4"/>
  <c r="N329" i="4" s="1"/>
  <c r="P294" i="16"/>
  <c r="M292" i="16"/>
  <c r="M290" i="16" s="1"/>
  <c r="P290" i="16" s="1"/>
  <c r="L24" i="17"/>
  <c r="K416" i="4"/>
  <c r="K430" i="4"/>
  <c r="K449" i="4"/>
  <c r="O455" i="4"/>
  <c r="K573" i="4"/>
  <c r="K580" i="4"/>
  <c r="O584" i="4"/>
  <c r="K589" i="4"/>
  <c r="K611" i="4"/>
  <c r="K619" i="4"/>
  <c r="K632" i="4"/>
  <c r="N26" i="5"/>
  <c r="N16" i="5" s="1"/>
  <c r="K133" i="5"/>
  <c r="P144" i="5"/>
  <c r="K149" i="5"/>
  <c r="K158" i="5"/>
  <c r="K235" i="5"/>
  <c r="L275" i="5"/>
  <c r="L273" i="5" s="1"/>
  <c r="L271" i="5" s="1"/>
  <c r="N33" i="5"/>
  <c r="N13" i="5" s="1"/>
  <c r="K421" i="5"/>
  <c r="K429" i="5"/>
  <c r="K465" i="5"/>
  <c r="K474" i="5"/>
  <c r="K482" i="5"/>
  <c r="K498" i="5"/>
  <c r="O566" i="5"/>
  <c r="M55" i="6"/>
  <c r="N96" i="6"/>
  <c r="L144" i="6"/>
  <c r="L142" i="6" s="1"/>
  <c r="O142" i="6" s="1"/>
  <c r="K189" i="6"/>
  <c r="N222" i="6"/>
  <c r="L254" i="6"/>
  <c r="O254" i="6" s="1"/>
  <c r="P333" i="6"/>
  <c r="K430" i="6"/>
  <c r="O533" i="6"/>
  <c r="K597" i="6"/>
  <c r="O49" i="7"/>
  <c r="K64" i="7"/>
  <c r="K617" i="4"/>
  <c r="N142" i="5"/>
  <c r="N140" i="5" s="1"/>
  <c r="N31" i="5"/>
  <c r="N29" i="5" s="1"/>
  <c r="O564" i="5"/>
  <c r="K81" i="6"/>
  <c r="K84" i="6"/>
  <c r="K132" i="6"/>
  <c r="K200" i="6"/>
  <c r="L224" i="6"/>
  <c r="O224" i="6" s="1"/>
  <c r="N250" i="6"/>
  <c r="K270" i="6"/>
  <c r="N33" i="6"/>
  <c r="N13" i="6" s="1"/>
  <c r="K368" i="6"/>
  <c r="K397" i="6"/>
  <c r="K419" i="6"/>
  <c r="K425" i="6"/>
  <c r="O459" i="6"/>
  <c r="K464" i="6"/>
  <c r="K573" i="6"/>
  <c r="K149" i="7"/>
  <c r="L30" i="8"/>
  <c r="O385" i="5"/>
  <c r="K401" i="5"/>
  <c r="M66" i="6"/>
  <c r="P122" i="7"/>
  <c r="M120" i="7"/>
  <c r="P120" i="7" s="1"/>
  <c r="N11" i="8"/>
  <c r="N9" i="8" s="1"/>
  <c r="P333" i="4"/>
  <c r="K345" i="4"/>
  <c r="K350" i="4"/>
  <c r="K372" i="4"/>
  <c r="K381" i="4"/>
  <c r="K398" i="4"/>
  <c r="O406" i="4"/>
  <c r="K420" i="4"/>
  <c r="K423" i="4"/>
  <c r="K498" i="4"/>
  <c r="K533" i="4"/>
  <c r="K628" i="4"/>
  <c r="L34" i="5"/>
  <c r="L45" i="5"/>
  <c r="N94" i="5"/>
  <c r="K110" i="5"/>
  <c r="K113" i="5"/>
  <c r="K173" i="5"/>
  <c r="P333" i="5"/>
  <c r="O383" i="5"/>
  <c r="O401" i="5"/>
  <c r="K422" i="5"/>
  <c r="O439" i="5"/>
  <c r="L24" i="6"/>
  <c r="O24" i="6" s="1"/>
  <c r="K64" i="6"/>
  <c r="L70" i="6"/>
  <c r="L68" i="6" s="1"/>
  <c r="L66" i="6" s="1"/>
  <c r="K85" i="6"/>
  <c r="K93" i="6"/>
  <c r="P122" i="6"/>
  <c r="K133" i="6"/>
  <c r="K249" i="6"/>
  <c r="K328" i="6"/>
  <c r="K340" i="6"/>
  <c r="O354" i="6"/>
  <c r="K372" i="6"/>
  <c r="K398" i="6"/>
  <c r="K420" i="6"/>
  <c r="K423" i="6"/>
  <c r="K426" i="6"/>
  <c r="O457" i="6"/>
  <c r="K473" i="6"/>
  <c r="K482" i="6"/>
  <c r="K564" i="6"/>
  <c r="K575" i="6"/>
  <c r="P273" i="7"/>
  <c r="N14" i="8"/>
  <c r="N26" i="8"/>
  <c r="N16" i="8" s="1"/>
  <c r="O382" i="8"/>
  <c r="L31" i="8"/>
  <c r="O405" i="8"/>
  <c r="L33" i="8"/>
  <c r="O33" i="8" s="1"/>
  <c r="M94" i="9"/>
  <c r="P94" i="9" s="1"/>
  <c r="K634" i="4"/>
  <c r="P41" i="5"/>
  <c r="P43" i="5"/>
  <c r="L57" i="5"/>
  <c r="L55" i="5" s="1"/>
  <c r="P96" i="5"/>
  <c r="L333" i="5"/>
  <c r="O404" i="5"/>
  <c r="K423" i="5"/>
  <c r="K481" i="5"/>
  <c r="K573" i="5"/>
  <c r="P144" i="6"/>
  <c r="K158" i="6"/>
  <c r="P254" i="6"/>
  <c r="K265" i="6"/>
  <c r="M292" i="6"/>
  <c r="P292" i="6" s="1"/>
  <c r="O337" i="6"/>
  <c r="K381" i="6"/>
  <c r="K432" i="6"/>
  <c r="K449" i="6"/>
  <c r="O455" i="6"/>
  <c r="K474" i="6"/>
  <c r="K533" i="6"/>
  <c r="O535" i="6"/>
  <c r="N32" i="8"/>
  <c r="N30" i="8" s="1"/>
  <c r="L45" i="9"/>
  <c r="L43" i="9" s="1"/>
  <c r="M312" i="9"/>
  <c r="P312" i="9" s="1"/>
  <c r="P314" i="9"/>
  <c r="L23" i="7"/>
  <c r="L70" i="7"/>
  <c r="O70" i="7" s="1"/>
  <c r="K158" i="7"/>
  <c r="K216" i="7"/>
  <c r="M312" i="7"/>
  <c r="K380" i="7"/>
  <c r="K450" i="7"/>
  <c r="N55" i="8"/>
  <c r="N53" i="8" s="1"/>
  <c r="K249" i="8"/>
  <c r="L312" i="8"/>
  <c r="K397" i="8"/>
  <c r="K401" i="8"/>
  <c r="K419" i="8"/>
  <c r="K425" i="8"/>
  <c r="K431" i="8"/>
  <c r="K435" i="8"/>
  <c r="O437" i="8"/>
  <c r="K629" i="8"/>
  <c r="L26" i="9"/>
  <c r="M22" i="9"/>
  <c r="M12" i="9" s="1"/>
  <c r="N271" i="9"/>
  <c r="N312" i="9"/>
  <c r="N310" i="9" s="1"/>
  <c r="K349" i="9"/>
  <c r="L333" i="10"/>
  <c r="O333" i="10" s="1"/>
  <c r="K164" i="7"/>
  <c r="K580" i="7"/>
  <c r="K631" i="7"/>
  <c r="L26" i="8"/>
  <c r="K80" i="8"/>
  <c r="K93" i="8"/>
  <c r="K109" i="8"/>
  <c r="K112" i="8"/>
  <c r="K117" i="8"/>
  <c r="N220" i="8"/>
  <c r="K229" i="8"/>
  <c r="K473" i="8"/>
  <c r="K481" i="8"/>
  <c r="O533" i="8"/>
  <c r="K547" i="8"/>
  <c r="K635" i="8"/>
  <c r="N26" i="9"/>
  <c r="N16" i="9" s="1"/>
  <c r="N55" i="9"/>
  <c r="N53" i="9" s="1"/>
  <c r="N66" i="9"/>
  <c r="K219" i="9"/>
  <c r="P254" i="10"/>
  <c r="M252" i="10"/>
  <c r="L24" i="7"/>
  <c r="K328" i="7"/>
  <c r="N331" i="7"/>
  <c r="N329" i="7" s="1"/>
  <c r="O352" i="7"/>
  <c r="K372" i="7"/>
  <c r="K377" i="7"/>
  <c r="O406" i="7"/>
  <c r="K420" i="7"/>
  <c r="K426" i="7"/>
  <c r="K451" i="7"/>
  <c r="O457" i="7"/>
  <c r="K564" i="7"/>
  <c r="O566" i="7"/>
  <c r="O580" i="7"/>
  <c r="O597" i="7"/>
  <c r="K65" i="8"/>
  <c r="K83" i="8"/>
  <c r="P122" i="8"/>
  <c r="P142" i="8"/>
  <c r="K149" i="8"/>
  <c r="K201" i="8"/>
  <c r="L224" i="8"/>
  <c r="P254" i="8"/>
  <c r="P275" i="8"/>
  <c r="K340" i="8"/>
  <c r="K343" i="8"/>
  <c r="O354" i="8"/>
  <c r="O435" i="8"/>
  <c r="O568" i="8"/>
  <c r="K573" i="8"/>
  <c r="O584" i="8"/>
  <c r="K589" i="8"/>
  <c r="K595" i="8"/>
  <c r="O597" i="8"/>
  <c r="L57" i="9"/>
  <c r="L70" i="9"/>
  <c r="K189" i="9"/>
  <c r="K199" i="9"/>
  <c r="N222" i="9"/>
  <c r="N220" i="9" s="1"/>
  <c r="L333" i="9"/>
  <c r="K340" i="9"/>
  <c r="K343" i="9"/>
  <c r="O349" i="9"/>
  <c r="O352" i="9"/>
  <c r="I367" i="9"/>
  <c r="K367" i="9" s="1"/>
  <c r="K370" i="9"/>
  <c r="K396" i="9"/>
  <c r="O439" i="9"/>
  <c r="K450" i="9"/>
  <c r="K464" i="9"/>
  <c r="K473" i="9"/>
  <c r="K482" i="9"/>
  <c r="K497" i="9"/>
  <c r="O535" i="9"/>
  <c r="O584" i="9"/>
  <c r="K589" i="9"/>
  <c r="L144" i="10"/>
  <c r="O144" i="10" s="1"/>
  <c r="P70" i="7"/>
  <c r="K81" i="7"/>
  <c r="L98" i="7"/>
  <c r="K110" i="7"/>
  <c r="K138" i="7"/>
  <c r="O144" i="7"/>
  <c r="N142" i="7"/>
  <c r="L254" i="7"/>
  <c r="K270" i="7"/>
  <c r="N310" i="7"/>
  <c r="P333" i="7"/>
  <c r="K345" i="7"/>
  <c r="K350" i="7"/>
  <c r="K375" i="7"/>
  <c r="K398" i="7"/>
  <c r="K430" i="7"/>
  <c r="O435" i="7"/>
  <c r="K465" i="7"/>
  <c r="K474" i="7"/>
  <c r="K498" i="7"/>
  <c r="K533" i="7"/>
  <c r="O537" i="7"/>
  <c r="K110" i="8"/>
  <c r="K133" i="8"/>
  <c r="K215" i="8"/>
  <c r="K219" i="8"/>
  <c r="P222" i="8"/>
  <c r="N250" i="8"/>
  <c r="O349" i="8"/>
  <c r="K372" i="8"/>
  <c r="K375" i="8"/>
  <c r="O404" i="8"/>
  <c r="O455" i="8"/>
  <c r="O537" i="8"/>
  <c r="L122" i="9"/>
  <c r="L120" i="9" s="1"/>
  <c r="O120" i="9" s="1"/>
  <c r="K149" i="9"/>
  <c r="P224" i="9"/>
  <c r="K229" i="9"/>
  <c r="K422" i="9"/>
  <c r="P144" i="7"/>
  <c r="K189" i="7"/>
  <c r="K199" i="7"/>
  <c r="K235" i="7"/>
  <c r="K349" i="7"/>
  <c r="K370" i="7"/>
  <c r="K381" i="7"/>
  <c r="K396" i="7"/>
  <c r="K449" i="7"/>
  <c r="O455" i="7"/>
  <c r="O535" i="7"/>
  <c r="K562" i="7"/>
  <c r="O564" i="7"/>
  <c r="K630" i="7"/>
  <c r="L24" i="8"/>
  <c r="L122" i="8"/>
  <c r="P252" i="8"/>
  <c r="K266" i="8"/>
  <c r="L275" i="8"/>
  <c r="K341" i="8"/>
  <c r="K562" i="8"/>
  <c r="O566" i="8"/>
  <c r="O582" i="8"/>
  <c r="K593" i="8"/>
  <c r="O601" i="8"/>
  <c r="K164" i="9"/>
  <c r="K173" i="9"/>
  <c r="K200" i="9"/>
  <c r="L254" i="9"/>
  <c r="K341" i="9"/>
  <c r="O347" i="9"/>
  <c r="K350" i="9"/>
  <c r="K368" i="9"/>
  <c r="K401" i="9"/>
  <c r="O406" i="9"/>
  <c r="K428" i="9"/>
  <c r="K64" i="10"/>
  <c r="P294" i="10"/>
  <c r="M292" i="10"/>
  <c r="P292" i="10" s="1"/>
  <c r="P70" i="11"/>
  <c r="M68" i="11"/>
  <c r="O354" i="11"/>
  <c r="L34" i="11"/>
  <c r="K199" i="10"/>
  <c r="K380" i="10"/>
  <c r="O385" i="10"/>
  <c r="K465" i="10"/>
  <c r="O564" i="10"/>
  <c r="K595" i="10"/>
  <c r="O254" i="11"/>
  <c r="L294" i="11"/>
  <c r="O294" i="11" s="1"/>
  <c r="K593" i="11"/>
  <c r="K611" i="11"/>
  <c r="K371" i="12"/>
  <c r="I367" i="12"/>
  <c r="K367" i="12" s="1"/>
  <c r="N43" i="15"/>
  <c r="N26" i="15"/>
  <c r="N16" i="15" s="1"/>
  <c r="M292" i="15"/>
  <c r="P294" i="15"/>
  <c r="O401" i="9"/>
  <c r="O404" i="9"/>
  <c r="K417" i="9"/>
  <c r="O457" i="9"/>
  <c r="K547" i="9"/>
  <c r="K564" i="9"/>
  <c r="O568" i="9"/>
  <c r="K573" i="9"/>
  <c r="K580" i="9"/>
  <c r="K597" i="9"/>
  <c r="K629" i="9"/>
  <c r="K632" i="9"/>
  <c r="P70" i="10"/>
  <c r="M222" i="10"/>
  <c r="P222" i="10" s="1"/>
  <c r="P275" i="10"/>
  <c r="L294" i="10"/>
  <c r="N312" i="10"/>
  <c r="K341" i="10"/>
  <c r="I367" i="10"/>
  <c r="K367" i="10" s="1"/>
  <c r="K401" i="10"/>
  <c r="K419" i="10"/>
  <c r="K425" i="10"/>
  <c r="K431" i="10"/>
  <c r="O439" i="10"/>
  <c r="K450" i="10"/>
  <c r="K499" i="10"/>
  <c r="K547" i="10"/>
  <c r="K563" i="10"/>
  <c r="O568" i="10"/>
  <c r="K573" i="10"/>
  <c r="K580" i="10"/>
  <c r="O582" i="10"/>
  <c r="O601" i="10"/>
  <c r="K628" i="10"/>
  <c r="K631" i="10"/>
  <c r="K634" i="10"/>
  <c r="L26" i="11"/>
  <c r="P57" i="11"/>
  <c r="L122" i="11"/>
  <c r="O122" i="11" s="1"/>
  <c r="K201" i="11"/>
  <c r="L224" i="11"/>
  <c r="O337" i="11"/>
  <c r="O352" i="11"/>
  <c r="K419" i="11"/>
  <c r="K425" i="11"/>
  <c r="O584" i="11"/>
  <c r="K629" i="11"/>
  <c r="K634" i="11"/>
  <c r="K108" i="12"/>
  <c r="M43" i="15"/>
  <c r="P43" i="15" s="1"/>
  <c r="P45" i="15"/>
  <c r="K449" i="15"/>
  <c r="N41" i="10"/>
  <c r="M94" i="10"/>
  <c r="P94" i="10" s="1"/>
  <c r="K619" i="11"/>
  <c r="P275" i="14"/>
  <c r="N273" i="14"/>
  <c r="N271" i="14" s="1"/>
  <c r="P275" i="15"/>
  <c r="M273" i="15"/>
  <c r="K402" i="9"/>
  <c r="K418" i="9"/>
  <c r="K421" i="9"/>
  <c r="K429" i="9"/>
  <c r="O435" i="9"/>
  <c r="O564" i="9"/>
  <c r="K630" i="9"/>
  <c r="M68" i="10"/>
  <c r="K328" i="10"/>
  <c r="O401" i="10"/>
  <c r="O435" i="10"/>
  <c r="O459" i="10"/>
  <c r="K464" i="10"/>
  <c r="K473" i="10"/>
  <c r="K481" i="10"/>
  <c r="K497" i="10"/>
  <c r="O551" i="10"/>
  <c r="O566" i="10"/>
  <c r="O580" i="10"/>
  <c r="O599" i="10"/>
  <c r="K629" i="10"/>
  <c r="K635" i="10"/>
  <c r="L57" i="11"/>
  <c r="K80" i="11"/>
  <c r="K132" i="11"/>
  <c r="K249" i="11"/>
  <c r="P275" i="11"/>
  <c r="P333" i="11"/>
  <c r="O406" i="11"/>
  <c r="K417" i="11"/>
  <c r="K423" i="11"/>
  <c r="K429" i="11"/>
  <c r="O435" i="11"/>
  <c r="K562" i="11"/>
  <c r="O564" i="11"/>
  <c r="O580" i="11"/>
  <c r="K635" i="11"/>
  <c r="P254" i="13"/>
  <c r="M252" i="13"/>
  <c r="P252" i="13" s="1"/>
  <c r="K371" i="14"/>
  <c r="I367" i="14"/>
  <c r="K367" i="14" s="1"/>
  <c r="K630" i="14"/>
  <c r="O45" i="15"/>
  <c r="L43" i="15"/>
  <c r="L41" i="15" s="1"/>
  <c r="K138" i="10"/>
  <c r="K173" i="10"/>
  <c r="M312" i="10"/>
  <c r="P312" i="10" s="1"/>
  <c r="O404" i="10"/>
  <c r="K418" i="10"/>
  <c r="K424" i="10"/>
  <c r="K430" i="10"/>
  <c r="O457" i="10"/>
  <c r="L98" i="11"/>
  <c r="N142" i="11"/>
  <c r="K349" i="11"/>
  <c r="K377" i="11"/>
  <c r="O383" i="11"/>
  <c r="O401" i="11"/>
  <c r="K465" i="11"/>
  <c r="O533" i="11"/>
  <c r="O597" i="11"/>
  <c r="K618" i="11"/>
  <c r="K615" i="11"/>
  <c r="K376" i="12"/>
  <c r="M120" i="13"/>
  <c r="P122" i="13"/>
  <c r="P224" i="15"/>
  <c r="K109" i="12"/>
  <c r="N273" i="12"/>
  <c r="N271" i="12" s="1"/>
  <c r="K341" i="12"/>
  <c r="K573" i="12"/>
  <c r="N120" i="13"/>
  <c r="K375" i="13"/>
  <c r="K422" i="13"/>
  <c r="K427" i="13"/>
  <c r="K474" i="13"/>
  <c r="K547" i="13"/>
  <c r="K563" i="13"/>
  <c r="K589" i="13"/>
  <c r="N41" i="14"/>
  <c r="K93" i="14"/>
  <c r="K108" i="14"/>
  <c r="K111" i="14"/>
  <c r="N250" i="14"/>
  <c r="L275" i="14"/>
  <c r="O275" i="14" s="1"/>
  <c r="K380" i="14"/>
  <c r="O455" i="14"/>
  <c r="K580" i="14"/>
  <c r="K628" i="14"/>
  <c r="P57" i="15"/>
  <c r="K138" i="15"/>
  <c r="O148" i="15"/>
  <c r="L254" i="15"/>
  <c r="O254" i="15" s="1"/>
  <c r="N292" i="15"/>
  <c r="N290" i="15" s="1"/>
  <c r="K343" i="15"/>
  <c r="K349" i="15"/>
  <c r="K397" i="15"/>
  <c r="K419" i="15"/>
  <c r="K430" i="15"/>
  <c r="O568" i="15"/>
  <c r="K573" i="15"/>
  <c r="K612" i="15"/>
  <c r="K629" i="15"/>
  <c r="K635" i="15"/>
  <c r="N55" i="16"/>
  <c r="N53" i="16" s="1"/>
  <c r="K64" i="16"/>
  <c r="N96" i="16"/>
  <c r="N94" i="16" s="1"/>
  <c r="K449" i="18"/>
  <c r="O347" i="12"/>
  <c r="O599" i="12"/>
  <c r="O597" i="13"/>
  <c r="N118" i="14"/>
  <c r="K199" i="14"/>
  <c r="K631" i="14"/>
  <c r="K219" i="15"/>
  <c r="O337" i="15"/>
  <c r="K533" i="15"/>
  <c r="K564" i="15"/>
  <c r="K371" i="16"/>
  <c r="I367" i="16"/>
  <c r="K367" i="16" s="1"/>
  <c r="K435" i="17"/>
  <c r="P96" i="18"/>
  <c r="M94" i="18"/>
  <c r="P94" i="18" s="1"/>
  <c r="K110" i="12"/>
  <c r="P144" i="12"/>
  <c r="K149" i="12"/>
  <c r="K189" i="12"/>
  <c r="K449" i="12"/>
  <c r="K562" i="12"/>
  <c r="K618" i="12"/>
  <c r="M96" i="13"/>
  <c r="K219" i="13"/>
  <c r="O347" i="13"/>
  <c r="K465" i="13"/>
  <c r="K564" i="13"/>
  <c r="K109" i="14"/>
  <c r="K112" i="14"/>
  <c r="O437" i="14"/>
  <c r="K551" i="14"/>
  <c r="O555" i="14"/>
  <c r="K593" i="14"/>
  <c r="K613" i="14"/>
  <c r="L57" i="15"/>
  <c r="P144" i="15"/>
  <c r="L314" i="15"/>
  <c r="O349" i="15"/>
  <c r="O352" i="15"/>
  <c r="K375" i="15"/>
  <c r="O406" i="15"/>
  <c r="K431" i="15"/>
  <c r="K481" i="15"/>
  <c r="K597" i="15"/>
  <c r="O601" i="15"/>
  <c r="M273" i="16"/>
  <c r="M271" i="16" s="1"/>
  <c r="P275" i="16"/>
  <c r="K266" i="12"/>
  <c r="K328" i="12"/>
  <c r="K349" i="12"/>
  <c r="K396" i="12"/>
  <c r="K466" i="12"/>
  <c r="K616" i="12"/>
  <c r="K593" i="13"/>
  <c r="M250" i="14"/>
  <c r="P250" i="14" s="1"/>
  <c r="O347" i="14"/>
  <c r="K350" i="14"/>
  <c r="K370" i="14"/>
  <c r="N33" i="14"/>
  <c r="N13" i="14" s="1"/>
  <c r="L24" i="15"/>
  <c r="O294" i="17"/>
  <c r="L292" i="17"/>
  <c r="O292" i="17" s="1"/>
  <c r="K619" i="17"/>
  <c r="K617" i="17"/>
  <c r="P45" i="18"/>
  <c r="N43" i="18"/>
  <c r="N41" i="18" s="1"/>
  <c r="N222" i="18"/>
  <c r="N220" i="18" s="1"/>
  <c r="K111" i="12"/>
  <c r="K164" i="12"/>
  <c r="L224" i="12"/>
  <c r="K416" i="12"/>
  <c r="K419" i="12"/>
  <c r="K422" i="12"/>
  <c r="K425" i="12"/>
  <c r="K428" i="12"/>
  <c r="K498" i="12"/>
  <c r="K117" i="13"/>
  <c r="K132" i="13"/>
  <c r="K229" i="13"/>
  <c r="L275" i="13"/>
  <c r="K377" i="13"/>
  <c r="K481" i="13"/>
  <c r="K498" i="13"/>
  <c r="K92" i="14"/>
  <c r="K110" i="14"/>
  <c r="K113" i="14"/>
  <c r="M120" i="14"/>
  <c r="L122" i="14"/>
  <c r="K235" i="14"/>
  <c r="K368" i="14"/>
  <c r="K418" i="14"/>
  <c r="K432" i="14"/>
  <c r="K455" i="14"/>
  <c r="O459" i="14"/>
  <c r="O535" i="14"/>
  <c r="O551" i="14"/>
  <c r="O584" i="14"/>
  <c r="K589" i="14"/>
  <c r="M55" i="15"/>
  <c r="L98" i="15"/>
  <c r="O98" i="15" s="1"/>
  <c r="N140" i="15"/>
  <c r="L144" i="15"/>
  <c r="K204" i="15"/>
  <c r="K213" i="15"/>
  <c r="N222" i="15"/>
  <c r="N220" i="15" s="1"/>
  <c r="M250" i="15"/>
  <c r="P250" i="15" s="1"/>
  <c r="K350" i="15"/>
  <c r="K370" i="15"/>
  <c r="K418" i="15"/>
  <c r="K432" i="15"/>
  <c r="O457" i="15"/>
  <c r="K465" i="15"/>
  <c r="K498" i="15"/>
  <c r="O597" i="15"/>
  <c r="K631" i="15"/>
  <c r="K80" i="16"/>
  <c r="P142" i="18"/>
  <c r="M140" i="18"/>
  <c r="K455" i="18"/>
  <c r="L122" i="16"/>
  <c r="O122" i="16" s="1"/>
  <c r="K235" i="16"/>
  <c r="N252" i="16"/>
  <c r="N250" i="16" s="1"/>
  <c r="N273" i="16"/>
  <c r="N292" i="16"/>
  <c r="O354" i="16"/>
  <c r="O380" i="16"/>
  <c r="K396" i="16"/>
  <c r="K418" i="16"/>
  <c r="K427" i="16"/>
  <c r="K473" i="16"/>
  <c r="O584" i="16"/>
  <c r="K589" i="16"/>
  <c r="K597" i="16"/>
  <c r="K631" i="16"/>
  <c r="K249" i="17"/>
  <c r="L254" i="17"/>
  <c r="K266" i="17"/>
  <c r="L314" i="17"/>
  <c r="L312" i="17" s="1"/>
  <c r="L310" i="17" s="1"/>
  <c r="O310" i="17" s="1"/>
  <c r="K420" i="17"/>
  <c r="K423" i="17"/>
  <c r="K426" i="17"/>
  <c r="K429" i="17"/>
  <c r="K481" i="17"/>
  <c r="K547" i="17"/>
  <c r="O553" i="17"/>
  <c r="O568" i="17"/>
  <c r="K630" i="17"/>
  <c r="K65" i="18"/>
  <c r="N68" i="18"/>
  <c r="O68" i="18" s="1"/>
  <c r="K80" i="18"/>
  <c r="K83" i="18"/>
  <c r="K86" i="18"/>
  <c r="L98" i="18"/>
  <c r="O98" i="18" s="1"/>
  <c r="K110" i="18"/>
  <c r="M120" i="18"/>
  <c r="P120" i="18" s="1"/>
  <c r="N140" i="18"/>
  <c r="P144" i="18"/>
  <c r="K149" i="18"/>
  <c r="K164" i="18"/>
  <c r="K173" i="18"/>
  <c r="K267" i="18"/>
  <c r="N273" i="18"/>
  <c r="K324" i="18"/>
  <c r="M331" i="18"/>
  <c r="K377" i="18"/>
  <c r="K430" i="18"/>
  <c r="K593" i="18"/>
  <c r="O224" i="16"/>
  <c r="L254" i="16"/>
  <c r="O254" i="16" s="1"/>
  <c r="O349" i="16"/>
  <c r="K372" i="16"/>
  <c r="K416" i="16"/>
  <c r="K419" i="16"/>
  <c r="K564" i="16"/>
  <c r="P98" i="17"/>
  <c r="K189" i="17"/>
  <c r="K199" i="17"/>
  <c r="K428" i="16"/>
  <c r="K431" i="16"/>
  <c r="O535" i="16"/>
  <c r="N26" i="17"/>
  <c r="N16" i="17" s="1"/>
  <c r="N33" i="17"/>
  <c r="N13" i="17" s="1"/>
  <c r="K376" i="17"/>
  <c r="K402" i="17"/>
  <c r="K424" i="17"/>
  <c r="K430" i="17"/>
  <c r="M41" i="18"/>
  <c r="P41" i="18" s="1"/>
  <c r="L275" i="18"/>
  <c r="L333" i="18"/>
  <c r="K398" i="18"/>
  <c r="O401" i="18"/>
  <c r="K435" i="18"/>
  <c r="K450" i="18"/>
  <c r="K499" i="18"/>
  <c r="K199" i="16"/>
  <c r="N310" i="16"/>
  <c r="O333" i="16"/>
  <c r="K580" i="16"/>
  <c r="K632" i="16"/>
  <c r="K164" i="17"/>
  <c r="M292" i="17"/>
  <c r="N331" i="17"/>
  <c r="K562" i="17"/>
  <c r="O599" i="17"/>
  <c r="K634" i="17"/>
  <c r="O70" i="18"/>
  <c r="N120" i="18"/>
  <c r="N118" i="18" s="1"/>
  <c r="N329" i="18"/>
  <c r="K328" i="16"/>
  <c r="K398" i="16"/>
  <c r="O401" i="16"/>
  <c r="K420" i="16"/>
  <c r="K429" i="16"/>
  <c r="O437" i="16"/>
  <c r="O459" i="16"/>
  <c r="O580" i="16"/>
  <c r="K593" i="16"/>
  <c r="K630" i="16"/>
  <c r="L70" i="17"/>
  <c r="K265" i="17"/>
  <c r="L333" i="17"/>
  <c r="O380" i="17"/>
  <c r="O383" i="17"/>
  <c r="K401" i="17"/>
  <c r="K425" i="17"/>
  <c r="K428" i="17"/>
  <c r="K431" i="17"/>
  <c r="N34" i="17"/>
  <c r="N14" i="17" s="1"/>
  <c r="K450" i="17"/>
  <c r="K474" i="17"/>
  <c r="O533" i="17"/>
  <c r="O555" i="17"/>
  <c r="K563" i="17"/>
  <c r="K632" i="17"/>
  <c r="P57" i="18"/>
  <c r="P98" i="18"/>
  <c r="K109" i="18"/>
  <c r="L122" i="18"/>
  <c r="K266" i="18"/>
  <c r="K306" i="18"/>
  <c r="L314" i="18"/>
  <c r="L312" i="18" s="1"/>
  <c r="O354" i="18"/>
  <c r="K380" i="18"/>
  <c r="K396" i="18"/>
  <c r="K429" i="18"/>
  <c r="K432" i="18"/>
  <c r="K563" i="18"/>
  <c r="K595" i="18"/>
  <c r="O597" i="18"/>
  <c r="K64" i="1"/>
  <c r="K267" i="1"/>
  <c r="K289" i="1"/>
  <c r="P294" i="1"/>
  <c r="L142" i="4"/>
  <c r="O142" i="4" s="1"/>
  <c r="O144" i="4"/>
  <c r="P43" i="1"/>
  <c r="L252" i="2"/>
  <c r="O254" i="2"/>
  <c r="N310" i="4"/>
  <c r="P310" i="4" s="1"/>
  <c r="N26" i="1"/>
  <c r="N16" i="1" s="1"/>
  <c r="K186" i="1"/>
  <c r="O294" i="3"/>
  <c r="L292" i="3"/>
  <c r="O292" i="3" s="1"/>
  <c r="N55" i="1"/>
  <c r="P55" i="1" s="1"/>
  <c r="P98" i="1"/>
  <c r="O148" i="1"/>
  <c r="N41" i="1"/>
  <c r="K204" i="1"/>
  <c r="K213" i="1"/>
  <c r="K216" i="1"/>
  <c r="K270" i="1"/>
  <c r="P312" i="4"/>
  <c r="K304" i="1"/>
  <c r="O349" i="1"/>
  <c r="K450" i="1"/>
  <c r="P57" i="2"/>
  <c r="P224" i="2"/>
  <c r="K229" i="2"/>
  <c r="M252" i="2"/>
  <c r="P252" i="2" s="1"/>
  <c r="P312" i="2"/>
  <c r="P331" i="2"/>
  <c r="K419" i="2"/>
  <c r="K425" i="2"/>
  <c r="K431" i="2"/>
  <c r="O439" i="2"/>
  <c r="O533" i="2"/>
  <c r="K562" i="2"/>
  <c r="K621" i="2"/>
  <c r="K108" i="3"/>
  <c r="P273" i="3"/>
  <c r="L333" i="3"/>
  <c r="O347" i="3"/>
  <c r="K376" i="3"/>
  <c r="K449" i="3"/>
  <c r="I614" i="1"/>
  <c r="I626" i="1"/>
  <c r="P45" i="4"/>
  <c r="K138" i="4"/>
  <c r="P142" i="4"/>
  <c r="K186" i="4"/>
  <c r="K200" i="4"/>
  <c r="L314" i="4"/>
  <c r="K427" i="4"/>
  <c r="K591" i="4"/>
  <c r="P55" i="5"/>
  <c r="K466" i="1"/>
  <c r="O535" i="1"/>
  <c r="K618" i="1"/>
  <c r="N118" i="2"/>
  <c r="N22" i="2"/>
  <c r="K631" i="2"/>
  <c r="L57" i="3"/>
  <c r="O57" i="3" s="1"/>
  <c r="K65" i="3"/>
  <c r="M68" i="3"/>
  <c r="K377" i="3"/>
  <c r="K421" i="3"/>
  <c r="K450" i="3"/>
  <c r="O568" i="3"/>
  <c r="K573" i="3"/>
  <c r="K580" i="3"/>
  <c r="K597" i="3"/>
  <c r="N41" i="4"/>
  <c r="L45" i="4"/>
  <c r="M220" i="4"/>
  <c r="P220" i="4" s="1"/>
  <c r="O292" i="4"/>
  <c r="L331" i="4"/>
  <c r="N34" i="4"/>
  <c r="N14" i="4" s="1"/>
  <c r="K450" i="4"/>
  <c r="L23" i="2"/>
  <c r="K199" i="2"/>
  <c r="K285" i="2"/>
  <c r="K324" i="2"/>
  <c r="K398" i="2"/>
  <c r="O406" i="2"/>
  <c r="K417" i="2"/>
  <c r="K423" i="2"/>
  <c r="K429" i="2"/>
  <c r="O435" i="2"/>
  <c r="K547" i="2"/>
  <c r="O584" i="2"/>
  <c r="K589" i="2"/>
  <c r="K595" i="2"/>
  <c r="K618" i="2"/>
  <c r="K112" i="3"/>
  <c r="L144" i="3"/>
  <c r="K173" i="3"/>
  <c r="K267" i="3"/>
  <c r="M310" i="3"/>
  <c r="P310" i="3" s="1"/>
  <c r="K340" i="3"/>
  <c r="K343" i="3"/>
  <c r="L34" i="3"/>
  <c r="K431" i="3"/>
  <c r="L31" i="3"/>
  <c r="K481" i="3"/>
  <c r="I612" i="1"/>
  <c r="I618" i="1"/>
  <c r="I624" i="1"/>
  <c r="O57" i="4"/>
  <c r="N120" i="4"/>
  <c r="K229" i="4"/>
  <c r="O435" i="4"/>
  <c r="K465" i="4"/>
  <c r="K615" i="4"/>
  <c r="N68" i="5"/>
  <c r="K375" i="1"/>
  <c r="O401" i="1"/>
  <c r="O533" i="1"/>
  <c r="O568" i="1"/>
  <c r="M120" i="2"/>
  <c r="P144" i="2"/>
  <c r="N271" i="2"/>
  <c r="P314" i="2"/>
  <c r="N34" i="2"/>
  <c r="O34" i="2" s="1"/>
  <c r="K498" i="2"/>
  <c r="K551" i="2"/>
  <c r="L45" i="3"/>
  <c r="N331" i="3"/>
  <c r="K372" i="3"/>
  <c r="K375" i="3"/>
  <c r="O383" i="3"/>
  <c r="J496" i="1"/>
  <c r="J506" i="1"/>
  <c r="O533" i="3"/>
  <c r="O564" i="3"/>
  <c r="K593" i="3"/>
  <c r="J608" i="1"/>
  <c r="O49" i="4"/>
  <c r="P57" i="4"/>
  <c r="K64" i="4"/>
  <c r="M66" i="4"/>
  <c r="P66" i="4" s="1"/>
  <c r="K86" i="4"/>
  <c r="O102" i="4"/>
  <c r="L120" i="4"/>
  <c r="O120" i="4" s="1"/>
  <c r="K213" i="4"/>
  <c r="O337" i="4"/>
  <c r="O401" i="4"/>
  <c r="K597" i="4"/>
  <c r="K613" i="4"/>
  <c r="O312" i="8"/>
  <c r="L310" i="8"/>
  <c r="O310" i="8" s="1"/>
  <c r="K449" i="1"/>
  <c r="N222" i="2"/>
  <c r="N220" i="2" s="1"/>
  <c r="N329" i="2"/>
  <c r="P333" i="2"/>
  <c r="K396" i="2"/>
  <c r="K402" i="2"/>
  <c r="K421" i="2"/>
  <c r="K427" i="2"/>
  <c r="K449" i="2"/>
  <c r="K455" i="2"/>
  <c r="O537" i="2"/>
  <c r="O580" i="2"/>
  <c r="K625" i="2"/>
  <c r="M41" i="3"/>
  <c r="M66" i="3"/>
  <c r="N94" i="3"/>
  <c r="N220" i="3"/>
  <c r="O349" i="3"/>
  <c r="O401" i="3"/>
  <c r="K451" i="3"/>
  <c r="K474" i="3"/>
  <c r="N570" i="1"/>
  <c r="N588" i="1"/>
  <c r="I616" i="1"/>
  <c r="I622" i="1"/>
  <c r="N140" i="4"/>
  <c r="P140" i="4" s="1"/>
  <c r="K419" i="4"/>
  <c r="K481" i="4"/>
  <c r="J635" i="1"/>
  <c r="N53" i="5"/>
  <c r="M68" i="5"/>
  <c r="P68" i="5" s="1"/>
  <c r="M94" i="5"/>
  <c r="O333" i="8"/>
  <c r="L331" i="8"/>
  <c r="O331" i="8" s="1"/>
  <c r="M96" i="2"/>
  <c r="P142" i="2"/>
  <c r="N26" i="2"/>
  <c r="N16" i="2" s="1"/>
  <c r="N32" i="2"/>
  <c r="N30" i="2" s="1"/>
  <c r="K623" i="2"/>
  <c r="K64" i="3"/>
  <c r="M96" i="3"/>
  <c r="P96" i="3" s="1"/>
  <c r="L98" i="3"/>
  <c r="L96" i="3" s="1"/>
  <c r="K113" i="3"/>
  <c r="M250" i="3"/>
  <c r="P250" i="3" s="1"/>
  <c r="K589" i="3"/>
  <c r="P98" i="4"/>
  <c r="K199" i="4"/>
  <c r="K375" i="4"/>
  <c r="K593" i="4"/>
  <c r="K631" i="4"/>
  <c r="L68" i="5"/>
  <c r="K92" i="5"/>
  <c r="K199" i="5"/>
  <c r="M292" i="5"/>
  <c r="L314" i="5"/>
  <c r="L312" i="5" s="1"/>
  <c r="O312" i="5" s="1"/>
  <c r="N329" i="5"/>
  <c r="K397" i="5"/>
  <c r="K426" i="5"/>
  <c r="K435" i="5"/>
  <c r="O455" i="5"/>
  <c r="N34" i="5"/>
  <c r="N14" i="5" s="1"/>
  <c r="N53" i="6"/>
  <c r="P224" i="6"/>
  <c r="M252" i="6"/>
  <c r="L292" i="6"/>
  <c r="K349" i="6"/>
  <c r="K401" i="6"/>
  <c r="K416" i="6"/>
  <c r="K428" i="6"/>
  <c r="K497" i="6"/>
  <c r="K618" i="6"/>
  <c r="K615" i="6"/>
  <c r="N250" i="7"/>
  <c r="P294" i="7"/>
  <c r="M331" i="7"/>
  <c r="O380" i="7"/>
  <c r="O383" i="7"/>
  <c r="K416" i="7"/>
  <c r="K422" i="7"/>
  <c r="K113" i="8"/>
  <c r="K199" i="8"/>
  <c r="L294" i="8"/>
  <c r="L292" i="8" s="1"/>
  <c r="O292" i="8" s="1"/>
  <c r="K328" i="8"/>
  <c r="O337" i="8"/>
  <c r="K350" i="8"/>
  <c r="K380" i="8"/>
  <c r="O385" i="8"/>
  <c r="K402" i="8"/>
  <c r="K418" i="8"/>
  <c r="K424" i="8"/>
  <c r="K430" i="8"/>
  <c r="K482" i="8"/>
  <c r="L250" i="10"/>
  <c r="O250" i="10" s="1"/>
  <c r="O252" i="10"/>
  <c r="M312" i="5"/>
  <c r="K626" i="5"/>
  <c r="K149" i="6"/>
  <c r="O275" i="6"/>
  <c r="L333" i="6"/>
  <c r="L331" i="6" s="1"/>
  <c r="L31" i="6"/>
  <c r="L29" i="6" s="1"/>
  <c r="O29" i="6" s="1"/>
  <c r="K498" i="6"/>
  <c r="L57" i="7"/>
  <c r="L55" i="7" s="1"/>
  <c r="K87" i="7"/>
  <c r="L142" i="7"/>
  <c r="O142" i="7" s="1"/>
  <c r="M290" i="7"/>
  <c r="P290" i="7" s="1"/>
  <c r="K417" i="7"/>
  <c r="K423" i="7"/>
  <c r="K431" i="7"/>
  <c r="M41" i="8"/>
  <c r="L45" i="8"/>
  <c r="O49" i="8"/>
  <c r="O254" i="9"/>
  <c r="L252" i="9"/>
  <c r="L294" i="5"/>
  <c r="K341" i="5"/>
  <c r="O533" i="5"/>
  <c r="K624" i="5"/>
  <c r="N94" i="6"/>
  <c r="K110" i="6"/>
  <c r="K164" i="6"/>
  <c r="L312" i="6"/>
  <c r="O312" i="6" s="1"/>
  <c r="N31" i="6"/>
  <c r="O406" i="6"/>
  <c r="O568" i="6"/>
  <c r="O228" i="7"/>
  <c r="K618" i="7"/>
  <c r="K132" i="8"/>
  <c r="L142" i="8"/>
  <c r="O142" i="8" s="1"/>
  <c r="K267" i="8"/>
  <c r="M331" i="8"/>
  <c r="P331" i="8" s="1"/>
  <c r="O383" i="8"/>
  <c r="K422" i="8"/>
  <c r="K428" i="8"/>
  <c r="K466" i="8"/>
  <c r="O144" i="9"/>
  <c r="L142" i="9"/>
  <c r="M142" i="5"/>
  <c r="K200" i="5"/>
  <c r="L24" i="5"/>
  <c r="L14" i="5" s="1"/>
  <c r="K270" i="5"/>
  <c r="O582" i="5"/>
  <c r="K622" i="5"/>
  <c r="O70" i="6"/>
  <c r="K111" i="6"/>
  <c r="M120" i="6"/>
  <c r="N310" i="6"/>
  <c r="K343" i="6"/>
  <c r="O349" i="6"/>
  <c r="O404" i="6"/>
  <c r="K422" i="6"/>
  <c r="K547" i="6"/>
  <c r="O599" i="6"/>
  <c r="M68" i="7"/>
  <c r="N140" i="7"/>
  <c r="O148" i="7"/>
  <c r="K229" i="7"/>
  <c r="L292" i="7"/>
  <c r="O292" i="7" s="1"/>
  <c r="L314" i="7"/>
  <c r="L312" i="7" s="1"/>
  <c r="N33" i="7"/>
  <c r="K421" i="7"/>
  <c r="K427" i="7"/>
  <c r="O439" i="7"/>
  <c r="K455" i="7"/>
  <c r="K616" i="7"/>
  <c r="N118" i="8"/>
  <c r="N310" i="8"/>
  <c r="O318" i="8"/>
  <c r="K112" i="5"/>
  <c r="N28" i="5"/>
  <c r="K430" i="5"/>
  <c r="K620" i="5"/>
  <c r="L57" i="6"/>
  <c r="N68" i="6"/>
  <c r="M271" i="6"/>
  <c r="P271" i="6" s="1"/>
  <c r="M312" i="6"/>
  <c r="O318" i="6"/>
  <c r="K375" i="6"/>
  <c r="M142" i="7"/>
  <c r="L331" i="7"/>
  <c r="N31" i="7"/>
  <c r="N29" i="7" s="1"/>
  <c r="K614" i="7"/>
  <c r="P45" i="8"/>
  <c r="L252" i="8"/>
  <c r="K265" i="8"/>
  <c r="M290" i="8"/>
  <c r="P290" i="8" s="1"/>
  <c r="K381" i="8"/>
  <c r="K455" i="8"/>
  <c r="O457" i="8"/>
  <c r="K474" i="8"/>
  <c r="O45" i="10"/>
  <c r="L43" i="10"/>
  <c r="O43" i="10" s="1"/>
  <c r="L312" i="10"/>
  <c r="O314" i="10"/>
  <c r="L96" i="5"/>
  <c r="O347" i="5"/>
  <c r="K396" i="5"/>
  <c r="K428" i="5"/>
  <c r="O457" i="5"/>
  <c r="K533" i="5"/>
  <c r="K629" i="5"/>
  <c r="M96" i="6"/>
  <c r="K109" i="6"/>
  <c r="K117" i="6"/>
  <c r="L122" i="6"/>
  <c r="L273" i="6"/>
  <c r="K341" i="6"/>
  <c r="O347" i="6"/>
  <c r="K617" i="6"/>
  <c r="L45" i="7"/>
  <c r="L22" i="7" s="1"/>
  <c r="L120" i="7"/>
  <c r="M220" i="7"/>
  <c r="K612" i="7"/>
  <c r="K622" i="7"/>
  <c r="N66" i="8"/>
  <c r="M120" i="8"/>
  <c r="K164" i="8"/>
  <c r="O352" i="8"/>
  <c r="K417" i="8"/>
  <c r="K423" i="8"/>
  <c r="K429" i="8"/>
  <c r="O333" i="9"/>
  <c r="L331" i="9"/>
  <c r="K618" i="8"/>
  <c r="L222" i="9"/>
  <c r="P331" i="9"/>
  <c r="K376" i="9"/>
  <c r="K381" i="9"/>
  <c r="K419" i="9"/>
  <c r="K431" i="9"/>
  <c r="K435" i="9"/>
  <c r="K626" i="9"/>
  <c r="O254" i="10"/>
  <c r="L273" i="10"/>
  <c r="O273" i="10" s="1"/>
  <c r="M310" i="10"/>
  <c r="P310" i="10" s="1"/>
  <c r="K421" i="10"/>
  <c r="K427" i="10"/>
  <c r="K482" i="10"/>
  <c r="K564" i="10"/>
  <c r="K589" i="10"/>
  <c r="K612" i="10"/>
  <c r="K614" i="10"/>
  <c r="K616" i="10"/>
  <c r="K618" i="10"/>
  <c r="K620" i="10"/>
  <c r="K622" i="10"/>
  <c r="K624" i="10"/>
  <c r="K626" i="10"/>
  <c r="O224" i="11"/>
  <c r="K267" i="11"/>
  <c r="O312" i="11"/>
  <c r="O49" i="12"/>
  <c r="N26" i="12"/>
  <c r="N16" i="12" s="1"/>
  <c r="K113" i="12"/>
  <c r="O435" i="12"/>
  <c r="K616" i="8"/>
  <c r="K634" i="8"/>
  <c r="N22" i="9"/>
  <c r="M252" i="9"/>
  <c r="P252" i="9" s="1"/>
  <c r="M310" i="9"/>
  <c r="P310" i="9" s="1"/>
  <c r="K533" i="9"/>
  <c r="K624" i="9"/>
  <c r="K628" i="9"/>
  <c r="M273" i="10"/>
  <c r="K422" i="10"/>
  <c r="K428" i="10"/>
  <c r="N331" i="12"/>
  <c r="P333" i="12"/>
  <c r="K614" i="8"/>
  <c r="K626" i="8"/>
  <c r="P144" i="9"/>
  <c r="K158" i="9"/>
  <c r="O228" i="9"/>
  <c r="M273" i="9"/>
  <c r="K427" i="9"/>
  <c r="K562" i="9"/>
  <c r="O279" i="10"/>
  <c r="K381" i="10"/>
  <c r="N33" i="10"/>
  <c r="N13" i="10" s="1"/>
  <c r="K466" i="10"/>
  <c r="K560" i="10"/>
  <c r="K593" i="10"/>
  <c r="K65" i="11"/>
  <c r="O68" i="11"/>
  <c r="M120" i="11"/>
  <c r="M118" i="11" s="1"/>
  <c r="P118" i="11" s="1"/>
  <c r="N140" i="11"/>
  <c r="K265" i="11"/>
  <c r="K371" i="11"/>
  <c r="I367" i="11"/>
  <c r="K367" i="11" s="1"/>
  <c r="N43" i="12"/>
  <c r="O43" i="12" s="1"/>
  <c r="P45" i="12"/>
  <c r="P68" i="12"/>
  <c r="M66" i="12"/>
  <c r="P66" i="12" s="1"/>
  <c r="K340" i="13"/>
  <c r="K612" i="8"/>
  <c r="K624" i="8"/>
  <c r="K630" i="8"/>
  <c r="M222" i="9"/>
  <c r="M250" i="9"/>
  <c r="P250" i="9" s="1"/>
  <c r="O354" i="9"/>
  <c r="N32" i="9"/>
  <c r="N30" i="9" s="1"/>
  <c r="N28" i="9" s="1"/>
  <c r="P57" i="10"/>
  <c r="L68" i="10"/>
  <c r="O68" i="10" s="1"/>
  <c r="L98" i="10"/>
  <c r="N22" i="10"/>
  <c r="P22" i="10" s="1"/>
  <c r="N310" i="10"/>
  <c r="K611" i="10"/>
  <c r="K613" i="10"/>
  <c r="K615" i="10"/>
  <c r="K617" i="10"/>
  <c r="K621" i="10"/>
  <c r="K623" i="10"/>
  <c r="M55" i="11"/>
  <c r="M53" i="11" s="1"/>
  <c r="L142" i="11"/>
  <c r="O142" i="11" s="1"/>
  <c r="L252" i="11"/>
  <c r="L250" i="11" s="1"/>
  <c r="L33" i="12"/>
  <c r="O33" i="12" s="1"/>
  <c r="O98" i="13"/>
  <c r="L96" i="13"/>
  <c r="O96" i="13" s="1"/>
  <c r="N142" i="13"/>
  <c r="N140" i="13" s="1"/>
  <c r="P140" i="13" s="1"/>
  <c r="K371" i="13"/>
  <c r="I367" i="13"/>
  <c r="K367" i="13" s="1"/>
  <c r="K580" i="8"/>
  <c r="K622" i="8"/>
  <c r="L96" i="9"/>
  <c r="O96" i="9" s="1"/>
  <c r="P142" i="9"/>
  <c r="M292" i="9"/>
  <c r="L312" i="9"/>
  <c r="P333" i="9"/>
  <c r="K397" i="9"/>
  <c r="K423" i="9"/>
  <c r="M142" i="10"/>
  <c r="P142" i="10" s="1"/>
  <c r="L224" i="10"/>
  <c r="N31" i="10"/>
  <c r="K417" i="10"/>
  <c r="K423" i="10"/>
  <c r="K429" i="10"/>
  <c r="K455" i="10"/>
  <c r="N26" i="11"/>
  <c r="N16" i="11" s="1"/>
  <c r="K164" i="11"/>
  <c r="K173" i="11"/>
  <c r="N222" i="11"/>
  <c r="N220" i="11" s="1"/>
  <c r="K270" i="11"/>
  <c r="K620" i="8"/>
  <c r="M120" i="9"/>
  <c r="P120" i="9" s="1"/>
  <c r="N118" i="10"/>
  <c r="K164" i="10"/>
  <c r="O380" i="10"/>
  <c r="K402" i="10"/>
  <c r="N32" i="10"/>
  <c r="N30" i="10" s="1"/>
  <c r="O597" i="10"/>
  <c r="O34" i="11"/>
  <c r="M53" i="13"/>
  <c r="O70" i="13"/>
  <c r="L68" i="13"/>
  <c r="O68" i="13" s="1"/>
  <c r="N292" i="11"/>
  <c r="K368" i="11"/>
  <c r="K398" i="11"/>
  <c r="O437" i="11"/>
  <c r="K466" i="11"/>
  <c r="O566" i="11"/>
  <c r="K595" i="11"/>
  <c r="K631" i="11"/>
  <c r="P98" i="12"/>
  <c r="M120" i="12"/>
  <c r="K229" i="12"/>
  <c r="K235" i="12"/>
  <c r="M312" i="12"/>
  <c r="P312" i="12" s="1"/>
  <c r="K343" i="12"/>
  <c r="K375" i="12"/>
  <c r="N32" i="12"/>
  <c r="N30" i="12" s="1"/>
  <c r="O30" i="12" s="1"/>
  <c r="K417" i="12"/>
  <c r="K420" i="12"/>
  <c r="K423" i="12"/>
  <c r="K426" i="12"/>
  <c r="K429" i="12"/>
  <c r="K432" i="12"/>
  <c r="K450" i="12"/>
  <c r="K473" i="12"/>
  <c r="K497" i="12"/>
  <c r="K634" i="12"/>
  <c r="N68" i="13"/>
  <c r="L314" i="13"/>
  <c r="O314" i="13" s="1"/>
  <c r="K328" i="13"/>
  <c r="K381" i="13"/>
  <c r="K429" i="13"/>
  <c r="O455" i="13"/>
  <c r="M41" i="15"/>
  <c r="K371" i="15"/>
  <c r="I367" i="15"/>
  <c r="K367" i="15" s="1"/>
  <c r="O57" i="15"/>
  <c r="L55" i="15"/>
  <c r="L53" i="15" s="1"/>
  <c r="O53" i="15" s="1"/>
  <c r="N271" i="16"/>
  <c r="P273" i="16"/>
  <c r="K340" i="11"/>
  <c r="O404" i="11"/>
  <c r="K591" i="11"/>
  <c r="O45" i="12"/>
  <c r="N68" i="12"/>
  <c r="O68" i="12" s="1"/>
  <c r="L254" i="12"/>
  <c r="L254" i="1" s="1"/>
  <c r="O568" i="12"/>
  <c r="K614" i="12"/>
  <c r="K626" i="12"/>
  <c r="P144" i="13"/>
  <c r="K345" i="13"/>
  <c r="O581" i="14"/>
  <c r="L31" i="14"/>
  <c r="L29" i="14" s="1"/>
  <c r="O29" i="14" s="1"/>
  <c r="K621" i="14"/>
  <c r="K623" i="14"/>
  <c r="K625" i="14"/>
  <c r="P222" i="15"/>
  <c r="N310" i="11"/>
  <c r="K402" i="11"/>
  <c r="K418" i="11"/>
  <c r="K421" i="11"/>
  <c r="K424" i="11"/>
  <c r="K427" i="11"/>
  <c r="K430" i="11"/>
  <c r="K449" i="11"/>
  <c r="K455" i="11"/>
  <c r="K589" i="11"/>
  <c r="K219" i="12"/>
  <c r="N312" i="12"/>
  <c r="N310" i="12" s="1"/>
  <c r="K380" i="12"/>
  <c r="O385" i="12"/>
  <c r="K612" i="12"/>
  <c r="K624" i="12"/>
  <c r="M68" i="13"/>
  <c r="K158" i="13"/>
  <c r="K199" i="13"/>
  <c r="N273" i="13"/>
  <c r="N312" i="13"/>
  <c r="N310" i="13" s="1"/>
  <c r="K343" i="13"/>
  <c r="K372" i="13"/>
  <c r="K423" i="13"/>
  <c r="O533" i="13"/>
  <c r="M55" i="14"/>
  <c r="P57" i="14"/>
  <c r="K396" i="14"/>
  <c r="P333" i="15"/>
  <c r="M331" i="15"/>
  <c r="L32" i="15"/>
  <c r="O404" i="15"/>
  <c r="K426" i="15"/>
  <c r="N31" i="11"/>
  <c r="N32" i="11"/>
  <c r="N30" i="11" s="1"/>
  <c r="O568" i="11"/>
  <c r="K612" i="11"/>
  <c r="K614" i="11"/>
  <c r="K616" i="11"/>
  <c r="N118" i="12"/>
  <c r="M142" i="12"/>
  <c r="N34" i="12"/>
  <c r="N14" i="12" s="1"/>
  <c r="K431" i="12"/>
  <c r="K533" i="12"/>
  <c r="O564" i="12"/>
  <c r="K622" i="12"/>
  <c r="N290" i="13"/>
  <c r="L142" i="15"/>
  <c r="O144" i="15"/>
  <c r="M66" i="16"/>
  <c r="P68" i="16"/>
  <c r="K370" i="11"/>
  <c r="K431" i="11"/>
  <c r="O439" i="11"/>
  <c r="O455" i="11"/>
  <c r="K597" i="11"/>
  <c r="L24" i="12"/>
  <c r="L120" i="12"/>
  <c r="L118" i="12" s="1"/>
  <c r="K285" i="12"/>
  <c r="L314" i="12"/>
  <c r="K345" i="12"/>
  <c r="K377" i="12"/>
  <c r="O380" i="12"/>
  <c r="K397" i="12"/>
  <c r="O455" i="12"/>
  <c r="K499" i="12"/>
  <c r="K563" i="12"/>
  <c r="O597" i="12"/>
  <c r="K620" i="12"/>
  <c r="L122" i="13"/>
  <c r="K164" i="13"/>
  <c r="N31" i="13"/>
  <c r="N29" i="13" s="1"/>
  <c r="N28" i="13" s="1"/>
  <c r="N33" i="13"/>
  <c r="N13" i="13" s="1"/>
  <c r="K370" i="13"/>
  <c r="K421" i="13"/>
  <c r="O537" i="13"/>
  <c r="P98" i="14"/>
  <c r="M96" i="14"/>
  <c r="M94" i="14" s="1"/>
  <c r="O126" i="15"/>
  <c r="K340" i="15"/>
  <c r="N34" i="15"/>
  <c r="N14" i="15" s="1"/>
  <c r="P292" i="16"/>
  <c r="L252" i="17"/>
  <c r="O254" i="17"/>
  <c r="L66" i="18"/>
  <c r="O568" i="13"/>
  <c r="N94" i="14"/>
  <c r="P294" i="14"/>
  <c r="M312" i="14"/>
  <c r="K402" i="14"/>
  <c r="K450" i="14"/>
  <c r="O597" i="14"/>
  <c r="K615" i="14"/>
  <c r="O43" i="15"/>
  <c r="K199" i="15"/>
  <c r="K396" i="15"/>
  <c r="K435" i="15"/>
  <c r="K616" i="15"/>
  <c r="K630" i="15"/>
  <c r="K65" i="16"/>
  <c r="P70" i="16"/>
  <c r="K81" i="16"/>
  <c r="K270" i="16"/>
  <c r="O383" i="18"/>
  <c r="M220" i="14"/>
  <c r="O380" i="14"/>
  <c r="K629" i="14"/>
  <c r="K82" i="15"/>
  <c r="K173" i="15"/>
  <c r="K216" i="15"/>
  <c r="M220" i="15"/>
  <c r="K341" i="15"/>
  <c r="O535" i="15"/>
  <c r="K626" i="15"/>
  <c r="L70" i="16"/>
  <c r="P96" i="16"/>
  <c r="M252" i="16"/>
  <c r="K424" i="16"/>
  <c r="N43" i="17"/>
  <c r="P43" i="17" s="1"/>
  <c r="P45" i="17"/>
  <c r="O70" i="17"/>
  <c r="L68" i="17"/>
  <c r="O68" i="17" s="1"/>
  <c r="P70" i="18"/>
  <c r="M68" i="18"/>
  <c r="O564" i="13"/>
  <c r="P45" i="14"/>
  <c r="K229" i="14"/>
  <c r="P273" i="14"/>
  <c r="N31" i="14"/>
  <c r="K375" i="14"/>
  <c r="O435" i="14"/>
  <c r="O582" i="14"/>
  <c r="M142" i="15"/>
  <c r="N271" i="15"/>
  <c r="K372" i="15"/>
  <c r="K499" i="15"/>
  <c r="K624" i="15"/>
  <c r="K628" i="15"/>
  <c r="K117" i="16"/>
  <c r="K133" i="16"/>
  <c r="K200" i="16"/>
  <c r="P314" i="16"/>
  <c r="M312" i="16"/>
  <c r="O455" i="17"/>
  <c r="O554" i="17"/>
  <c r="L33" i="17"/>
  <c r="O33" i="17" s="1"/>
  <c r="L224" i="18"/>
  <c r="O275" i="18"/>
  <c r="L273" i="18"/>
  <c r="L271" i="18" s="1"/>
  <c r="P314" i="18"/>
  <c r="M312" i="18"/>
  <c r="O404" i="18"/>
  <c r="K431" i="18"/>
  <c r="O584" i="13"/>
  <c r="K629" i="13"/>
  <c r="K635" i="13"/>
  <c r="L45" i="14"/>
  <c r="L43" i="14" s="1"/>
  <c r="O43" i="14" s="1"/>
  <c r="N53" i="14"/>
  <c r="L24" i="14"/>
  <c r="O24" i="14" s="1"/>
  <c r="L224" i="14"/>
  <c r="O224" i="14" s="1"/>
  <c r="M290" i="14"/>
  <c r="P290" i="14" s="1"/>
  <c r="O580" i="14"/>
  <c r="K200" i="15"/>
  <c r="L331" i="15"/>
  <c r="O435" i="15"/>
  <c r="K473" i="15"/>
  <c r="K497" i="15"/>
  <c r="O533" i="15"/>
  <c r="K622" i="15"/>
  <c r="L120" i="16"/>
  <c r="O120" i="16" s="1"/>
  <c r="O385" i="17"/>
  <c r="L34" i="17"/>
  <c r="K219" i="14"/>
  <c r="N310" i="14"/>
  <c r="M331" i="14"/>
  <c r="K398" i="14"/>
  <c r="O401" i="14"/>
  <c r="O404" i="14"/>
  <c r="K449" i="14"/>
  <c r="K547" i="14"/>
  <c r="K595" i="14"/>
  <c r="K619" i="14"/>
  <c r="K635" i="14"/>
  <c r="P55" i="15"/>
  <c r="K149" i="15"/>
  <c r="K158" i="15"/>
  <c r="P273" i="15"/>
  <c r="O347" i="15"/>
  <c r="K380" i="15"/>
  <c r="O401" i="15"/>
  <c r="O566" i="15"/>
  <c r="O599" i="15"/>
  <c r="K620" i="15"/>
  <c r="K634" i="15"/>
  <c r="K85" i="16"/>
  <c r="M120" i="16"/>
  <c r="P120" i="16" s="1"/>
  <c r="N142" i="16"/>
  <c r="N140" i="16" s="1"/>
  <c r="K397" i="16"/>
  <c r="K93" i="18"/>
  <c r="K376" i="18"/>
  <c r="K370" i="16"/>
  <c r="L31" i="16"/>
  <c r="K432" i="16"/>
  <c r="O533" i="16"/>
  <c r="K591" i="16"/>
  <c r="K619" i="16"/>
  <c r="M273" i="17"/>
  <c r="L290" i="17"/>
  <c r="O290" i="17" s="1"/>
  <c r="M312" i="17"/>
  <c r="K482" i="17"/>
  <c r="K497" i="17"/>
  <c r="K615" i="17"/>
  <c r="K189" i="18"/>
  <c r="M292" i="18"/>
  <c r="P292" i="18" s="1"/>
  <c r="L294" i="18"/>
  <c r="K368" i="18"/>
  <c r="K422" i="18"/>
  <c r="O437" i="18"/>
  <c r="O537" i="18"/>
  <c r="O582" i="18"/>
  <c r="N331" i="16"/>
  <c r="K368" i="16"/>
  <c r="N33" i="16"/>
  <c r="N13" i="16" s="1"/>
  <c r="K422" i="16"/>
  <c r="K425" i="16"/>
  <c r="K617" i="16"/>
  <c r="O122" i="17"/>
  <c r="K343" i="17"/>
  <c r="K551" i="17"/>
  <c r="K613" i="17"/>
  <c r="K618" i="17"/>
  <c r="L96" i="18"/>
  <c r="O96" i="18" s="1"/>
  <c r="K417" i="16"/>
  <c r="K455" i="16"/>
  <c r="K474" i="16"/>
  <c r="K547" i="16"/>
  <c r="N31" i="16"/>
  <c r="N29" i="16" s="1"/>
  <c r="N28" i="16" s="1"/>
  <c r="K615" i="16"/>
  <c r="N66" i="17"/>
  <c r="K92" i="17"/>
  <c r="K132" i="17"/>
  <c r="K341" i="17"/>
  <c r="O349" i="17"/>
  <c r="O352" i="17"/>
  <c r="K455" i="17"/>
  <c r="K611" i="17"/>
  <c r="K616" i="17"/>
  <c r="K372" i="18"/>
  <c r="O435" i="18"/>
  <c r="O535" i="18"/>
  <c r="O599" i="18"/>
  <c r="L292" i="16"/>
  <c r="N34" i="16"/>
  <c r="N14" i="16" s="1"/>
  <c r="N32" i="16"/>
  <c r="N30" i="16" s="1"/>
  <c r="K613" i="16"/>
  <c r="P224" i="17"/>
  <c r="K229" i="17"/>
  <c r="N252" i="17"/>
  <c r="P252" i="17" s="1"/>
  <c r="N310" i="17"/>
  <c r="N32" i="17"/>
  <c r="N30" i="17" s="1"/>
  <c r="O406" i="17"/>
  <c r="K498" i="17"/>
  <c r="K560" i="17"/>
  <c r="K614" i="17"/>
  <c r="N55" i="18"/>
  <c r="P55" i="18" s="1"/>
  <c r="O102" i="18"/>
  <c r="O380" i="18"/>
  <c r="K416" i="18"/>
  <c r="K428" i="18"/>
  <c r="O564" i="18"/>
  <c r="K402" i="16"/>
  <c r="K421" i="16"/>
  <c r="O439" i="16"/>
  <c r="K482" i="16"/>
  <c r="O537" i="16"/>
  <c r="K595" i="16"/>
  <c r="K611" i="16"/>
  <c r="K633" i="16"/>
  <c r="M68" i="17"/>
  <c r="P68" i="17" s="1"/>
  <c r="K93" i="17"/>
  <c r="L142" i="17"/>
  <c r="L140" i="17" s="1"/>
  <c r="L224" i="17"/>
  <c r="L222" i="17" s="1"/>
  <c r="L220" i="17" s="1"/>
  <c r="K267" i="17"/>
  <c r="P333" i="17"/>
  <c r="O347" i="17"/>
  <c r="K350" i="17"/>
  <c r="K377" i="17"/>
  <c r="K427" i="17"/>
  <c r="K499" i="17"/>
  <c r="O535" i="17"/>
  <c r="N31" i="17"/>
  <c r="N29" i="17" s="1"/>
  <c r="K612" i="17"/>
  <c r="K629" i="17"/>
  <c r="K158" i="18"/>
  <c r="K426" i="18"/>
  <c r="O584" i="18"/>
  <c r="P19" i="4"/>
  <c r="M41" i="1"/>
  <c r="P331" i="3"/>
  <c r="N19" i="1"/>
  <c r="L19" i="1"/>
  <c r="O25" i="1"/>
  <c r="L15" i="1"/>
  <c r="O15" i="1" s="1"/>
  <c r="P19" i="1"/>
  <c r="O98" i="3"/>
  <c r="M11" i="1"/>
  <c r="P21" i="1"/>
  <c r="P45" i="1"/>
  <c r="P9" i="2"/>
  <c r="M292" i="2"/>
  <c r="M290" i="2" s="1"/>
  <c r="K420" i="2"/>
  <c r="I420" i="1"/>
  <c r="K420" i="1" s="1"/>
  <c r="K426" i="2"/>
  <c r="I426" i="1"/>
  <c r="K426" i="1" s="1"/>
  <c r="K432" i="2"/>
  <c r="I432" i="1"/>
  <c r="K432" i="1" s="1"/>
  <c r="O459" i="2"/>
  <c r="L459" i="1"/>
  <c r="K592" i="2"/>
  <c r="I592" i="1"/>
  <c r="K592" i="1" s="1"/>
  <c r="O597" i="2"/>
  <c r="L597" i="1"/>
  <c r="O597" i="1" s="1"/>
  <c r="J628" i="1"/>
  <c r="K628" i="2"/>
  <c r="J634" i="1"/>
  <c r="K634" i="2"/>
  <c r="L26" i="3"/>
  <c r="N53" i="3"/>
  <c r="O119" i="3"/>
  <c r="O333" i="3"/>
  <c r="L331" i="3"/>
  <c r="N31" i="3"/>
  <c r="N29" i="3" s="1"/>
  <c r="N565" i="1"/>
  <c r="N31" i="1" s="1"/>
  <c r="N29" i="1" s="1"/>
  <c r="K626" i="3"/>
  <c r="K624" i="3"/>
  <c r="K622" i="3"/>
  <c r="K620" i="3"/>
  <c r="K625" i="3"/>
  <c r="K623" i="3"/>
  <c r="K621" i="3"/>
  <c r="I620" i="1"/>
  <c r="K633" i="3"/>
  <c r="I633" i="1"/>
  <c r="K633" i="1" s="1"/>
  <c r="O24" i="4"/>
  <c r="P41" i="4"/>
  <c r="N22" i="4"/>
  <c r="O122" i="6"/>
  <c r="L120" i="6"/>
  <c r="P42" i="1"/>
  <c r="K612" i="1"/>
  <c r="M28" i="2"/>
  <c r="P28" i="2" s="1"/>
  <c r="P29" i="2"/>
  <c r="L57" i="2"/>
  <c r="L120" i="2"/>
  <c r="O122" i="2"/>
  <c r="O221" i="2"/>
  <c r="P271" i="2"/>
  <c r="M310" i="2"/>
  <c r="P311" i="2"/>
  <c r="O384" i="2"/>
  <c r="L33" i="2"/>
  <c r="O33" i="2" s="1"/>
  <c r="L384" i="1"/>
  <c r="O553" i="2"/>
  <c r="L553" i="1"/>
  <c r="O553" i="1" s="1"/>
  <c r="J580" i="1"/>
  <c r="K580" i="1" s="1"/>
  <c r="K580" i="2"/>
  <c r="J611" i="1"/>
  <c r="K611" i="1" s="1"/>
  <c r="K611" i="2"/>
  <c r="J617" i="1"/>
  <c r="K617" i="1" s="1"/>
  <c r="K617" i="2"/>
  <c r="N26" i="3"/>
  <c r="N16" i="3" s="1"/>
  <c r="M118" i="3"/>
  <c r="N142" i="3"/>
  <c r="N140" i="3" s="1"/>
  <c r="L252" i="3"/>
  <c r="O254" i="3"/>
  <c r="K577" i="3"/>
  <c r="I577" i="1"/>
  <c r="K577" i="1" s="1"/>
  <c r="O582" i="3"/>
  <c r="L582" i="1"/>
  <c r="O582" i="1" s="1"/>
  <c r="P43" i="4"/>
  <c r="N96" i="4"/>
  <c r="N94" i="4" s="1"/>
  <c r="L42" i="1"/>
  <c r="M22" i="1"/>
  <c r="K499" i="1"/>
  <c r="O566" i="1"/>
  <c r="K634" i="1"/>
  <c r="L26" i="2"/>
  <c r="O49" i="2"/>
  <c r="O70" i="2"/>
  <c r="M220" i="2"/>
  <c r="N20" i="2"/>
  <c r="N18" i="2" s="1"/>
  <c r="O298" i="2"/>
  <c r="L292" i="2"/>
  <c r="L290" i="2" s="1"/>
  <c r="N310" i="2"/>
  <c r="O314" i="2"/>
  <c r="L312" i="2"/>
  <c r="N33" i="2"/>
  <c r="N13" i="2" s="1"/>
  <c r="K418" i="2"/>
  <c r="I418" i="1"/>
  <c r="K418" i="1" s="1"/>
  <c r="K424" i="2"/>
  <c r="I424" i="1"/>
  <c r="K424" i="1" s="1"/>
  <c r="K430" i="2"/>
  <c r="I430" i="1"/>
  <c r="K430" i="1" s="1"/>
  <c r="O457" i="2"/>
  <c r="L457" i="1"/>
  <c r="K590" i="2"/>
  <c r="I590" i="1"/>
  <c r="K590" i="1" s="1"/>
  <c r="K596" i="2"/>
  <c r="I596" i="1"/>
  <c r="K596" i="1" s="1"/>
  <c r="O601" i="2"/>
  <c r="L601" i="1"/>
  <c r="O601" i="1" s="1"/>
  <c r="J632" i="1"/>
  <c r="K632" i="1" s="1"/>
  <c r="K632" i="2"/>
  <c r="M55" i="3"/>
  <c r="M22" i="3"/>
  <c r="P57" i="3"/>
  <c r="L11" i="3"/>
  <c r="O31" i="3"/>
  <c r="L29" i="3"/>
  <c r="K564" i="3"/>
  <c r="J564" i="1"/>
  <c r="K564" i="1" s="1"/>
  <c r="K631" i="3"/>
  <c r="I631" i="1"/>
  <c r="K631" i="1" s="1"/>
  <c r="L11" i="4"/>
  <c r="N28" i="4"/>
  <c r="O275" i="7"/>
  <c r="L273" i="7"/>
  <c r="L222" i="2"/>
  <c r="L220" i="2" s="1"/>
  <c r="O291" i="2"/>
  <c r="O382" i="2"/>
  <c r="L31" i="2"/>
  <c r="L11" i="2" s="1"/>
  <c r="L382" i="1"/>
  <c r="K533" i="2"/>
  <c r="J533" i="1"/>
  <c r="K533" i="1" s="1"/>
  <c r="O551" i="2"/>
  <c r="L551" i="1"/>
  <c r="O551" i="1" s="1"/>
  <c r="J615" i="1"/>
  <c r="K615" i="1" s="1"/>
  <c r="K615" i="2"/>
  <c r="P45" i="3"/>
  <c r="N43" i="3"/>
  <c r="N41" i="3" s="1"/>
  <c r="M140" i="3"/>
  <c r="P141" i="3"/>
  <c r="O354" i="3"/>
  <c r="N34" i="3"/>
  <c r="N14" i="3" s="1"/>
  <c r="O437" i="3"/>
  <c r="L32" i="3"/>
  <c r="K575" i="3"/>
  <c r="I575" i="1"/>
  <c r="K575" i="1" s="1"/>
  <c r="O580" i="3"/>
  <c r="L580" i="1"/>
  <c r="O580" i="1" s="1"/>
  <c r="M30" i="4"/>
  <c r="P30" i="4" s="1"/>
  <c r="P32" i="4"/>
  <c r="M94" i="4"/>
  <c r="P95" i="4"/>
  <c r="O294" i="5"/>
  <c r="L292" i="5"/>
  <c r="P22" i="2"/>
  <c r="M12" i="2"/>
  <c r="M20" i="2"/>
  <c r="M43" i="2"/>
  <c r="P45" i="2"/>
  <c r="O23" i="2"/>
  <c r="L96" i="2"/>
  <c r="O98" i="2"/>
  <c r="M250" i="2"/>
  <c r="P251" i="2"/>
  <c r="K397" i="2"/>
  <c r="J397" i="1"/>
  <c r="K397" i="1" s="1"/>
  <c r="K416" i="2"/>
  <c r="I416" i="1"/>
  <c r="K416" i="1" s="1"/>
  <c r="K422" i="2"/>
  <c r="I422" i="1"/>
  <c r="K422" i="1" s="1"/>
  <c r="K428" i="2"/>
  <c r="I428" i="1"/>
  <c r="K428" i="1" s="1"/>
  <c r="O455" i="2"/>
  <c r="L455" i="1"/>
  <c r="O455" i="1" s="1"/>
  <c r="K594" i="2"/>
  <c r="I594" i="1"/>
  <c r="K594" i="1" s="1"/>
  <c r="O599" i="2"/>
  <c r="L599" i="1"/>
  <c r="O599" i="1" s="1"/>
  <c r="J630" i="1"/>
  <c r="K630" i="1" s="1"/>
  <c r="K630" i="2"/>
  <c r="M19" i="3"/>
  <c r="P21" i="3"/>
  <c r="M11" i="3"/>
  <c r="O42" i="3"/>
  <c r="O45" i="3"/>
  <c r="L43" i="3"/>
  <c r="L70" i="3"/>
  <c r="L23" i="3"/>
  <c r="M329" i="3"/>
  <c r="P330" i="3"/>
  <c r="K629" i="3"/>
  <c r="I629" i="1"/>
  <c r="K629" i="1" s="1"/>
  <c r="K635" i="3"/>
  <c r="I635" i="1"/>
  <c r="K635" i="1" s="1"/>
  <c r="P25" i="4"/>
  <c r="M15" i="4"/>
  <c r="P15" i="4" s="1"/>
  <c r="O45" i="4"/>
  <c r="L43" i="4"/>
  <c r="O43" i="4" s="1"/>
  <c r="M53" i="4"/>
  <c r="P54" i="4"/>
  <c r="K628" i="1"/>
  <c r="O21" i="2"/>
  <c r="L19" i="2"/>
  <c r="P23" i="2"/>
  <c r="M13" i="2"/>
  <c r="P13" i="2" s="1"/>
  <c r="N31" i="2"/>
  <c r="L142" i="2"/>
  <c r="N250" i="2"/>
  <c r="O380" i="2"/>
  <c r="L380" i="1"/>
  <c r="O380" i="1" s="1"/>
  <c r="K435" i="2"/>
  <c r="J435" i="1"/>
  <c r="K435" i="1" s="1"/>
  <c r="O555" i="2"/>
  <c r="L555" i="1"/>
  <c r="O555" i="1" s="1"/>
  <c r="J573" i="1"/>
  <c r="K573" i="1" s="1"/>
  <c r="K573" i="2"/>
  <c r="J613" i="1"/>
  <c r="K613" i="1" s="1"/>
  <c r="K613" i="2"/>
  <c r="J619" i="1"/>
  <c r="K619" i="1" s="1"/>
  <c r="K619" i="2"/>
  <c r="L24" i="3"/>
  <c r="L142" i="3"/>
  <c r="L312" i="3"/>
  <c r="O312" i="3" s="1"/>
  <c r="O314" i="3"/>
  <c r="N329" i="3"/>
  <c r="O352" i="3"/>
  <c r="N32" i="3"/>
  <c r="N30" i="3" s="1"/>
  <c r="N33" i="3"/>
  <c r="N13" i="3" s="1"/>
  <c r="N567" i="1"/>
  <c r="N33" i="1" s="1"/>
  <c r="N13" i="1" s="1"/>
  <c r="K579" i="3"/>
  <c r="I579" i="1"/>
  <c r="K579" i="1" s="1"/>
  <c r="O584" i="3"/>
  <c r="L584" i="1"/>
  <c r="O584" i="1" s="1"/>
  <c r="N53" i="4"/>
  <c r="O53" i="4" s="1"/>
  <c r="O67" i="4"/>
  <c r="P70" i="4"/>
  <c r="M22" i="4"/>
  <c r="O98" i="4"/>
  <c r="L96" i="4"/>
  <c r="O275" i="4"/>
  <c r="L273" i="4"/>
  <c r="O57" i="6"/>
  <c r="L55" i="6"/>
  <c r="L32" i="2"/>
  <c r="M55" i="2"/>
  <c r="M140" i="2"/>
  <c r="M329" i="2"/>
  <c r="N19" i="3"/>
  <c r="M94" i="3"/>
  <c r="O385" i="3"/>
  <c r="O456" i="3"/>
  <c r="M9" i="4"/>
  <c r="M29" i="4"/>
  <c r="L34" i="4"/>
  <c r="P11" i="5"/>
  <c r="M252" i="5"/>
  <c r="O34" i="5"/>
  <c r="P45" i="6"/>
  <c r="M43" i="6"/>
  <c r="L23" i="6"/>
  <c r="L98" i="6"/>
  <c r="M142" i="6"/>
  <c r="P222" i="6"/>
  <c r="N32" i="6"/>
  <c r="N30" i="6" s="1"/>
  <c r="M13" i="7"/>
  <c r="P13" i="7" s="1"/>
  <c r="P43" i="7"/>
  <c r="N26" i="7"/>
  <c r="N16" i="7" s="1"/>
  <c r="M53" i="7"/>
  <c r="M22" i="7"/>
  <c r="P98" i="7"/>
  <c r="N118" i="7"/>
  <c r="N32" i="7"/>
  <c r="N30" i="7" s="1"/>
  <c r="L34" i="7"/>
  <c r="O34" i="7" s="1"/>
  <c r="O385" i="7"/>
  <c r="O275" i="8"/>
  <c r="L273" i="8"/>
  <c r="O275" i="9"/>
  <c r="L273" i="9"/>
  <c r="O273" i="9" s="1"/>
  <c r="O141" i="2"/>
  <c r="P221" i="2"/>
  <c r="P291" i="2"/>
  <c r="O330" i="2"/>
  <c r="K612" i="2"/>
  <c r="K614" i="2"/>
  <c r="K616" i="2"/>
  <c r="K620" i="2"/>
  <c r="K622" i="2"/>
  <c r="K624" i="2"/>
  <c r="L15" i="3"/>
  <c r="O15" i="3" s="1"/>
  <c r="M16" i="3"/>
  <c r="P16" i="3" s="1"/>
  <c r="O19" i="3"/>
  <c r="M30" i="3"/>
  <c r="P42" i="3"/>
  <c r="O54" i="3"/>
  <c r="O95" i="3"/>
  <c r="P119" i="3"/>
  <c r="M14" i="4"/>
  <c r="P14" i="4" s="1"/>
  <c r="L26" i="4"/>
  <c r="P67" i="4"/>
  <c r="P119" i="4"/>
  <c r="N11" i="5"/>
  <c r="N9" i="5" s="1"/>
  <c r="O45" i="5"/>
  <c r="L43" i="5"/>
  <c r="P53" i="5"/>
  <c r="O144" i="5"/>
  <c r="L142" i="5"/>
  <c r="P272" i="5"/>
  <c r="M271" i="5"/>
  <c r="O275" i="5"/>
  <c r="O311" i="5"/>
  <c r="P329" i="5"/>
  <c r="I367" i="5"/>
  <c r="K367" i="5" s="1"/>
  <c r="L14" i="6"/>
  <c r="N26" i="6"/>
  <c r="N16" i="6" s="1"/>
  <c r="O19" i="7"/>
  <c r="O25" i="7"/>
  <c r="L15" i="7"/>
  <c r="O15" i="7" s="1"/>
  <c r="L30" i="7"/>
  <c r="O30" i="7" s="1"/>
  <c r="P42" i="7"/>
  <c r="M41" i="7"/>
  <c r="P70" i="8"/>
  <c r="M22" i="8"/>
  <c r="M68" i="8"/>
  <c r="M15" i="3"/>
  <c r="P15" i="3" s="1"/>
  <c r="K611" i="3"/>
  <c r="K613" i="3"/>
  <c r="K615" i="3"/>
  <c r="K617" i="3"/>
  <c r="K619" i="3"/>
  <c r="M13" i="4"/>
  <c r="P13" i="4" s="1"/>
  <c r="L32" i="4"/>
  <c r="L118" i="4"/>
  <c r="O118" i="4" s="1"/>
  <c r="K396" i="4"/>
  <c r="O580" i="4"/>
  <c r="K635" i="4"/>
  <c r="P24" i="5"/>
  <c r="M14" i="5"/>
  <c r="P14" i="5" s="1"/>
  <c r="P67" i="5"/>
  <c r="M66" i="5"/>
  <c r="K108" i="5"/>
  <c r="K219" i="5"/>
  <c r="O251" i="5"/>
  <c r="P275" i="5"/>
  <c r="L33" i="5"/>
  <c r="O33" i="5" s="1"/>
  <c r="O438" i="5"/>
  <c r="K473" i="5"/>
  <c r="K497" i="5"/>
  <c r="K563" i="5"/>
  <c r="K618" i="5"/>
  <c r="K616" i="5"/>
  <c r="K614" i="5"/>
  <c r="K612" i="5"/>
  <c r="K619" i="5"/>
  <c r="K617" i="5"/>
  <c r="K615" i="5"/>
  <c r="K613" i="5"/>
  <c r="K611" i="5"/>
  <c r="M9" i="6"/>
  <c r="M22" i="6"/>
  <c r="O45" i="6"/>
  <c r="O141" i="6"/>
  <c r="K266" i="6"/>
  <c r="P291" i="6"/>
  <c r="M290" i="6"/>
  <c r="P290" i="6" s="1"/>
  <c r="M331" i="6"/>
  <c r="M329" i="6" s="1"/>
  <c r="P329" i="6" s="1"/>
  <c r="O380" i="6"/>
  <c r="N11" i="6"/>
  <c r="N9" i="6" s="1"/>
  <c r="N29" i="6"/>
  <c r="K424" i="6"/>
  <c r="O601" i="6"/>
  <c r="N13" i="7"/>
  <c r="N41" i="7"/>
  <c r="O54" i="7"/>
  <c r="L53" i="7"/>
  <c r="P57" i="7"/>
  <c r="L96" i="7"/>
  <c r="O96" i="7" s="1"/>
  <c r="O98" i="7"/>
  <c r="K215" i="7"/>
  <c r="P220" i="7"/>
  <c r="O254" i="7"/>
  <c r="L252" i="7"/>
  <c r="L33" i="7"/>
  <c r="O33" i="7" s="1"/>
  <c r="O458" i="7"/>
  <c r="O582" i="7"/>
  <c r="N22" i="8"/>
  <c r="P98" i="8"/>
  <c r="N96" i="8"/>
  <c r="O96" i="8" s="1"/>
  <c r="O273" i="5"/>
  <c r="O333" i="5"/>
  <c r="L331" i="5"/>
  <c r="P221" i="6"/>
  <c r="M220" i="6"/>
  <c r="O273" i="6"/>
  <c r="L271" i="6"/>
  <c r="O271" i="6" s="1"/>
  <c r="O352" i="6"/>
  <c r="L32" i="6"/>
  <c r="N22" i="7"/>
  <c r="N55" i="7"/>
  <c r="N53" i="7" s="1"/>
  <c r="P96" i="7"/>
  <c r="M94" i="7"/>
  <c r="P94" i="7" s="1"/>
  <c r="O456" i="7"/>
  <c r="L31" i="7"/>
  <c r="O224" i="4"/>
  <c r="L222" i="4"/>
  <c r="O222" i="4" s="1"/>
  <c r="L23" i="5"/>
  <c r="L224" i="5"/>
  <c r="P273" i="5"/>
  <c r="L31" i="5"/>
  <c r="O436" i="5"/>
  <c r="O21" i="6"/>
  <c r="L19" i="6"/>
  <c r="P29" i="6"/>
  <c r="M28" i="6"/>
  <c r="P28" i="6" s="1"/>
  <c r="O43" i="6"/>
  <c r="L41" i="6"/>
  <c r="O49" i="6"/>
  <c r="L26" i="6"/>
  <c r="N220" i="6"/>
  <c r="O330" i="6"/>
  <c r="O24" i="7"/>
  <c r="O23" i="7"/>
  <c r="L26" i="7"/>
  <c r="O102" i="7"/>
  <c r="O314" i="7"/>
  <c r="L23" i="8"/>
  <c r="L57" i="8"/>
  <c r="K612" i="3"/>
  <c r="K614" i="3"/>
  <c r="K616" i="3"/>
  <c r="K173" i="4"/>
  <c r="O314" i="4"/>
  <c r="L312" i="4"/>
  <c r="K368" i="4"/>
  <c r="O439" i="4"/>
  <c r="O533" i="4"/>
  <c r="K629" i="4"/>
  <c r="P31" i="5"/>
  <c r="M29" i="5"/>
  <c r="N22" i="5"/>
  <c r="L252" i="5"/>
  <c r="O252" i="5" s="1"/>
  <c r="O254" i="5"/>
  <c r="O271" i="5"/>
  <c r="P312" i="5"/>
  <c r="M310" i="5"/>
  <c r="P310" i="5" s="1"/>
  <c r="K345" i="5"/>
  <c r="K450" i="5"/>
  <c r="O568" i="5"/>
  <c r="N34" i="6"/>
  <c r="O34" i="6" s="1"/>
  <c r="N19" i="7"/>
  <c r="P26" i="7"/>
  <c r="M16" i="7"/>
  <c r="P16" i="7" s="1"/>
  <c r="O95" i="7"/>
  <c r="P119" i="7"/>
  <c r="M118" i="7"/>
  <c r="P118" i="7" s="1"/>
  <c r="O31" i="8"/>
  <c r="L11" i="8"/>
  <c r="L29" i="8"/>
  <c r="O24" i="8"/>
  <c r="L14" i="8"/>
  <c r="O14" i="8" s="1"/>
  <c r="O141" i="4"/>
  <c r="K612" i="4"/>
  <c r="K614" i="4"/>
  <c r="K616" i="4"/>
  <c r="K620" i="4"/>
  <c r="K622" i="4"/>
  <c r="K624" i="4"/>
  <c r="K626" i="4"/>
  <c r="L15" i="5"/>
  <c r="O15" i="5" s="1"/>
  <c r="M16" i="5"/>
  <c r="P16" i="5" s="1"/>
  <c r="M30" i="5"/>
  <c r="P30" i="5" s="1"/>
  <c r="O74" i="5"/>
  <c r="M14" i="6"/>
  <c r="P14" i="6" s="1"/>
  <c r="N22" i="6"/>
  <c r="L33" i="6"/>
  <c r="O33" i="6" s="1"/>
  <c r="P67" i="6"/>
  <c r="O251" i="6"/>
  <c r="P272" i="6"/>
  <c r="O311" i="6"/>
  <c r="O382" i="6"/>
  <c r="L11" i="7"/>
  <c r="M19" i="7"/>
  <c r="P29" i="7"/>
  <c r="P45" i="7"/>
  <c r="O57" i="7"/>
  <c r="O141" i="7"/>
  <c r="P221" i="7"/>
  <c r="P291" i="7"/>
  <c r="O330" i="7"/>
  <c r="K620" i="7"/>
  <c r="P23" i="8"/>
  <c r="M13" i="8"/>
  <c r="P13" i="8" s="1"/>
  <c r="P25" i="8"/>
  <c r="M15" i="8"/>
  <c r="P15" i="8" s="1"/>
  <c r="O74" i="8"/>
  <c r="K138" i="8"/>
  <c r="P22" i="9"/>
  <c r="M12" i="10"/>
  <c r="M20" i="10"/>
  <c r="M18" i="10" s="1"/>
  <c r="M15" i="5"/>
  <c r="P15" i="5" s="1"/>
  <c r="M22" i="5"/>
  <c r="K621" i="5"/>
  <c r="K623" i="5"/>
  <c r="M13" i="6"/>
  <c r="P13" i="6" s="1"/>
  <c r="M11" i="7"/>
  <c r="K597" i="7"/>
  <c r="P19" i="8"/>
  <c r="K88" i="8"/>
  <c r="M94" i="8"/>
  <c r="P95" i="8"/>
  <c r="L222" i="8"/>
  <c r="O222" i="8" s="1"/>
  <c r="O224" i="8"/>
  <c r="O294" i="9"/>
  <c r="L292" i="9"/>
  <c r="O292" i="9" s="1"/>
  <c r="L26" i="5"/>
  <c r="K612" i="6"/>
  <c r="K614" i="6"/>
  <c r="K616" i="6"/>
  <c r="K595" i="7"/>
  <c r="L68" i="8"/>
  <c r="O68" i="8" s="1"/>
  <c r="M28" i="9"/>
  <c r="P28" i="9" s="1"/>
  <c r="P29" i="9"/>
  <c r="O24" i="9"/>
  <c r="L14" i="9"/>
  <c r="L55" i="9"/>
  <c r="O57" i="9"/>
  <c r="O70" i="9"/>
  <c r="L68" i="9"/>
  <c r="K621" i="4"/>
  <c r="K623" i="4"/>
  <c r="K593" i="7"/>
  <c r="O30" i="8"/>
  <c r="P54" i="8"/>
  <c r="O98" i="8"/>
  <c r="O122" i="8"/>
  <c r="L120" i="8"/>
  <c r="O120" i="8" s="1"/>
  <c r="O26" i="9"/>
  <c r="K591" i="7"/>
  <c r="K625" i="7"/>
  <c r="K623" i="7"/>
  <c r="K621" i="7"/>
  <c r="K624" i="7"/>
  <c r="O45" i="8"/>
  <c r="L43" i="8"/>
  <c r="K64" i="8"/>
  <c r="O67" i="8"/>
  <c r="O26" i="8"/>
  <c r="L16" i="8"/>
  <c r="O16" i="8" s="1"/>
  <c r="K82" i="8"/>
  <c r="K158" i="8"/>
  <c r="L290" i="9"/>
  <c r="O290" i="9" s="1"/>
  <c r="O57" i="10"/>
  <c r="L55" i="10"/>
  <c r="M29" i="8"/>
  <c r="M250" i="8"/>
  <c r="O272" i="8"/>
  <c r="M310" i="8"/>
  <c r="P310" i="8" s="1"/>
  <c r="K611" i="8"/>
  <c r="K613" i="8"/>
  <c r="K615" i="8"/>
  <c r="K617" i="8"/>
  <c r="K621" i="8"/>
  <c r="K623" i="8"/>
  <c r="M13" i="9"/>
  <c r="P13" i="9" s="1"/>
  <c r="L32" i="9"/>
  <c r="L41" i="9"/>
  <c r="N43" i="9"/>
  <c r="N41" i="9" s="1"/>
  <c r="O45" i="9"/>
  <c r="M55" i="9"/>
  <c r="M140" i="9"/>
  <c r="O221" i="9"/>
  <c r="P251" i="9"/>
  <c r="O291" i="9"/>
  <c r="P311" i="9"/>
  <c r="M329" i="9"/>
  <c r="L24" i="10"/>
  <c r="L120" i="10"/>
  <c r="P291" i="10"/>
  <c r="M290" i="10"/>
  <c r="P290" i="10" s="1"/>
  <c r="P331" i="10"/>
  <c r="M329" i="10"/>
  <c r="P329" i="10" s="1"/>
  <c r="N11" i="10"/>
  <c r="N9" i="10" s="1"/>
  <c r="N29" i="10"/>
  <c r="N28" i="10" s="1"/>
  <c r="N34" i="10"/>
  <c r="O567" i="10"/>
  <c r="L33" i="10"/>
  <c r="O33" i="10" s="1"/>
  <c r="P224" i="11"/>
  <c r="M222" i="11"/>
  <c r="M220" i="11" s="1"/>
  <c r="P220" i="11" s="1"/>
  <c r="P19" i="12"/>
  <c r="M220" i="8"/>
  <c r="P220" i="8" s="1"/>
  <c r="L329" i="8"/>
  <c r="O329" i="8" s="1"/>
  <c r="M19" i="9"/>
  <c r="N20" i="9"/>
  <c r="N18" i="9" s="1"/>
  <c r="L31" i="9"/>
  <c r="M41" i="9"/>
  <c r="L94" i="9"/>
  <c r="O94" i="9" s="1"/>
  <c r="N140" i="9"/>
  <c r="N329" i="9"/>
  <c r="K618" i="9"/>
  <c r="K616" i="9"/>
  <c r="K614" i="9"/>
  <c r="K612" i="9"/>
  <c r="K619" i="9"/>
  <c r="K617" i="9"/>
  <c r="K615" i="9"/>
  <c r="K613" i="9"/>
  <c r="K611" i="9"/>
  <c r="O49" i="10"/>
  <c r="L26" i="10"/>
  <c r="O98" i="10"/>
  <c r="L96" i="10"/>
  <c r="N222" i="10"/>
  <c r="N290" i="10"/>
  <c r="L292" i="10"/>
  <c r="O294" i="10"/>
  <c r="O352" i="10"/>
  <c r="L32" i="10"/>
  <c r="L31" i="10"/>
  <c r="L11" i="10" s="1"/>
  <c r="O565" i="10"/>
  <c r="P42" i="11"/>
  <c r="L96" i="11"/>
  <c r="O96" i="11" s="1"/>
  <c r="O98" i="11"/>
  <c r="K611" i="7"/>
  <c r="K613" i="7"/>
  <c r="K615" i="7"/>
  <c r="K617" i="7"/>
  <c r="M55" i="8"/>
  <c r="P55" i="8" s="1"/>
  <c r="M140" i="8"/>
  <c r="P140" i="8" s="1"/>
  <c r="M329" i="8"/>
  <c r="P329" i="8" s="1"/>
  <c r="M11" i="9"/>
  <c r="L16" i="9"/>
  <c r="O16" i="9" s="1"/>
  <c r="L23" i="9"/>
  <c r="P57" i="9"/>
  <c r="K377" i="9"/>
  <c r="O566" i="9"/>
  <c r="O21" i="10"/>
  <c r="L19" i="10"/>
  <c r="P29" i="10"/>
  <c r="M28" i="10"/>
  <c r="P28" i="10" s="1"/>
  <c r="L23" i="10"/>
  <c r="N26" i="10"/>
  <c r="N16" i="10" s="1"/>
  <c r="O330" i="10"/>
  <c r="O337" i="10"/>
  <c r="P144" i="11"/>
  <c r="M142" i="11"/>
  <c r="P45" i="10"/>
  <c r="M43" i="10"/>
  <c r="O95" i="11"/>
  <c r="O582" i="13"/>
  <c r="L32" i="13"/>
  <c r="O337" i="9"/>
  <c r="K375" i="9"/>
  <c r="K563" i="9"/>
  <c r="P9" i="10"/>
  <c r="N14" i="10"/>
  <c r="P221" i="10"/>
  <c r="O555" i="10"/>
  <c r="L41" i="11"/>
  <c r="O34" i="10"/>
  <c r="O141" i="10"/>
  <c r="O148" i="10"/>
  <c r="L222" i="10"/>
  <c r="O224" i="10"/>
  <c r="P9" i="11"/>
  <c r="M43" i="11"/>
  <c r="P43" i="11" s="1"/>
  <c r="P45" i="11"/>
  <c r="M22" i="11"/>
  <c r="M13" i="12"/>
  <c r="P13" i="12" s="1"/>
  <c r="P23" i="12"/>
  <c r="L57" i="13"/>
  <c r="L23" i="13"/>
  <c r="K619" i="13"/>
  <c r="K617" i="13"/>
  <c r="K615" i="13"/>
  <c r="K613" i="13"/>
  <c r="K611" i="13"/>
  <c r="K618" i="13"/>
  <c r="K616" i="13"/>
  <c r="K614" i="13"/>
  <c r="K612" i="13"/>
  <c r="K625" i="13"/>
  <c r="K623" i="13"/>
  <c r="K621" i="13"/>
  <c r="K626" i="13"/>
  <c r="K624" i="13"/>
  <c r="K622" i="13"/>
  <c r="K620" i="13"/>
  <c r="L15" i="11"/>
  <c r="O15" i="11" s="1"/>
  <c r="L22" i="11"/>
  <c r="O32" i="11"/>
  <c r="O49" i="11"/>
  <c r="N22" i="11"/>
  <c r="N55" i="11"/>
  <c r="N53" i="11" s="1"/>
  <c r="O66" i="11"/>
  <c r="L120" i="11"/>
  <c r="M250" i="11"/>
  <c r="N252" i="11"/>
  <c r="N250" i="11" s="1"/>
  <c r="O250" i="11" s="1"/>
  <c r="M292" i="11"/>
  <c r="P292" i="11" s="1"/>
  <c r="M331" i="11"/>
  <c r="O384" i="11"/>
  <c r="L33" i="11"/>
  <c r="O33" i="11" s="1"/>
  <c r="K420" i="11"/>
  <c r="K426" i="11"/>
  <c r="K432" i="11"/>
  <c r="P43" i="12"/>
  <c r="O70" i="12"/>
  <c r="P252" i="12"/>
  <c r="L292" i="12"/>
  <c r="O292" i="12" s="1"/>
  <c r="O294" i="12"/>
  <c r="L31" i="12"/>
  <c r="K621" i="9"/>
  <c r="K623" i="9"/>
  <c r="M13" i="10"/>
  <c r="P13" i="10" s="1"/>
  <c r="M55" i="10"/>
  <c r="P55" i="10" s="1"/>
  <c r="P11" i="11"/>
  <c r="M28" i="11"/>
  <c r="P28" i="11" s="1"/>
  <c r="P29" i="11"/>
  <c r="O45" i="11"/>
  <c r="L23" i="11"/>
  <c r="P120" i="11"/>
  <c r="K266" i="11"/>
  <c r="M310" i="11"/>
  <c r="P310" i="11" s="1"/>
  <c r="O314" i="11"/>
  <c r="N33" i="11"/>
  <c r="N13" i="11" s="1"/>
  <c r="O459" i="11"/>
  <c r="N94" i="12"/>
  <c r="P96" i="12"/>
  <c r="K158" i="12"/>
  <c r="N118" i="13"/>
  <c r="P120" i="13"/>
  <c r="O21" i="11"/>
  <c r="L140" i="11"/>
  <c r="O140" i="11" s="1"/>
  <c r="O141" i="11"/>
  <c r="O330" i="11"/>
  <c r="O382" i="11"/>
  <c r="L31" i="11"/>
  <c r="L11" i="11" s="1"/>
  <c r="K626" i="11"/>
  <c r="K624" i="11"/>
  <c r="K622" i="11"/>
  <c r="K620" i="11"/>
  <c r="K625" i="11"/>
  <c r="K623" i="11"/>
  <c r="K621" i="11"/>
  <c r="O24" i="12"/>
  <c r="O144" i="12"/>
  <c r="L142" i="12"/>
  <c r="P224" i="12"/>
  <c r="M222" i="12"/>
  <c r="L273" i="12"/>
  <c r="O273" i="12" s="1"/>
  <c r="O279" i="12"/>
  <c r="O333" i="12"/>
  <c r="L331" i="12"/>
  <c r="M118" i="13"/>
  <c r="P119" i="13"/>
  <c r="L19" i="11"/>
  <c r="L24" i="11"/>
  <c r="K85" i="11"/>
  <c r="K117" i="11"/>
  <c r="K200" i="11"/>
  <c r="P221" i="11"/>
  <c r="O228" i="11"/>
  <c r="L222" i="11"/>
  <c r="O222" i="11" s="1"/>
  <c r="K264" i="11"/>
  <c r="P271" i="11"/>
  <c r="O298" i="11"/>
  <c r="L292" i="11"/>
  <c r="O457" i="11"/>
  <c r="O25" i="12"/>
  <c r="L15" i="12"/>
  <c r="O15" i="12" s="1"/>
  <c r="L23" i="12"/>
  <c r="L57" i="12"/>
  <c r="P275" i="12"/>
  <c r="M273" i="12"/>
  <c r="P224" i="13"/>
  <c r="M222" i="13"/>
  <c r="P294" i="13"/>
  <c r="M292" i="13"/>
  <c r="O30" i="11"/>
  <c r="O26" i="11"/>
  <c r="L16" i="11"/>
  <c r="O16" i="11" s="1"/>
  <c r="L55" i="11"/>
  <c r="O57" i="11"/>
  <c r="K185" i="11"/>
  <c r="P291" i="11"/>
  <c r="O380" i="11"/>
  <c r="K416" i="11"/>
  <c r="K422" i="11"/>
  <c r="K428" i="11"/>
  <c r="O19" i="12"/>
  <c r="K132" i="12"/>
  <c r="P251" i="12"/>
  <c r="M250" i="12"/>
  <c r="O351" i="12"/>
  <c r="O353" i="12"/>
  <c r="M41" i="13"/>
  <c r="P42" i="13"/>
  <c r="P272" i="13"/>
  <c r="M271" i="13"/>
  <c r="P314" i="13"/>
  <c r="M312" i="13"/>
  <c r="L31" i="13"/>
  <c r="O382" i="13"/>
  <c r="P70" i="14"/>
  <c r="M68" i="14"/>
  <c r="P68" i="14" s="1"/>
  <c r="O141" i="14"/>
  <c r="P224" i="14"/>
  <c r="N222" i="14"/>
  <c r="O254" i="14"/>
  <c r="L252" i="14"/>
  <c r="O252" i="14" s="1"/>
  <c r="P98" i="15"/>
  <c r="M96" i="15"/>
  <c r="M94" i="15" s="1"/>
  <c r="P94" i="15" s="1"/>
  <c r="L57" i="18"/>
  <c r="L23" i="18"/>
  <c r="O144" i="18"/>
  <c r="L142" i="18"/>
  <c r="O333" i="18"/>
  <c r="L331" i="18"/>
  <c r="O331" i="18" s="1"/>
  <c r="K371" i="18"/>
  <c r="I367" i="18"/>
  <c r="K367" i="18" s="1"/>
  <c r="K618" i="18"/>
  <c r="K616" i="18"/>
  <c r="K614" i="18"/>
  <c r="K612" i="18"/>
  <c r="K619" i="18"/>
  <c r="K617" i="18"/>
  <c r="K615" i="18"/>
  <c r="K613" i="18"/>
  <c r="K611" i="18"/>
  <c r="K474" i="11"/>
  <c r="K498" i="11"/>
  <c r="K547" i="11"/>
  <c r="K564" i="11"/>
  <c r="O32" i="12"/>
  <c r="N41" i="12"/>
  <c r="M53" i="12"/>
  <c r="P54" i="12"/>
  <c r="P57" i="12"/>
  <c r="L26" i="12"/>
  <c r="M94" i="12"/>
  <c r="P95" i="12"/>
  <c r="O102" i="12"/>
  <c r="O120" i="12"/>
  <c r="K199" i="12"/>
  <c r="K249" i="12"/>
  <c r="N250" i="12"/>
  <c r="P254" i="12"/>
  <c r="O291" i="12"/>
  <c r="P311" i="12"/>
  <c r="M310" i="12"/>
  <c r="P310" i="12" s="1"/>
  <c r="K381" i="12"/>
  <c r="K597" i="12"/>
  <c r="K628" i="12"/>
  <c r="O19" i="13"/>
  <c r="O275" i="13"/>
  <c r="L273" i="13"/>
  <c r="L292" i="13"/>
  <c r="O292" i="13" s="1"/>
  <c r="O298" i="13"/>
  <c r="M310" i="13"/>
  <c r="P310" i="13" s="1"/>
  <c r="P311" i="13"/>
  <c r="P333" i="13"/>
  <c r="N331" i="13"/>
  <c r="P331" i="13" s="1"/>
  <c r="P41" i="14"/>
  <c r="L57" i="14"/>
  <c r="L41" i="12"/>
  <c r="N22" i="12"/>
  <c r="P70" i="12"/>
  <c r="M22" i="12"/>
  <c r="O221" i="12"/>
  <c r="K265" i="12"/>
  <c r="O272" i="12"/>
  <c r="K421" i="12"/>
  <c r="K427" i="12"/>
  <c r="L24" i="13"/>
  <c r="L45" i="13"/>
  <c r="O144" i="13"/>
  <c r="L142" i="13"/>
  <c r="L222" i="13"/>
  <c r="O222" i="13" s="1"/>
  <c r="L26" i="13"/>
  <c r="P273" i="13"/>
  <c r="O333" i="13"/>
  <c r="L331" i="13"/>
  <c r="M30" i="14"/>
  <c r="P30" i="14" s="1"/>
  <c r="P32" i="14"/>
  <c r="O144" i="14"/>
  <c r="L142" i="14"/>
  <c r="O142" i="14" s="1"/>
  <c r="O294" i="14"/>
  <c r="L292" i="14"/>
  <c r="O439" i="14"/>
  <c r="L34" i="14"/>
  <c r="M13" i="13"/>
  <c r="P13" i="13" s="1"/>
  <c r="P23" i="13"/>
  <c r="P9" i="14"/>
  <c r="P29" i="14"/>
  <c r="M53" i="14"/>
  <c r="P53" i="14" s="1"/>
  <c r="P54" i="14"/>
  <c r="L312" i="14"/>
  <c r="O312" i="14" s="1"/>
  <c r="O314" i="14"/>
  <c r="N29" i="14"/>
  <c r="N11" i="14"/>
  <c r="N9" i="14" s="1"/>
  <c r="O383" i="14"/>
  <c r="N32" i="14"/>
  <c r="N30" i="14" s="1"/>
  <c r="P68" i="15"/>
  <c r="M66" i="15"/>
  <c r="P66" i="15" s="1"/>
  <c r="O70" i="15"/>
  <c r="L68" i="15"/>
  <c r="O68" i="15" s="1"/>
  <c r="K473" i="11"/>
  <c r="K482" i="11"/>
  <c r="P25" i="12"/>
  <c r="M15" i="12"/>
  <c r="M30" i="12"/>
  <c r="N55" i="12"/>
  <c r="N53" i="12" s="1"/>
  <c r="L66" i="12"/>
  <c r="O67" i="12"/>
  <c r="O98" i="12"/>
  <c r="L96" i="12"/>
  <c r="O122" i="12"/>
  <c r="L222" i="12"/>
  <c r="O222" i="12" s="1"/>
  <c r="O224" i="12"/>
  <c r="M292" i="12"/>
  <c r="O383" i="12"/>
  <c r="K455" i="12"/>
  <c r="L33" i="13"/>
  <c r="O33" i="13" s="1"/>
  <c r="L66" i="13"/>
  <c r="O66" i="13" s="1"/>
  <c r="M22" i="14"/>
  <c r="M329" i="14"/>
  <c r="P329" i="14" s="1"/>
  <c r="P331" i="14"/>
  <c r="L34" i="12"/>
  <c r="K611" i="12"/>
  <c r="K613" i="12"/>
  <c r="K615" i="12"/>
  <c r="K617" i="12"/>
  <c r="K621" i="12"/>
  <c r="K623" i="12"/>
  <c r="N22" i="13"/>
  <c r="M28" i="13"/>
  <c r="P28" i="13" s="1"/>
  <c r="P31" i="13"/>
  <c r="O254" i="13"/>
  <c r="N271" i="13"/>
  <c r="L290" i="13"/>
  <c r="O290" i="13" s="1"/>
  <c r="M329" i="13"/>
  <c r="O49" i="14"/>
  <c r="L26" i="14"/>
  <c r="N22" i="14"/>
  <c r="O333" i="14"/>
  <c r="L331" i="14"/>
  <c r="O331" i="14" s="1"/>
  <c r="O352" i="14"/>
  <c r="L32" i="14"/>
  <c r="O24" i="15"/>
  <c r="P45" i="13"/>
  <c r="N26" i="13"/>
  <c r="N16" i="13" s="1"/>
  <c r="N66" i="13"/>
  <c r="K200" i="13"/>
  <c r="K368" i="13"/>
  <c r="K396" i="13"/>
  <c r="K435" i="13"/>
  <c r="O437" i="13"/>
  <c r="O535" i="13"/>
  <c r="L41" i="14"/>
  <c r="P43" i="14"/>
  <c r="P95" i="14"/>
  <c r="L98" i="14"/>
  <c r="L23" i="14"/>
  <c r="P95" i="15"/>
  <c r="O275" i="15"/>
  <c r="L273" i="15"/>
  <c r="O273" i="15" s="1"/>
  <c r="O330" i="16"/>
  <c r="M22" i="13"/>
  <c r="P275" i="13"/>
  <c r="K285" i="13"/>
  <c r="L34" i="13"/>
  <c r="O34" i="13" s="1"/>
  <c r="L11" i="14"/>
  <c r="O31" i="14"/>
  <c r="M142" i="14"/>
  <c r="O279" i="14"/>
  <c r="L33" i="14"/>
  <c r="O33" i="14" s="1"/>
  <c r="O353" i="14"/>
  <c r="L30" i="15"/>
  <c r="M9" i="13"/>
  <c r="P57" i="13"/>
  <c r="L120" i="13"/>
  <c r="O120" i="13" s="1"/>
  <c r="O122" i="13"/>
  <c r="K270" i="13"/>
  <c r="O385" i="13"/>
  <c r="P19" i="14"/>
  <c r="O45" i="14"/>
  <c r="P55" i="14"/>
  <c r="L68" i="14"/>
  <c r="O68" i="14" s="1"/>
  <c r="O74" i="14"/>
  <c r="L222" i="14"/>
  <c r="N34" i="14"/>
  <c r="N14" i="14" s="1"/>
  <c r="O385" i="14"/>
  <c r="P19" i="15"/>
  <c r="O314" i="15"/>
  <c r="L312" i="15"/>
  <c r="O312" i="15" s="1"/>
  <c r="P26" i="15"/>
  <c r="M16" i="15"/>
  <c r="P16" i="15" s="1"/>
  <c r="P32" i="15"/>
  <c r="M30" i="15"/>
  <c r="O67" i="15"/>
  <c r="O272" i="15"/>
  <c r="L271" i="15"/>
  <c r="O271" i="15" s="1"/>
  <c r="P31" i="16"/>
  <c r="M11" i="16"/>
  <c r="P45" i="16"/>
  <c r="M43" i="16"/>
  <c r="M22" i="16"/>
  <c r="O142" i="16"/>
  <c r="L140" i="16"/>
  <c r="P221" i="16"/>
  <c r="L312" i="16"/>
  <c r="O314" i="16"/>
  <c r="P330" i="16"/>
  <c r="P11" i="18"/>
  <c r="M9" i="18"/>
  <c r="M271" i="14"/>
  <c r="P271" i="14" s="1"/>
  <c r="K464" i="14"/>
  <c r="K482" i="14"/>
  <c r="K562" i="14"/>
  <c r="L26" i="15"/>
  <c r="O74" i="15"/>
  <c r="P220" i="15"/>
  <c r="M271" i="15"/>
  <c r="P271" i="15" s="1"/>
  <c r="L33" i="15"/>
  <c r="O33" i="15" s="1"/>
  <c r="O353" i="15"/>
  <c r="K421" i="15"/>
  <c r="O537" i="15"/>
  <c r="N43" i="16"/>
  <c r="N41" i="16" s="1"/>
  <c r="N22" i="16"/>
  <c r="L31" i="15"/>
  <c r="P54" i="15"/>
  <c r="M53" i="15"/>
  <c r="P53" i="15" s="1"/>
  <c r="L34" i="15"/>
  <c r="O34" i="15" s="1"/>
  <c r="O385" i="15"/>
  <c r="N31" i="15"/>
  <c r="N29" i="15" s="1"/>
  <c r="L222" i="16"/>
  <c r="L220" i="16" s="1"/>
  <c r="L26" i="16"/>
  <c r="O228" i="16"/>
  <c r="O457" i="16"/>
  <c r="M14" i="14"/>
  <c r="P14" i="14" s="1"/>
  <c r="K377" i="14"/>
  <c r="K474" i="14"/>
  <c r="K498" i="14"/>
  <c r="K560" i="14"/>
  <c r="K626" i="14"/>
  <c r="K624" i="14"/>
  <c r="K622" i="14"/>
  <c r="K620" i="14"/>
  <c r="O25" i="15"/>
  <c r="L15" i="15"/>
  <c r="O15" i="15" s="1"/>
  <c r="N41" i="15"/>
  <c r="N22" i="15"/>
  <c r="P70" i="15"/>
  <c r="M22" i="15"/>
  <c r="L96" i="15"/>
  <c r="O96" i="15" s="1"/>
  <c r="O102" i="15"/>
  <c r="N118" i="15"/>
  <c r="P122" i="15"/>
  <c r="K132" i="15"/>
  <c r="K229" i="15"/>
  <c r="O383" i="15"/>
  <c r="K417" i="15"/>
  <c r="K429" i="15"/>
  <c r="M29" i="16"/>
  <c r="L57" i="16"/>
  <c r="L23" i="16"/>
  <c r="P144" i="16"/>
  <c r="M142" i="16"/>
  <c r="P142" i="16" s="1"/>
  <c r="K349" i="16"/>
  <c r="K401" i="14"/>
  <c r="O406" i="14"/>
  <c r="N19" i="15"/>
  <c r="P25" i="15"/>
  <c r="M15" i="15"/>
  <c r="P15" i="15" s="1"/>
  <c r="O55" i="15"/>
  <c r="P120" i="15"/>
  <c r="L224" i="15"/>
  <c r="L23" i="15"/>
  <c r="O294" i="15"/>
  <c r="L292" i="15"/>
  <c r="O292" i="15" s="1"/>
  <c r="K381" i="15"/>
  <c r="N32" i="15"/>
  <c r="N30" i="15" s="1"/>
  <c r="K427" i="15"/>
  <c r="L98" i="16"/>
  <c r="P224" i="16"/>
  <c r="M222" i="16"/>
  <c r="P333" i="16"/>
  <c r="M331" i="16"/>
  <c r="P331" i="16" s="1"/>
  <c r="M11" i="15"/>
  <c r="K614" i="15"/>
  <c r="O119" i="16"/>
  <c r="L118" i="16"/>
  <c r="O118" i="16" s="1"/>
  <c r="N329" i="16"/>
  <c r="O144" i="17"/>
  <c r="N142" i="17"/>
  <c r="P142" i="17" s="1"/>
  <c r="L275" i="17"/>
  <c r="L22" i="17" s="1"/>
  <c r="L23" i="17"/>
  <c r="K612" i="14"/>
  <c r="K614" i="14"/>
  <c r="K616" i="14"/>
  <c r="O21" i="16"/>
  <c r="L11" i="16"/>
  <c r="L19" i="16"/>
  <c r="L41" i="16"/>
  <c r="L24" i="16"/>
  <c r="M118" i="16"/>
  <c r="P118" i="16" s="1"/>
  <c r="N222" i="16"/>
  <c r="N220" i="16" s="1"/>
  <c r="P19" i="17"/>
  <c r="P32" i="17"/>
  <c r="M30" i="17"/>
  <c r="P30" i="17" s="1"/>
  <c r="O98" i="17"/>
  <c r="L96" i="17"/>
  <c r="O96" i="17" s="1"/>
  <c r="L120" i="17"/>
  <c r="L26" i="17"/>
  <c r="O337" i="17"/>
  <c r="O49" i="16"/>
  <c r="P66" i="16"/>
  <c r="K340" i="16"/>
  <c r="O352" i="16"/>
  <c r="L32" i="16"/>
  <c r="K376" i="16"/>
  <c r="K619" i="15"/>
  <c r="K617" i="15"/>
  <c r="K615" i="15"/>
  <c r="K613" i="15"/>
  <c r="K611" i="15"/>
  <c r="P23" i="16"/>
  <c r="M13" i="16"/>
  <c r="P13" i="16" s="1"/>
  <c r="O45" i="16"/>
  <c r="N26" i="16"/>
  <c r="N16" i="16" s="1"/>
  <c r="P57" i="16"/>
  <c r="M55" i="16"/>
  <c r="P141" i="16"/>
  <c r="O144" i="16"/>
  <c r="P271" i="16"/>
  <c r="N290" i="16"/>
  <c r="L331" i="16"/>
  <c r="O331" i="16" s="1"/>
  <c r="O337" i="16"/>
  <c r="K350" i="16"/>
  <c r="O24" i="17"/>
  <c r="L14" i="17"/>
  <c r="O14" i="17" s="1"/>
  <c r="K621" i="15"/>
  <c r="K623" i="15"/>
  <c r="O34" i="17"/>
  <c r="O45" i="17"/>
  <c r="L43" i="17"/>
  <c r="N22" i="17"/>
  <c r="O67" i="17"/>
  <c r="L66" i="17"/>
  <c r="O66" i="17" s="1"/>
  <c r="K451" i="16"/>
  <c r="P54" i="17"/>
  <c r="M53" i="17"/>
  <c r="O57" i="17"/>
  <c r="K113" i="17"/>
  <c r="P120" i="17"/>
  <c r="N28" i="17"/>
  <c r="O406" i="16"/>
  <c r="K449" i="16"/>
  <c r="K466" i="16"/>
  <c r="N53" i="17"/>
  <c r="O53" i="17" s="1"/>
  <c r="O55" i="17"/>
  <c r="K111" i="17"/>
  <c r="O437" i="17"/>
  <c r="L32" i="17"/>
  <c r="K464" i="16"/>
  <c r="K625" i="16"/>
  <c r="K623" i="16"/>
  <c r="K621" i="16"/>
  <c r="K626" i="16"/>
  <c r="K624" i="16"/>
  <c r="K622" i="16"/>
  <c r="K620" i="16"/>
  <c r="O11" i="17"/>
  <c r="P25" i="17"/>
  <c r="M15" i="17"/>
  <c r="P15" i="17" s="1"/>
  <c r="O31" i="17"/>
  <c r="L29" i="17"/>
  <c r="P55" i="17"/>
  <c r="K109" i="17"/>
  <c r="O330" i="17"/>
  <c r="K340" i="17"/>
  <c r="N19" i="17"/>
  <c r="P57" i="17"/>
  <c r="M96" i="17"/>
  <c r="P96" i="17" s="1"/>
  <c r="K625" i="17"/>
  <c r="K623" i="17"/>
  <c r="K621" i="17"/>
  <c r="K626" i="17"/>
  <c r="K624" i="17"/>
  <c r="K622" i="17"/>
  <c r="K620" i="17"/>
  <c r="P19" i="18"/>
  <c r="O251" i="18"/>
  <c r="K612" i="16"/>
  <c r="K614" i="16"/>
  <c r="K616" i="16"/>
  <c r="L15" i="17"/>
  <c r="O15" i="17" s="1"/>
  <c r="M16" i="17"/>
  <c r="P16" i="17" s="1"/>
  <c r="M66" i="17"/>
  <c r="P66" i="17" s="1"/>
  <c r="O95" i="17"/>
  <c r="M140" i="17"/>
  <c r="N222" i="17"/>
  <c r="N220" i="17" s="1"/>
  <c r="O224" i="17"/>
  <c r="N329" i="17"/>
  <c r="O228" i="18"/>
  <c r="L26" i="18"/>
  <c r="P251" i="18"/>
  <c r="N34" i="18"/>
  <c r="N14" i="18" s="1"/>
  <c r="O568" i="18"/>
  <c r="M22" i="17"/>
  <c r="M29" i="17"/>
  <c r="O314" i="17"/>
  <c r="M331" i="17"/>
  <c r="O333" i="17"/>
  <c r="K635" i="17"/>
  <c r="O221" i="18"/>
  <c r="O224" i="18"/>
  <c r="L222" i="18"/>
  <c r="O294" i="18"/>
  <c r="L292" i="18"/>
  <c r="O292" i="18" s="1"/>
  <c r="N32" i="18"/>
  <c r="N30" i="18" s="1"/>
  <c r="O566" i="18"/>
  <c r="M14" i="17"/>
  <c r="P14" i="17" s="1"/>
  <c r="P119" i="17"/>
  <c r="M118" i="17"/>
  <c r="K185" i="17"/>
  <c r="O312" i="17"/>
  <c r="L331" i="17"/>
  <c r="K370" i="17"/>
  <c r="K633" i="17"/>
  <c r="N19" i="18"/>
  <c r="M13" i="18"/>
  <c r="P13" i="18" s="1"/>
  <c r="P23" i="18"/>
  <c r="P67" i="18"/>
  <c r="M66" i="18"/>
  <c r="K82" i="18"/>
  <c r="K88" i="18"/>
  <c r="O459" i="18"/>
  <c r="L34" i="18"/>
  <c r="N118" i="17"/>
  <c r="P122" i="17"/>
  <c r="P144" i="17"/>
  <c r="K173" i="17"/>
  <c r="K368" i="17"/>
  <c r="O439" i="17"/>
  <c r="K631" i="17"/>
  <c r="P31" i="18"/>
  <c r="M29" i="18"/>
  <c r="P254" i="18"/>
  <c r="M252" i="18"/>
  <c r="P252" i="18" s="1"/>
  <c r="P273" i="18"/>
  <c r="N31" i="18"/>
  <c r="N29" i="18" s="1"/>
  <c r="K397" i="18"/>
  <c r="O457" i="18"/>
  <c r="L32" i="18"/>
  <c r="L15" i="18"/>
  <c r="O15" i="18" s="1"/>
  <c r="P224" i="18"/>
  <c r="M22" i="18"/>
  <c r="N250" i="18"/>
  <c r="L252" i="18"/>
  <c r="O252" i="18" s="1"/>
  <c r="O254" i="18"/>
  <c r="O291" i="18"/>
  <c r="L24" i="18"/>
  <c r="P311" i="18"/>
  <c r="M310" i="18"/>
  <c r="P310" i="18" s="1"/>
  <c r="O384" i="18"/>
  <c r="L33" i="18"/>
  <c r="O33" i="18" s="1"/>
  <c r="N26" i="18"/>
  <c r="N16" i="18" s="1"/>
  <c r="N271" i="18"/>
  <c r="P271" i="18" s="1"/>
  <c r="O314" i="18"/>
  <c r="K328" i="18"/>
  <c r="L31" i="18"/>
  <c r="O382" i="18"/>
  <c r="K533" i="18"/>
  <c r="K632" i="18"/>
  <c r="O45" i="18"/>
  <c r="L43" i="18"/>
  <c r="K64" i="18"/>
  <c r="P275" i="18"/>
  <c r="K285" i="18"/>
  <c r="P312" i="18"/>
  <c r="N33" i="18"/>
  <c r="N13" i="18" s="1"/>
  <c r="K621" i="18"/>
  <c r="K623" i="18"/>
  <c r="K625" i="18"/>
  <c r="N22" i="18"/>
  <c r="M220" i="18"/>
  <c r="M290" i="18"/>
  <c r="P290" i="18" s="1"/>
  <c r="K620" i="18"/>
  <c r="K622" i="18"/>
  <c r="K624" i="18"/>
  <c r="L220" i="7" l="1"/>
  <c r="O220" i="7" s="1"/>
  <c r="O222" i="7"/>
  <c r="P220" i="18"/>
  <c r="O222" i="18"/>
  <c r="L273" i="16"/>
  <c r="L22" i="15"/>
  <c r="L12" i="15" s="1"/>
  <c r="N11" i="16"/>
  <c r="N9" i="16" s="1"/>
  <c r="P142" i="13"/>
  <c r="L252" i="12"/>
  <c r="L252" i="1" s="1"/>
  <c r="O252" i="1" s="1"/>
  <c r="M140" i="10"/>
  <c r="P140" i="10" s="1"/>
  <c r="O294" i="8"/>
  <c r="L220" i="4"/>
  <c r="O220" i="4" s="1"/>
  <c r="O24" i="5"/>
  <c r="O273" i="8"/>
  <c r="L55" i="3"/>
  <c r="L68" i="7"/>
  <c r="O31" i="4"/>
  <c r="N53" i="1"/>
  <c r="P53" i="1" s="1"/>
  <c r="P222" i="18"/>
  <c r="L94" i="18"/>
  <c r="O94" i="18" s="1"/>
  <c r="L252" i="16"/>
  <c r="O252" i="16" s="1"/>
  <c r="P96" i="14"/>
  <c r="P55" i="13"/>
  <c r="O222" i="9"/>
  <c r="O331" i="7"/>
  <c r="L252" i="6"/>
  <c r="O252" i="6" s="1"/>
  <c r="P222" i="5"/>
  <c r="P273" i="8"/>
  <c r="O30" i="15"/>
  <c r="L118" i="13"/>
  <c r="O118" i="13" s="1"/>
  <c r="L22" i="12"/>
  <c r="O254" i="12"/>
  <c r="L22" i="9"/>
  <c r="N28" i="1"/>
  <c r="P43" i="18"/>
  <c r="P271" i="3"/>
  <c r="P43" i="8"/>
  <c r="P41" i="15"/>
  <c r="L252" i="15"/>
  <c r="N329" i="13"/>
  <c r="L142" i="10"/>
  <c r="O142" i="10" s="1"/>
  <c r="M220" i="10"/>
  <c r="P220" i="10" s="1"/>
  <c r="O122" i="9"/>
  <c r="L140" i="8"/>
  <c r="O140" i="8" s="1"/>
  <c r="L252" i="4"/>
  <c r="L43" i="2"/>
  <c r="O43" i="2" s="1"/>
  <c r="P68" i="4"/>
  <c r="P220" i="3"/>
  <c r="L144" i="1"/>
  <c r="O144" i="1" s="1"/>
  <c r="P222" i="7"/>
  <c r="L250" i="14"/>
  <c r="O250" i="14" s="1"/>
  <c r="L312" i="13"/>
  <c r="L329" i="11"/>
  <c r="O329" i="11" s="1"/>
  <c r="P96" i="11"/>
  <c r="O14" i="9"/>
  <c r="M20" i="9"/>
  <c r="M18" i="9" s="1"/>
  <c r="P18" i="9" s="1"/>
  <c r="L290" i="7"/>
  <c r="O290" i="7" s="1"/>
  <c r="L13" i="4"/>
  <c r="O13" i="4" s="1"/>
  <c r="L22" i="6"/>
  <c r="O22" i="6" s="1"/>
  <c r="O275" i="3"/>
  <c r="N12" i="2"/>
  <c r="N10" i="2" s="1"/>
  <c r="N273" i="1"/>
  <c r="O224" i="7"/>
  <c r="P68" i="3"/>
  <c r="M250" i="13"/>
  <c r="P250" i="13" s="1"/>
  <c r="N11" i="13"/>
  <c r="N9" i="13" s="1"/>
  <c r="O43" i="8"/>
  <c r="L120" i="15"/>
  <c r="L118" i="15" s="1"/>
  <c r="O118" i="15" s="1"/>
  <c r="N14" i="9"/>
  <c r="L26" i="1"/>
  <c r="L16" i="1" s="1"/>
  <c r="O16" i="1" s="1"/>
  <c r="O68" i="4"/>
  <c r="N28" i="8"/>
  <c r="O331" i="6"/>
  <c r="L329" i="6"/>
  <c r="O329" i="6" s="1"/>
  <c r="O96" i="3"/>
  <c r="L94" i="3"/>
  <c r="O94" i="3" s="1"/>
  <c r="P252" i="7"/>
  <c r="M250" i="7"/>
  <c r="P250" i="7" s="1"/>
  <c r="L329" i="18"/>
  <c r="P53" i="17"/>
  <c r="M66" i="14"/>
  <c r="P66" i="14" s="1"/>
  <c r="L220" i="8"/>
  <c r="O220" i="8" s="1"/>
  <c r="N28" i="6"/>
  <c r="P222" i="2"/>
  <c r="L140" i="4"/>
  <c r="O140" i="4" s="1"/>
  <c r="M140" i="16"/>
  <c r="L220" i="9"/>
  <c r="O220" i="9" s="1"/>
  <c r="P273" i="4"/>
  <c r="L273" i="11"/>
  <c r="O275" i="11"/>
  <c r="P68" i="9"/>
  <c r="M66" i="9"/>
  <c r="P66" i="9" s="1"/>
  <c r="O333" i="6"/>
  <c r="O120" i="15"/>
  <c r="L94" i="13"/>
  <c r="O94" i="13" s="1"/>
  <c r="L329" i="7"/>
  <c r="L14" i="7"/>
  <c r="O14" i="7" s="1"/>
  <c r="O34" i="18"/>
  <c r="L14" i="15"/>
  <c r="O14" i="15" s="1"/>
  <c r="L329" i="14"/>
  <c r="O329" i="14" s="1"/>
  <c r="L94" i="11"/>
  <c r="O94" i="11" s="1"/>
  <c r="L13" i="7"/>
  <c r="O13" i="7" s="1"/>
  <c r="L41" i="2"/>
  <c r="O41" i="2" s="1"/>
  <c r="P41" i="3"/>
  <c r="O273" i="18"/>
  <c r="N66" i="12"/>
  <c r="O66" i="12" s="1"/>
  <c r="P66" i="3"/>
  <c r="O34" i="3"/>
  <c r="L22" i="18"/>
  <c r="L12" i="18" s="1"/>
  <c r="P273" i="6"/>
  <c r="N29" i="12"/>
  <c r="N28" i="12" s="1"/>
  <c r="N11" i="12"/>
  <c r="N9" i="12" s="1"/>
  <c r="O34" i="8"/>
  <c r="P43" i="13"/>
  <c r="P292" i="4"/>
  <c r="M290" i="4"/>
  <c r="P290" i="4" s="1"/>
  <c r="O331" i="2"/>
  <c r="L329" i="2"/>
  <c r="O329" i="2" s="1"/>
  <c r="O273" i="2"/>
  <c r="L271" i="2"/>
  <c r="O271" i="2" s="1"/>
  <c r="N12" i="10"/>
  <c r="N10" i="10" s="1"/>
  <c r="N8" i="10" s="1"/>
  <c r="L66" i="8"/>
  <c r="O66" i="8" s="1"/>
  <c r="O314" i="5"/>
  <c r="O31" i="6"/>
  <c r="O34" i="4"/>
  <c r="L22" i="4"/>
  <c r="L120" i="3"/>
  <c r="O120" i="3" s="1"/>
  <c r="O70" i="4"/>
  <c r="O57" i="5"/>
  <c r="O333" i="2"/>
  <c r="P331" i="18"/>
  <c r="M329" i="18"/>
  <c r="P329" i="18" s="1"/>
  <c r="N22" i="1"/>
  <c r="N12" i="1" s="1"/>
  <c r="N10" i="1" s="1"/>
  <c r="P68" i="18"/>
  <c r="P66" i="18"/>
  <c r="L310" i="15"/>
  <c r="O310" i="15" s="1"/>
  <c r="N28" i="14"/>
  <c r="L140" i="14"/>
  <c r="O140" i="14" s="1"/>
  <c r="L41" i="10"/>
  <c r="O41" i="10" s="1"/>
  <c r="O144" i="6"/>
  <c r="N11" i="3"/>
  <c r="N9" i="3" s="1"/>
  <c r="O43" i="3"/>
  <c r="L222" i="6"/>
  <c r="O329" i="18"/>
  <c r="N28" i="18"/>
  <c r="O331" i="17"/>
  <c r="L94" i="17"/>
  <c r="O94" i="17" s="1"/>
  <c r="K560" i="1"/>
  <c r="M329" i="16"/>
  <c r="L273" i="14"/>
  <c r="O273" i="14" s="1"/>
  <c r="L331" i="10"/>
  <c r="O331" i="10" s="1"/>
  <c r="M118" i="9"/>
  <c r="P118" i="9" s="1"/>
  <c r="L11" i="6"/>
  <c r="O53" i="7"/>
  <c r="N66" i="18"/>
  <c r="O66" i="18" s="1"/>
  <c r="M118" i="18"/>
  <c r="P118" i="18" s="1"/>
  <c r="P94" i="14"/>
  <c r="L271" i="10"/>
  <c r="O271" i="10" s="1"/>
  <c r="L66" i="10"/>
  <c r="O66" i="10" s="1"/>
  <c r="O329" i="7"/>
  <c r="P68" i="10"/>
  <c r="M66" i="10"/>
  <c r="P66" i="10" s="1"/>
  <c r="O32" i="8"/>
  <c r="P331" i="4"/>
  <c r="P292" i="3"/>
  <c r="M290" i="3"/>
  <c r="P290" i="3" s="1"/>
  <c r="O24" i="2"/>
  <c r="L14" i="2"/>
  <c r="L22" i="10"/>
  <c r="O22" i="10" s="1"/>
  <c r="N11" i="7"/>
  <c r="N9" i="7" s="1"/>
  <c r="M118" i="4"/>
  <c r="P118" i="4" s="1"/>
  <c r="N28" i="7"/>
  <c r="O144" i="3"/>
  <c r="O254" i="1"/>
  <c r="P94" i="5"/>
  <c r="M290" i="17"/>
  <c r="P290" i="17" s="1"/>
  <c r="P292" i="17"/>
  <c r="P140" i="18"/>
  <c r="L120" i="14"/>
  <c r="O122" i="14"/>
  <c r="P96" i="13"/>
  <c r="M94" i="13"/>
  <c r="P94" i="13" s="1"/>
  <c r="P292" i="15"/>
  <c r="M290" i="15"/>
  <c r="P290" i="15" s="1"/>
  <c r="P68" i="11"/>
  <c r="M66" i="11"/>
  <c r="P66" i="11" s="1"/>
  <c r="P312" i="7"/>
  <c r="M310" i="7"/>
  <c r="P310" i="7" s="1"/>
  <c r="O120" i="5"/>
  <c r="L118" i="5"/>
  <c r="O118" i="5" s="1"/>
  <c r="N250" i="17"/>
  <c r="P250" i="17" s="1"/>
  <c r="L120" i="18"/>
  <c r="O120" i="18" s="1"/>
  <c r="O34" i="12"/>
  <c r="O122" i="18"/>
  <c r="M250" i="18"/>
  <c r="P250" i="18" s="1"/>
  <c r="N28" i="15"/>
  <c r="L14" i="12"/>
  <c r="P250" i="8"/>
  <c r="O14" i="5"/>
  <c r="L22" i="3"/>
  <c r="L12" i="3" s="1"/>
  <c r="L333" i="1"/>
  <c r="O333" i="1" s="1"/>
  <c r="P120" i="14"/>
  <c r="M118" i="14"/>
  <c r="P118" i="14" s="1"/>
  <c r="P252" i="10"/>
  <c r="M250" i="10"/>
  <c r="P250" i="10" s="1"/>
  <c r="P55" i="6"/>
  <c r="M53" i="6"/>
  <c r="P53" i="6" s="1"/>
  <c r="P329" i="4"/>
  <c r="P120" i="10"/>
  <c r="M118" i="10"/>
  <c r="P118" i="10" s="1"/>
  <c r="L66" i="2"/>
  <c r="O66" i="2" s="1"/>
  <c r="O68" i="2"/>
  <c r="P68" i="2"/>
  <c r="M66" i="2"/>
  <c r="P66" i="2" s="1"/>
  <c r="L290" i="15"/>
  <c r="O290" i="15" s="1"/>
  <c r="O43" i="9"/>
  <c r="N37" i="7"/>
  <c r="L140" i="6"/>
  <c r="O140" i="6" s="1"/>
  <c r="O34" i="16"/>
  <c r="N53" i="18"/>
  <c r="P53" i="18" s="1"/>
  <c r="P331" i="15"/>
  <c r="M329" i="15"/>
  <c r="P329" i="15" s="1"/>
  <c r="N290" i="11"/>
  <c r="N37" i="11" s="1"/>
  <c r="N292" i="1"/>
  <c r="P292" i="9"/>
  <c r="M290" i="9"/>
  <c r="P290" i="9" s="1"/>
  <c r="P273" i="9"/>
  <c r="M271" i="9"/>
  <c r="P271" i="9" s="1"/>
  <c r="L43" i="7"/>
  <c r="O45" i="7"/>
  <c r="L310" i="10"/>
  <c r="O310" i="10" s="1"/>
  <c r="O312" i="10"/>
  <c r="P312" i="6"/>
  <c r="M310" i="6"/>
  <c r="P310" i="6" s="1"/>
  <c r="P68" i="7"/>
  <c r="M66" i="7"/>
  <c r="P66" i="7" s="1"/>
  <c r="P142" i="5"/>
  <c r="M140" i="5"/>
  <c r="P140" i="5" s="1"/>
  <c r="L294" i="1"/>
  <c r="O294" i="1" s="1"/>
  <c r="O292" i="6"/>
  <c r="L290" i="6"/>
  <c r="O290" i="6" s="1"/>
  <c r="P120" i="2"/>
  <c r="M118" i="2"/>
  <c r="M120" i="1"/>
  <c r="N66" i="5"/>
  <c r="N37" i="5" s="1"/>
  <c r="N68" i="1"/>
  <c r="N118" i="4"/>
  <c r="N118" i="1" s="1"/>
  <c r="N120" i="1"/>
  <c r="L290" i="3"/>
  <c r="O290" i="3" s="1"/>
  <c r="N14" i="2"/>
  <c r="O14" i="2" s="1"/>
  <c r="O55" i="5"/>
  <c r="L53" i="5"/>
  <c r="O53" i="5" s="1"/>
  <c r="M140" i="15"/>
  <c r="P140" i="15" s="1"/>
  <c r="P142" i="15"/>
  <c r="P252" i="16"/>
  <c r="M250" i="16"/>
  <c r="P250" i="16" s="1"/>
  <c r="P312" i="14"/>
  <c r="M310" i="14"/>
  <c r="P310" i="14" s="1"/>
  <c r="M140" i="12"/>
  <c r="P140" i="12" s="1"/>
  <c r="P142" i="12"/>
  <c r="P273" i="10"/>
  <c r="M271" i="10"/>
  <c r="P271" i="10" s="1"/>
  <c r="O142" i="9"/>
  <c r="L140" i="9"/>
  <c r="O140" i="9" s="1"/>
  <c r="O252" i="9"/>
  <c r="L250" i="9"/>
  <c r="O250" i="9" s="1"/>
  <c r="P331" i="7"/>
  <c r="M329" i="7"/>
  <c r="P329" i="7" s="1"/>
  <c r="P252" i="6"/>
  <c r="M250" i="6"/>
  <c r="P250" i="6" s="1"/>
  <c r="P118" i="15"/>
  <c r="O140" i="16"/>
  <c r="M290" i="11"/>
  <c r="P290" i="11" s="1"/>
  <c r="P329" i="9"/>
  <c r="L118" i="9"/>
  <c r="O118" i="9" s="1"/>
  <c r="M37" i="4"/>
  <c r="P312" i="17"/>
  <c r="M310" i="17"/>
  <c r="P310" i="17" s="1"/>
  <c r="L250" i="16"/>
  <c r="O250" i="16" s="1"/>
  <c r="L250" i="17"/>
  <c r="O250" i="17" s="1"/>
  <c r="O252" i="17"/>
  <c r="O118" i="12"/>
  <c r="N29" i="11"/>
  <c r="N28" i="11" s="1"/>
  <c r="N11" i="11"/>
  <c r="N9" i="11" s="1"/>
  <c r="P68" i="13"/>
  <c r="M66" i="13"/>
  <c r="P66" i="13" s="1"/>
  <c r="P120" i="12"/>
  <c r="M118" i="12"/>
  <c r="P118" i="12" s="1"/>
  <c r="P331" i="12"/>
  <c r="N329" i="12"/>
  <c r="P329" i="12" s="1"/>
  <c r="N12" i="9"/>
  <c r="N10" i="9" s="1"/>
  <c r="N8" i="9" s="1"/>
  <c r="M94" i="6"/>
  <c r="P94" i="6" s="1"/>
  <c r="P96" i="6"/>
  <c r="L250" i="6"/>
  <c r="O250" i="6" s="1"/>
  <c r="O68" i="5"/>
  <c r="L66" i="5"/>
  <c r="O66" i="5" s="1"/>
  <c r="M94" i="2"/>
  <c r="P94" i="2" s="1"/>
  <c r="P96" i="2"/>
  <c r="O220" i="3"/>
  <c r="O26" i="1"/>
  <c r="P140" i="16"/>
  <c r="N310" i="1"/>
  <c r="P312" i="16"/>
  <c r="M310" i="16"/>
  <c r="P310" i="16" s="1"/>
  <c r="L68" i="16"/>
  <c r="O70" i="16"/>
  <c r="P53" i="13"/>
  <c r="O331" i="9"/>
  <c r="L329" i="9"/>
  <c r="O329" i="9" s="1"/>
  <c r="O252" i="8"/>
  <c r="L250" i="8"/>
  <c r="O250" i="8" s="1"/>
  <c r="P142" i="7"/>
  <c r="M140" i="7"/>
  <c r="P140" i="7" s="1"/>
  <c r="O68" i="6"/>
  <c r="N66" i="6"/>
  <c r="P120" i="6"/>
  <c r="M118" i="6"/>
  <c r="P118" i="6" s="1"/>
  <c r="N312" i="1"/>
  <c r="O252" i="2"/>
  <c r="L250" i="2"/>
  <c r="O250" i="2" s="1"/>
  <c r="O14" i="12"/>
  <c r="L98" i="1"/>
  <c r="O98" i="1" s="1"/>
  <c r="L41" i="3"/>
  <c r="M271" i="17"/>
  <c r="P271" i="17" s="1"/>
  <c r="P273" i="17"/>
  <c r="O31" i="16"/>
  <c r="L29" i="16"/>
  <c r="O29" i="16" s="1"/>
  <c r="L329" i="15"/>
  <c r="O329" i="15" s="1"/>
  <c r="O331" i="15"/>
  <c r="O314" i="12"/>
  <c r="L312" i="12"/>
  <c r="L94" i="5"/>
  <c r="O94" i="5" s="1"/>
  <c r="O96" i="5"/>
  <c r="L314" i="1"/>
  <c r="O314" i="1" s="1"/>
  <c r="M94" i="17"/>
  <c r="P94" i="17" s="1"/>
  <c r="L220" i="13"/>
  <c r="O220" i="13" s="1"/>
  <c r="P250" i="12"/>
  <c r="L140" i="10"/>
  <c r="O140" i="10" s="1"/>
  <c r="L271" i="9"/>
  <c r="O271" i="9" s="1"/>
  <c r="P43" i="9"/>
  <c r="L66" i="4"/>
  <c r="O66" i="4" s="1"/>
  <c r="O292" i="16"/>
  <c r="L290" i="16"/>
  <c r="O290" i="16" s="1"/>
  <c r="N41" i="17"/>
  <c r="P41" i="17" s="1"/>
  <c r="N11" i="17"/>
  <c r="N9" i="17" s="1"/>
  <c r="L140" i="15"/>
  <c r="O140" i="15" s="1"/>
  <c r="O142" i="15"/>
  <c r="O312" i="9"/>
  <c r="L310" i="9"/>
  <c r="O310" i="9" s="1"/>
  <c r="P222" i="9"/>
  <c r="M220" i="9"/>
  <c r="P220" i="9" s="1"/>
  <c r="P120" i="8"/>
  <c r="M118" i="8"/>
  <c r="P118" i="8" s="1"/>
  <c r="O120" i="7"/>
  <c r="L118" i="7"/>
  <c r="O118" i="7" s="1"/>
  <c r="L122" i="1"/>
  <c r="O122" i="1" s="1"/>
  <c r="L140" i="7"/>
  <c r="O140" i="7" s="1"/>
  <c r="L310" i="6"/>
  <c r="O310" i="6" s="1"/>
  <c r="M290" i="5"/>
  <c r="P290" i="5" s="1"/>
  <c r="P292" i="5"/>
  <c r="P68" i="6"/>
  <c r="L329" i="4"/>
  <c r="O329" i="4" s="1"/>
  <c r="O331" i="4"/>
  <c r="P118" i="2"/>
  <c r="L20" i="15"/>
  <c r="O290" i="2"/>
  <c r="O220" i="17"/>
  <c r="P220" i="17"/>
  <c r="O220" i="2"/>
  <c r="O41" i="14"/>
  <c r="L43" i="13"/>
  <c r="O45" i="13"/>
  <c r="L22" i="13"/>
  <c r="L45" i="1"/>
  <c r="L118" i="18"/>
  <c r="O118" i="18" s="1"/>
  <c r="O312" i="18"/>
  <c r="L310" i="18"/>
  <c r="O310" i="18" s="1"/>
  <c r="P29" i="18"/>
  <c r="M28" i="18"/>
  <c r="P28" i="18" s="1"/>
  <c r="P118" i="17"/>
  <c r="M28" i="17"/>
  <c r="P28" i="17" s="1"/>
  <c r="P29" i="17"/>
  <c r="L329" i="17"/>
  <c r="O329" i="17" s="1"/>
  <c r="O98" i="16"/>
  <c r="L96" i="16"/>
  <c r="P29" i="16"/>
  <c r="M28" i="16"/>
  <c r="P28" i="16" s="1"/>
  <c r="L94" i="15"/>
  <c r="O94" i="15" s="1"/>
  <c r="O26" i="15"/>
  <c r="L16" i="15"/>
  <c r="O16" i="15" s="1"/>
  <c r="P329" i="16"/>
  <c r="L66" i="15"/>
  <c r="P9" i="13"/>
  <c r="L329" i="16"/>
  <c r="O329" i="16" s="1"/>
  <c r="N271" i="1"/>
  <c r="N20" i="13"/>
  <c r="N18" i="13" s="1"/>
  <c r="N12" i="13"/>
  <c r="N10" i="13" s="1"/>
  <c r="O24" i="13"/>
  <c r="L14" i="13"/>
  <c r="O14" i="13" s="1"/>
  <c r="L220" i="12"/>
  <c r="O220" i="12" s="1"/>
  <c r="L55" i="14"/>
  <c r="O57" i="14"/>
  <c r="P271" i="13"/>
  <c r="P273" i="12"/>
  <c r="M271" i="12"/>
  <c r="P271" i="12" s="1"/>
  <c r="M273" i="1"/>
  <c r="O19" i="11"/>
  <c r="O23" i="11"/>
  <c r="L13" i="11"/>
  <c r="O13" i="11" s="1"/>
  <c r="L250" i="12"/>
  <c r="O250" i="12" s="1"/>
  <c r="P252" i="11"/>
  <c r="O252" i="11"/>
  <c r="N252" i="1"/>
  <c r="N20" i="11"/>
  <c r="N18" i="11" s="1"/>
  <c r="N12" i="11"/>
  <c r="N10" i="11" s="1"/>
  <c r="N8" i="11" s="1"/>
  <c r="O32" i="13"/>
  <c r="L30" i="13"/>
  <c r="O30" i="13" s="1"/>
  <c r="P43" i="10"/>
  <c r="M41" i="10"/>
  <c r="L41" i="8"/>
  <c r="P140" i="9"/>
  <c r="O32" i="9"/>
  <c r="L30" i="9"/>
  <c r="O30" i="9" s="1"/>
  <c r="L271" i="8"/>
  <c r="O271" i="8" s="1"/>
  <c r="P29" i="5"/>
  <c r="M28" i="5"/>
  <c r="P28" i="5" s="1"/>
  <c r="O312" i="4"/>
  <c r="L310" i="4"/>
  <c r="O310" i="4" s="1"/>
  <c r="L55" i="8"/>
  <c r="O57" i="8"/>
  <c r="L22" i="8"/>
  <c r="P220" i="6"/>
  <c r="P22" i="6"/>
  <c r="M12" i="6"/>
  <c r="M20" i="6"/>
  <c r="L250" i="5"/>
  <c r="O250" i="5" s="1"/>
  <c r="M20" i="8"/>
  <c r="P22" i="8"/>
  <c r="M12" i="8"/>
  <c r="O32" i="7"/>
  <c r="P30" i="3"/>
  <c r="M28" i="3"/>
  <c r="P28" i="3" s="1"/>
  <c r="P22" i="7"/>
  <c r="M12" i="7"/>
  <c r="M20" i="7"/>
  <c r="P252" i="5"/>
  <c r="M250" i="5"/>
  <c r="P250" i="5" s="1"/>
  <c r="M252" i="1"/>
  <c r="M28" i="4"/>
  <c r="P28" i="4" s="1"/>
  <c r="P29" i="4"/>
  <c r="P329" i="2"/>
  <c r="O142" i="2"/>
  <c r="O23" i="3"/>
  <c r="L13" i="3"/>
  <c r="O13" i="3" s="1"/>
  <c r="M18" i="2"/>
  <c r="P18" i="2" s="1"/>
  <c r="P20" i="2"/>
  <c r="P94" i="4"/>
  <c r="L31" i="1"/>
  <c r="O382" i="1"/>
  <c r="O11" i="3"/>
  <c r="L9" i="3"/>
  <c r="P118" i="3"/>
  <c r="P310" i="2"/>
  <c r="L55" i="2"/>
  <c r="O57" i="2"/>
  <c r="L57" i="1"/>
  <c r="L22" i="2"/>
  <c r="O19" i="1"/>
  <c r="O29" i="17"/>
  <c r="P22" i="13"/>
  <c r="M12" i="13"/>
  <c r="M20" i="13"/>
  <c r="O26" i="12"/>
  <c r="L16" i="12"/>
  <c r="O16" i="12" s="1"/>
  <c r="P22" i="18"/>
  <c r="M20" i="18"/>
  <c r="M12" i="18"/>
  <c r="M20" i="17"/>
  <c r="P22" i="17"/>
  <c r="M12" i="17"/>
  <c r="P222" i="17"/>
  <c r="O222" i="17"/>
  <c r="N12" i="17"/>
  <c r="N10" i="17" s="1"/>
  <c r="N8" i="17" s="1"/>
  <c r="N20" i="17"/>
  <c r="N18" i="17" s="1"/>
  <c r="M53" i="16"/>
  <c r="P53" i="16" s="1"/>
  <c r="P55" i="16"/>
  <c r="L30" i="16"/>
  <c r="O32" i="16"/>
  <c r="O26" i="17"/>
  <c r="L16" i="17"/>
  <c r="O16" i="17" s="1"/>
  <c r="O24" i="16"/>
  <c r="L14" i="16"/>
  <c r="O14" i="16" s="1"/>
  <c r="P11" i="15"/>
  <c r="M9" i="15"/>
  <c r="P22" i="15"/>
  <c r="M20" i="15"/>
  <c r="M12" i="15"/>
  <c r="O26" i="16"/>
  <c r="L16" i="16"/>
  <c r="O16" i="16" s="1"/>
  <c r="M140" i="14"/>
  <c r="P140" i="14" s="1"/>
  <c r="P142" i="14"/>
  <c r="O312" i="13"/>
  <c r="L310" i="13"/>
  <c r="O310" i="13" s="1"/>
  <c r="O23" i="14"/>
  <c r="L13" i="14"/>
  <c r="O13" i="14" s="1"/>
  <c r="O32" i="14"/>
  <c r="L30" i="14"/>
  <c r="N12" i="14"/>
  <c r="N10" i="14" s="1"/>
  <c r="N8" i="14" s="1"/>
  <c r="N20" i="14"/>
  <c r="N18" i="14" s="1"/>
  <c r="O252" i="13"/>
  <c r="L250" i="13"/>
  <c r="O250" i="13" s="1"/>
  <c r="O26" i="13"/>
  <c r="L16" i="13"/>
  <c r="O16" i="13" s="1"/>
  <c r="L290" i="12"/>
  <c r="O290" i="12" s="1"/>
  <c r="O23" i="18"/>
  <c r="L13" i="18"/>
  <c r="O13" i="18" s="1"/>
  <c r="P222" i="12"/>
  <c r="M220" i="12"/>
  <c r="P250" i="11"/>
  <c r="P22" i="11"/>
  <c r="M12" i="11"/>
  <c r="M20" i="11"/>
  <c r="O23" i="10"/>
  <c r="L13" i="10"/>
  <c r="O13" i="10" s="1"/>
  <c r="P11" i="9"/>
  <c r="M9" i="9"/>
  <c r="O26" i="10"/>
  <c r="L16" i="10"/>
  <c r="O16" i="10" s="1"/>
  <c r="P19" i="9"/>
  <c r="P222" i="11"/>
  <c r="M222" i="1"/>
  <c r="M28" i="8"/>
  <c r="P28" i="8" s="1"/>
  <c r="P29" i="8"/>
  <c r="O68" i="9"/>
  <c r="L66" i="9"/>
  <c r="O66" i="9" s="1"/>
  <c r="O23" i="8"/>
  <c r="L13" i="8"/>
  <c r="O13" i="8" s="1"/>
  <c r="O26" i="6"/>
  <c r="L16" i="6"/>
  <c r="O16" i="6" s="1"/>
  <c r="O19" i="6"/>
  <c r="N12" i="7"/>
  <c r="N10" i="7" s="1"/>
  <c r="N20" i="7"/>
  <c r="N18" i="7" s="1"/>
  <c r="O142" i="5"/>
  <c r="L140" i="5"/>
  <c r="O140" i="5" s="1"/>
  <c r="P53" i="7"/>
  <c r="P43" i="6"/>
  <c r="M41" i="6"/>
  <c r="P9" i="4"/>
  <c r="P140" i="2"/>
  <c r="O273" i="4"/>
  <c r="L271" i="4"/>
  <c r="O271" i="4" s="1"/>
  <c r="N329" i="1"/>
  <c r="O24" i="3"/>
  <c r="L14" i="3"/>
  <c r="O14" i="3" s="1"/>
  <c r="N29" i="2"/>
  <c r="N28" i="2" s="1"/>
  <c r="N11" i="2"/>
  <c r="N9" i="2" s="1"/>
  <c r="N8" i="2" s="1"/>
  <c r="O22" i="4"/>
  <c r="L12" i="4"/>
  <c r="L20" i="4"/>
  <c r="L68" i="3"/>
  <c r="O70" i="3"/>
  <c r="L70" i="1"/>
  <c r="O70" i="1" s="1"/>
  <c r="O41" i="3"/>
  <c r="O96" i="2"/>
  <c r="L94" i="2"/>
  <c r="P12" i="2"/>
  <c r="M10" i="2"/>
  <c r="O273" i="3"/>
  <c r="L271" i="3"/>
  <c r="O31" i="2"/>
  <c r="L29" i="2"/>
  <c r="O273" i="7"/>
  <c r="L271" i="7"/>
  <c r="O271" i="7" s="1"/>
  <c r="P22" i="3"/>
  <c r="M12" i="3"/>
  <c r="M20" i="3"/>
  <c r="O26" i="2"/>
  <c r="L16" i="2"/>
  <c r="O16" i="2" s="1"/>
  <c r="M12" i="1"/>
  <c r="M20" i="1"/>
  <c r="L41" i="4"/>
  <c r="O120" i="6"/>
  <c r="L118" i="6"/>
  <c r="O118" i="6" s="1"/>
  <c r="K625" i="1"/>
  <c r="K623" i="1"/>
  <c r="K621" i="1"/>
  <c r="K626" i="1"/>
  <c r="K622" i="1"/>
  <c r="K624" i="1"/>
  <c r="K620" i="1"/>
  <c r="L34" i="1"/>
  <c r="O459" i="1"/>
  <c r="P11" i="1"/>
  <c r="M9" i="1"/>
  <c r="L9" i="14"/>
  <c r="O11" i="14"/>
  <c r="P292" i="12"/>
  <c r="M290" i="12"/>
  <c r="P290" i="12" s="1"/>
  <c r="N140" i="17"/>
  <c r="P140" i="17" s="1"/>
  <c r="O26" i="18"/>
  <c r="L16" i="18"/>
  <c r="O16" i="18" s="1"/>
  <c r="L20" i="18"/>
  <c r="O142" i="17"/>
  <c r="L290" i="18"/>
  <c r="O290" i="18" s="1"/>
  <c r="M9" i="17"/>
  <c r="O32" i="17"/>
  <c r="L30" i="17"/>
  <c r="O30" i="17" s="1"/>
  <c r="O22" i="17"/>
  <c r="L12" i="17"/>
  <c r="L20" i="17"/>
  <c r="O120" i="17"/>
  <c r="L118" i="17"/>
  <c r="O118" i="17" s="1"/>
  <c r="O41" i="16"/>
  <c r="O273" i="16"/>
  <c r="L271" i="16"/>
  <c r="O271" i="16" s="1"/>
  <c r="O23" i="15"/>
  <c r="L13" i="15"/>
  <c r="O13" i="15" s="1"/>
  <c r="O222" i="16"/>
  <c r="N20" i="16"/>
  <c r="N18" i="16" s="1"/>
  <c r="N12" i="16"/>
  <c r="N10" i="16" s="1"/>
  <c r="N8" i="16" s="1"/>
  <c r="P9" i="18"/>
  <c r="P22" i="16"/>
  <c r="M12" i="16"/>
  <c r="M20" i="16"/>
  <c r="O222" i="14"/>
  <c r="L220" i="14"/>
  <c r="L22" i="14"/>
  <c r="O32" i="15"/>
  <c r="L66" i="14"/>
  <c r="O66" i="14" s="1"/>
  <c r="L96" i="14"/>
  <c r="O98" i="14"/>
  <c r="O43" i="16"/>
  <c r="O26" i="14"/>
  <c r="L16" i="14"/>
  <c r="O16" i="14" s="1"/>
  <c r="M28" i="14"/>
  <c r="P28" i="14" s="1"/>
  <c r="O34" i="14"/>
  <c r="M12" i="12"/>
  <c r="M20" i="12"/>
  <c r="P22" i="12"/>
  <c r="M37" i="14"/>
  <c r="P53" i="12"/>
  <c r="O57" i="18"/>
  <c r="L55" i="18"/>
  <c r="P222" i="14"/>
  <c r="N220" i="14"/>
  <c r="L14" i="14"/>
  <c r="O14" i="14" s="1"/>
  <c r="P292" i="13"/>
  <c r="M290" i="13"/>
  <c r="P290" i="13" s="1"/>
  <c r="L55" i="12"/>
  <c r="O57" i="12"/>
  <c r="O292" i="11"/>
  <c r="L290" i="11"/>
  <c r="O290" i="11" s="1"/>
  <c r="P55" i="11"/>
  <c r="P118" i="13"/>
  <c r="O31" i="11"/>
  <c r="L29" i="11"/>
  <c r="P53" i="11"/>
  <c r="O120" i="11"/>
  <c r="L118" i="11"/>
  <c r="O118" i="11" s="1"/>
  <c r="O222" i="10"/>
  <c r="L220" i="10"/>
  <c r="O220" i="10" s="1"/>
  <c r="N20" i="10"/>
  <c r="N18" i="10" s="1"/>
  <c r="P18" i="10" s="1"/>
  <c r="M41" i="11"/>
  <c r="O292" i="10"/>
  <c r="L290" i="10"/>
  <c r="O290" i="10" s="1"/>
  <c r="O120" i="10"/>
  <c r="L118" i="10"/>
  <c r="O118" i="10" s="1"/>
  <c r="P55" i="9"/>
  <c r="M53" i="9"/>
  <c r="P53" i="9" s="1"/>
  <c r="M9" i="8"/>
  <c r="P22" i="5"/>
  <c r="M12" i="5"/>
  <c r="M20" i="5"/>
  <c r="M10" i="9"/>
  <c r="L94" i="7"/>
  <c r="O94" i="7" s="1"/>
  <c r="O312" i="7"/>
  <c r="L310" i="7"/>
  <c r="O310" i="7" s="1"/>
  <c r="L9" i="6"/>
  <c r="O11" i="6"/>
  <c r="O32" i="6"/>
  <c r="L30" i="6"/>
  <c r="N37" i="6"/>
  <c r="P331" i="6"/>
  <c r="M331" i="1"/>
  <c r="P9" i="6"/>
  <c r="O55" i="7"/>
  <c r="L310" i="5"/>
  <c r="O310" i="5" s="1"/>
  <c r="P55" i="7"/>
  <c r="M53" i="2"/>
  <c r="P53" i="2" s="1"/>
  <c r="P55" i="2"/>
  <c r="M9" i="3"/>
  <c r="P11" i="3"/>
  <c r="L13" i="2"/>
  <c r="O13" i="2" s="1"/>
  <c r="O32" i="3"/>
  <c r="L30" i="3"/>
  <c r="O30" i="3" s="1"/>
  <c r="P55" i="3"/>
  <c r="M53" i="3"/>
  <c r="O312" i="2"/>
  <c r="L310" i="2"/>
  <c r="L312" i="1"/>
  <c r="O312" i="1" s="1"/>
  <c r="O42" i="1"/>
  <c r="L33" i="1"/>
  <c r="O384" i="1"/>
  <c r="O29" i="4"/>
  <c r="N11" i="1"/>
  <c r="N9" i="1" s="1"/>
  <c r="N12" i="3"/>
  <c r="N10" i="3" s="1"/>
  <c r="N8" i="3" s="1"/>
  <c r="P41" i="1"/>
  <c r="L250" i="18"/>
  <c r="O250" i="18" s="1"/>
  <c r="O57" i="16"/>
  <c r="L55" i="16"/>
  <c r="L22" i="16"/>
  <c r="O41" i="12"/>
  <c r="L20" i="12"/>
  <c r="O22" i="12"/>
  <c r="L12" i="12"/>
  <c r="O142" i="18"/>
  <c r="L140" i="18"/>
  <c r="O140" i="18" s="1"/>
  <c r="O31" i="18"/>
  <c r="L29" i="18"/>
  <c r="L11" i="18"/>
  <c r="L220" i="18"/>
  <c r="O220" i="18" s="1"/>
  <c r="N11" i="18"/>
  <c r="N9" i="18" s="1"/>
  <c r="L9" i="17"/>
  <c r="L41" i="17"/>
  <c r="O43" i="17"/>
  <c r="O19" i="16"/>
  <c r="O23" i="17"/>
  <c r="L13" i="17"/>
  <c r="O13" i="17" s="1"/>
  <c r="O224" i="15"/>
  <c r="L222" i="15"/>
  <c r="N12" i="15"/>
  <c r="N10" i="15" s="1"/>
  <c r="N20" i="15"/>
  <c r="N18" i="15" s="1"/>
  <c r="N37" i="16"/>
  <c r="L310" i="16"/>
  <c r="O310" i="16" s="1"/>
  <c r="O312" i="16"/>
  <c r="M41" i="16"/>
  <c r="P43" i="16"/>
  <c r="L140" i="13"/>
  <c r="O140" i="13" s="1"/>
  <c r="O142" i="13"/>
  <c r="O31" i="13"/>
  <c r="L11" i="13"/>
  <c r="L29" i="13"/>
  <c r="P41" i="13"/>
  <c r="O55" i="11"/>
  <c r="O23" i="12"/>
  <c r="L13" i="12"/>
  <c r="O13" i="12" s="1"/>
  <c r="L53" i="11"/>
  <c r="O53" i="11" s="1"/>
  <c r="O331" i="12"/>
  <c r="L329" i="12"/>
  <c r="O329" i="12" s="1"/>
  <c r="O142" i="12"/>
  <c r="L140" i="12"/>
  <c r="O140" i="12" s="1"/>
  <c r="L9" i="11"/>
  <c r="O11" i="11"/>
  <c r="O31" i="12"/>
  <c r="L29" i="12"/>
  <c r="L11" i="12"/>
  <c r="L20" i="11"/>
  <c r="O20" i="11" s="1"/>
  <c r="O22" i="11"/>
  <c r="L12" i="11"/>
  <c r="L13" i="13"/>
  <c r="O13" i="13" s="1"/>
  <c r="O23" i="13"/>
  <c r="N8" i="13"/>
  <c r="L220" i="11"/>
  <c r="O220" i="11" s="1"/>
  <c r="M53" i="10"/>
  <c r="P53" i="10" s="1"/>
  <c r="L290" i="8"/>
  <c r="O290" i="8" s="1"/>
  <c r="O55" i="10"/>
  <c r="L53" i="10"/>
  <c r="O53" i="10" s="1"/>
  <c r="L16" i="5"/>
  <c r="O16" i="5" s="1"/>
  <c r="O26" i="5"/>
  <c r="P19" i="7"/>
  <c r="M18" i="7"/>
  <c r="O29" i="8"/>
  <c r="L28" i="8"/>
  <c r="O28" i="8" s="1"/>
  <c r="O41" i="6"/>
  <c r="O224" i="5"/>
  <c r="L222" i="5"/>
  <c r="L222" i="1" s="1"/>
  <c r="L224" i="1"/>
  <c r="O224" i="1" s="1"/>
  <c r="O331" i="5"/>
  <c r="L329" i="5"/>
  <c r="O329" i="5" s="1"/>
  <c r="P96" i="8"/>
  <c r="N94" i="8"/>
  <c r="P94" i="8" s="1"/>
  <c r="O252" i="7"/>
  <c r="L250" i="7"/>
  <c r="O250" i="7" s="1"/>
  <c r="O32" i="4"/>
  <c r="L30" i="4"/>
  <c r="O30" i="4" s="1"/>
  <c r="P41" i="7"/>
  <c r="P142" i="6"/>
  <c r="M140" i="6"/>
  <c r="P140" i="6" s="1"/>
  <c r="M142" i="1"/>
  <c r="N14" i="6"/>
  <c r="O14" i="6" s="1"/>
  <c r="M9" i="5"/>
  <c r="O96" i="4"/>
  <c r="L94" i="4"/>
  <c r="O94" i="4" s="1"/>
  <c r="O22" i="3"/>
  <c r="P290" i="2"/>
  <c r="O292" i="5"/>
  <c r="L290" i="5"/>
  <c r="O290" i="5" s="1"/>
  <c r="P140" i="3"/>
  <c r="P220" i="2"/>
  <c r="P96" i="4"/>
  <c r="N96" i="1"/>
  <c r="O252" i="3"/>
  <c r="N12" i="4"/>
  <c r="N10" i="4" s="1"/>
  <c r="N8" i="4" s="1"/>
  <c r="N20" i="4"/>
  <c r="N18" i="4" s="1"/>
  <c r="L14" i="4"/>
  <c r="O14" i="4" s="1"/>
  <c r="N331" i="1"/>
  <c r="N20" i="3"/>
  <c r="N18" i="3" s="1"/>
  <c r="M9" i="12"/>
  <c r="P15" i="12"/>
  <c r="O24" i="18"/>
  <c r="L14" i="18"/>
  <c r="O14" i="18" s="1"/>
  <c r="O43" i="18"/>
  <c r="L41" i="18"/>
  <c r="O271" i="18"/>
  <c r="P331" i="17"/>
  <c r="M329" i="17"/>
  <c r="P329" i="17" s="1"/>
  <c r="N20" i="18"/>
  <c r="N18" i="18" s="1"/>
  <c r="N12" i="18"/>
  <c r="N10" i="18" s="1"/>
  <c r="L30" i="18"/>
  <c r="O30" i="18" s="1"/>
  <c r="O32" i="18"/>
  <c r="O220" i="16"/>
  <c r="O11" i="16"/>
  <c r="L9" i="16"/>
  <c r="O275" i="17"/>
  <c r="L273" i="17"/>
  <c r="L273" i="1" s="1"/>
  <c r="L275" i="1"/>
  <c r="O275" i="1" s="1"/>
  <c r="P222" i="16"/>
  <c r="N11" i="15"/>
  <c r="N9" i="15" s="1"/>
  <c r="L13" i="16"/>
  <c r="O13" i="16" s="1"/>
  <c r="O23" i="16"/>
  <c r="N37" i="15"/>
  <c r="O31" i="15"/>
  <c r="L29" i="15"/>
  <c r="L11" i="15"/>
  <c r="L310" i="14"/>
  <c r="O310" i="14" s="1"/>
  <c r="M220" i="16"/>
  <c r="P220" i="16" s="1"/>
  <c r="M28" i="15"/>
  <c r="P28" i="15" s="1"/>
  <c r="P30" i="15"/>
  <c r="N37" i="13"/>
  <c r="O41" i="15"/>
  <c r="P329" i="13"/>
  <c r="M20" i="14"/>
  <c r="P22" i="14"/>
  <c r="M12" i="14"/>
  <c r="O96" i="12"/>
  <c r="L94" i="12"/>
  <c r="O94" i="12" s="1"/>
  <c r="M28" i="12"/>
  <c r="P28" i="12" s="1"/>
  <c r="P30" i="12"/>
  <c r="O292" i="14"/>
  <c r="L290" i="14"/>
  <c r="O290" i="14" s="1"/>
  <c r="O331" i="13"/>
  <c r="L329" i="13"/>
  <c r="O329" i="13" s="1"/>
  <c r="L271" i="12"/>
  <c r="O271" i="12" s="1"/>
  <c r="N12" i="12"/>
  <c r="N10" i="12" s="1"/>
  <c r="N8" i="12" s="1"/>
  <c r="N20" i="12"/>
  <c r="N18" i="12" s="1"/>
  <c r="L271" i="13"/>
  <c r="O271" i="13" s="1"/>
  <c r="O273" i="13"/>
  <c r="P94" i="12"/>
  <c r="P96" i="15"/>
  <c r="M96" i="1"/>
  <c r="P312" i="13"/>
  <c r="M312" i="1"/>
  <c r="P312" i="1" s="1"/>
  <c r="M220" i="13"/>
  <c r="P220" i="13" s="1"/>
  <c r="P222" i="13"/>
  <c r="L14" i="11"/>
  <c r="O14" i="11" s="1"/>
  <c r="O24" i="11"/>
  <c r="P41" i="12"/>
  <c r="P331" i="11"/>
  <c r="M329" i="11"/>
  <c r="P329" i="11" s="1"/>
  <c r="O57" i="13"/>
  <c r="L55" i="13"/>
  <c r="O41" i="11"/>
  <c r="P55" i="12"/>
  <c r="O19" i="10"/>
  <c r="L118" i="8"/>
  <c r="O118" i="8" s="1"/>
  <c r="L29" i="10"/>
  <c r="O31" i="10"/>
  <c r="N220" i="10"/>
  <c r="N37" i="10" s="1"/>
  <c r="N222" i="1"/>
  <c r="P41" i="9"/>
  <c r="O24" i="10"/>
  <c r="L14" i="10"/>
  <c r="O14" i="10" s="1"/>
  <c r="N37" i="9"/>
  <c r="L20" i="9"/>
  <c r="O22" i="9"/>
  <c r="L12" i="9"/>
  <c r="P11" i="7"/>
  <c r="M9" i="7"/>
  <c r="O11" i="7"/>
  <c r="L9" i="7"/>
  <c r="O11" i="8"/>
  <c r="L9" i="8"/>
  <c r="O23" i="5"/>
  <c r="L13" i="5"/>
  <c r="O13" i="5" s="1"/>
  <c r="O31" i="7"/>
  <c r="L29" i="7"/>
  <c r="L20" i="6"/>
  <c r="L18" i="6" s="1"/>
  <c r="P66" i="5"/>
  <c r="L22" i="5"/>
  <c r="O98" i="6"/>
  <c r="L96" i="6"/>
  <c r="P94" i="3"/>
  <c r="L30" i="2"/>
  <c r="O30" i="2" s="1"/>
  <c r="O32" i="2"/>
  <c r="L310" i="3"/>
  <c r="O310" i="3" s="1"/>
  <c r="O19" i="2"/>
  <c r="P53" i="4"/>
  <c r="P329" i="3"/>
  <c r="P19" i="3"/>
  <c r="M18" i="3"/>
  <c r="N37" i="3"/>
  <c r="O29" i="3"/>
  <c r="L140" i="2"/>
  <c r="L250" i="3"/>
  <c r="P43" i="3"/>
  <c r="N28" i="3"/>
  <c r="O26" i="3"/>
  <c r="L16" i="3"/>
  <c r="O16" i="3" s="1"/>
  <c r="P292" i="2"/>
  <c r="M292" i="1"/>
  <c r="M9" i="16"/>
  <c r="P11" i="16"/>
  <c r="P142" i="11"/>
  <c r="M140" i="11"/>
  <c r="P140" i="11" s="1"/>
  <c r="L9" i="10"/>
  <c r="O11" i="10"/>
  <c r="O23" i="9"/>
  <c r="L13" i="9"/>
  <c r="O13" i="9" s="1"/>
  <c r="O32" i="10"/>
  <c r="L30" i="10"/>
  <c r="O30" i="10" s="1"/>
  <c r="O96" i="10"/>
  <c r="L94" i="10"/>
  <c r="O94" i="10" s="1"/>
  <c r="O31" i="9"/>
  <c r="L29" i="9"/>
  <c r="L11" i="9"/>
  <c r="O41" i="9"/>
  <c r="L20" i="10"/>
  <c r="L18" i="10" s="1"/>
  <c r="O18" i="10" s="1"/>
  <c r="M53" i="8"/>
  <c r="O55" i="9"/>
  <c r="L53" i="9"/>
  <c r="O53" i="9" s="1"/>
  <c r="L20" i="7"/>
  <c r="L12" i="7"/>
  <c r="O22" i="7"/>
  <c r="M10" i="10"/>
  <c r="N12" i="6"/>
  <c r="N10" i="6" s="1"/>
  <c r="N8" i="6" s="1"/>
  <c r="N20" i="6"/>
  <c r="N18" i="6" s="1"/>
  <c r="N20" i="5"/>
  <c r="N18" i="5" s="1"/>
  <c r="N12" i="5"/>
  <c r="N10" i="5" s="1"/>
  <c r="N8" i="5" s="1"/>
  <c r="O26" i="7"/>
  <c r="L16" i="7"/>
  <c r="O16" i="7" s="1"/>
  <c r="L11" i="5"/>
  <c r="O31" i="5"/>
  <c r="L29" i="5"/>
  <c r="O252" i="4"/>
  <c r="L250" i="4"/>
  <c r="O250" i="4" s="1"/>
  <c r="N12" i="8"/>
  <c r="N10" i="8" s="1"/>
  <c r="N8" i="8" s="1"/>
  <c r="N20" i="8"/>
  <c r="N18" i="8" s="1"/>
  <c r="P68" i="8"/>
  <c r="M66" i="8"/>
  <c r="P66" i="8" s="1"/>
  <c r="M68" i="1"/>
  <c r="P68" i="1" s="1"/>
  <c r="P271" i="5"/>
  <c r="O43" i="5"/>
  <c r="L41" i="5"/>
  <c r="O26" i="4"/>
  <c r="L16" i="4"/>
  <c r="O16" i="4" s="1"/>
  <c r="O23" i="6"/>
  <c r="L13" i="6"/>
  <c r="O13" i="6" s="1"/>
  <c r="O55" i="6"/>
  <c r="L53" i="6"/>
  <c r="O53" i="6" s="1"/>
  <c r="M20" i="4"/>
  <c r="M12" i="4"/>
  <c r="P22" i="4"/>
  <c r="O142" i="3"/>
  <c r="L140" i="3"/>
  <c r="O140" i="3" s="1"/>
  <c r="N250" i="1"/>
  <c r="O11" i="2"/>
  <c r="L9" i="2"/>
  <c r="P250" i="2"/>
  <c r="P43" i="2"/>
  <c r="M41" i="2"/>
  <c r="O222" i="2"/>
  <c r="L9" i="4"/>
  <c r="O11" i="4"/>
  <c r="L32" i="1"/>
  <c r="O457" i="1"/>
  <c r="O292" i="2"/>
  <c r="L292" i="1"/>
  <c r="P142" i="3"/>
  <c r="N142" i="1"/>
  <c r="O120" i="2"/>
  <c r="L118" i="2"/>
  <c r="L120" i="1"/>
  <c r="O68" i="7"/>
  <c r="L66" i="7"/>
  <c r="O66" i="7" s="1"/>
  <c r="O331" i="3"/>
  <c r="L329" i="3"/>
  <c r="O329" i="3" s="1"/>
  <c r="N37" i="2"/>
  <c r="M250" i="1" l="1"/>
  <c r="M271" i="1"/>
  <c r="P12" i="10"/>
  <c r="L28" i="3"/>
  <c r="L12" i="6"/>
  <c r="O12" i="6" s="1"/>
  <c r="N8" i="1"/>
  <c r="P22" i="1"/>
  <c r="N37" i="4"/>
  <c r="P37" i="4" s="1"/>
  <c r="O252" i="12"/>
  <c r="N20" i="1"/>
  <c r="N18" i="1" s="1"/>
  <c r="N37" i="18"/>
  <c r="O273" i="1"/>
  <c r="N290" i="1"/>
  <c r="L118" i="3"/>
  <c r="O118" i="3" s="1"/>
  <c r="O252" i="15"/>
  <c r="L250" i="15"/>
  <c r="O250" i="15" s="1"/>
  <c r="O55" i="3"/>
  <c r="L53" i="3"/>
  <c r="O53" i="3" s="1"/>
  <c r="P10" i="9"/>
  <c r="L12" i="10"/>
  <c r="P12" i="9"/>
  <c r="O22" i="18"/>
  <c r="P20" i="9"/>
  <c r="O22" i="15"/>
  <c r="L331" i="1"/>
  <c r="N8" i="15"/>
  <c r="L142" i="1"/>
  <c r="O142" i="1" s="1"/>
  <c r="P273" i="1"/>
  <c r="L329" i="10"/>
  <c r="O329" i="10" s="1"/>
  <c r="N66" i="1"/>
  <c r="M118" i="1"/>
  <c r="P118" i="1" s="1"/>
  <c r="M310" i="1"/>
  <c r="P310" i="1" s="1"/>
  <c r="L271" i="14"/>
  <c r="O271" i="14" s="1"/>
  <c r="N8" i="7"/>
  <c r="M37" i="18"/>
  <c r="P37" i="18" s="1"/>
  <c r="P96" i="1"/>
  <c r="L271" i="11"/>
  <c r="O271" i="11" s="1"/>
  <c r="O273" i="11"/>
  <c r="O292" i="1"/>
  <c r="O222" i="1"/>
  <c r="L96" i="1"/>
  <c r="O96" i="1" s="1"/>
  <c r="M290" i="1"/>
  <c r="P290" i="1" s="1"/>
  <c r="M37" i="9"/>
  <c r="M37" i="7"/>
  <c r="P37" i="7" s="1"/>
  <c r="N37" i="12"/>
  <c r="L118" i="14"/>
  <c r="O118" i="14" s="1"/>
  <c r="O120" i="14"/>
  <c r="L220" i="6"/>
  <c r="O220" i="6" s="1"/>
  <c r="O222" i="6"/>
  <c r="O120" i="1"/>
  <c r="O331" i="1"/>
  <c r="P292" i="1"/>
  <c r="L20" i="3"/>
  <c r="O20" i="3" s="1"/>
  <c r="M94" i="1"/>
  <c r="M37" i="5"/>
  <c r="P37" i="5" s="1"/>
  <c r="M37" i="15"/>
  <c r="P331" i="1"/>
  <c r="O66" i="6"/>
  <c r="P66" i="6"/>
  <c r="O43" i="7"/>
  <c r="L41" i="7"/>
  <c r="O41" i="7" s="1"/>
  <c r="O312" i="12"/>
  <c r="L310" i="12"/>
  <c r="O310" i="12" s="1"/>
  <c r="P120" i="1"/>
  <c r="L66" i="16"/>
  <c r="O66" i="16" s="1"/>
  <c r="O68" i="16"/>
  <c r="O20" i="7"/>
  <c r="L18" i="7"/>
  <c r="O18" i="7" s="1"/>
  <c r="L28" i="9"/>
  <c r="O28" i="9" s="1"/>
  <c r="O29" i="9"/>
  <c r="L28" i="13"/>
  <c r="O28" i="13" s="1"/>
  <c r="O29" i="13"/>
  <c r="P9" i="8"/>
  <c r="O29" i="2"/>
  <c r="L28" i="2"/>
  <c r="O28" i="2" s="1"/>
  <c r="M10" i="11"/>
  <c r="P12" i="11"/>
  <c r="O9" i="2"/>
  <c r="L28" i="18"/>
  <c r="O28" i="18" s="1"/>
  <c r="O29" i="18"/>
  <c r="O20" i="12"/>
  <c r="L18" i="12"/>
  <c r="O18" i="12" s="1"/>
  <c r="L28" i="4"/>
  <c r="O28" i="4" s="1"/>
  <c r="O18" i="6"/>
  <c r="L118" i="1"/>
  <c r="O118" i="1" s="1"/>
  <c r="O118" i="2"/>
  <c r="M37" i="2"/>
  <c r="P37" i="2" s="1"/>
  <c r="P41" i="2"/>
  <c r="P20" i="4"/>
  <c r="M18" i="4"/>
  <c r="P18" i="4" s="1"/>
  <c r="P10" i="10"/>
  <c r="M8" i="10"/>
  <c r="P8" i="10" s="1"/>
  <c r="P53" i="8"/>
  <c r="M37" i="8"/>
  <c r="L37" i="10"/>
  <c r="O37" i="10" s="1"/>
  <c r="O9" i="10"/>
  <c r="O140" i="2"/>
  <c r="L140" i="1"/>
  <c r="O22" i="5"/>
  <c r="L12" i="5"/>
  <c r="L20" i="5"/>
  <c r="O9" i="8"/>
  <c r="P9" i="12"/>
  <c r="M220" i="1"/>
  <c r="O222" i="5"/>
  <c r="L220" i="5"/>
  <c r="L37" i="5" s="1"/>
  <c r="O37" i="5" s="1"/>
  <c r="O11" i="12"/>
  <c r="L9" i="12"/>
  <c r="O9" i="17"/>
  <c r="O310" i="2"/>
  <c r="L310" i="1"/>
  <c r="O310" i="1" s="1"/>
  <c r="P20" i="5"/>
  <c r="M18" i="5"/>
  <c r="P18" i="5" s="1"/>
  <c r="L28" i="11"/>
  <c r="O28" i="11" s="1"/>
  <c r="O29" i="11"/>
  <c r="P20" i="12"/>
  <c r="M18" i="12"/>
  <c r="P18" i="12" s="1"/>
  <c r="O220" i="14"/>
  <c r="O20" i="18"/>
  <c r="L18" i="18"/>
  <c r="O18" i="18" s="1"/>
  <c r="O34" i="1"/>
  <c r="L14" i="1"/>
  <c r="O14" i="1" s="1"/>
  <c r="P12" i="1"/>
  <c r="M10" i="1"/>
  <c r="P10" i="1" s="1"/>
  <c r="O271" i="3"/>
  <c r="O94" i="2"/>
  <c r="O68" i="3"/>
  <c r="L66" i="3"/>
  <c r="L68" i="1"/>
  <c r="O68" i="1" s="1"/>
  <c r="M140" i="1"/>
  <c r="P220" i="12"/>
  <c r="M37" i="12"/>
  <c r="P37" i="12" s="1"/>
  <c r="P9" i="15"/>
  <c r="M37" i="17"/>
  <c r="P12" i="18"/>
  <c r="M10" i="18"/>
  <c r="P12" i="13"/>
  <c r="M10" i="13"/>
  <c r="L20" i="2"/>
  <c r="O22" i="2"/>
  <c r="L12" i="2"/>
  <c r="P20" i="6"/>
  <c r="M18" i="6"/>
  <c r="P18" i="6" s="1"/>
  <c r="O22" i="8"/>
  <c r="L12" i="8"/>
  <c r="L20" i="8"/>
  <c r="M37" i="10"/>
  <c r="P37" i="10" s="1"/>
  <c r="P41" i="10"/>
  <c r="L20" i="13"/>
  <c r="O22" i="13"/>
  <c r="L12" i="13"/>
  <c r="O12" i="11"/>
  <c r="L10" i="11"/>
  <c r="O10" i="11" s="1"/>
  <c r="L10" i="12"/>
  <c r="O10" i="12" s="1"/>
  <c r="O12" i="12"/>
  <c r="M10" i="4"/>
  <c r="P12" i="4"/>
  <c r="O9" i="6"/>
  <c r="N37" i="14"/>
  <c r="P37" i="14" s="1"/>
  <c r="P220" i="14"/>
  <c r="P12" i="3"/>
  <c r="M10" i="3"/>
  <c r="P10" i="3" s="1"/>
  <c r="O32" i="1"/>
  <c r="L30" i="1"/>
  <c r="O30" i="1" s="1"/>
  <c r="O20" i="10"/>
  <c r="O28" i="3"/>
  <c r="M66" i="1"/>
  <c r="L28" i="7"/>
  <c r="O28" i="7" s="1"/>
  <c r="O29" i="7"/>
  <c r="O29" i="10"/>
  <c r="L28" i="10"/>
  <c r="O28" i="10" s="1"/>
  <c r="L37" i="11"/>
  <c r="O37" i="11" s="1"/>
  <c r="P20" i="14"/>
  <c r="M18" i="14"/>
  <c r="P18" i="14" s="1"/>
  <c r="O273" i="17"/>
  <c r="L271" i="17"/>
  <c r="O271" i="17" s="1"/>
  <c r="O41" i="18"/>
  <c r="N37" i="8"/>
  <c r="O94" i="8"/>
  <c r="P18" i="7"/>
  <c r="L28" i="12"/>
  <c r="O28" i="12" s="1"/>
  <c r="O29" i="12"/>
  <c r="M37" i="13"/>
  <c r="P37" i="13" s="1"/>
  <c r="P12" i="5"/>
  <c r="M10" i="5"/>
  <c r="P10" i="5" s="1"/>
  <c r="O55" i="12"/>
  <c r="L53" i="12"/>
  <c r="O55" i="18"/>
  <c r="L53" i="18"/>
  <c r="O53" i="18" s="1"/>
  <c r="P12" i="12"/>
  <c r="M10" i="12"/>
  <c r="P10" i="12" s="1"/>
  <c r="O20" i="17"/>
  <c r="L18" i="17"/>
  <c r="O18" i="17" s="1"/>
  <c r="P9" i="17"/>
  <c r="O9" i="14"/>
  <c r="O20" i="4"/>
  <c r="L18" i="4"/>
  <c r="O18" i="4" s="1"/>
  <c r="O30" i="16"/>
  <c r="L28" i="16"/>
  <c r="O28" i="16" s="1"/>
  <c r="P20" i="18"/>
  <c r="M18" i="18"/>
  <c r="P18" i="18" s="1"/>
  <c r="L55" i="1"/>
  <c r="O57" i="1"/>
  <c r="M329" i="1"/>
  <c r="P329" i="1" s="1"/>
  <c r="M10" i="6"/>
  <c r="P12" i="6"/>
  <c r="L329" i="1"/>
  <c r="O329" i="1" s="1"/>
  <c r="P41" i="16"/>
  <c r="M37" i="16"/>
  <c r="P37" i="16" s="1"/>
  <c r="O55" i="16"/>
  <c r="L53" i="16"/>
  <c r="M10" i="14"/>
  <c r="P12" i="14"/>
  <c r="O22" i="14"/>
  <c r="L12" i="14"/>
  <c r="L20" i="14"/>
  <c r="O12" i="18"/>
  <c r="L10" i="18"/>
  <c r="O10" i="18" s="1"/>
  <c r="P20" i="1"/>
  <c r="M18" i="1"/>
  <c r="P18" i="1" s="1"/>
  <c r="P250" i="1"/>
  <c r="O41" i="5"/>
  <c r="O29" i="5"/>
  <c r="L28" i="5"/>
  <c r="O28" i="5" s="1"/>
  <c r="O12" i="7"/>
  <c r="L10" i="7"/>
  <c r="O10" i="7" s="1"/>
  <c r="O12" i="10"/>
  <c r="L10" i="10"/>
  <c r="O10" i="10" s="1"/>
  <c r="O11" i="9"/>
  <c r="L9" i="9"/>
  <c r="O9" i="7"/>
  <c r="O12" i="9"/>
  <c r="L10" i="9"/>
  <c r="O10" i="9" s="1"/>
  <c r="P37" i="9"/>
  <c r="O55" i="13"/>
  <c r="L53" i="13"/>
  <c r="O53" i="13" s="1"/>
  <c r="O12" i="3"/>
  <c r="L10" i="3"/>
  <c r="O10" i="3" s="1"/>
  <c r="P9" i="5"/>
  <c r="M8" i="5"/>
  <c r="P8" i="5" s="1"/>
  <c r="N8" i="18"/>
  <c r="O22" i="16"/>
  <c r="L12" i="16"/>
  <c r="L20" i="16"/>
  <c r="L13" i="1"/>
  <c r="O13" i="1" s="1"/>
  <c r="O33" i="1"/>
  <c r="P53" i="3"/>
  <c r="M37" i="3"/>
  <c r="P37" i="3" s="1"/>
  <c r="P9" i="3"/>
  <c r="O30" i="6"/>
  <c r="L28" i="6"/>
  <c r="O28" i="6" s="1"/>
  <c r="O96" i="14"/>
  <c r="L94" i="14"/>
  <c r="O94" i="14" s="1"/>
  <c r="P37" i="15"/>
  <c r="O12" i="17"/>
  <c r="L10" i="17"/>
  <c r="O10" i="17" s="1"/>
  <c r="O12" i="4"/>
  <c r="L10" i="4"/>
  <c r="O10" i="4" s="1"/>
  <c r="P20" i="11"/>
  <c r="M18" i="11"/>
  <c r="P18" i="11" s="1"/>
  <c r="L28" i="17"/>
  <c r="O28" i="17" s="1"/>
  <c r="O9" i="3"/>
  <c r="P20" i="7"/>
  <c r="P12" i="8"/>
  <c r="M10" i="8"/>
  <c r="P10" i="8" s="1"/>
  <c r="O55" i="8"/>
  <c r="L53" i="8"/>
  <c r="O53" i="8" s="1"/>
  <c r="L18" i="11"/>
  <c r="O18" i="11" s="1"/>
  <c r="O55" i="14"/>
  <c r="L53" i="14"/>
  <c r="O66" i="15"/>
  <c r="O43" i="13"/>
  <c r="L41" i="13"/>
  <c r="N94" i="1"/>
  <c r="O9" i="4"/>
  <c r="L8" i="4"/>
  <c r="O8" i="4" s="1"/>
  <c r="O9" i="16"/>
  <c r="M18" i="16"/>
  <c r="P18" i="16" s="1"/>
  <c r="P20" i="16"/>
  <c r="N37" i="17"/>
  <c r="O140" i="17"/>
  <c r="P12" i="15"/>
  <c r="M10" i="15"/>
  <c r="P10" i="15" s="1"/>
  <c r="P12" i="17"/>
  <c r="M10" i="17"/>
  <c r="P10" i="17" s="1"/>
  <c r="O55" i="2"/>
  <c r="L53" i="2"/>
  <c r="P12" i="7"/>
  <c r="M10" i="7"/>
  <c r="P10" i="7" s="1"/>
  <c r="N140" i="1"/>
  <c r="P271" i="1"/>
  <c r="O11" i="5"/>
  <c r="L9" i="5"/>
  <c r="L37" i="9"/>
  <c r="O37" i="9" s="1"/>
  <c r="P9" i="16"/>
  <c r="P18" i="3"/>
  <c r="O96" i="6"/>
  <c r="L94" i="6"/>
  <c r="O94" i="6" s="1"/>
  <c r="O20" i="6"/>
  <c r="P20" i="10"/>
  <c r="O20" i="9"/>
  <c r="L18" i="9"/>
  <c r="O18" i="9" s="1"/>
  <c r="O11" i="15"/>
  <c r="L9" i="15"/>
  <c r="P142" i="1"/>
  <c r="O9" i="11"/>
  <c r="O11" i="13"/>
  <c r="L9" i="13"/>
  <c r="O222" i="15"/>
  <c r="L220" i="15"/>
  <c r="O220" i="15" s="1"/>
  <c r="O11" i="18"/>
  <c r="L9" i="18"/>
  <c r="M37" i="11"/>
  <c r="P37" i="11" s="1"/>
  <c r="P41" i="11"/>
  <c r="P12" i="16"/>
  <c r="M10" i="16"/>
  <c r="P10" i="16" s="1"/>
  <c r="O41" i="4"/>
  <c r="L37" i="4"/>
  <c r="O37" i="4" s="1"/>
  <c r="P20" i="3"/>
  <c r="P222" i="1"/>
  <c r="M8" i="9"/>
  <c r="P8" i="9" s="1"/>
  <c r="P9" i="9"/>
  <c r="P20" i="15"/>
  <c r="M18" i="15"/>
  <c r="P18" i="15" s="1"/>
  <c r="P20" i="8"/>
  <c r="M18" i="8"/>
  <c r="P18" i="8" s="1"/>
  <c r="O96" i="16"/>
  <c r="L94" i="16"/>
  <c r="O94" i="16" s="1"/>
  <c r="L290" i="1"/>
  <c r="O290" i="1" s="1"/>
  <c r="O12" i="15"/>
  <c r="L10" i="15"/>
  <c r="O10" i="15" s="1"/>
  <c r="P9" i="1"/>
  <c r="M8" i="1"/>
  <c r="P8" i="1" s="1"/>
  <c r="P10" i="2"/>
  <c r="M8" i="2"/>
  <c r="P8" i="2" s="1"/>
  <c r="M37" i="6"/>
  <c r="P37" i="6" s="1"/>
  <c r="P41" i="6"/>
  <c r="O250" i="3"/>
  <c r="L250" i="1"/>
  <c r="O250" i="1" s="1"/>
  <c r="L10" i="6"/>
  <c r="O10" i="6" s="1"/>
  <c r="P9" i="7"/>
  <c r="L28" i="15"/>
  <c r="O28" i="15" s="1"/>
  <c r="O29" i="15"/>
  <c r="O41" i="17"/>
  <c r="L37" i="17"/>
  <c r="O37" i="17" s="1"/>
  <c r="O30" i="14"/>
  <c r="L28" i="14"/>
  <c r="O28" i="14" s="1"/>
  <c r="P20" i="17"/>
  <c r="M18" i="17"/>
  <c r="P18" i="17" s="1"/>
  <c r="M18" i="13"/>
  <c r="P18" i="13" s="1"/>
  <c r="P20" i="13"/>
  <c r="L11" i="1"/>
  <c r="O31" i="1"/>
  <c r="L29" i="1"/>
  <c r="P252" i="1"/>
  <c r="N220" i="1"/>
  <c r="O41" i="8"/>
  <c r="L37" i="8"/>
  <c r="O45" i="1"/>
  <c r="L43" i="1"/>
  <c r="L22" i="1"/>
  <c r="O20" i="15"/>
  <c r="L18" i="15"/>
  <c r="O18" i="15" s="1"/>
  <c r="M8" i="3" l="1"/>
  <c r="P8" i="3" s="1"/>
  <c r="L37" i="7"/>
  <c r="O37" i="7" s="1"/>
  <c r="L18" i="3"/>
  <c r="O18" i="3" s="1"/>
  <c r="L8" i="11"/>
  <c r="O8" i="11" s="1"/>
  <c r="M8" i="16"/>
  <c r="P8" i="16" s="1"/>
  <c r="N37" i="1"/>
  <c r="M8" i="7"/>
  <c r="P8" i="7" s="1"/>
  <c r="O20" i="16"/>
  <c r="L18" i="16"/>
  <c r="O18" i="16" s="1"/>
  <c r="O29" i="1"/>
  <c r="L28" i="1"/>
  <c r="O28" i="1" s="1"/>
  <c r="L10" i="8"/>
  <c r="O12" i="8"/>
  <c r="L66" i="1"/>
  <c r="O66" i="1" s="1"/>
  <c r="O66" i="3"/>
  <c r="L37" i="3"/>
  <c r="O37" i="3" s="1"/>
  <c r="P10" i="11"/>
  <c r="M8" i="11"/>
  <c r="P8" i="11" s="1"/>
  <c r="O37" i="8"/>
  <c r="O9" i="13"/>
  <c r="O53" i="14"/>
  <c r="L37" i="14"/>
  <c r="O37" i="14" s="1"/>
  <c r="O12" i="14"/>
  <c r="L10" i="14"/>
  <c r="M8" i="17"/>
  <c r="P8" i="17" s="1"/>
  <c r="P66" i="1"/>
  <c r="M37" i="1"/>
  <c r="P10" i="4"/>
  <c r="M8" i="4"/>
  <c r="P8" i="4" s="1"/>
  <c r="P10" i="13"/>
  <c r="M8" i="13"/>
  <c r="P8" i="13" s="1"/>
  <c r="M8" i="15"/>
  <c r="P8" i="15" s="1"/>
  <c r="O220" i="5"/>
  <c r="L220" i="1"/>
  <c r="O220" i="1" s="1"/>
  <c r="L8" i="10"/>
  <c r="O8" i="10" s="1"/>
  <c r="O43" i="1"/>
  <c r="L41" i="1"/>
  <c r="L8" i="15"/>
  <c r="O8" i="15" s="1"/>
  <c r="O9" i="15"/>
  <c r="O53" i="2"/>
  <c r="L37" i="2"/>
  <c r="O37" i="2" s="1"/>
  <c r="O20" i="14"/>
  <c r="L18" i="14"/>
  <c r="O18" i="14" s="1"/>
  <c r="O12" i="13"/>
  <c r="L10" i="13"/>
  <c r="O10" i="13" s="1"/>
  <c r="O11" i="1"/>
  <c r="L9" i="1"/>
  <c r="L8" i="7"/>
  <c r="O8" i="7" s="1"/>
  <c r="O53" i="12"/>
  <c r="L37" i="12"/>
  <c r="O37" i="12" s="1"/>
  <c r="O20" i="13"/>
  <c r="L18" i="13"/>
  <c r="O18" i="13" s="1"/>
  <c r="L94" i="1"/>
  <c r="O94" i="1" s="1"/>
  <c r="L18" i="5"/>
  <c r="O18" i="5" s="1"/>
  <c r="O20" i="5"/>
  <c r="O9" i="5"/>
  <c r="L10" i="16"/>
  <c r="O12" i="16"/>
  <c r="P10" i="6"/>
  <c r="M8" i="6"/>
  <c r="P8" i="6" s="1"/>
  <c r="O20" i="2"/>
  <c r="L18" i="2"/>
  <c r="O18" i="2" s="1"/>
  <c r="O9" i="18"/>
  <c r="L8" i="18"/>
  <c r="O8" i="18" s="1"/>
  <c r="L37" i="13"/>
  <c r="O37" i="13" s="1"/>
  <c r="O41" i="13"/>
  <c r="L8" i="3"/>
  <c r="O8" i="3" s="1"/>
  <c r="L37" i="6"/>
  <c r="O37" i="6" s="1"/>
  <c r="L8" i="9"/>
  <c r="O8" i="9" s="1"/>
  <c r="O9" i="9"/>
  <c r="O55" i="1"/>
  <c r="L53" i="1"/>
  <c r="O53" i="1" s="1"/>
  <c r="L37" i="18"/>
  <c r="O37" i="18" s="1"/>
  <c r="P10" i="18"/>
  <c r="M8" i="18"/>
  <c r="P8" i="18" s="1"/>
  <c r="L8" i="17"/>
  <c r="O8" i="17" s="1"/>
  <c r="P220" i="1"/>
  <c r="O12" i="5"/>
  <c r="L10" i="5"/>
  <c r="O10" i="5" s="1"/>
  <c r="L37" i="15"/>
  <c r="O37" i="15" s="1"/>
  <c r="O53" i="16"/>
  <c r="L37" i="16"/>
  <c r="O37" i="16" s="1"/>
  <c r="O22" i="1"/>
  <c r="L12" i="1"/>
  <c r="L20" i="1"/>
  <c r="P10" i="14"/>
  <c r="M8" i="14"/>
  <c r="P8" i="14" s="1"/>
  <c r="P94" i="1"/>
  <c r="L8" i="6"/>
  <c r="O8" i="6" s="1"/>
  <c r="L10" i="2"/>
  <c r="O12" i="2"/>
  <c r="P140" i="1"/>
  <c r="L271" i="1"/>
  <c r="O271" i="1" s="1"/>
  <c r="P37" i="8"/>
  <c r="M8" i="8"/>
  <c r="P8" i="8" s="1"/>
  <c r="O20" i="8"/>
  <c r="L18" i="8"/>
  <c r="O18" i="8" s="1"/>
  <c r="P37" i="17"/>
  <c r="L8" i="12"/>
  <c r="O8" i="12" s="1"/>
  <c r="O9" i="12"/>
  <c r="M8" i="12"/>
  <c r="P8" i="12" s="1"/>
  <c r="O140" i="1"/>
  <c r="P37" i="1" l="1"/>
  <c r="L8" i="5"/>
  <c r="O8" i="5" s="1"/>
  <c r="O20" i="1"/>
  <c r="L18" i="1"/>
  <c r="O18" i="1" s="1"/>
  <c r="O10" i="2"/>
  <c r="L8" i="2"/>
  <c r="O8" i="2" s="1"/>
  <c r="O10" i="14"/>
  <c r="L8" i="14"/>
  <c r="O8" i="14" s="1"/>
  <c r="O9" i="1"/>
  <c r="O10" i="8"/>
  <c r="L8" i="8"/>
  <c r="O8" i="8" s="1"/>
  <c r="O12" i="1"/>
  <c r="L10" i="1"/>
  <c r="O10" i="1" s="1"/>
  <c r="L37" i="1"/>
  <c r="O37" i="1" s="1"/>
  <c r="O41" i="1"/>
  <c r="L8" i="13"/>
  <c r="O8" i="13" s="1"/>
  <c r="O10" i="16"/>
  <c r="L8" i="16"/>
  <c r="O8" i="16" s="1"/>
  <c r="L8" i="1" l="1"/>
  <c r="O8" i="1" s="1"/>
</calcChain>
</file>

<file path=xl/sharedStrings.xml><?xml version="1.0" encoding="utf-8"?>
<sst xmlns="http://schemas.openxmlformats.org/spreadsheetml/2006/main" count="22500" uniqueCount="273">
  <si>
    <t>รายละเอียดแผนงาน/โครงการ ผลผลิต/กิจกรรม ปีงบประมาณ พ.ศ. 2565</t>
  </si>
  <si>
    <t>ภาคเหนือ</t>
  </si>
  <si>
    <t>ข้อมูล ณ วันที่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</si>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</sst>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b/>
      <sz val="15"/>
      <color theme="0"/>
      <name val="Calibri"/>
    </font>
    <font>
      <sz val="11"/>
      <name val="Arial"/>
    </font>
    <font>
      <b/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00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rgb="FFFF0000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sz val="15"/>
      <color theme="0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4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6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70" zoomScaleNormal="70" workbookViewId="0">
      <pane ySplit="6" topLeftCell="A133" activePane="bottomLeft" state="frozen"/>
      <selection pane="bottomLeft" activeCell="N22" sqref="N22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9" width="14.5" customWidth="1"/>
    <col min="10" max="10" width="13.875" customWidth="1"/>
    <col min="11" max="11" width="8.875" customWidth="1"/>
    <col min="12" max="12" width="18.875" bestFit="1" customWidth="1"/>
    <col min="13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119505224</v>
      </c>
      <c r="M8" s="25">
        <f t="shared" ca="1" si="0"/>
        <v>31754391</v>
      </c>
      <c r="N8" s="25">
        <f t="shared" ca="1" si="0"/>
        <v>38617183.710000001</v>
      </c>
      <c r="O8" s="24">
        <f t="shared" ref="O8:O16" ca="1" si="1">IF(L8&gt;0,N8*100/L8,0)</f>
        <v>32.314222271990388</v>
      </c>
      <c r="P8" s="24">
        <f t="shared" ref="P8:P16" ca="1" si="2">IF(M8&gt;0,N8*100/M8,0)</f>
        <v>121.61210621233454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119505224</v>
      </c>
      <c r="M10" s="32">
        <f t="shared" ca="1" si="4"/>
        <v>31754391</v>
      </c>
      <c r="N10" s="32">
        <f t="shared" ca="1" si="4"/>
        <v>38617183.710000001</v>
      </c>
      <c r="O10" s="31">
        <f t="shared" ca="1" si="1"/>
        <v>32.314222271990388</v>
      </c>
      <c r="P10" s="31">
        <f t="shared" ca="1" si="2"/>
        <v>121.61210621233454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97968624</v>
      </c>
      <c r="M12" s="40">
        <f t="shared" ca="1" si="6"/>
        <v>31754391</v>
      </c>
      <c r="N12" s="40">
        <f t="shared" ca="1" si="6"/>
        <v>24224863.710000001</v>
      </c>
      <c r="O12" s="40">
        <f t="shared" ca="1" si="1"/>
        <v>24.727165413694081</v>
      </c>
      <c r="P12" s="40">
        <f t="shared" ca="1" si="2"/>
        <v>76.288232736064757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35134700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62833924</v>
      </c>
      <c r="M14" s="40">
        <f t="shared" si="8"/>
        <v>0</v>
      </c>
      <c r="N14" s="40">
        <f t="shared" ca="1" si="8"/>
        <v>5720688.71</v>
      </c>
      <c r="O14" s="43">
        <f t="shared" ca="1" si="1"/>
        <v>9.1044587793052685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21536600</v>
      </c>
      <c r="M16" s="40">
        <f t="shared" si="10"/>
        <v>0</v>
      </c>
      <c r="N16" s="40">
        <f t="shared" ca="1" si="10"/>
        <v>14392320</v>
      </c>
      <c r="O16" s="52">
        <f t="shared" ca="1" si="1"/>
        <v>66.827261499029561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79796440</v>
      </c>
      <c r="M18" s="25">
        <f t="shared" ca="1" si="11"/>
        <v>31754391</v>
      </c>
      <c r="N18" s="25">
        <f t="shared" ca="1" si="11"/>
        <v>32896495</v>
      </c>
      <c r="O18" s="24">
        <f t="shared" ref="O18:O26" ca="1" si="12">IF(L18&gt;0,N18*100/L18,0)</f>
        <v>41.225517078205492</v>
      </c>
      <c r="P18" s="24">
        <f t="shared" ref="P18:P26" ca="1" si="13">IF(M18&gt;0,N18*100/M18,0)</f>
        <v>103.59668053466999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79796440</v>
      </c>
      <c r="M20" s="32">
        <f t="shared" ca="1" si="15"/>
        <v>31754391</v>
      </c>
      <c r="N20" s="32">
        <f t="shared" ca="1" si="15"/>
        <v>32896495</v>
      </c>
      <c r="O20" s="31">
        <f t="shared" ca="1" si="12"/>
        <v>41.225517078205492</v>
      </c>
      <c r="P20" s="31">
        <f t="shared" ca="1" si="13"/>
        <v>103.59668053466999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7">L45+L57+L70+L98+L122+L144+L224+L254+L275+L294+L314+L333</f>
        <v>58259840</v>
      </c>
      <c r="M22" s="44">
        <f t="shared" ca="1" si="17"/>
        <v>31754391</v>
      </c>
      <c r="N22" s="43">
        <f t="shared" ca="1" si="17"/>
        <v>18504175</v>
      </c>
      <c r="O22" s="43">
        <f t="shared" ca="1" si="12"/>
        <v>31.761458665179994</v>
      </c>
      <c r="P22" s="43">
        <f t="shared" ca="1" si="13"/>
        <v>58.272807058400204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8">L46+L58+L71+L99+L123+L145+L225+L255+L276+L295+L315+L334</f>
        <v>35134700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19">L47+L59+L72+L100+L124+L146+L226+L256+L277+L296+L316+L335</f>
        <v>23125140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1">L49+L61+L74+L102+L126+L148+L228+L258+L279+L298+L318+L337</f>
        <v>21536600</v>
      </c>
      <c r="M26" s="52">
        <f t="shared" si="21"/>
        <v>0</v>
      </c>
      <c r="N26" s="52">
        <f t="shared" ca="1" si="21"/>
        <v>14392320</v>
      </c>
      <c r="O26" s="52">
        <f t="shared" ca="1" si="12"/>
        <v>66.827261499029561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2">L29+L30</f>
        <v>39708784</v>
      </c>
      <c r="M28" s="25">
        <f t="shared" si="22"/>
        <v>0</v>
      </c>
      <c r="N28" s="25">
        <f t="shared" ca="1" si="22"/>
        <v>5720688.71</v>
      </c>
      <c r="O28" s="24">
        <f t="shared" ref="O28:O30" ca="1" si="23">IF(L28&gt;0,N28*100/L28,0)</f>
        <v>14.406607641271513</v>
      </c>
      <c r="P28" s="24">
        <f t="shared" ref="P28:P37" si="24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6">L32+L36</f>
        <v>39708784</v>
      </c>
      <c r="M30" s="32">
        <f t="shared" si="26"/>
        <v>0</v>
      </c>
      <c r="N30" s="32">
        <f t="shared" ca="1" si="26"/>
        <v>5720688.71</v>
      </c>
      <c r="O30" s="31">
        <f t="shared" ca="1" si="23"/>
        <v>14.406607641271513</v>
      </c>
      <c r="P30" s="31">
        <f t="shared" si="24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29">L352+L383+L404+L437+L457+L535+L553+L566+L582+L599</f>
        <v>39708784</v>
      </c>
      <c r="M32" s="43">
        <f t="shared" si="29"/>
        <v>0</v>
      </c>
      <c r="N32" s="43">
        <f t="shared" ca="1" si="29"/>
        <v>5720688.71</v>
      </c>
      <c r="O32" s="43">
        <f t="shared" ca="1" si="28"/>
        <v>14.406607641271513</v>
      </c>
      <c r="P32" s="43">
        <f t="shared" si="24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1">L354+L385+L406+L439+L459+L537+L555+L568+L584+L601</f>
        <v>39708784</v>
      </c>
      <c r="M34" s="43">
        <f t="shared" si="31"/>
        <v>0</v>
      </c>
      <c r="N34" s="43">
        <f t="shared" ca="1" si="31"/>
        <v>5720688.71</v>
      </c>
      <c r="O34" s="43">
        <f t="shared" ca="1" si="28"/>
        <v>14.406607641271513</v>
      </c>
      <c r="P34" s="43">
        <f t="shared" si="24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2">L41+L53+L66+L94+L118+L140+L220+L250+L271+L290+L310+L329</f>
        <v>79796440</v>
      </c>
      <c r="M37" s="57">
        <f t="shared" ca="1" si="32"/>
        <v>31754391</v>
      </c>
      <c r="N37" s="57">
        <f t="shared" ca="1" si="32"/>
        <v>32896495</v>
      </c>
      <c r="O37" s="58">
        <f t="shared" ca="1" si="28"/>
        <v>41.225517078205492</v>
      </c>
      <c r="P37" s="58">
        <f t="shared" ca="1" si="24"/>
        <v>103.59668053466999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3">L42+L43</f>
        <v>28183200</v>
      </c>
      <c r="M41" s="81">
        <f t="shared" ca="1" si="33"/>
        <v>6475640</v>
      </c>
      <c r="N41" s="81">
        <f t="shared" ca="1" si="33"/>
        <v>13089324</v>
      </c>
      <c r="O41" s="80">
        <f t="shared" ref="O41:O43" ca="1" si="34">IF(L41&gt;0,N41*100/L41,0)</f>
        <v>46.443711147066338</v>
      </c>
      <c r="P41" s="80">
        <f t="shared" ref="P41:P43" ca="1" si="35">IF(M41&gt;0,N41*100/M41,0)</f>
        <v>202.13174296285771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6">L44+L48</f>
        <v>0</v>
      </c>
      <c r="M42" s="81">
        <f t="shared" si="36"/>
        <v>0</v>
      </c>
      <c r="N42" s="81">
        <f t="shared" si="36"/>
        <v>0</v>
      </c>
      <c r="O42" s="80">
        <f t="shared" si="34"/>
        <v>0</v>
      </c>
      <c r="P42" s="80">
        <f t="shared" si="35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7">L45+L49</f>
        <v>28183200</v>
      </c>
      <c r="M43" s="81">
        <f t="shared" ca="1" si="37"/>
        <v>6475640</v>
      </c>
      <c r="N43" s="81">
        <f t="shared" ca="1" si="37"/>
        <v>13089324</v>
      </c>
      <c r="O43" s="80">
        <f t="shared" ca="1" si="34"/>
        <v>46.443711147066338</v>
      </c>
      <c r="P43" s="80">
        <f t="shared" ca="1" si="35"/>
        <v>202.13174296285771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12766200</v>
      </c>
      <c r="M45" s="93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6475640</v>
      </c>
      <c r="N45" s="93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4573824</v>
      </c>
      <c r="O45" s="94">
        <f ca="1">IF(L45&gt;0,N45*100/L45,0)</f>
        <v>35.827607275461766</v>
      </c>
      <c r="P45" s="94">
        <f ca="1">IF(M45&gt;0,N45*100/M45,0)</f>
        <v>70.631227183722388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12766200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15417000</v>
      </c>
      <c r="M49" s="103"/>
      <c r="N49" s="93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8515500</v>
      </c>
      <c r="O49" s="103">
        <f ca="1">IF(L49&gt;0,N49*100/L49,0)</f>
        <v>55.234481416618017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8">L54+L55</f>
        <v>8935700</v>
      </c>
      <c r="M53" s="127">
        <f t="shared" ca="1" si="38"/>
        <v>4699901</v>
      </c>
      <c r="N53" s="127">
        <f t="shared" ca="1" si="38"/>
        <v>3248736</v>
      </c>
      <c r="O53" s="126">
        <f t="shared" ref="O53:O55" ca="1" si="39">IF(L53&gt;0,N53*100/L53,0)</f>
        <v>36.356815918170931</v>
      </c>
      <c r="P53" s="126">
        <f t="shared" ref="P53:P55" ca="1" si="40">IF(M53&gt;0,N53*100/M53,0)</f>
        <v>69.123498558799426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1">L56+L60</f>
        <v>0</v>
      </c>
      <c r="M54" s="127">
        <f t="shared" si="41"/>
        <v>0</v>
      </c>
      <c r="N54" s="127">
        <f t="shared" si="41"/>
        <v>0</v>
      </c>
      <c r="O54" s="126">
        <f t="shared" si="39"/>
        <v>0</v>
      </c>
      <c r="P54" s="126">
        <f t="shared" si="40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2">L57+L61</f>
        <v>8935700</v>
      </c>
      <c r="M55" s="127">
        <f t="shared" ca="1" si="42"/>
        <v>4699901</v>
      </c>
      <c r="N55" s="127">
        <f t="shared" ca="1" si="42"/>
        <v>3248736</v>
      </c>
      <c r="O55" s="126">
        <f t="shared" ca="1" si="39"/>
        <v>36.356815918170931</v>
      </c>
      <c r="P55" s="126">
        <f t="shared" ca="1" si="40"/>
        <v>69.123498558799426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8935700</v>
      </c>
      <c r="M57" s="93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4699901</v>
      </c>
      <c r="N57" s="93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3248736</v>
      </c>
      <c r="O57" s="94">
        <f ca="1">IF(L57&gt;0,N57*100/L57,0)</f>
        <v>36.356815918170931</v>
      </c>
      <c r="P57" s="94">
        <f ca="1">IF(M57&gt;0,N57*100/M57,0)</f>
        <v>69.123498558799426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8935700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103"/>
      <c r="N61" s="93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8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10</v>
      </c>
      <c r="K64" s="149">
        <f t="shared" ref="K64:K65" ca="1" si="43">IF(I64&gt;0,J64*100/I64,0)</f>
        <v>76.92307692307692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8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513</v>
      </c>
      <c r="K65" s="149">
        <f t="shared" ca="1" si="43"/>
        <v>79.411764705882348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10940500</v>
      </c>
      <c r="M66" s="158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4057340</v>
      </c>
      <c r="N66" s="158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5489609</v>
      </c>
      <c r="O66" s="157">
        <f t="shared" ref="O66:O68" ca="1" si="44">IF(L66&gt;0,N66*100/L66,0)</f>
        <v>50.176948037109824</v>
      </c>
      <c r="P66" s="157">
        <f t="shared" ref="P66:P68" ca="1" si="45">IF(M66&gt;0,N66*100/M66,0)</f>
        <v>135.30068961437789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163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163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62">
        <f t="shared" si="44"/>
        <v>0</v>
      </c>
      <c r="P67" s="162">
        <f t="shared" si="45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10940500</v>
      </c>
      <c r="M68" s="163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4057340</v>
      </c>
      <c r="N68" s="163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5489609</v>
      </c>
      <c r="O68" s="162">
        <f t="shared" ca="1" si="44"/>
        <v>50.176948037109824</v>
      </c>
      <c r="P68" s="162">
        <f t="shared" ca="1" si="45"/>
        <v>135.30068961437789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72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72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7166900</v>
      </c>
      <c r="M70" s="176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4057340</v>
      </c>
      <c r="N70" s="177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1765009</v>
      </c>
      <c r="O70" s="178">
        <f ca="1">IF(L70&gt;0,N70*100/L70,0)</f>
        <v>24.627230741324702</v>
      </c>
      <c r="P70" s="178">
        <f ca="1">IF(M70&gt;0,N70*100/M70,0)</f>
        <v>43.501629146189373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5920200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3773600</v>
      </c>
      <c r="M74" s="103"/>
      <c r="N74" s="93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3724600</v>
      </c>
      <c r="O74" s="103">
        <f ca="1">IF(L74&gt;0,N74*100/L74,0)</f>
        <v>98.70150519397923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10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9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1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10</v>
      </c>
      <c r="K80" s="211">
        <f t="shared" ref="K80:K88" ca="1" si="46">IF(I80&gt;0,J80*100/I80,0)</f>
        <v>76.92307692307692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1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513</v>
      </c>
      <c r="K81" s="211">
        <f t="shared" ca="1" si="46"/>
        <v>79.411764705882348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1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3</v>
      </c>
      <c r="K82" s="171">
        <f t="shared" ca="1" si="46"/>
        <v>75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1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125</v>
      </c>
      <c r="K83" s="171">
        <f t="shared" ca="1" si="46"/>
        <v>80.645161290322577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9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2</v>
      </c>
      <c r="K84" s="171">
        <f t="shared" ca="1" si="46"/>
        <v>66.666666666666671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9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110</v>
      </c>
      <c r="K85" s="171">
        <f t="shared" ca="1" si="46"/>
        <v>73.333333333333329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1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5</v>
      </c>
      <c r="K86" s="171">
        <f t="shared" ca="1" si="46"/>
        <v>83.333333333333329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1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278</v>
      </c>
      <c r="K87" s="171">
        <f t="shared" ca="1" si="46"/>
        <v>81.524926686217015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155</v>
      </c>
      <c r="J88" s="21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171">
        <f t="shared" ca="1" si="46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8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23</v>
      </c>
      <c r="K92" s="149">
        <f t="shared" ref="K92:K93" ca="1" si="47">IF(I92&gt;0,J92*100/I92,0)</f>
        <v>46.938775510204081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8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0</v>
      </c>
      <c r="K93" s="149">
        <f t="shared" ca="1" si="47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2458380</v>
      </c>
      <c r="M94" s="158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723480</v>
      </c>
      <c r="N94" s="158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1295759</v>
      </c>
      <c r="O94" s="157">
        <f t="shared" ref="O94:O96" ca="1" si="48">IF(L94&gt;0,N94*100/L94,0)</f>
        <v>52.707840122356998</v>
      </c>
      <c r="P94" s="157">
        <f t="shared" ref="P94:P96" ca="1" si="49">IF(M94&gt;0,N94*100/M94,0)</f>
        <v>179.10087355559241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163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163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62">
        <f t="shared" si="48"/>
        <v>0</v>
      </c>
      <c r="P95" s="162">
        <f t="shared" si="49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2458380</v>
      </c>
      <c r="M96" s="163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723480</v>
      </c>
      <c r="N96" s="163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1295759</v>
      </c>
      <c r="O96" s="162">
        <f t="shared" ca="1" si="48"/>
        <v>52.707840122356998</v>
      </c>
      <c r="P96" s="162">
        <f t="shared" ca="1" si="49"/>
        <v>179.10087355559241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72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72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1257180</v>
      </c>
      <c r="M98" s="176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723480</v>
      </c>
      <c r="N98" s="177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187359</v>
      </c>
      <c r="O98" s="178">
        <f ca="1">IF(L98&gt;0,N98*100/L98,0)</f>
        <v>14.903116498830716</v>
      </c>
      <c r="P98" s="178">
        <f ca="1">IF(M98&gt;0,N98*100/M98,0)</f>
        <v>25.896914911262233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1257180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1201200</v>
      </c>
      <c r="M102" s="103"/>
      <c r="N102" s="93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1108400</v>
      </c>
      <c r="O102" s="103">
        <f ca="1">IF(L102&gt;0,N102*100/L102,0)</f>
        <v>92.27439227439227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10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9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9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1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6</v>
      </c>
      <c r="K108" s="233">
        <f t="shared" ref="K108:K113" ca="1" si="50">IF(I108&gt;0,J108*100/I108,0)</f>
        <v>60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1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23</v>
      </c>
      <c r="K109" s="233">
        <f t="shared" ca="1" si="50"/>
        <v>46.938775510204081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1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42</v>
      </c>
      <c r="K110" s="233">
        <f t="shared" ca="1" si="50"/>
        <v>85.714285714285708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1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12</v>
      </c>
      <c r="K111" s="233">
        <f t="shared" ca="1" si="50"/>
        <v>24.489795918367346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1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233">
        <f t="shared" ca="1" si="50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1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0</v>
      </c>
      <c r="K113" s="233">
        <f t="shared" ca="1" si="50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8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210</v>
      </c>
      <c r="K117" s="149">
        <f ca="1">IF(I117&gt;0,J117*100/I117,0)</f>
        <v>105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824400</v>
      </c>
      <c r="M118" s="158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664400</v>
      </c>
      <c r="N118" s="158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485317</v>
      </c>
      <c r="O118" s="157">
        <f t="shared" ref="O118:O120" ca="1" si="51">IF(L118&gt;0,N118*100/L118,0)</f>
        <v>58.869116933527415</v>
      </c>
      <c r="P118" s="157">
        <f t="shared" ref="P118:P120" ca="1" si="52">IF(M118&gt;0,N118*100/M118,0)</f>
        <v>73.0459060806743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163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163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62">
        <f t="shared" si="51"/>
        <v>0</v>
      </c>
      <c r="P119" s="162">
        <f t="shared" si="52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824400</v>
      </c>
      <c r="M120" s="163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664400</v>
      </c>
      <c r="N120" s="163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485317</v>
      </c>
      <c r="O120" s="162">
        <f t="shared" ca="1" si="51"/>
        <v>58.869116933527415</v>
      </c>
      <c r="P120" s="162">
        <f t="shared" ca="1" si="52"/>
        <v>73.0459060806743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72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72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824400</v>
      </c>
      <c r="M122" s="176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664400</v>
      </c>
      <c r="N122" s="177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485317</v>
      </c>
      <c r="O122" s="178">
        <f ca="1">IF(L122&gt;0,N122*100/L122,0)</f>
        <v>58.869116933527415</v>
      </c>
      <c r="P122" s="178">
        <f ca="1">IF(M122&gt;0,N122*100/M122,0)</f>
        <v>73.0459060806743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824400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103"/>
      <c r="N126" s="93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70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10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10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8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1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210</v>
      </c>
      <c r="K132" s="233">
        <f t="shared" ref="K132:K133" ca="1" si="53">IF(I132&gt;0,J132*100/I132,0)</f>
        <v>105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1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40</v>
      </c>
      <c r="K133" s="233">
        <f t="shared" ca="1" si="53"/>
        <v>20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76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405</v>
      </c>
      <c r="K138" s="277">
        <f ca="1">IF(I138&gt;0,J138*100/I138,0)</f>
        <v>92.045454545454547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5884000</v>
      </c>
      <c r="M140" s="158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3208850</v>
      </c>
      <c r="N140" s="158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1857777</v>
      </c>
      <c r="O140" s="157">
        <f t="shared" ref="O140:O142" ca="1" si="54">IF(L140&gt;0,N140*100/L140,0)</f>
        <v>31.573368456832085</v>
      </c>
      <c r="P140" s="157">
        <f t="shared" ref="P140:P142" ca="1" si="55">IF(M140&gt;0,N140*100/M140,0)</f>
        <v>57.895414244978731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163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163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62">
        <f t="shared" si="54"/>
        <v>0</v>
      </c>
      <c r="P141" s="162">
        <f t="shared" si="55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5884000</v>
      </c>
      <c r="M142" s="163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3208850</v>
      </c>
      <c r="N142" s="163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1857777</v>
      </c>
      <c r="O142" s="162">
        <f t="shared" ca="1" si="54"/>
        <v>31.573368456832085</v>
      </c>
      <c r="P142" s="162">
        <f t="shared" ca="1" si="55"/>
        <v>57.895414244978731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72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72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5646000</v>
      </c>
      <c r="M144" s="176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3208850</v>
      </c>
      <c r="N144" s="177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1619777</v>
      </c>
      <c r="O144" s="178">
        <f ca="1">IF(L144&gt;0,N144*100/L144,0)</f>
        <v>28.688930216082181</v>
      </c>
      <c r="P144" s="178">
        <f ca="1">IF(M144&gt;0,N144*100/M144,0)</f>
        <v>50.478426850740917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3413200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103"/>
      <c r="N148" s="93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103">
        <f ca="1">IF(L148&gt;0,N148*100/L148,0)</f>
        <v>100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84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16</v>
      </c>
      <c r="K149" s="285">
        <f ca="1">IF(I149&gt;0,J149*100/I149,0)</f>
        <v>23.529411764705884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15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12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13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9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16</v>
      </c>
      <c r="K158" s="171">
        <f ca="1">IF(I158&gt;0,J158*100/I158,0)</f>
        <v>23.529411764705884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774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772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2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92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6</v>
      </c>
      <c r="K164" s="293">
        <f ca="1">IF(I164&gt;0,J164*100/I164,0)</f>
        <v>11.538461538461538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1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16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13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11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9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6</v>
      </c>
      <c r="K173" s="171">
        <f ca="1">IF(I173&gt;0,J173*100/I173,0)</f>
        <v>11.538461538461538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92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3</v>
      </c>
      <c r="K176" s="293">
        <f ca="1">IF(I176&gt;0,J176*100/I176,0)</f>
        <v>75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3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2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2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1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</v>
      </c>
      <c r="K185" s="233">
        <f t="shared" ref="K185:K186" ca="1" si="56">IF(I185&gt;0,J185*100/I185,0)</f>
        <v>50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1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3</v>
      </c>
      <c r="K186" s="233">
        <f t="shared" ca="1" si="56"/>
        <v>75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92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14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11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9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9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564000</v>
      </c>
      <c r="K199" s="171">
        <f t="shared" ref="K199:K201" ca="1" si="57">IF(I199&gt;0,J199*100/I199,0)</f>
        <v>46.078431372549019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9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0</v>
      </c>
      <c r="K200" s="171">
        <f t="shared" ca="1" si="57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9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71">
        <f t="shared" ca="1" si="57"/>
        <v>100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92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345</v>
      </c>
      <c r="K204" s="293">
        <f ca="1">IF(I204&gt;0,J204*100/I204,0)</f>
        <v>90.78947368421052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4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1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345</v>
      </c>
      <c r="K213" s="233">
        <f ca="1">IF(I213&gt;0,J213*100/I213,0)</f>
        <v>90.78947368421052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9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1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0</v>
      </c>
      <c r="K215" s="233">
        <f t="shared" ref="K215:K216" ca="1" si="58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1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0</v>
      </c>
      <c r="K216" s="233">
        <f t="shared" ca="1" si="58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76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332510</v>
      </c>
      <c r="M220" s="158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332510</v>
      </c>
      <c r="N220" s="158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298780</v>
      </c>
      <c r="O220" s="157">
        <f t="shared" ref="O220:O222" ca="1" si="59">IF(L220&gt;0,N220*100/L220,0)</f>
        <v>89.855944182129861</v>
      </c>
      <c r="P220" s="157">
        <f t="shared" ref="P220:P222" ca="1" si="60">IF(M220&gt;0,N220*100/M220,0)</f>
        <v>89.855944182129861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163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163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62">
        <f t="shared" si="59"/>
        <v>0</v>
      </c>
      <c r="P221" s="162">
        <f t="shared" si="60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332510</v>
      </c>
      <c r="M222" s="163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332510</v>
      </c>
      <c r="N222" s="163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298780</v>
      </c>
      <c r="O222" s="162">
        <f t="shared" ca="1" si="59"/>
        <v>89.855944182129861</v>
      </c>
      <c r="P222" s="162">
        <f t="shared" ca="1" si="60"/>
        <v>89.855944182129861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72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72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332510</v>
      </c>
      <c r="M224" s="176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332510</v>
      </c>
      <c r="N224" s="177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298780</v>
      </c>
      <c r="O224" s="178">
        <f ca="1">IF(L224&gt;0,N224*100/L224,0)</f>
        <v>89.855944182129861</v>
      </c>
      <c r="P224" s="178">
        <f ca="1">IF(M224&gt;0,N224*100/M224,0)</f>
        <v>89.855944182129861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332510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103"/>
      <c r="N228" s="93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76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14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16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15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9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4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2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76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IFERROR(__xludf.DUMMYFUNCTION("IMPORTRANGE(""https://docs.google.com/spreadsheets/d/1SX6NBoVAgQJ6U1MVXOaj8PK2l7WJ3RER9xtqwdhxkhw/edit?usp=sharing"",""กาญจนบุรี!J159"")"),"")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9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24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75</v>
      </c>
      <c r="K249" s="325">
        <f ca="1">IF(I249&gt;0,J249*100/I249,0)</f>
        <v>41.666666666666664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8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570000</v>
      </c>
      <c r="N250" s="158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285710</v>
      </c>
      <c r="O250" s="157">
        <f t="shared" ref="O250:O252" ca="1" si="61">IF(L250&gt;0,N250*100/L250,0)</f>
        <v>25.373889875666073</v>
      </c>
      <c r="P250" s="157">
        <f t="shared" ref="P250:P252" ca="1" si="62">IF(M250&gt;0,N250*100/M250,0)</f>
        <v>50.124561403508771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163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163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62">
        <f t="shared" si="61"/>
        <v>0</v>
      </c>
      <c r="P251" s="162">
        <f t="shared" si="62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163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570000</v>
      </c>
      <c r="N252" s="163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285710</v>
      </c>
      <c r="O252" s="162">
        <f t="shared" ca="1" si="61"/>
        <v>25.373889875666073</v>
      </c>
      <c r="P252" s="162">
        <f t="shared" ca="1" si="62"/>
        <v>50.124561403508771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72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72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76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570000</v>
      </c>
      <c r="N254" s="177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285710</v>
      </c>
      <c r="O254" s="178">
        <f ca="1">IF(L254&gt;0,N254*100/L254,0)</f>
        <v>25.373889875666073</v>
      </c>
      <c r="P254" s="178">
        <f ca="1">IF(M254&gt;0,N254*100/M254,0)</f>
        <v>50.124561403508771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103"/>
      <c r="N258" s="93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8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7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9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7</v>
      </c>
      <c r="K264" s="171">
        <f t="shared" ref="K264:K267" ca="1" si="63">IF(I264&gt;0,J264*100/I264,0)</f>
        <v>87.5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9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75</v>
      </c>
      <c r="K265" s="171">
        <f t="shared" ca="1" si="63"/>
        <v>41.666666666666664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98" t="e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#VALUE!</v>
      </c>
      <c r="K266" s="171" t="e">
        <f t="shared" ca="1" si="63"/>
        <v>#VALUE!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9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5</v>
      </c>
      <c r="K267" s="171">
        <f t="shared" ca="1" si="63"/>
        <v>62.5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24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205</v>
      </c>
      <c r="K270" s="325">
        <f ca="1">IF(I270&gt;0,J270*100/I270,0)</f>
        <v>80.392156862745097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2476100</v>
      </c>
      <c r="M271" s="158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1339500</v>
      </c>
      <c r="N271" s="158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776043</v>
      </c>
      <c r="O271" s="157">
        <f t="shared" ref="O271:O273" ca="1" si="64">IF(L271&gt;0,N271*100/L271,0)</f>
        <v>31.341343241387666</v>
      </c>
      <c r="P271" s="157">
        <f t="shared" ref="P271:P273" ca="1" si="65">IF(M271&gt;0,N271*100/M271,0)</f>
        <v>57.935274356103022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163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163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62">
        <f t="shared" si="64"/>
        <v>0</v>
      </c>
      <c r="P272" s="162">
        <f t="shared" si="6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2476100</v>
      </c>
      <c r="M273" s="163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1339500</v>
      </c>
      <c r="N273" s="163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776043</v>
      </c>
      <c r="O273" s="162">
        <f t="shared" ca="1" si="64"/>
        <v>31.341343241387666</v>
      </c>
      <c r="P273" s="162">
        <f t="shared" ca="1" si="65"/>
        <v>57.935274356103022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72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72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2476100</v>
      </c>
      <c r="M275" s="176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1339500</v>
      </c>
      <c r="N275" s="177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776043</v>
      </c>
      <c r="O275" s="178">
        <f ca="1">IF(L275&gt;0,N275*100/L275,0)</f>
        <v>31.341343241387666</v>
      </c>
      <c r="P275" s="178">
        <f ca="1">IF(M275&gt;0,N275*100/M275,0)</f>
        <v>57.935274356103022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1420100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103"/>
      <c r="N279" s="93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15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14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13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9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205</v>
      </c>
      <c r="K285" s="171">
        <f ca="1">IF(I285&gt;0,J285*100/I285,0)</f>
        <v>80.392156862745097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24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120760</v>
      </c>
      <c r="M290" s="158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55980</v>
      </c>
      <c r="N290" s="158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18360</v>
      </c>
      <c r="O290" s="157">
        <f t="shared" ref="O290:O292" ca="1" si="66">IF(L290&gt;0,N290*100/L290,0)</f>
        <v>15.203709837694602</v>
      </c>
      <c r="P290" s="157">
        <f t="shared" ref="P290:P292" ca="1" si="67">IF(M290&gt;0,N290*100/M290,0)</f>
        <v>32.79742765273312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163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163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62">
        <f t="shared" si="66"/>
        <v>0</v>
      </c>
      <c r="P291" s="162">
        <f t="shared" si="67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120760</v>
      </c>
      <c r="M292" s="163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55980</v>
      </c>
      <c r="N292" s="163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18360</v>
      </c>
      <c r="O292" s="162">
        <f t="shared" ca="1" si="66"/>
        <v>15.203709837694602</v>
      </c>
      <c r="P292" s="162">
        <f t="shared" ca="1" si="67"/>
        <v>32.79742765273312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72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72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120760</v>
      </c>
      <c r="M294" s="176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55980</v>
      </c>
      <c r="N294" s="177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18360</v>
      </c>
      <c r="O294" s="178">
        <f ca="1">IF(L294&gt;0,N294*100/L294,0)</f>
        <v>15.203709837694602</v>
      </c>
      <c r="P294" s="178">
        <f ca="1">IF(M294&gt;0,N294*100/M294,0)</f>
        <v>32.79742765273312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120760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103"/>
      <c r="N298" s="93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1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1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IFERROR(__xludf.DUMMYFUNCTION("IMPORTRANGE(""https://docs.google.com/spreadsheets/d/1SX6NBoVAgQJ6U1MVXOaj8PK2l7WJ3RER9xtqwdhxkhw/edit?usp=sharing"",""กาญจนบุรี!J212"")"),0)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41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3</v>
      </c>
      <c r="K309" s="342">
        <f ca="1">IF(I309&gt;0,J309*100/I309,0)</f>
        <v>37.5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772800</v>
      </c>
      <c r="M310" s="158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506400</v>
      </c>
      <c r="N310" s="158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152695</v>
      </c>
      <c r="O310" s="157">
        <f t="shared" ref="O310:O312" ca="1" si="68">IF(L310&gt;0,N310*100/L310,0)</f>
        <v>19.758669772256727</v>
      </c>
      <c r="P310" s="157">
        <f t="shared" ref="P310:P312" ca="1" si="69">IF(M310&gt;0,N310*100/M310,0)</f>
        <v>30.153041074249604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163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163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62">
        <f t="shared" si="68"/>
        <v>0</v>
      </c>
      <c r="P311" s="162">
        <f t="shared" si="69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772800</v>
      </c>
      <c r="M312" s="163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506400</v>
      </c>
      <c r="N312" s="163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152695</v>
      </c>
      <c r="O312" s="162">
        <f t="shared" ca="1" si="68"/>
        <v>19.758669772256727</v>
      </c>
      <c r="P312" s="162">
        <f t="shared" ca="1" si="69"/>
        <v>30.153041074249604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72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72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772800</v>
      </c>
      <c r="M314" s="176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506400</v>
      </c>
      <c r="N314" s="177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152695</v>
      </c>
      <c r="O314" s="178">
        <f ca="1">IF(L314&gt;0,N314*100/L314,0)</f>
        <v>19.758669772256727</v>
      </c>
      <c r="P314" s="178">
        <f ca="1">IF(M314&gt;0,N314*100/M314,0)</f>
        <v>30.153041074249604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772800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103"/>
      <c r="N318" s="93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2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2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1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3</v>
      </c>
      <c r="K324" s="233">
        <f ca="1">IF(I324&gt;0,J324*100/I324,0)</f>
        <v>37.5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6310</v>
      </c>
      <c r="J328" s="347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663</v>
      </c>
      <c r="K328" s="325">
        <f ca="1">IF(I328&gt;0,J328*100/I328,0)</f>
        <v>10.507131537242472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17742090</v>
      </c>
      <c r="M329" s="158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9120390</v>
      </c>
      <c r="N329" s="158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5898385</v>
      </c>
      <c r="O329" s="157">
        <f t="shared" ref="O329:O331" ca="1" si="70">IF(L329&gt;0,N329*100/L329,0)</f>
        <v>33.245153192211291</v>
      </c>
      <c r="P329" s="157">
        <f t="shared" ref="P329:P331" ca="1" si="71">IF(M329&gt;0,N329*100/M329,0)</f>
        <v>64.672508522113631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163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163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62">
        <f t="shared" si="70"/>
        <v>0</v>
      </c>
      <c r="P330" s="162">
        <f t="shared" si="71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17742090</v>
      </c>
      <c r="M331" s="163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9120390</v>
      </c>
      <c r="N331" s="163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5898385</v>
      </c>
      <c r="O331" s="162">
        <f t="shared" ca="1" si="70"/>
        <v>33.245153192211291</v>
      </c>
      <c r="P331" s="162">
        <f t="shared" ca="1" si="71"/>
        <v>64.672508522113631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72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72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16835290</v>
      </c>
      <c r="M333" s="176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9120390</v>
      </c>
      <c r="N333" s="177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5092565</v>
      </c>
      <c r="O333" s="178">
        <f ca="1">IF(L333&gt;0,N333*100/L333,0)</f>
        <v>30.249345274123581</v>
      </c>
      <c r="P333" s="178">
        <f ca="1">IF(M333&gt;0,N333*100/M333,0)</f>
        <v>55.837140736306232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8201990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906800</v>
      </c>
      <c r="M337" s="103"/>
      <c r="N337" s="93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103">
        <f ca="1">IF(L337&gt;0,N337*100/L337,0)</f>
        <v>88.864137626819584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9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1374</v>
      </c>
      <c r="K339" s="350">
        <f t="shared" ref="K339:K346" ca="1" si="72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41170</v>
      </c>
      <c r="J340" s="19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10220.029999999999</v>
      </c>
      <c r="K340" s="350">
        <f t="shared" ca="1" si="72"/>
        <v>24.823973767306288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6310</v>
      </c>
      <c r="J341" s="19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1492</v>
      </c>
      <c r="K341" s="350">
        <f t="shared" ca="1" si="72"/>
        <v>23.645007923930269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9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14169.899999999998</v>
      </c>
      <c r="K342" s="350">
        <f t="shared" ca="1" si="72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6310</v>
      </c>
      <c r="J343" s="19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2</v>
      </c>
      <c r="K343" s="350">
        <f t="shared" ca="1" si="72"/>
        <v>3.1695721077654518E-2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9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3.53</v>
      </c>
      <c r="K344" s="350">
        <f t="shared" ca="1" si="72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6310</v>
      </c>
      <c r="J345" s="19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663</v>
      </c>
      <c r="K345" s="350">
        <f t="shared" ca="1" si="72"/>
        <v>10.507131537242472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9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5951.51</v>
      </c>
      <c r="K346" s="359">
        <f t="shared" ca="1" si="72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39708784</v>
      </c>
      <c r="M347" s="366"/>
      <c r="N347" s="366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5720688.709999999</v>
      </c>
      <c r="O347" s="366">
        <f ca="1">+IF(L347&gt;0,N347*100/L347,0)</f>
        <v>14.40660764127151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9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320</v>
      </c>
      <c r="K349" s="380">
        <f t="shared" ref="K349:K350" ca="1" si="73">IF(I349&gt;0,J349*100/I349,0)</f>
        <v>17.297297297297298</v>
      </c>
      <c r="L349" s="381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5304900</v>
      </c>
      <c r="M349" s="381"/>
      <c r="N349" s="381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1340073.06</v>
      </c>
      <c r="O349" s="381">
        <f ca="1">+IF(L349&gt;0,N349*100/L349,0)</f>
        <v>25.261042809478031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9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310</v>
      </c>
      <c r="K350" s="380">
        <f t="shared" ca="1" si="73"/>
        <v>39.240506329113927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72"/>
      <c r="N351" s="172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73">
        <f t="shared" ref="O351:O354" ca="1" si="74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5304900</v>
      </c>
      <c r="M352" s="173"/>
      <c r="N352" s="172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1340073.06</v>
      </c>
      <c r="O352" s="173">
        <f t="shared" ca="1" si="74"/>
        <v>25.261042809478031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78"/>
      <c r="N353" s="17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78">
        <f t="shared" ca="1" si="74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5304900</v>
      </c>
      <c r="M354" s="178"/>
      <c r="N354" s="175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1340073.06</v>
      </c>
      <c r="O354" s="178">
        <f t="shared" ca="1" si="74"/>
        <v>25.261042809478031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521914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255800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445471.06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116888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14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14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14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71">
        <f t="shared" ref="K367:K373" ca="1" si="75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9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310</v>
      </c>
      <c r="K368" s="171">
        <f t="shared" ca="1" si="75"/>
        <v>39.240506329113927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1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71">
        <f t="shared" ca="1" si="75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1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479</v>
      </c>
      <c r="K370" s="171">
        <f t="shared" ca="1" si="75"/>
        <v>60.632911392405063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9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71">
        <f t="shared" ca="1" si="75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9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310</v>
      </c>
      <c r="K372" s="171">
        <f t="shared" ca="1" si="75"/>
        <v>39.240506329113927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1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71">
        <f t="shared" ca="1" si="75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9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9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320</v>
      </c>
      <c r="K375" s="171">
        <f t="shared" ref="K375:K377" ca="1" si="76">IF(I375&gt;0,J375*100/I375,0)</f>
        <v>17.297297297297298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9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220</v>
      </c>
      <c r="K376" s="171">
        <f t="shared" ca="1" si="76"/>
        <v>28.645833333333332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1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100</v>
      </c>
      <c r="K377" s="171">
        <f t="shared" ca="1" si="76"/>
        <v>9.2421441774491679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1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9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1000</v>
      </c>
      <c r="K380" s="380">
        <f t="shared" ref="K380:K381" ca="1" si="77">IF(I380&gt;0,J380*100/I380,0)</f>
        <v>7.4074074074074074</v>
      </c>
      <c r="L380" s="381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81"/>
      <c r="N380" s="381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1216157.3700000001</v>
      </c>
      <c r="O380" s="381">
        <f ca="1">+IF(L380&gt;0,N380*100/L380,0)</f>
        <v>8.809351263645123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9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710</v>
      </c>
      <c r="K381" s="380">
        <f t="shared" ca="1" si="77"/>
        <v>52.592592592592595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72"/>
      <c r="N382" s="172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73">
        <f t="shared" ref="O382:O385" ca="1" si="78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73"/>
      <c r="N383" s="173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1216157.3700000001</v>
      </c>
      <c r="O383" s="173">
        <f t="shared" ca="1" si="78"/>
        <v>8.809351263645123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78"/>
      <c r="N384" s="17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78">
        <f t="shared" ca="1" si="78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78"/>
      <c r="N385" s="175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1216157.3700000001</v>
      </c>
      <c r="O385" s="178">
        <f t="shared" ca="1" si="78"/>
        <v>8.809351263645123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717049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383189.37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115919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17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16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15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20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710</v>
      </c>
      <c r="K396" s="171">
        <f t="shared" ref="K396:K398" ca="1" si="79">IF(I396&gt;0,J396*100/I396,0)</f>
        <v>52.592592592592595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20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1000</v>
      </c>
      <c r="K397" s="171">
        <f t="shared" ca="1" si="79"/>
        <v>7.4074074074074074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20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0</v>
      </c>
      <c r="K398" s="171">
        <f t="shared" ca="1" si="79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9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390</v>
      </c>
      <c r="K401" s="380">
        <f t="shared" ref="K401:K402" ca="1" si="80">IF(I401&gt;0,J401*100/I401,0)</f>
        <v>13.584117032392895</v>
      </c>
      <c r="L401" s="381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81"/>
      <c r="N401" s="381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649542</v>
      </c>
      <c r="O401" s="381">
        <f ca="1">+IF(L401&gt;0,N401*100/L401,0)</f>
        <v>20.13134894561323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9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215</v>
      </c>
      <c r="K402" s="380">
        <f t="shared" ca="1" si="80"/>
        <v>22.466039707419018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72"/>
      <c r="N403" s="17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78">
        <f t="shared" ref="O403:O406" ca="1" si="81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73"/>
      <c r="N404" s="17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649542</v>
      </c>
      <c r="O404" s="178">
        <f t="shared" ca="1" si="81"/>
        <v>20.13134894561323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78"/>
      <c r="N405" s="17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78">
        <f t="shared" ca="1" si="81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78"/>
      <c r="N406" s="17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649542</v>
      </c>
      <c r="O406" s="178">
        <f t="shared" ca="1" si="81"/>
        <v>20.13134894561323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560762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24475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64305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17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16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14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1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215</v>
      </c>
      <c r="K416" s="211">
        <f t="shared" ref="K416:K432" ca="1" si="82">IF(I416&gt;0,J416*100/I416,0)</f>
        <v>22.466039707419018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400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65</v>
      </c>
      <c r="K417" s="211">
        <f t="shared" ca="1" si="82"/>
        <v>32.5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401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165</v>
      </c>
      <c r="K418" s="211">
        <f t="shared" ca="1" si="82"/>
        <v>27.5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402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75</v>
      </c>
      <c r="K419" s="171">
        <f t="shared" ca="1" si="82"/>
        <v>37.5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402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120</v>
      </c>
      <c r="K420" s="296">
        <f t="shared" ca="1" si="82"/>
        <v>60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400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140</v>
      </c>
      <c r="K421" s="211">
        <f t="shared" ca="1" si="82"/>
        <v>24.390243902439025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401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195</v>
      </c>
      <c r="K422" s="211">
        <f t="shared" ca="1" si="82"/>
        <v>11.324041811846691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402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154</v>
      </c>
      <c r="K423" s="171">
        <f t="shared" ca="1" si="82"/>
        <v>26.829268292682926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402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140</v>
      </c>
      <c r="K424" s="171">
        <f t="shared" ca="1" si="82"/>
        <v>24.390243902439025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402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140</v>
      </c>
      <c r="K425" s="171">
        <f t="shared" ca="1" si="82"/>
        <v>24.390243902439025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400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10</v>
      </c>
      <c r="K426" s="211">
        <f t="shared" ca="1" si="82"/>
        <v>5.4644808743169397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401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30</v>
      </c>
      <c r="K427" s="211">
        <f t="shared" ca="1" si="82"/>
        <v>5.4644808743169397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402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30</v>
      </c>
      <c r="K428" s="171">
        <f t="shared" ca="1" si="82"/>
        <v>16.393442622950818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402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26</v>
      </c>
      <c r="K429" s="171">
        <f t="shared" ca="1" si="82"/>
        <v>14.207650273224044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400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0</v>
      </c>
      <c r="K430" s="211">
        <f t="shared" ca="1" si="82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402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10</v>
      </c>
      <c r="K431" s="171">
        <f t="shared" ca="1" si="82"/>
        <v>5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402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0</v>
      </c>
      <c r="K432" s="171">
        <f t="shared" ca="1" si="82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18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279</v>
      </c>
      <c r="K435" s="419">
        <f ca="1">IF(I435&gt;0,J435*100/I435,0)</f>
        <v>57.055214723926383</v>
      </c>
      <c r="L435" s="420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1912200</v>
      </c>
      <c r="M435" s="420"/>
      <c r="N435" s="420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614092.79</v>
      </c>
      <c r="O435" s="420">
        <f t="shared" ref="O435:O439" ca="1" si="83">+IF(L435&gt;0,N435*100/L435,0)</f>
        <v>32.114464491162011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72"/>
      <c r="N436" s="17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78">
        <f t="shared" ca="1" si="83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1912200</v>
      </c>
      <c r="M437" s="173"/>
      <c r="N437" s="17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614092.79</v>
      </c>
      <c r="O437" s="178">
        <f t="shared" ca="1" si="83"/>
        <v>32.114464491162011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78"/>
      <c r="N438" s="17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78">
        <f t="shared" ca="1" si="83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1912200</v>
      </c>
      <c r="M439" s="178"/>
      <c r="N439" s="17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614092.79</v>
      </c>
      <c r="O439" s="178">
        <f t="shared" ca="1" si="83"/>
        <v>32.114464491162011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530589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 t="e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#VALUE!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83503.789999999994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16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17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15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1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279</v>
      </c>
      <c r="K449" s="171">
        <f t="shared" ref="K449:K452" ca="1" si="84">IF(I449&gt;0,J449*100/I449,0)</f>
        <v>57.055214723926383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9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260</v>
      </c>
      <c r="K450" s="171">
        <f t="shared" ca="1" si="84"/>
        <v>72.222222222222229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9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19</v>
      </c>
      <c r="K451" s="171">
        <f t="shared" ca="1" si="84"/>
        <v>14.728682170542635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197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71">
        <f t="shared" ca="1" si="84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1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753602</v>
      </c>
      <c r="J455" s="379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4665</v>
      </c>
      <c r="K455" s="380">
        <f ca="1">IF(I455&gt;0,J455*100/I455,0)</f>
        <v>0.61902701956735784</v>
      </c>
      <c r="L455" s="381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7607158</v>
      </c>
      <c r="M455" s="381"/>
      <c r="N455" s="381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755624.19</v>
      </c>
      <c r="O455" s="381">
        <f t="shared" ref="O455:O459" ca="1" si="85">+IF(L455&gt;0,N455*100/L455,0)</f>
        <v>9.9330681707938755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72"/>
      <c r="N456" s="17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78">
        <f t="shared" ca="1" si="85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7607158</v>
      </c>
      <c r="M457" s="173"/>
      <c r="N457" s="17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755624.19</v>
      </c>
      <c r="O457" s="178">
        <f t="shared" ca="1" si="85"/>
        <v>9.9330681707938755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78"/>
      <c r="N458" s="17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78">
        <f t="shared" ca="1" si="85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7607158</v>
      </c>
      <c r="M459" s="178"/>
      <c r="N459" s="17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755624.19</v>
      </c>
      <c r="O459" s="178">
        <f t="shared" ca="1" si="85"/>
        <v>9.9330681707938755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324357.19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431267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753602</v>
      </c>
      <c r="J464" s="276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4665</v>
      </c>
      <c r="K464" s="277">
        <f t="shared" ref="K464:K515" ca="1" si="86">IF(I464&gt;0,J464*100/I464,0)</f>
        <v>0.61902701956735784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753602</v>
      </c>
      <c r="J465" s="428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451426.47999999986</v>
      </c>
      <c r="K465" s="211">
        <f t="shared" ca="1" si="86"/>
        <v>59.902505566598798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94924</v>
      </c>
      <c r="J466" s="428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47104</v>
      </c>
      <c r="K466" s="211">
        <f t="shared" ca="1" si="86"/>
        <v>49.622856179680589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9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341836.15</v>
      </c>
      <c r="K467" s="171">
        <f t="shared" ca="1" si="86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9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38283</v>
      </c>
      <c r="K468" s="171">
        <f t="shared" ca="1" si="86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9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100109.33</v>
      </c>
      <c r="K469" s="171">
        <f t="shared" ca="1" si="86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9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7868</v>
      </c>
      <c r="K470" s="171">
        <f t="shared" ca="1" si="86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9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9481</v>
      </c>
      <c r="K471" s="171">
        <f t="shared" ca="1" si="86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9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953</v>
      </c>
      <c r="K472" s="171">
        <f t="shared" ca="1" si="86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753602</v>
      </c>
      <c r="J473" s="428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4665</v>
      </c>
      <c r="K473" s="211">
        <f t="shared" ca="1" si="86"/>
        <v>0.61902701956735784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94924</v>
      </c>
      <c r="J474" s="428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1134</v>
      </c>
      <c r="K474" s="171">
        <f t="shared" ca="1" si="86"/>
        <v>1.1946399224642872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9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4634</v>
      </c>
      <c r="K475" s="171">
        <f t="shared" ca="1" si="86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9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1122</v>
      </c>
      <c r="K476" s="171">
        <f t="shared" ca="1" si="86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9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13</v>
      </c>
      <c r="K477" s="171">
        <f t="shared" ca="1" si="86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9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8</v>
      </c>
      <c r="K478" s="171">
        <f t="shared" ca="1" si="86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9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18</v>
      </c>
      <c r="K479" s="171">
        <f t="shared" ca="1" si="86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9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4</v>
      </c>
      <c r="K480" s="171">
        <f t="shared" ca="1" si="86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753602</v>
      </c>
      <c r="J481" s="428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4665</v>
      </c>
      <c r="K481" s="211">
        <f t="shared" ca="1" si="86"/>
        <v>0.61902701956735784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94924</v>
      </c>
      <c r="J482" s="428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1134</v>
      </c>
      <c r="K482" s="171">
        <f t="shared" ca="1" si="86"/>
        <v>1.1946399224642872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9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4634</v>
      </c>
      <c r="K483" s="171">
        <f t="shared" ca="1" si="86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9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1122</v>
      </c>
      <c r="K484" s="171">
        <f t="shared" ca="1" si="86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9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13</v>
      </c>
      <c r="K485" s="171">
        <f t="shared" ca="1" si="86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9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8</v>
      </c>
      <c r="K486" s="171">
        <f t="shared" ca="1" si="86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8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18</v>
      </c>
      <c r="K487" s="171">
        <f t="shared" ca="1" si="86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8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4</v>
      </c>
      <c r="K488" s="171">
        <f t="shared" ca="1" si="86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9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18</v>
      </c>
      <c r="K489" s="171">
        <f t="shared" ca="1" si="86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9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4</v>
      </c>
      <c r="K490" s="171">
        <f t="shared" ca="1" si="86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9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0</v>
      </c>
      <c r="K491" s="171">
        <f t="shared" ca="1" si="86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9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0</v>
      </c>
      <c r="K492" s="171">
        <f t="shared" ca="1" si="86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9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0</v>
      </c>
      <c r="K493" s="171">
        <f t="shared" ca="1" si="86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44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0</v>
      </c>
      <c r="K494" s="296">
        <f t="shared" ca="1" si="86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44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0</v>
      </c>
      <c r="K495" s="171">
        <f t="shared" ca="1" si="86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44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0</v>
      </c>
      <c r="K496" s="296">
        <f t="shared" ca="1" si="86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43003</v>
      </c>
      <c r="J497" s="451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4070.97</v>
      </c>
      <c r="K497" s="452">
        <f t="shared" ca="1" si="86"/>
        <v>9.4667116247703653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43003</v>
      </c>
      <c r="J498" s="428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4070.97</v>
      </c>
      <c r="K498" s="171">
        <f t="shared" ca="1" si="86"/>
        <v>9.4667116247703653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3164</v>
      </c>
      <c r="J499" s="428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444</v>
      </c>
      <c r="K499" s="211">
        <f t="shared" ca="1" si="86"/>
        <v>14.032869785082175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70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3728.04</v>
      </c>
      <c r="K500" s="171">
        <f t="shared" ca="1" si="86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70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402</v>
      </c>
      <c r="K501" s="171">
        <f t="shared" ca="1" si="86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9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2404.04</v>
      </c>
      <c r="K502" s="171">
        <f t="shared" ca="1" si="86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20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246</v>
      </c>
      <c r="K503" s="171">
        <f t="shared" ca="1" si="86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9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1324</v>
      </c>
      <c r="K504" s="171">
        <f t="shared" ca="1" si="86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20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156</v>
      </c>
      <c r="K505" s="171">
        <f t="shared" ca="1" si="86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9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0</v>
      </c>
      <c r="K506" s="171">
        <f t="shared" ca="1" si="86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20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0</v>
      </c>
      <c r="K507" s="171">
        <f t="shared" ca="1" si="86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70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94.929999999999993</v>
      </c>
      <c r="K508" s="171">
        <f t="shared" ca="1" si="86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70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20</v>
      </c>
      <c r="K509" s="171">
        <f t="shared" ca="1" si="86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20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76.930000000000007</v>
      </c>
      <c r="K510" s="171">
        <f t="shared" ca="1" si="86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20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12</v>
      </c>
      <c r="K511" s="171">
        <f t="shared" ca="1" si="86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20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18</v>
      </c>
      <c r="K512" s="171">
        <f t="shared" ca="1" si="86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20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8</v>
      </c>
      <c r="K513" s="171">
        <f t="shared" ca="1" si="86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20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248</v>
      </c>
      <c r="K514" s="171">
        <f t="shared" ca="1" si="86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20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22</v>
      </c>
      <c r="K515" s="171">
        <f t="shared" ca="1" si="86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76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92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92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9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9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9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9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9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124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9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5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124</v>
      </c>
      <c r="J525" s="292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12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5</v>
      </c>
      <c r="J526" s="292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20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20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20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12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20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2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20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74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18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9">
        <f ca="1">IF(I533&gt;0,J533*100/I533,0)</f>
        <v>100</v>
      </c>
      <c r="L533" s="420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595700</v>
      </c>
      <c r="M533" s="420"/>
      <c r="N533" s="420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382434.23999999987</v>
      </c>
      <c r="O533" s="420">
        <f t="shared" ref="O533:O537" ca="1" si="87">+IF(L533&gt;0,N533*100/L533,0)</f>
        <v>64.19913379217725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72"/>
      <c r="N534" s="17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78">
        <f t="shared" ca="1" si="87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595700</v>
      </c>
      <c r="M535" s="173"/>
      <c r="N535" s="17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382434.23999999987</v>
      </c>
      <c r="O535" s="178">
        <f t="shared" ca="1" si="87"/>
        <v>64.19913379217725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78"/>
      <c r="N536" s="17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78">
        <f t="shared" ca="1" si="87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595700</v>
      </c>
      <c r="M537" s="178"/>
      <c r="N537" s="17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382434.23999999987</v>
      </c>
      <c r="O537" s="178">
        <f t="shared" ca="1" si="87"/>
        <v>64.19913379217725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327274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55160.24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17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17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17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9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71">
        <f t="shared" ref="K547:K548" ca="1" si="88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71">
        <f t="shared" ca="1" si="88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2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18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2385</v>
      </c>
      <c r="K551" s="419">
        <f ca="1">IF(I551&gt;0,J551*100/I551,0)</f>
        <v>9.5399999999999991</v>
      </c>
      <c r="L551" s="420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20"/>
      <c r="N551" s="420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133766.56</v>
      </c>
      <c r="O551" s="420">
        <f t="shared" ref="O551:O555" ca="1" si="89">+IF(L551&gt;0,N551*100/L551,0)</f>
        <v>8.7429124183006532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72"/>
      <c r="N552" s="17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78">
        <f t="shared" ca="1" si="89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73"/>
      <c r="N553" s="17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133766.56</v>
      </c>
      <c r="O553" s="178">
        <f t="shared" ca="1" si="89"/>
        <v>8.7429124183006532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78"/>
      <c r="N554" s="17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78">
        <f t="shared" ca="1" si="89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78"/>
      <c r="N555" s="17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133766.56</v>
      </c>
      <c r="O555" s="178">
        <f t="shared" ca="1" si="89"/>
        <v>8.7429124183006532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10800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122966.56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70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2385</v>
      </c>
      <c r="K560" s="233">
        <f ca="1">กำแพงเพชร!K560+เชียงราย!K560+เชียงใหม่!K560+ตาก!K560+นครสวรรค์!K560+น่าน!K560+พะเยา!K560+พิจิตร!K560+พิษณุโลก!K560+เพชรบูรณ์!K560+แพร่!K560+แม่ฮ่องสอน!K560+ลำปาง!K560+ลำพูน!K560+สุโขทัย!K560+อุตรดิตถ์!K560+อุทัยธานี!K560</f>
        <v>43.997777777777777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1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293</v>
      </c>
      <c r="K561" s="233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IFERROR(__xludf.DUMMYFUNCTION("IMPORTRANGE(""https://docs.google.com/spreadsheets/d/1SX6NBoVAgQJ6U1MVXOaj8PK2l7WJ3RER9xtqwdhxkhw/edit?usp=sharing"",""กาญจนบุรี!I457"")"),"")</f>
        <v/>
      </c>
      <c r="J562" s="213" t="str">
        <f ca="1">IFERROR(__xludf.DUMMYFUNCTION("IMPORTRANGE(""https://docs.google.com/spreadsheets/d/1SX6NBoVAgQJ6U1MVXOaj8PK2l7WJ3RER9xtqwdhxkhw/edit?usp=sharing"",""กาญจนบุรี!J457"")"),"")</f>
        <v/>
      </c>
      <c r="K562" s="171"/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IFERROR(__xludf.DUMMYFUNCTION("IMPORTRANGE(""https://docs.google.com/spreadsheets/d/1SX6NBoVAgQJ6U1MVXOaj8PK2l7WJ3RER9xtqwdhxkhw/edit?usp=sharing"",""กาญจนบุรี!I458"")"),"")</f>
        <v/>
      </c>
      <c r="J563" s="197" t="str">
        <f ca="1">IFERROR(__xludf.DUMMYFUNCTION("IMPORTRANGE(""https://docs.google.com/spreadsheets/d/1SX6NBoVAgQJ6U1MVXOaj8PK2l7WJ3RER9xtqwdhxkhw/edit?usp=sharing"",""กาญจนบุรี!J458"")"),"")</f>
        <v/>
      </c>
      <c r="K563" s="171"/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9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18935</v>
      </c>
      <c r="K564" s="380">
        <f ca="1">IF(I564&gt;0,J564*100/I564,0)</f>
        <v>58.172043010752688</v>
      </c>
      <c r="L564" s="381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81"/>
      <c r="N564" s="381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388128.86000000004</v>
      </c>
      <c r="O564" s="381">
        <f t="shared" ref="O564:O568" ca="1" si="90">+IF(L564&gt;0,N564*100/L564,0)</f>
        <v>16.293148235215103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72"/>
      <c r="N565" s="17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78">
        <f t="shared" ca="1" si="90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73"/>
      <c r="N566" s="17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388128.86000000004</v>
      </c>
      <c r="O566" s="178">
        <f t="shared" ca="1" si="90"/>
        <v>16.293148235215103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78"/>
      <c r="N567" s="17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78">
        <f t="shared" ca="1" si="90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78"/>
      <c r="N568" s="17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388128.86000000004</v>
      </c>
      <c r="O568" s="178">
        <f t="shared" ca="1" si="90"/>
        <v>16.293148235215103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291214.40000000002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96914.459999999992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8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18935</v>
      </c>
      <c r="K573" s="211">
        <f ca="1">IF(I573&gt;0,J573*100/I573,0)</f>
        <v>58.172043010752688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7</v>
      </c>
      <c r="J575" s="20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38</v>
      </c>
      <c r="K575" s="171">
        <f t="shared" ref="K575:K579" ca="1" si="91">IF(I575&gt;0,J575*100/I575,0)</f>
        <v>542.85714285714289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20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2106</v>
      </c>
      <c r="K576" s="171">
        <f t="shared" ca="1" si="91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9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16293</v>
      </c>
      <c r="K577" s="171">
        <f t="shared" ca="1" si="91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20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36</v>
      </c>
      <c r="K578" s="171">
        <f t="shared" ca="1" si="91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20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500</v>
      </c>
      <c r="K579" s="171">
        <f t="shared" ca="1" si="91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1696</v>
      </c>
      <c r="J580" s="379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29</v>
      </c>
      <c r="K580" s="380">
        <f ca="1">IF(I580&gt;0,J580*100/I580,0)</f>
        <v>1.7099056603773586</v>
      </c>
      <c r="L580" s="381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3209796</v>
      </c>
      <c r="M580" s="381"/>
      <c r="N580" s="381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217023.64</v>
      </c>
      <c r="O580" s="381">
        <f t="shared" ref="O580:O584" ca="1" si="92">+IF(L580&gt;0,N580*100/L580,0)</f>
        <v>6.761290748695556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72"/>
      <c r="N581" s="17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78">
        <f t="shared" ca="1" si="92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3209796</v>
      </c>
      <c r="M582" s="173"/>
      <c r="N582" s="17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217023.64</v>
      </c>
      <c r="O582" s="178">
        <f t="shared" ca="1" si="92"/>
        <v>6.761290748695556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78"/>
      <c r="N583" s="17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78">
        <f t="shared" ca="1" si="92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3209796</v>
      </c>
      <c r="M584" s="178"/>
      <c r="N584" s="17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217023.64</v>
      </c>
      <c r="O584" s="178">
        <f t="shared" ca="1" si="92"/>
        <v>6.761290748695556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96072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120951.64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1696</v>
      </c>
      <c r="J589" s="19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246</v>
      </c>
      <c r="K589" s="171">
        <f t="shared" ref="K589:K596" ca="1" si="93">IF(I589&gt;0,J589*100/I589,0)</f>
        <v>14.504716981132075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9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192.15000000000003</v>
      </c>
      <c r="K590" s="487">
        <f t="shared" ca="1" si="93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1696</v>
      </c>
      <c r="J591" s="19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66</v>
      </c>
      <c r="K591" s="171">
        <f t="shared" ca="1" si="93"/>
        <v>3.891509433962264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9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53.83</v>
      </c>
      <c r="K592" s="350">
        <f t="shared" ca="1" si="93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1696</v>
      </c>
      <c r="J593" s="19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0</v>
      </c>
      <c r="K593" s="171">
        <f t="shared" ca="1" si="93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9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0</v>
      </c>
      <c r="K594" s="350">
        <f t="shared" ca="1" si="93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1696</v>
      </c>
      <c r="J595" s="19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29</v>
      </c>
      <c r="K595" s="171">
        <f t="shared" ca="1" si="93"/>
        <v>1.7099056603773586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50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23.94</v>
      </c>
      <c r="K596" s="494">
        <f t="shared" ca="1" si="93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1470</v>
      </c>
      <c r="J597" s="495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9">
        <f ca="1">IF(I597&gt;0,J597*100/I597,0)</f>
        <v>0</v>
      </c>
      <c r="L597" s="420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135050</v>
      </c>
      <c r="M597" s="420"/>
      <c r="N597" s="420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23846</v>
      </c>
      <c r="O597" s="420">
        <f t="shared" ref="O597:O601" ca="1" si="94">+IF(L597&gt;0,N597*100/L597,0)</f>
        <v>17.657164013328398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72"/>
      <c r="N598" s="17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78">
        <f t="shared" ca="1" si="94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135050</v>
      </c>
      <c r="M599" s="173"/>
      <c r="N599" s="17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23846</v>
      </c>
      <c r="O599" s="178">
        <f t="shared" ca="1" si="94"/>
        <v>17.657164013328398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78"/>
      <c r="N600" s="17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78">
        <f t="shared" ca="1" si="94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135050</v>
      </c>
      <c r="M601" s="178"/>
      <c r="N601" s="17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23846</v>
      </c>
      <c r="O601" s="178">
        <f t="shared" ca="1" si="94"/>
        <v>17.657164013328398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22646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16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1470</v>
      </c>
      <c r="J611" s="170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71">
        <f t="shared" ref="K611:K619" ca="1" si="95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20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338.75</v>
      </c>
      <c r="K612" s="171">
        <f t="shared" ca="1" si="95"/>
        <v>23.044217687074831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20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50</v>
      </c>
      <c r="K613" s="171">
        <f t="shared" ca="1" si="95"/>
        <v>3.4013605442176869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20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147.80000000000001</v>
      </c>
      <c r="K614" s="171">
        <f t="shared" ca="1" si="95"/>
        <v>10.054421768707485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20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50</v>
      </c>
      <c r="K615" s="171">
        <f t="shared" ca="1" si="95"/>
        <v>3.4013605442176869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20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50</v>
      </c>
      <c r="K616" s="171">
        <f t="shared" ca="1" si="95"/>
        <v>3.4013605442176869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9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71">
        <f t="shared" ca="1" si="95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9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71">
        <f t="shared" ca="1" si="95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9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71">
        <f t="shared" ca="1" si="95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1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71">
        <f t="shared" ref="K620:K626" ca="1" si="96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1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71">
        <f t="shared" ca="1" si="96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9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71">
        <f t="shared" ca="1" si="96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9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71">
        <f t="shared" ca="1" si="96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9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100</v>
      </c>
      <c r="K624" s="171">
        <f t="shared" ca="1" si="96"/>
        <v>2.5018764073054789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9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71">
        <f t="shared" ca="1" si="96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9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71">
        <f t="shared" ca="1" si="96"/>
        <v>2.5018764073054789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103074459.59000002</v>
      </c>
      <c r="J628" s="349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13644234.09</v>
      </c>
      <c r="K628" s="350">
        <f t="shared" ref="K628:K635" ca="1" si="97">IF(I628&gt;0,J628*100/I628,0)</f>
        <v>13.237259884041849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4860</v>
      </c>
      <c r="J629" s="349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756</v>
      </c>
      <c r="K629" s="350">
        <f t="shared" ca="1" si="97"/>
        <v>15.555555555555555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111887936.91000001</v>
      </c>
      <c r="J630" s="349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4749614.8999999994</v>
      </c>
      <c r="K630" s="350">
        <f t="shared" ca="1" si="97"/>
        <v>4.2449749554507168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9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1090</v>
      </c>
      <c r="K631" s="350">
        <f t="shared" ca="1" si="97"/>
        <v>24.840474020054696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85273605.469999984</v>
      </c>
      <c r="J632" s="349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9088627.9100000001</v>
      </c>
      <c r="K632" s="350">
        <f t="shared" ca="1" si="97"/>
        <v>10.658195885944403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6362</v>
      </c>
      <c r="J633" s="349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1110</v>
      </c>
      <c r="K633" s="350">
        <f t="shared" ca="1" si="97"/>
        <v>17.447343602640679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84535000</v>
      </c>
      <c r="J634" s="349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2740000</v>
      </c>
      <c r="K634" s="350">
        <f t="shared" ca="1" si="97"/>
        <v>3.241261016147158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519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74</v>
      </c>
      <c r="K635" s="494">
        <f t="shared" ca="1" si="97"/>
        <v>2.9376736800317587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255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6975569</v>
      </c>
      <c r="M8" s="25">
        <f t="shared" ca="1" si="0"/>
        <v>2265910</v>
      </c>
      <c r="N8" s="25">
        <f t="shared" ca="1" si="0"/>
        <v>1676855.56</v>
      </c>
      <c r="O8" s="24">
        <f t="shared" ref="O8:O16" ca="1" si="1">IF(L8&gt;0,N8*100/L8,0)</f>
        <v>24.038978899069022</v>
      </c>
      <c r="P8" s="24">
        <f t="shared" ref="P8:P16" ca="1" si="2">IF(M8&gt;0,N8*100/M8,0)</f>
        <v>74.003625916298532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6975569</v>
      </c>
      <c r="M10" s="32">
        <f t="shared" ca="1" si="4"/>
        <v>2265910</v>
      </c>
      <c r="N10" s="32">
        <f t="shared" ca="1" si="4"/>
        <v>1676855.56</v>
      </c>
      <c r="O10" s="31">
        <f t="shared" ca="1" si="1"/>
        <v>24.038978899069022</v>
      </c>
      <c r="P10" s="31">
        <f t="shared" ca="1" si="2"/>
        <v>74.003625916298532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6900569</v>
      </c>
      <c r="M12" s="40">
        <f t="shared" ca="1" si="6"/>
        <v>2265910</v>
      </c>
      <c r="N12" s="40">
        <f t="shared" ca="1" si="6"/>
        <v>1601855.56</v>
      </c>
      <c r="O12" s="40">
        <f t="shared" ca="1" si="1"/>
        <v>23.213383707923217</v>
      </c>
      <c r="P12" s="40">
        <f t="shared" ca="1" si="2"/>
        <v>70.69369745488568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2200100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4700469</v>
      </c>
      <c r="M14" s="40">
        <f t="shared" si="8"/>
        <v>0</v>
      </c>
      <c r="N14" s="40">
        <f t="shared" ca="1" si="8"/>
        <v>289916.56</v>
      </c>
      <c r="O14" s="43">
        <f t="shared" ca="1" si="1"/>
        <v>6.167821976913368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75000</v>
      </c>
      <c r="M16" s="40">
        <f t="shared" si="10"/>
        <v>0</v>
      </c>
      <c r="N16" s="40">
        <f t="shared" ca="1" si="10"/>
        <v>75000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4241230</v>
      </c>
      <c r="M18" s="25">
        <f t="shared" ca="1" si="11"/>
        <v>2265910</v>
      </c>
      <c r="N18" s="25">
        <f t="shared" ca="1" si="11"/>
        <v>1386939</v>
      </c>
      <c r="O18" s="24">
        <f t="shared" ref="O18:O20" ca="1" si="12">IF(L18&gt;0,N18*100/L18,0)</f>
        <v>32.701338998356611</v>
      </c>
      <c r="P18" s="24">
        <f t="shared" ref="P18:P26" ca="1" si="13">IF(M18&gt;0,N18*100/M18,0)</f>
        <v>61.208918271246432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4241230</v>
      </c>
      <c r="M20" s="32">
        <f t="shared" ca="1" si="15"/>
        <v>2265910</v>
      </c>
      <c r="N20" s="32">
        <f t="shared" ca="1" si="15"/>
        <v>1386939</v>
      </c>
      <c r="O20" s="31">
        <f t="shared" ca="1" si="12"/>
        <v>32.701338998356611</v>
      </c>
      <c r="P20" s="31">
        <f t="shared" ca="1" si="13"/>
        <v>61.208918271246432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4166230</v>
      </c>
      <c r="M22" s="44">
        <f t="shared" ca="1" si="18"/>
        <v>2265910</v>
      </c>
      <c r="N22" s="43">
        <f t="shared" ca="1" si="18"/>
        <v>1311939</v>
      </c>
      <c r="O22" s="43">
        <f t="shared" ca="1" si="17"/>
        <v>31.48983613482693</v>
      </c>
      <c r="P22" s="43">
        <f t="shared" ca="1" si="13"/>
        <v>57.89898980983358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2200100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1966130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75000</v>
      </c>
      <c r="M26" s="52">
        <f t="shared" si="22"/>
        <v>0</v>
      </c>
      <c r="N26" s="52">
        <f t="shared" ca="1" si="22"/>
        <v>75000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2734339</v>
      </c>
      <c r="M28" s="25">
        <f t="shared" si="23"/>
        <v>0</v>
      </c>
      <c r="N28" s="25">
        <f t="shared" ca="1" si="23"/>
        <v>289916.56</v>
      </c>
      <c r="O28" s="24">
        <f t="shared" ref="O28:O30" ca="1" si="24">IF(L28&gt;0,N28*100/L28,0)</f>
        <v>10.602802359180775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2734339</v>
      </c>
      <c r="M30" s="32">
        <f t="shared" si="27"/>
        <v>0</v>
      </c>
      <c r="N30" s="32">
        <f t="shared" ca="1" si="27"/>
        <v>289916.56</v>
      </c>
      <c r="O30" s="31">
        <f t="shared" ca="1" si="24"/>
        <v>10.602802359180775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2734339</v>
      </c>
      <c r="M32" s="43">
        <f t="shared" si="30"/>
        <v>0</v>
      </c>
      <c r="N32" s="43">
        <f t="shared" ca="1" si="30"/>
        <v>289916.56</v>
      </c>
      <c r="O32" s="43">
        <f t="shared" ca="1" si="29"/>
        <v>10.602802359180775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2734339</v>
      </c>
      <c r="M34" s="43">
        <f t="shared" si="32"/>
        <v>0</v>
      </c>
      <c r="N34" s="43">
        <f t="shared" ca="1" si="32"/>
        <v>289916.56</v>
      </c>
      <c r="O34" s="43">
        <f t="shared" ca="1" si="29"/>
        <v>10.602802359180775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4241230</v>
      </c>
      <c r="M37" s="57">
        <f t="shared" ca="1" si="33"/>
        <v>2265910</v>
      </c>
      <c r="N37" s="57">
        <f t="shared" ca="1" si="33"/>
        <v>1386939</v>
      </c>
      <c r="O37" s="58">
        <f t="shared" ca="1" si="29"/>
        <v>32.701338998356611</v>
      </c>
      <c r="P37" s="58">
        <f t="shared" ca="1" si="25"/>
        <v>61.208918271246432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1038100</v>
      </c>
      <c r="M41" s="81">
        <f t="shared" ca="1" si="34"/>
        <v>519100</v>
      </c>
      <c r="N41" s="81">
        <f t="shared" ca="1" si="34"/>
        <v>448148</v>
      </c>
      <c r="O41" s="80">
        <f t="shared" ref="O41:O43" ca="1" si="35">IF(L41&gt;0,N41*100/L41,0)</f>
        <v>43.170022155861673</v>
      </c>
      <c r="P41" s="80">
        <f t="shared" ref="P41:P43" ca="1" si="36">IF(M41&gt;0,N41*100/M41,0)</f>
        <v>86.331727990753222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1038100</v>
      </c>
      <c r="M43" s="81">
        <f t="shared" ca="1" si="38"/>
        <v>519100</v>
      </c>
      <c r="N43" s="81">
        <f t="shared" ca="1" si="38"/>
        <v>448148</v>
      </c>
      <c r="O43" s="80">
        <f t="shared" ca="1" si="35"/>
        <v>43.170022155861673</v>
      </c>
      <c r="P43" s="80">
        <f t="shared" ca="1" si="36"/>
        <v>86.331727990753222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1038100</v>
      </c>
      <c r="M45" s="93">
        <f ca="1">IFERROR(__xludf.DUMMYFUNCTION("IMPORTRANGE(""https://docs.google.com/spreadsheets/d/1Yj_ptqi66GCucihVvJfMjLAmec39IyEx_6qawtMGysU/edit?usp=sharing"",""สบก!Q28"")"),519100)</f>
        <v>519100</v>
      </c>
      <c r="N45" s="93">
        <f ca="1">IFERROR(__xludf.DUMMYFUNCTION("IMPORTRANGE(""https://docs.google.com/spreadsheets/d/1Yj_ptqi66GCucihVvJfMjLAmec39IyEx_6qawtMGysU/edit?usp=sharing"",""สบก!R28"")"),448148)</f>
        <v>448148</v>
      </c>
      <c r="O45" s="94">
        <f ca="1">IF(L45&gt;0,N45*100/L45,0)</f>
        <v>43.170022155861673</v>
      </c>
      <c r="P45" s="94">
        <f ca="1">IF(M45&gt;0,N45*100/M45,0)</f>
        <v>86.331727990753222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IFERROR(__xludf.DUMMYFUNCTION("IMPORTRANGE(""https://docs.google.com/spreadsheets/d/1Yj_ptqi66GCucihVvJfMjLAmec39IyEx_6qawtMGysU/edit?usp=sharing"",""สบก!M28"")"),1038100)</f>
        <v>1038100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IFERROR(__xludf.DUMMYFUNCTION("IMPORTRANGE(""https://docs.google.com/spreadsheets/d/1Yj_ptqi66GCucihVvJfMjLAmec39IyEx_6qawtMGysU/edit?usp=sharing"",""สบก!N28"")"),0)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IFERROR(__xludf.DUMMYFUNCTION("IMPORTRANGE(""https://docs.google.com/spreadsheets/d/1Yj_ptqi66GCucihVvJfMjLAmec39IyEx_6qawtMGysU/edit?usp=sharing"",""สบก!O28"")"),0)</f>
        <v>0</v>
      </c>
      <c r="M49" s="103"/>
      <c r="N49" s="93">
        <f ca="1">IFERROR(__xludf.DUMMYFUNCTION("IMPORTRANGE(""https://docs.google.com/spreadsheets/d/1Yj_ptqi66GCucihVvJfMjLAmec39IyEx_6qawtMGysU/edit?usp=sharing"",""สบก!S28"")"),0)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218000</v>
      </c>
      <c r="N53" s="127">
        <f t="shared" ca="1" si="39"/>
        <v>170503</v>
      </c>
      <c r="O53" s="126">
        <f t="shared" ref="O53:O55" ca="1" si="40">IF(L53&gt;0,N53*100/L53,0)</f>
        <v>42.625749999999996</v>
      </c>
      <c r="P53" s="126">
        <f t="shared" ref="P53:P55" ca="1" si="41">IF(M53&gt;0,N53*100/M53,0)</f>
        <v>78.212385321100911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218000</v>
      </c>
      <c r="N55" s="127">
        <f t="shared" ca="1" si="43"/>
        <v>170503</v>
      </c>
      <c r="O55" s="126">
        <f t="shared" ca="1" si="40"/>
        <v>42.625749999999996</v>
      </c>
      <c r="P55" s="126">
        <f t="shared" ca="1" si="41"/>
        <v>78.212385321100911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IFERROR(__xludf.DUMMYFUNCTION("IMPORTRANGE(""https://docs.google.com/spreadsheets/d/1Yj_ptqi66GCucihVvJfMjLAmec39IyEx_6qawtMGysU/edit?usp=sharing"",""สบก!Z28"")"),218000)</f>
        <v>218000</v>
      </c>
      <c r="N57" s="93">
        <f ca="1">IFERROR(__xludf.DUMMYFUNCTION("IMPORTRANGE(""https://docs.google.com/spreadsheets/d/1Yj_ptqi66GCucihVvJfMjLAmec39IyEx_6qawtMGysU/edit?usp=sharing"",""สบก!AA28"")"),170503)</f>
        <v>170503</v>
      </c>
      <c r="O57" s="94">
        <f ca="1">IF(L57&gt;0,N57*100/L57,0)</f>
        <v>42.625749999999996</v>
      </c>
      <c r="P57" s="94">
        <f ca="1">IF(M57&gt;0,N57*100/M57,0)</f>
        <v>78.212385321100911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IFERROR(__xludf.DUMMYFUNCTION("IMPORTRANGE(""https://docs.google.com/spreadsheets/d/1Yj_ptqi66GCucihVvJfMjLAmec39IyEx_6qawtMGysU/edit?usp=sharing"",""สบก!V28"")"),400000)</f>
        <v>400000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IFERROR(__xludf.DUMMYFUNCTION("IMPORTRANGE(""https://docs.google.com/spreadsheets/d/1Yj_ptqi66GCucihVvJfMjLAmec39IyEx_6qawtMGysU/edit?usp=sharing"",""สบก!W28"")"),0)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IFERROR(__xludf.DUMMYFUNCTION("IMPORTRANGE(""https://docs.google.com/spreadsheets/d/1Yj_ptqi66GCucihVvJfMjLAmec39IyEx_6qawtMGysU/edit?usp=sharing"",""สบก!X28"")"),0)</f>
        <v>0</v>
      </c>
      <c r="M61" s="103"/>
      <c r="N61" s="93">
        <f ca="1">IFERROR(__xludf.DUMMYFUNCTION("IMPORTRANGE(""https://docs.google.com/spreadsheets/d/1Yj_ptqi66GCucihVvJfMjLAmec39IyEx_6qawtMGysU/edit?usp=sharing"",""สบก!AB28"")"),0)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IFERROR(__xludf.DUMMYFUNCTION("IMPORTRANGE(""https://docs.google.com/spreadsheets/d/11923uPwbBZFjjGgGUA6NLw09EwE0CqkOc4q9oUmW1yo/edit?usp=sharing"",""พิษณุโลก!I9"")"),3)</f>
        <v>3</v>
      </c>
      <c r="J64" s="148">
        <f ca="1">IFERROR(__xludf.DUMMYFUNCTION("IMPORTRANGE(""https://docs.google.com/spreadsheets/d/11923uPwbBZFjjGgGUA6NLw09EwE0CqkOc4q9oUmW1yo/edit?usp=sharing"",""พิษณุโลก!J9"")"),3)</f>
        <v>3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IFERROR(__xludf.DUMMYFUNCTION("IMPORTRANGE(""https://docs.google.com/spreadsheets/d/11923uPwbBZFjjGgGUA6NLw09EwE0CqkOc4q9oUmW1yo/edit?usp=sharing"",""พิษณุโลก!I10"")"),188)</f>
        <v>188</v>
      </c>
      <c r="J65" s="148">
        <f ca="1">IFERROR(__xludf.DUMMYFUNCTION("IMPORTRANGE(""https://docs.google.com/spreadsheets/d/11923uPwbBZFjjGgGUA6NLw09EwE0CqkOc4q9oUmW1yo/edit?usp=sharing"",""พิษณุโลก!J10"")"),188)</f>
        <v>188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1706600</v>
      </c>
      <c r="M66" s="158">
        <f t="shared" ca="1" si="45"/>
        <v>931680</v>
      </c>
      <c r="N66" s="158">
        <f t="shared" ca="1" si="45"/>
        <v>378961</v>
      </c>
      <c r="O66" s="157">
        <f t="shared" ref="O66:O68" ca="1" si="46">IF(L66&gt;0,N66*100/L66,0)</f>
        <v>22.205613500527363</v>
      </c>
      <c r="P66" s="157">
        <f t="shared" ref="P66:P68" ca="1" si="47">IF(M66&gt;0,N66*100/M66,0)</f>
        <v>40.675017173278377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1706600</v>
      </c>
      <c r="M68" s="163">
        <f t="shared" ca="1" si="49"/>
        <v>931680</v>
      </c>
      <c r="N68" s="163">
        <f t="shared" ca="1" si="49"/>
        <v>378961</v>
      </c>
      <c r="O68" s="162">
        <f t="shared" ca="1" si="46"/>
        <v>22.205613500527363</v>
      </c>
      <c r="P68" s="162">
        <f t="shared" ca="1" si="47"/>
        <v>40.675017173278377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1646600</v>
      </c>
      <c r="M70" s="176">
        <f ca="1">IFERROR(__xludf.DUMMYFUNCTION("IMPORTRANGE(""https://docs.google.com/spreadsheets/d/1Yj_ptqi66GCucihVvJfMjLAmec39IyEx_6qawtMGysU/edit?usp=sharing"",""สบก!AI28"")"),931680)</f>
        <v>931680</v>
      </c>
      <c r="N70" s="177">
        <f ca="1">IFERROR(__xludf.DUMMYFUNCTION("IMPORTRANGE(""https://docs.google.com/spreadsheets/d/1Yj_ptqi66GCucihVvJfMjLAmec39IyEx_6qawtMGysU/edit?usp=sharing"",""สบก!AJ28"")"),318961)</f>
        <v>318961</v>
      </c>
      <c r="O70" s="178">
        <f ca="1">IF(L70&gt;0,N70*100/L70,0)</f>
        <v>19.370885460949836</v>
      </c>
      <c r="P70" s="178">
        <f ca="1">IF(M70&gt;0,N70*100/M70,0)</f>
        <v>34.235037781212434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IFERROR(__xludf.DUMMYFUNCTION("IMPORTRANGE(""https://docs.google.com/spreadsheets/d/1Yj_ptqi66GCucihVvJfMjLAmec39IyEx_6qawtMGysU/edit?usp=sharing"",""สบก!AE28"")"),192000)</f>
        <v>192000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IFERROR(__xludf.DUMMYFUNCTION("IMPORTRANGE(""https://docs.google.com/spreadsheets/d/1Yj_ptqi66GCucihVvJfMjLAmec39IyEx_6qawtMGysU/edit?usp=sharing"",""สบก!AF28"")"),1454600)</f>
        <v>1454600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IFERROR(__xludf.DUMMYFUNCTION("IMPORTRANGE(""https://docs.google.com/spreadsheets/d/1Yj_ptqi66GCucihVvJfMjLAmec39IyEx_6qawtMGysU/edit?usp=sharing"",""สบก!AG28"")"),60000)</f>
        <v>60000</v>
      </c>
      <c r="M74" s="103"/>
      <c r="N74" s="93">
        <f ca="1">IFERROR(__xludf.DUMMYFUNCTION("IMPORTRANGE(""https://docs.google.com/spreadsheets/d/1Yj_ptqi66GCucihVvJfMjLAmec39IyEx_6qawtMGysU/edit?usp=sharing"",""สบก!AK28"")"),60000)</f>
        <v>60000</v>
      </c>
      <c r="O74" s="103">
        <f ca="1">IF(L74&gt;0,N74*100/L74,0)</f>
        <v>100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IFERROR(__xludf.DUMMYFUNCTION("IMPORTRANGE(""https://docs.google.com/spreadsheets/d/11923uPwbBZFjjGgGUA6NLw09EwE0CqkOc4q9oUmW1yo/edit?usp=sharing"",""พิษณุโลก!J16"")"),0)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IFERROR(__xludf.DUMMYFUNCTION("IMPORTRANGE(""https://docs.google.com/spreadsheets/d/11923uPwbBZFjjGgGUA6NLw09EwE0CqkOc4q9oUmW1yo/edit?usp=sharing"",""พิษณุโลก!J17"")"),1)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IFERROR(__xludf.DUMMYFUNCTION("IMPORTRANGE(""https://docs.google.com/spreadsheets/d/11923uPwbBZFjjGgGUA6NLw09EwE0CqkOc4q9oUmW1yo/edit?usp=sharing"",""พิษณุโลก!J18"")"),1)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IFERROR(__xludf.DUMMYFUNCTION("IMPORTRANGE(""https://docs.google.com/spreadsheets/d/11923uPwbBZFjjGgGUA6NLw09EwE0CqkOc4q9oUmW1yo/edit?usp=sharing"",""พิษณุโลก!J19"")"),1)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IFERROR(__xludf.DUMMYFUNCTION("IMPORTRANGE(""https://docs.google.com/spreadsheets/d/11923uPwbBZFjjGgGUA6NLw09EwE0CqkOc4q9oUmW1yo/edit?usp=sharing"",""พิษณุโลก!I20"")"),3)</f>
        <v>3</v>
      </c>
      <c r="J80" s="210">
        <f ca="1">IFERROR(__xludf.DUMMYFUNCTION("IMPORTRANGE(""https://docs.google.com/spreadsheets/d/11923uPwbBZFjjGgGUA6NLw09EwE0CqkOc4q9oUmW1yo/edit?usp=sharing"",""พิษณุโลก!J20"")"),3)</f>
        <v>3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IFERROR(__xludf.DUMMYFUNCTION("IMPORTRANGE(""https://docs.google.com/spreadsheets/d/11923uPwbBZFjjGgGUA6NLw09EwE0CqkOc4q9oUmW1yo/edit?usp=sharing"",""พิษณุโลก!I21"")"),188)</f>
        <v>188</v>
      </c>
      <c r="J81" s="210">
        <f ca="1">IFERROR(__xludf.DUMMYFUNCTION("IMPORTRANGE(""https://docs.google.com/spreadsheets/d/11923uPwbBZFjjGgGUA6NLw09EwE0CqkOc4q9oUmW1yo/edit?usp=sharing"",""พิษณุโลก!J21"")"),188)</f>
        <v>188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IFERROR(__xludf.DUMMYFUNCTION("IMPORTRANGE(""https://docs.google.com/spreadsheets/d/11923uPwbBZFjjGgGUA6NLw09EwE0CqkOc4q9oUmW1yo/edit?usp=sharing"",""พิษณุโลก!I22"")"),0)</f>
        <v>0</v>
      </c>
      <c r="J82" s="213">
        <f ca="1">IFERROR(__xludf.DUMMYFUNCTION("IMPORTRANGE(""https://docs.google.com/spreadsheets/d/11923uPwbBZFjjGgGUA6NLw09EwE0CqkOc4q9oUmW1yo/edit?usp=sharing"",""พิษณุโลก!J22"")"),0)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IFERROR(__xludf.DUMMYFUNCTION("IMPORTRANGE(""https://docs.google.com/spreadsheets/d/11923uPwbBZFjjGgGUA6NLw09EwE0CqkOc4q9oUmW1yo/edit?usp=sharing"",""พิษณุโลก!I23"")"),0)</f>
        <v>0</v>
      </c>
      <c r="J83" s="213">
        <f ca="1">IFERROR(__xludf.DUMMYFUNCTION("IMPORTRANGE(""https://docs.google.com/spreadsheets/d/11923uPwbBZFjjGgGUA6NLw09EwE0CqkOc4q9oUmW1yo/edit?usp=sharing"",""พิษณุโลก!J23"")"),0)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IFERROR(__xludf.DUMMYFUNCTION("IMPORTRANGE(""https://docs.google.com/spreadsheets/d/11923uPwbBZFjjGgGUA6NLw09EwE0CqkOc4q9oUmW1yo/edit?usp=sharing"",""พิษณุโลก!I24"")"),0)</f>
        <v>0</v>
      </c>
      <c r="J84" s="198">
        <f ca="1">IFERROR(__xludf.DUMMYFUNCTION("IMPORTRANGE(""https://docs.google.com/spreadsheets/d/11923uPwbBZFjjGgGUA6NLw09EwE0CqkOc4q9oUmW1yo/edit?usp=sharing"",""พิษณุโลก!J24"")"),0)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IFERROR(__xludf.DUMMYFUNCTION("IMPORTRANGE(""https://docs.google.com/spreadsheets/d/11923uPwbBZFjjGgGUA6NLw09EwE0CqkOc4q9oUmW1yo/edit?usp=sharing"",""พิษณุโลก!I25"")"),0)</f>
        <v>0</v>
      </c>
      <c r="J85" s="198">
        <f ca="1">IFERROR(__xludf.DUMMYFUNCTION("IMPORTRANGE(""https://docs.google.com/spreadsheets/d/11923uPwbBZFjjGgGUA6NLw09EwE0CqkOc4q9oUmW1yo/edit?usp=sharing"",""พิษณุโลก!J25"")"),0)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IFERROR(__xludf.DUMMYFUNCTION("IMPORTRANGE(""https://docs.google.com/spreadsheets/d/11923uPwbBZFjjGgGUA6NLw09EwE0CqkOc4q9oUmW1yo/edit?usp=sharing"",""พิษณุโลก!I26"")"),3)</f>
        <v>3</v>
      </c>
      <c r="J86" s="213">
        <f ca="1">IFERROR(__xludf.DUMMYFUNCTION("IMPORTRANGE(""https://docs.google.com/spreadsheets/d/11923uPwbBZFjjGgGUA6NLw09EwE0CqkOc4q9oUmW1yo/edit?usp=sharing"",""พิษณุโลก!J26"")"),3)</f>
        <v>3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IFERROR(__xludf.DUMMYFUNCTION("IMPORTRANGE(""https://docs.google.com/spreadsheets/d/11923uPwbBZFjjGgGUA6NLw09EwE0CqkOc4q9oUmW1yo/edit?usp=sharing"",""พิษณุโลก!I27"")"),188)</f>
        <v>188</v>
      </c>
      <c r="J87" s="213">
        <f ca="1">IFERROR(__xludf.DUMMYFUNCTION("IMPORTRANGE(""https://docs.google.com/spreadsheets/d/11923uPwbBZFjjGgGUA6NLw09EwE0CqkOc4q9oUmW1yo/edit?usp=sharing"",""พิษณุโลก!J27"")"),188)</f>
        <v>188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IFERROR(__xludf.DUMMYFUNCTION("IMPORTRANGE(""https://docs.google.com/spreadsheets/d/11923uPwbBZFjjGgGUA6NLw09EwE0CqkOc4q9oUmW1yo/edit?usp=sharing"",""พิษณุโลก!I28"")"),0)</f>
        <v>0</v>
      </c>
      <c r="J88" s="213">
        <f ca="1">IFERROR(__xludf.DUMMYFUNCTION("IMPORTRANGE(""https://docs.google.com/spreadsheets/d/11923uPwbBZFjjGgGUA6NLw09EwE0CqkOc4q9oUmW1yo/edit?usp=sharing"",""พิษณุโลก!J28"")"),0)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IFERROR(__xludf.DUMMYFUNCTION("IMPORTRANGE(""https://docs.google.com/spreadsheets/d/11923uPwbBZFjjGgGUA6NLw09EwE0CqkOc4q9oUmW1yo/edit?usp=sharing"",""พิษณุโลก!J29"")"),0)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IFERROR(__xludf.DUMMYFUNCTION("IMPORTRANGE(""https://docs.google.com/spreadsheets/d/11923uPwbBZFjjGgGUA6NLw09EwE0CqkOc4q9oUmW1yo/edit?usp=sharing"",""พิษณุโลก!J30"")"),0)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IFERROR(__xludf.DUMMYFUNCTION("IMPORTRANGE(""https://docs.google.com/spreadsheets/d/11923uPwbBZFjjGgGUA6NLw09EwE0CqkOc4q9oUmW1yo/edit?usp=sharing"",""พิษณุโลก!I32"")"),0)</f>
        <v>0</v>
      </c>
      <c r="J92" s="148">
        <f ca="1">IFERROR(__xludf.DUMMYFUNCTION("IMPORTRANGE(""https://docs.google.com/spreadsheets/d/11923uPwbBZFjjGgGUA6NLw09EwE0CqkOc4q9oUmW1yo/edit?usp=sharing"",""พิษณุโลก!J32"")"),0)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IFERROR(__xludf.DUMMYFUNCTION("IMPORTRANGE(""https://docs.google.com/spreadsheets/d/11923uPwbBZFjjGgGUA6NLw09EwE0CqkOc4q9oUmW1yo/edit?usp=sharing"",""พิษณุโลก!I33"")"),0)</f>
        <v>0</v>
      </c>
      <c r="J93" s="148">
        <f ca="1">IFERROR(__xludf.DUMMYFUNCTION("IMPORTRANGE(""https://docs.google.com/spreadsheets/d/11923uPwbBZFjjGgGUA6NLw09EwE0CqkOc4q9oUmW1yo/edit?usp=sharing"",""พิษณุโลก!J33"")"),0)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IFERROR(__xludf.DUMMYFUNCTION("IMPORTRANGE(""https://docs.google.com/spreadsheets/d/1Yj_ptqi66GCucihVvJfMjLAmec39IyEx_6qawtMGysU/edit?usp=sharing"",""สบก!AR28"")"),0)</f>
        <v>0</v>
      </c>
      <c r="N98" s="177">
        <f ca="1">IFERROR(__xludf.DUMMYFUNCTION("IMPORTRANGE(""https://docs.google.com/spreadsheets/d/1Yj_ptqi66GCucihVvJfMjLAmec39IyEx_6qawtMGysU/edit?usp=sharing"",""สบก!AS28"")"),0)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IFERROR(__xludf.DUMMYFUNCTION("IMPORTRANGE(""https://docs.google.com/spreadsheets/d/1Yj_ptqi66GCucihVvJfMjLAmec39IyEx_6qawtMGysU/edit?usp=sharing"",""สบก!AN28"")"),0)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IFERROR(__xludf.DUMMYFUNCTION("IMPORTRANGE(""https://docs.google.com/spreadsheets/d/1Yj_ptqi66GCucihVvJfMjLAmec39IyEx_6qawtMGysU/edit?usp=sharing"",""สบก!AO28"")"),0)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IFERROR(__xludf.DUMMYFUNCTION("IMPORTRANGE(""https://docs.google.com/spreadsheets/d/1Yj_ptqi66GCucihVvJfMjLAmec39IyEx_6qawtMGysU/edit?usp=sharing"",""สบก!AP28"")"),0)</f>
        <v>0</v>
      </c>
      <c r="M102" s="103"/>
      <c r="N102" s="93">
        <f ca="1">IFERROR(__xludf.DUMMYFUNCTION("IMPORTRANGE(""https://docs.google.com/spreadsheets/d/1Yj_ptqi66GCucihVvJfMjLAmec39IyEx_6qawtMGysU/edit?usp=sharing"",""สบก!AT28"")"),0)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IFERROR(__xludf.DUMMYFUNCTION("IMPORTRANGE(""https://docs.google.com/spreadsheets/d/11923uPwbBZFjjGgGUA6NLw09EwE0CqkOc4q9oUmW1yo/edit?usp=sharing"",""พิษณุโลก!J39"")"),0)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IFERROR(__xludf.DUMMYFUNCTION("IMPORTRANGE(""https://docs.google.com/spreadsheets/d/11923uPwbBZFjjGgGUA6NLw09EwE0CqkOc4q9oUmW1yo/edit?usp=sharing"",""พิษณุโลก!J40"")"),0)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IFERROR(__xludf.DUMMYFUNCTION("IMPORTRANGE(""https://docs.google.com/spreadsheets/d/11923uPwbBZFjjGgGUA6NLw09EwE0CqkOc4q9oUmW1yo/edit?usp=sharing"",""พิษณุโลก!J41"")"),0)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IFERROR(__xludf.DUMMYFUNCTION("IMPORTRANGE(""https://docs.google.com/spreadsheets/d/11923uPwbBZFjjGgGUA6NLw09EwE0CqkOc4q9oUmW1yo/edit?usp=sharing"",""พิษณุโลก!J42"")"),0)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IFERROR(__xludf.DUMMYFUNCTION("IMPORTRANGE(""https://docs.google.com/spreadsheets/d/11923uPwbBZFjjGgGUA6NLw09EwE0CqkOc4q9oUmW1yo/edit?usp=sharing"",""พิษณุโลก!I43"")"),0)</f>
        <v>0</v>
      </c>
      <c r="J108" s="213">
        <f ca="1">IFERROR(__xludf.DUMMYFUNCTION("IMPORTRANGE(""https://docs.google.com/spreadsheets/d/11923uPwbBZFjjGgGUA6NLw09EwE0CqkOc4q9oUmW1yo/edit?usp=sharing"",""พิษณุโลก!J43"")"),0)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IFERROR(__xludf.DUMMYFUNCTION("IMPORTRANGE(""https://docs.google.com/spreadsheets/d/11923uPwbBZFjjGgGUA6NLw09EwE0CqkOc4q9oUmW1yo/edit?usp=sharing"",""พิษณุโลก!I44"")"),0)</f>
        <v>0</v>
      </c>
      <c r="J109" s="213">
        <f ca="1">IFERROR(__xludf.DUMMYFUNCTION("IMPORTRANGE(""https://docs.google.com/spreadsheets/d/11923uPwbBZFjjGgGUA6NLw09EwE0CqkOc4q9oUmW1yo/edit?usp=sharing"",""พิษณุโลก!J44"")"),0)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IFERROR(__xludf.DUMMYFUNCTION("IMPORTRANGE(""https://docs.google.com/spreadsheets/d/11923uPwbBZFjjGgGUA6NLw09EwE0CqkOc4q9oUmW1yo/edit?usp=sharing"",""พิษณุโลก!I45"")"),0)</f>
        <v>0</v>
      </c>
      <c r="J110" s="213">
        <f ca="1">IFERROR(__xludf.DUMMYFUNCTION("IMPORTRANGE(""https://docs.google.com/spreadsheets/d/11923uPwbBZFjjGgGUA6NLw09EwE0CqkOc4q9oUmW1yo/edit?usp=sharing"",""พิษณุโลก!J45"")"),0)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IFERROR(__xludf.DUMMYFUNCTION("IMPORTRANGE(""https://docs.google.com/spreadsheets/d/11923uPwbBZFjjGgGUA6NLw09EwE0CqkOc4q9oUmW1yo/edit?usp=sharing"",""พิษณุโลก!I46"")"),0)</f>
        <v>0</v>
      </c>
      <c r="J111" s="213">
        <f ca="1">IFERROR(__xludf.DUMMYFUNCTION("IMPORTRANGE(""https://docs.google.com/spreadsheets/d/11923uPwbBZFjjGgGUA6NLw09EwE0CqkOc4q9oUmW1yo/edit?usp=sharing"",""พิษณุโลก!J46"")"),0)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IFERROR(__xludf.DUMMYFUNCTION("IMPORTRANGE(""https://docs.google.com/spreadsheets/d/11923uPwbBZFjjGgGUA6NLw09EwE0CqkOc4q9oUmW1yo/edit?usp=sharing"",""พิษณุโลก!I47"")"),0)</f>
        <v>0</v>
      </c>
      <c r="J112" s="213">
        <f ca="1">IFERROR(__xludf.DUMMYFUNCTION("IMPORTRANGE(""https://docs.google.com/spreadsheets/d/11923uPwbBZFjjGgGUA6NLw09EwE0CqkOc4q9oUmW1yo/edit?usp=sharing"",""พิษณุโลก!J47"")"),0)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IFERROR(__xludf.DUMMYFUNCTION("IMPORTRANGE(""https://docs.google.com/spreadsheets/d/11923uPwbBZFjjGgGUA6NLw09EwE0CqkOc4q9oUmW1yo/edit?usp=sharing"",""พิษณุโลก!I48"")"),0)</f>
        <v>0</v>
      </c>
      <c r="J113" s="213">
        <f ca="1">IFERROR(__xludf.DUMMYFUNCTION("IMPORTRANGE(""https://docs.google.com/spreadsheets/d/11923uPwbBZFjjGgGUA6NLw09EwE0CqkOc4q9oUmW1yo/edit?usp=sharing"",""พิษณุโลก!J48"")"),0)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IFERROR(__xludf.DUMMYFUNCTION("IMPORTRANGE(""https://docs.google.com/spreadsheets/d/11923uPwbBZFjjGgGUA6NLw09EwE0CqkOc4q9oUmW1yo/edit?usp=sharing"",""พิษณุโลก!J49"")"),0)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IFERROR(__xludf.DUMMYFUNCTION("IMPORTRANGE(""https://docs.google.com/spreadsheets/d/11923uPwbBZFjjGgGUA6NLw09EwE0CqkOc4q9oUmW1yo/edit?usp=sharing"",""พิษณุโลก!J50"")"),0)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IFERROR(__xludf.DUMMYFUNCTION("IMPORTRANGE(""https://docs.google.com/spreadsheets/d/11923uPwbBZFjjGgGUA6NLw09EwE0CqkOc4q9oUmW1yo/edit?usp=sharing"",""พิษณุโลก!I52"")"),0)</f>
        <v>0</v>
      </c>
      <c r="J117" s="148">
        <f ca="1">IFERROR(__xludf.DUMMYFUNCTION("IMPORTRANGE(""https://docs.google.com/spreadsheets/d/11923uPwbBZFjjGgGUA6NLw09EwE0CqkOc4q9oUmW1yo/edit?usp=sharing"",""พิษณุโลก!J52"")"),0)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IFERROR(__xludf.DUMMYFUNCTION("IMPORTRANGE(""https://docs.google.com/spreadsheets/d/1Yj_ptqi66GCucihVvJfMjLAmec39IyEx_6qawtMGysU/edit?usp=sharing"",""สบก!BA28"")"),0)</f>
        <v>0</v>
      </c>
      <c r="N122" s="177">
        <f ca="1">IFERROR(__xludf.DUMMYFUNCTION("IMPORTRANGE(""https://docs.google.com/spreadsheets/d/1Yj_ptqi66GCucihVvJfMjLAmec39IyEx_6qawtMGysU/edit?usp=sharing"",""สบก!BB28"")"),0)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IFERROR(__xludf.DUMMYFUNCTION("IMPORTRANGE(""https://docs.google.com/spreadsheets/d/1Yj_ptqi66GCucihVvJfMjLAmec39IyEx_6qawtMGysU/edit?usp=sharing"",""สบก!AW28"")"),0)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IFERROR(__xludf.DUMMYFUNCTION("IMPORTRANGE(""https://docs.google.com/spreadsheets/d/1Yj_ptqi66GCucihVvJfMjLAmec39IyEx_6qawtMGysU/edit?usp=sharing"",""สบก!AX28"")"),0)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IFERROR(__xludf.DUMMYFUNCTION("IMPORTRANGE(""https://docs.google.com/spreadsheets/d/1Yj_ptqi66GCucihVvJfMjLAmec39IyEx_6qawtMGysU/edit?usp=sharing"",""สบก!AY28"")"),0)</f>
        <v>0</v>
      </c>
      <c r="M126" s="103"/>
      <c r="N126" s="93">
        <f ca="1">IFERROR(__xludf.DUMMYFUNCTION("IMPORTRANGE(""https://docs.google.com/spreadsheets/d/1Yj_ptqi66GCucihVvJfMjLAmec39IyEx_6qawtMGysU/edit?usp=sharing"",""สบก!BC28"")"),0)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256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IFERROR(__xludf.DUMMYFUNCTION("IMPORTRANGE(""https://docs.google.com/spreadsheets/d/11923uPwbBZFjjGgGUA6NLw09EwE0CqkOc4q9oUmW1yo/edit?usp=sharing"",""พิษณุโลก!J58"")"),0)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IFERROR(__xludf.DUMMYFUNCTION("IMPORTRANGE(""https://docs.google.com/spreadsheets/d/11923uPwbBZFjjGgGUA6NLw09EwE0CqkOc4q9oUmW1yo/edit?usp=sharing"",""พิษณุโลก!J59"")"),0)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IFERROR(__xludf.DUMMYFUNCTION("IMPORTRANGE(""https://docs.google.com/spreadsheets/d/11923uPwbBZFjjGgGUA6NLw09EwE0CqkOc4q9oUmW1yo/edit?usp=sharing"",""พิษณุโลก!J60"")"),0)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IFERROR(__xludf.DUMMYFUNCTION("IMPORTRANGE(""https://docs.google.com/spreadsheets/d/11923uPwbBZFjjGgGUA6NLw09EwE0CqkOc4q9oUmW1yo/edit?usp=sharing"",""พิษณุโลก!J61"")"),0)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IFERROR(__xludf.DUMMYFUNCTION("IMPORTRANGE(""https://docs.google.com/spreadsheets/d/11923uPwbBZFjjGgGUA6NLw09EwE0CqkOc4q9oUmW1yo/edit?usp=sharing"",""พิษณุโลก!I62"")"),0)</f>
        <v>0</v>
      </c>
      <c r="J132" s="213">
        <f ca="1">IFERROR(__xludf.DUMMYFUNCTION("IMPORTRANGE(""https://docs.google.com/spreadsheets/d/11923uPwbBZFjjGgGUA6NLw09EwE0CqkOc4q9oUmW1yo/edit?usp=sharing"",""พิษณุโลก!J62"")"),0)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IFERROR(__xludf.DUMMYFUNCTION("IMPORTRANGE(""https://docs.google.com/spreadsheets/d/11923uPwbBZFjjGgGUA6NLw09EwE0CqkOc4q9oUmW1yo/edit?usp=sharing"",""พิษณุโลก!I63"")"),0)</f>
        <v>0</v>
      </c>
      <c r="J133" s="213">
        <f ca="1">IFERROR(__xludf.DUMMYFUNCTION("IMPORTRANGE(""https://docs.google.com/spreadsheets/d/11923uPwbBZFjjGgGUA6NLw09EwE0CqkOc4q9oUmW1yo/edit?usp=sharing"",""พิษณุโลก!J63"")"),0)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IFERROR(__xludf.DUMMYFUNCTION("IMPORTRANGE(""https://docs.google.com/spreadsheets/d/11923uPwbBZFjjGgGUA6NLw09EwE0CqkOc4q9oUmW1yo/edit?usp=sharing"",""พิษณุโลก!J64"")"),0)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IFERROR(__xludf.DUMMYFUNCTION("IMPORTRANGE(""https://docs.google.com/spreadsheets/d/11923uPwbBZFjjGgGUA6NLw09EwE0CqkOc4q9oUmW1yo/edit?usp=sharing"",""พิษณุโลก!J65"")"),0)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IFERROR(__xludf.DUMMYFUNCTION("IMPORTRANGE(""https://docs.google.com/spreadsheets/d/11923uPwbBZFjjGgGUA6NLw09EwE0CqkOc4q9oUmW1yo/edit?usp=sharing"",""พิษณุโลก!I68"")"),15)</f>
        <v>15</v>
      </c>
      <c r="J138" s="276">
        <f ca="1">IFERROR(__xludf.DUMMYFUNCTION("IMPORTRANGE(""https://docs.google.com/spreadsheets/d/11923uPwbBZFjjGgGUA6NLw09EwE0CqkOc4q9oUmW1yo/edit?usp=sharing"",""พิษณุโลก!J68"")"),15)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348000</v>
      </c>
      <c r="M140" s="158">
        <f t="shared" ca="1" si="64"/>
        <v>192750</v>
      </c>
      <c r="N140" s="158">
        <f t="shared" ca="1" si="64"/>
        <v>121742</v>
      </c>
      <c r="O140" s="157">
        <f t="shared" ref="O140:O142" ca="1" si="65">IF(L140&gt;0,N140*100/L140,0)</f>
        <v>34.983333333333334</v>
      </c>
      <c r="P140" s="157">
        <f t="shared" ref="P140:P142" ca="1" si="66">IF(M140&gt;0,N140*100/M140,0)</f>
        <v>63.160570687418939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348000</v>
      </c>
      <c r="M142" s="163">
        <f t="shared" ca="1" si="68"/>
        <v>192750</v>
      </c>
      <c r="N142" s="163">
        <f t="shared" ca="1" si="68"/>
        <v>121742</v>
      </c>
      <c r="O142" s="162">
        <f t="shared" ca="1" si="65"/>
        <v>34.983333333333334</v>
      </c>
      <c r="P142" s="162">
        <f t="shared" ca="1" si="66"/>
        <v>63.160570687418939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348000</v>
      </c>
      <c r="M144" s="176">
        <f ca="1">IFERROR(__xludf.DUMMYFUNCTION("IMPORTRANGE(""https://docs.google.com/spreadsheets/d/1Yj_ptqi66GCucihVvJfMjLAmec39IyEx_6qawtMGysU/edit?usp=sharing"",""สบก!BJ28"")"),192750)</f>
        <v>192750</v>
      </c>
      <c r="N144" s="177">
        <f ca="1">IFERROR(__xludf.DUMMYFUNCTION("IMPORTRANGE(""https://docs.google.com/spreadsheets/d/1Yj_ptqi66GCucihVvJfMjLAmec39IyEx_6qawtMGysU/edit?usp=sharing"",""สบก!BK28"")"),121742)</f>
        <v>121742</v>
      </c>
      <c r="O144" s="178">
        <f ca="1">IF(L144&gt;0,N144*100/L144,0)</f>
        <v>34.983333333333334</v>
      </c>
      <c r="P144" s="178">
        <f ca="1">IF(M144&gt;0,N144*100/M144,0)</f>
        <v>63.160570687418939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IFERROR(__xludf.DUMMYFUNCTION("IMPORTRANGE(""https://docs.google.com/spreadsheets/d/1Yj_ptqi66GCucihVvJfMjLAmec39IyEx_6qawtMGysU/edit?usp=sharing"",""สบก!BF28"")"),264000)</f>
        <v>264000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IFERROR(__xludf.DUMMYFUNCTION("IMPORTRANGE(""https://docs.google.com/spreadsheets/d/1Yj_ptqi66GCucihVvJfMjLAmec39IyEx_6qawtMGysU/edit?usp=sharing"",""สบก!BG28"")"),84000)</f>
        <v>84000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IFERROR(__xludf.DUMMYFUNCTION("IMPORTRANGE(""https://docs.google.com/spreadsheets/d/1Yj_ptqi66GCucihVvJfMjLAmec39IyEx_6qawtMGysU/edit?usp=sharing"",""สบก!BH28"")"),0)</f>
        <v>0</v>
      </c>
      <c r="M148" s="103"/>
      <c r="N148" s="93">
        <f ca="1">IFERROR(__xludf.DUMMYFUNCTION("IMPORTRANGE(""https://docs.google.com/spreadsheets/d/1Yj_ptqi66GCucihVvJfMjLAmec39IyEx_6qawtMGysU/edit?usp=sharing"",""สบก!BL28"")"),0)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IFERROR(__xludf.DUMMYFUNCTION("IMPORTRANGE(""https://docs.google.com/spreadsheets/d/11923uPwbBZFjjGgGUA6NLw09EwE0CqkOc4q9oUmW1yo/edit?usp=sharing"",""พิษณุโลก!I74"")"),4)</f>
        <v>4</v>
      </c>
      <c r="J149" s="284">
        <f ca="1">IFERROR(__xludf.DUMMYFUNCTION("IMPORTRANGE(""https://docs.google.com/spreadsheets/d/11923uPwbBZFjjGgGUA6NLw09EwE0CqkOc4q9oUmW1yo/edit?usp=sharing"",""พิษณุโลก!J74"")"),1)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IFERROR(__xludf.DUMMYFUNCTION("IMPORTRANGE(""https://docs.google.com/spreadsheets/d/11923uPwbBZFjjGgGUA6NLw09EwE0CqkOc4q9oUmW1yo/edit?usp=sharing"",""พิษณุโลก!J79"")"),0)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IFERROR(__xludf.DUMMYFUNCTION("IMPORTRANGE(""https://docs.google.com/spreadsheets/d/11923uPwbBZFjjGgGUA6NLw09EwE0CqkOc4q9oUmW1yo/edit?usp=sharing"",""พิษณุโลก!J80"")"),1)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IFERROR(__xludf.DUMMYFUNCTION("IMPORTRANGE(""https://docs.google.com/spreadsheets/d/11923uPwbBZFjjGgGUA6NLw09EwE0CqkOc4q9oUmW1yo/edit?usp=sharing"",""พิษณุโลก!J81"")"),0)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IFERROR(__xludf.DUMMYFUNCTION("IMPORTRANGE(""https://docs.google.com/spreadsheets/d/11923uPwbBZFjjGgGUA6NLw09EwE0CqkOc4q9oUmW1yo/edit?usp=sharing"",""พิษณุโลก!J82"")"),1)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IFERROR(__xludf.DUMMYFUNCTION("IMPORTRANGE(""https://docs.google.com/spreadsheets/d/11923uPwbBZFjjGgGUA6NLw09EwE0CqkOc4q9oUmW1yo/edit?usp=sharing"",""พิษณุโลก!I83"")"),4)</f>
        <v>4</v>
      </c>
      <c r="J158" s="198">
        <f ca="1">IFERROR(__xludf.DUMMYFUNCTION("IMPORTRANGE(""https://docs.google.com/spreadsheets/d/11923uPwbBZFjjGgGUA6NLw09EwE0CqkOc4q9oUmW1yo/edit?usp=sharing"",""พิษณุโลก!J83"")"),1)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IFERROR(__xludf.DUMMYFUNCTION("IMPORTRANGE(""https://docs.google.com/spreadsheets/d/11923uPwbBZFjjGgGUA6NLw09EwE0CqkOc4q9oUmW1yo/edit?usp=sharing"",""พิษณุโลก!J84"")"),100)</f>
        <v>100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IFERROR(__xludf.DUMMYFUNCTION("IMPORTRANGE(""https://docs.google.com/spreadsheets/d/11923uPwbBZFjjGgGUA6NLw09EwE0CqkOc4q9oUmW1yo/edit?usp=sharing"",""พิษณุโลก!J85"")"),100)</f>
        <v>100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IFERROR(__xludf.DUMMYFUNCTION("IMPORTRANGE(""https://docs.google.com/spreadsheets/d/11923uPwbBZFjjGgGUA6NLw09EwE0CqkOc4q9oUmW1yo/edit?usp=sharing"",""พิษณุโลก!J86"")"),0)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IFERROR(__xludf.DUMMYFUNCTION("IMPORTRANGE(""https://docs.google.com/spreadsheets/d/11923uPwbBZFjjGgGUA6NLw09EwE0CqkOc4q9oUmW1yo/edit?usp=sharing"",""พิษณุโลก!J87"")"),0)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IFERROR(__xludf.DUMMYFUNCTION("IMPORTRANGE(""https://docs.google.com/spreadsheets/d/11923uPwbBZFjjGgGUA6NLw09EwE0CqkOc4q9oUmW1yo/edit?usp=sharing"",""พิษณุโลก!J88"")"),0)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IFERROR(__xludf.DUMMYFUNCTION("IMPORTRANGE(""https://docs.google.com/spreadsheets/d/11923uPwbBZFjjGgGUA6NLw09EwE0CqkOc4q9oUmW1yo/edit?usp=sharing"",""พิษณุโลก!I89"")"),3)</f>
        <v>3</v>
      </c>
      <c r="J164" s="292">
        <f ca="1">IFERROR(__xludf.DUMMYFUNCTION("IMPORTRANGE(""https://docs.google.com/spreadsheets/d/11923uPwbBZFjjGgGUA6NLw09EwE0CqkOc4q9oUmW1yo/edit?usp=sharing"",""พิษณุโลก!J89"")"),0)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IFERROR(__xludf.DUMMYFUNCTION("IMPORTRANGE(""https://docs.google.com/spreadsheets/d/11923uPwbBZFjjGgGUA6NLw09EwE0CqkOc4q9oUmW1yo/edit?usp=sharing"",""พิษณุโลก!J94"")"),0)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IFERROR(__xludf.DUMMYFUNCTION("IMPORTRANGE(""https://docs.google.com/spreadsheets/d/11923uPwbBZFjjGgGUA6NLw09EwE0CqkOc4q9oUmW1yo/edit?usp=sharing"",""พิษณุโลก!J95"")"),1)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IFERROR(__xludf.DUMMYFUNCTION("IMPORTRANGE(""https://docs.google.com/spreadsheets/d/11923uPwbBZFjjGgGUA6NLw09EwE0CqkOc4q9oUmW1yo/edit?usp=sharing"",""พิษณุโลก!J96"")"),0)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IFERROR(__xludf.DUMMYFUNCTION("IMPORTRANGE(""https://docs.google.com/spreadsheets/d/11923uPwbBZFjjGgGUA6NLw09EwE0CqkOc4q9oUmW1yo/edit?usp=sharing"",""พิษณุโลก!J97"")"),0)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IFERROR(__xludf.DUMMYFUNCTION("IMPORTRANGE(""https://docs.google.com/spreadsheets/d/11923uPwbBZFjjGgGUA6NLw09EwE0CqkOc4q9oUmW1yo/edit?usp=sharing"",""พิษณุโลก!I98"")"),3)</f>
        <v>3</v>
      </c>
      <c r="J173" s="198">
        <f ca="1">IFERROR(__xludf.DUMMYFUNCTION("IMPORTRANGE(""https://docs.google.com/spreadsheets/d/11923uPwbBZFjjGgGUA6NLw09EwE0CqkOc4q9oUmW1yo/edit?usp=sharing"",""พิษณุโลก!J98"")"),0)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IFERROR(__xludf.DUMMYFUNCTION("IMPORTRANGE(""https://docs.google.com/spreadsheets/d/11923uPwbBZFjjGgGUA6NLw09EwE0CqkOc4q9oUmW1yo/edit?usp=sharing"",""พิษณุโลก!J99"")"),0)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IFERROR(__xludf.DUMMYFUNCTION("IMPORTRANGE(""https://docs.google.com/spreadsheets/d/11923uPwbBZFjjGgGUA6NLw09EwE0CqkOc4q9oUmW1yo/edit?usp=sharing"",""พิษณุโลก!J100"")"),0)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IFERROR(__xludf.DUMMYFUNCTION("IMPORTRANGE(""https://docs.google.com/spreadsheets/d/11923uPwbBZFjjGgGUA6NLw09EwE0CqkOc4q9oUmW1yo/edit?usp=sharing"",""พิษณุโลก!I101"")"),0)</f>
        <v>0</v>
      </c>
      <c r="J176" s="292">
        <f ca="1">IFERROR(__xludf.DUMMYFUNCTION("IMPORTRANGE(""https://docs.google.com/spreadsheets/d/11923uPwbBZFjjGgGUA6NLw09EwE0CqkOc4q9oUmW1yo/edit?usp=sharing"",""พิษณุโลก!J101"")"),0)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IFERROR(__xludf.DUMMYFUNCTION("IMPORTRANGE(""https://docs.google.com/spreadsheets/d/11923uPwbBZFjjGgGUA6NLw09EwE0CqkOc4q9oUmW1yo/edit?usp=sharing"",""พิษณุโลก!J106"")"),0)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IFERROR(__xludf.DUMMYFUNCTION("IMPORTRANGE(""https://docs.google.com/spreadsheets/d/11923uPwbBZFjjGgGUA6NLw09EwE0CqkOc4q9oUmW1yo/edit?usp=sharing"",""พิษณุโลก!J107"")"),0)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IFERROR(__xludf.DUMMYFUNCTION("IMPORTRANGE(""https://docs.google.com/spreadsheets/d/11923uPwbBZFjjGgGUA6NLw09EwE0CqkOc4q9oUmW1yo/edit?usp=sharing"",""พิษณุโลก!J108"")"),0)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IFERROR(__xludf.DUMMYFUNCTION("IMPORTRANGE(""https://docs.google.com/spreadsheets/d/11923uPwbBZFjjGgGUA6NLw09EwE0CqkOc4q9oUmW1yo/edit?usp=sharing"",""พิษณุโลก!J109"")"),0)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IFERROR(__xludf.DUMMYFUNCTION("IMPORTRANGE(""https://docs.google.com/spreadsheets/d/11923uPwbBZFjjGgGUA6NLw09EwE0CqkOc4q9oUmW1yo/edit?usp=sharing"",""พิษณุโลก!I110"")"),0)</f>
        <v>0</v>
      </c>
      <c r="J185" s="213">
        <f ca="1">IFERROR(__xludf.DUMMYFUNCTION("IMPORTRANGE(""https://docs.google.com/spreadsheets/d/11923uPwbBZFjjGgGUA6NLw09EwE0CqkOc4q9oUmW1yo/edit?usp=sharing"",""พิษณุโลก!J110"")"),0)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IFERROR(__xludf.DUMMYFUNCTION("IMPORTRANGE(""https://docs.google.com/spreadsheets/d/11923uPwbBZFjjGgGUA6NLw09EwE0CqkOc4q9oUmW1yo/edit?usp=sharing"",""พิษณุโลก!I111"")"),0)</f>
        <v>0</v>
      </c>
      <c r="J186" s="213">
        <f ca="1">IFERROR(__xludf.DUMMYFUNCTION("IMPORTRANGE(""https://docs.google.com/spreadsheets/d/11923uPwbBZFjjGgGUA6NLw09EwE0CqkOc4q9oUmW1yo/edit?usp=sharing"",""พิษณุโลก!J111"")"),0)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IFERROR(__xludf.DUMMYFUNCTION("IMPORTRANGE(""https://docs.google.com/spreadsheets/d/11923uPwbBZFjjGgGUA6NLw09EwE0CqkOc4q9oUmW1yo/edit?usp=sharing"",""พิษณุโลก!J112"")"),0)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IFERROR(__xludf.DUMMYFUNCTION("IMPORTRANGE(""https://docs.google.com/spreadsheets/d/11923uPwbBZFjjGgGUA6NLw09EwE0CqkOc4q9oUmW1yo/edit?usp=sharing"",""พิษณุโลก!J113"")"),0)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IFERROR(__xludf.DUMMYFUNCTION("IMPORTRANGE(""https://docs.google.com/spreadsheets/d/11923uPwbBZFjjGgGUA6NLw09EwE0CqkOc4q9oUmW1yo/edit?usp=sharing"",""พิษณุโลก!I114"")"),50000)</f>
        <v>50000</v>
      </c>
      <c r="J189" s="292">
        <f ca="1">IFERROR(__xludf.DUMMYFUNCTION("IMPORTRANGE(""https://docs.google.com/spreadsheets/d/11923uPwbBZFjjGgGUA6NLw09EwE0CqkOc4q9oUmW1yo/edit?usp=sharing"",""พิษณุโลก!J114"")"),0)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IFERROR(__xludf.DUMMYFUNCTION("IMPORTRANGE(""https://docs.google.com/spreadsheets/d/11923uPwbBZFjjGgGUA6NLw09EwE0CqkOc4q9oUmW1yo/edit?usp=sharing"",""พิษณุโลก!J119"")"),0)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IFERROR(__xludf.DUMMYFUNCTION("IMPORTRANGE(""https://docs.google.com/spreadsheets/d/11923uPwbBZFjjGgGUA6NLw09EwE0CqkOc4q9oUmW1yo/edit?usp=sharing"",""พิษณุโลก!J120"")"),1)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IFERROR(__xludf.DUMMYFUNCTION("IMPORTRANGE(""https://docs.google.com/spreadsheets/d/11923uPwbBZFjjGgGUA6NLw09EwE0CqkOc4q9oUmW1yo/edit?usp=sharing"",""พิษณุโลก!J121"")"),1)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IFERROR(__xludf.DUMMYFUNCTION("IMPORTRANGE(""https://docs.google.com/spreadsheets/d/11923uPwbBZFjjGgGUA6NLw09EwE0CqkOc4q9oUmW1yo/edit?usp=sharing"",""พิษณุโลก!J122"")"),1)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IFERROR(__xludf.DUMMYFUNCTION("IMPORTRANGE(""https://docs.google.com/spreadsheets/d/11923uPwbBZFjjGgGUA6NLw09EwE0CqkOc4q9oUmW1yo/edit?usp=sharing"",""พิษณุโลก!I124"")"),50000)</f>
        <v>50000</v>
      </c>
      <c r="J199" s="198">
        <f ca="1">IFERROR(__xludf.DUMMYFUNCTION("IMPORTRANGE(""https://docs.google.com/spreadsheets/d/11923uPwbBZFjjGgGUA6NLw09EwE0CqkOc4q9oUmW1yo/edit?usp=sharing"",""พิษณุโลก!J124"")"),0)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IFERROR(__xludf.DUMMYFUNCTION("IMPORTRANGE(""https://docs.google.com/spreadsheets/d/11923uPwbBZFjjGgGUA6NLw09EwE0CqkOc4q9oUmW1yo/edit?usp=sharing"",""พิษณุโลก!I125"")"),50000)</f>
        <v>50000</v>
      </c>
      <c r="J200" s="198">
        <f ca="1">IFERROR(__xludf.DUMMYFUNCTION("IMPORTRANGE(""https://docs.google.com/spreadsheets/d/11923uPwbBZFjjGgGUA6NLw09EwE0CqkOc4q9oUmW1yo/edit?usp=sharing"",""พิษณุโลก!J125"")"),0)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IFERROR(__xludf.DUMMYFUNCTION("IMPORTRANGE(""https://docs.google.com/spreadsheets/d/11923uPwbBZFjjGgGUA6NLw09EwE0CqkOc4q9oUmW1yo/edit?usp=sharing"",""พิษณุโลก!I126"")"),15)</f>
        <v>15</v>
      </c>
      <c r="J201" s="198">
        <f ca="1">IFERROR(__xludf.DUMMYFUNCTION("IMPORTRANGE(""https://docs.google.com/spreadsheets/d/11923uPwbBZFjjGgGUA6NLw09EwE0CqkOc4q9oUmW1yo/edit?usp=sharing"",""พิษณุโลก!J126"")"),15)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IFERROR(__xludf.DUMMYFUNCTION("IMPORTRANGE(""https://docs.google.com/spreadsheets/d/11923uPwbBZFjjGgGUA6NLw09EwE0CqkOc4q9oUmW1yo/edit?usp=sharing"",""พิษณุโลก!J127"")"),0)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IFERROR(__xludf.DUMMYFUNCTION("IMPORTRANGE(""https://docs.google.com/spreadsheets/d/11923uPwbBZFjjGgGUA6NLw09EwE0CqkOc4q9oUmW1yo/edit?usp=sharing"",""พิษณุโลก!J128"")"),0)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IFERROR(__xludf.DUMMYFUNCTION("IMPORTRANGE(""https://docs.google.com/spreadsheets/d/11923uPwbBZFjjGgGUA6NLw09EwE0CqkOc4q9oUmW1yo/edit?usp=sharing"",""พิษณุโลก!I129"")"),0)</f>
        <v>0</v>
      </c>
      <c r="J204" s="292">
        <f ca="1">IFERROR(__xludf.DUMMYFUNCTION("IMPORTRANGE(""https://docs.google.com/spreadsheets/d/11923uPwbBZFjjGgGUA6NLw09EwE0CqkOc4q9oUmW1yo/edit?usp=sharing"",""พิษณุโลก!J129"")"),0)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IFERROR(__xludf.DUMMYFUNCTION("IMPORTRANGE(""https://docs.google.com/spreadsheets/d/11923uPwbBZFjjGgGUA6NLw09EwE0CqkOc4q9oUmW1yo/edit?usp=sharing"",""พิษณุโลก!J134"")"),0)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IFERROR(__xludf.DUMMYFUNCTION("IMPORTRANGE(""https://docs.google.com/spreadsheets/d/11923uPwbBZFjjGgGUA6NLw09EwE0CqkOc4q9oUmW1yo/edit?usp=sharing"",""พิษณุโลก!J135"")"),0)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IFERROR(__xludf.DUMMYFUNCTION("IMPORTRANGE(""https://docs.google.com/spreadsheets/d/11923uPwbBZFjjGgGUA6NLw09EwE0CqkOc4q9oUmW1yo/edit?usp=sharing"",""พิษณุโลก!J136"")"),0)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IFERROR(__xludf.DUMMYFUNCTION("IMPORTRANGE(""https://docs.google.com/spreadsheets/d/11923uPwbBZFjjGgGUA6NLw09EwE0CqkOc4q9oUmW1yo/edit?usp=sharing"",""พิษณุโลก!J137"")"),0)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IFERROR(__xludf.DUMMYFUNCTION("IMPORTRANGE(""https://docs.google.com/spreadsheets/d/11923uPwbBZFjjGgGUA6NLw09EwE0CqkOc4q9oUmW1yo/edit?usp=sharing"",""พิษณุโลก!I138"")"),0)</f>
        <v>0</v>
      </c>
      <c r="J213" s="213">
        <f ca="1">IFERROR(__xludf.DUMMYFUNCTION("IMPORTRANGE(""https://docs.google.com/spreadsheets/d/11923uPwbBZFjjGgGUA6NLw09EwE0CqkOc4q9oUmW1yo/edit?usp=sharing"",""พิษณุโลก!J138"")"),0)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IFERROR(__xludf.DUMMYFUNCTION("IMPORTRANGE(""https://docs.google.com/spreadsheets/d/11923uPwbBZFjjGgGUA6NLw09EwE0CqkOc4q9oUmW1yo/edit?usp=sharing"",""พิษณุโลก!I140"")"),0)</f>
        <v>0</v>
      </c>
      <c r="J215" s="213">
        <f ca="1">IFERROR(__xludf.DUMMYFUNCTION("IMPORTRANGE(""https://docs.google.com/spreadsheets/d/11923uPwbBZFjjGgGUA6NLw09EwE0CqkOc4q9oUmW1yo/edit?usp=sharing"",""พิษณุโลก!J140"")"),0)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IFERROR(__xludf.DUMMYFUNCTION("IMPORTRANGE(""https://docs.google.com/spreadsheets/d/11923uPwbBZFjjGgGUA6NLw09EwE0CqkOc4q9oUmW1yo/edit?usp=sharing"",""พิษณุโลก!I141"")"),0)</f>
        <v>0</v>
      </c>
      <c r="J216" s="213">
        <f ca="1">IFERROR(__xludf.DUMMYFUNCTION("IMPORTRANGE(""https://docs.google.com/spreadsheets/d/11923uPwbBZFjjGgGUA6NLw09EwE0CqkOc4q9oUmW1yo/edit?usp=sharing"",""พิษณุโลก!J141"")"),0)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IFERROR(__xludf.DUMMYFUNCTION("IMPORTRANGE(""https://docs.google.com/spreadsheets/d/11923uPwbBZFjjGgGUA6NLw09EwE0CqkOc4q9oUmW1yo/edit?usp=sharing"",""พิษณุโลก!J142"")"),0)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IFERROR(__xludf.DUMMYFUNCTION("IMPORTRANGE(""https://docs.google.com/spreadsheets/d/11923uPwbBZFjjGgGUA6NLw09EwE0CqkOc4q9oUmW1yo/edit?usp=sharing"",""พิษณุโลก!J143"")"),0)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IFERROR(__xludf.DUMMYFUNCTION("IMPORTRANGE(""https://docs.google.com/spreadsheets/d/11923uPwbBZFjjGgGUA6NLw09EwE0CqkOc4q9oUmW1yo/edit?usp=sharing"",""พิษณุโลก!I144"")"),0)</f>
        <v>0</v>
      </c>
      <c r="J219" s="276">
        <f ca="1">IFERROR(__xludf.DUMMYFUNCTION("IMPORTRANGE(""https://docs.google.com/spreadsheets/d/11923uPwbBZFjjGgGUA6NLw09EwE0CqkOc4q9oUmW1yo/edit?usp=sharing"",""พิษณุโลก!J144"")"),0)</f>
        <v>0</v>
      </c>
      <c r="K219" s="277">
        <f ca="1">IF(I219&gt;0,J219*100/I219,0)</f>
        <v>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0</v>
      </c>
      <c r="M220" s="158">
        <f t="shared" ca="1" si="72"/>
        <v>0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0</v>
      </c>
      <c r="M222" s="163">
        <f t="shared" ca="1" si="76"/>
        <v>0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0</v>
      </c>
      <c r="M224" s="176">
        <f ca="1">IFERROR(__xludf.DUMMYFUNCTION("IMPORTRANGE(""https://docs.google.com/spreadsheets/d/1Yj_ptqi66GCucihVvJfMjLAmec39IyEx_6qawtMGysU/edit?usp=sharing"",""สบก!BS28"")"),0)</f>
        <v>0</v>
      </c>
      <c r="N224" s="177">
        <f ca="1">IFERROR(__xludf.DUMMYFUNCTION("IMPORTRANGE(""https://docs.google.com/spreadsheets/d/1Yj_ptqi66GCucihVvJfMjLAmec39IyEx_6qawtMGysU/edit?usp=sharing"",""สบก!BT28"")"),0)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IFERROR(__xludf.DUMMYFUNCTION("IMPORTRANGE(""https://docs.google.com/spreadsheets/d/1Yj_ptqi66GCucihVvJfMjLAmec39IyEx_6qawtMGysU/edit?usp=sharing"",""สบก!BO28"")"),0)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IFERROR(__xludf.DUMMYFUNCTION("IMPORTRANGE(""https://docs.google.com/spreadsheets/d/1Yj_ptqi66GCucihVvJfMjLAmec39IyEx_6qawtMGysU/edit?usp=sharing"",""สบก!BP28"")"),0)</f>
        <v>0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IFERROR(__xludf.DUMMYFUNCTION("IMPORTRANGE(""https://docs.google.com/spreadsheets/d/1Yj_ptqi66GCucihVvJfMjLAmec39IyEx_6qawtMGysU/edit?usp=sharing"",""สบก!BQ28"")"),0)</f>
        <v>0</v>
      </c>
      <c r="M228" s="103"/>
      <c r="N228" s="93">
        <f ca="1">IFERROR(__xludf.DUMMYFUNCTION("IMPORTRANGE(""https://docs.google.com/spreadsheets/d/1Yj_ptqi66GCucihVvJfMjLAmec39IyEx_6qawtMGysU/edit?usp=sharing"",""สบก!BU28"")"),0)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IFERROR(__xludf.DUMMYFUNCTION("IMPORTRANGE(""https://docs.google.com/spreadsheets/d/11923uPwbBZFjjGgGUA6NLw09EwE0CqkOc4q9oUmW1yo/edit?usp=sharing"",""พิษณุโลก!I149"")"),0)</f>
        <v>0</v>
      </c>
      <c r="J229" s="276">
        <f ca="1">IFERROR(__xludf.DUMMYFUNCTION("IMPORTRANGE(""https://docs.google.com/spreadsheets/d/11923uPwbBZFjjGgGUA6NLw09EwE0CqkOc4q9oUmW1yo/edit?usp=sharing"",""พิษณุโลก!J149"")"),0)</f>
        <v>0</v>
      </c>
      <c r="K229" s="277">
        <f ca="1">IF(I229&gt;0,J229*100/I229,0)</f>
        <v>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IFERROR(__xludf.DUMMYFUNCTION("IMPORTRANGE(""https://docs.google.com/spreadsheets/d/11923uPwbBZFjjGgGUA6NLw09EwE0CqkOc4q9oUmW1yo/edit?usp=sharing"",""พิษณุโลก!J151"")"),0)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IFERROR(__xludf.DUMMYFUNCTION("IMPORTRANGE(""https://docs.google.com/spreadsheets/d/11923uPwbBZFjjGgGUA6NLw09EwE0CqkOc4q9oUmW1yo/edit?usp=sharing"",""พิษณุโลก!J152"")"),0)</f>
        <v>0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IFERROR(__xludf.DUMMYFUNCTION("IMPORTRANGE(""https://docs.google.com/spreadsheets/d/11923uPwbBZFjjGgGUA6NLw09EwE0CqkOc4q9oUmW1yo/edit?usp=sharing"",""พิษณุโลก!J153"")"),0)</f>
        <v>0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IFERROR(__xludf.DUMMYFUNCTION("IMPORTRANGE(""https://docs.google.com/spreadsheets/d/11923uPwbBZFjjGgGUA6NLw09EwE0CqkOc4q9oUmW1yo/edit?usp=sharing"",""พิษณุโลก!J154"")"),0)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IFERROR(__xludf.DUMMYFUNCTION("IMPORTRANGE(""https://docs.google.com/spreadsheets/d/11923uPwbBZFjjGgGUA6NLw09EwE0CqkOc4q9oUmW1yo/edit?usp=sharing"",""พิษณุโลก!I155"")"),0)</f>
        <v>0</v>
      </c>
      <c r="J235" s="198">
        <f ca="1">IFERROR(__xludf.DUMMYFUNCTION("IMPORTRANGE(""https://docs.google.com/spreadsheets/d/11923uPwbBZFjjGgGUA6NLw09EwE0CqkOc4q9oUmW1yo/edit?usp=sharing"",""พิษณุโลก!J155"")"),0)</f>
        <v>0</v>
      </c>
      <c r="K235" s="171">
        <f ca="1">IF(I235&gt;0,J235*100/I235,0)</f>
        <v>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IFERROR(__xludf.DUMMYFUNCTION("IMPORTRANGE(""https://docs.google.com/spreadsheets/d/11923uPwbBZFjjGgGUA6NLw09EwE0CqkOc4q9oUmW1yo/edit?usp=sharing"",""พิษณุโลก!J156"")"),0)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IFERROR(__xludf.DUMMYFUNCTION("IMPORTRANGE(""https://docs.google.com/spreadsheets/d/11923uPwbBZFjjGgGUA6NLw09EwE0CqkOc4q9oUmW1yo/edit?usp=sharing"",""พิษณุโลก!J157"")"),0)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IFERROR(__xludf.DUMMYFUNCTION("IMPORTRANGE(""https://docs.google.com/spreadsheets/d/11923uPwbBZFjjGgGUA6NLw09EwE0CqkOc4q9oUmW1yo/edit?usp=sharing"",""พิษณุโลก!I158"")"),0)</f>
        <v>0</v>
      </c>
      <c r="J238" s="276">
        <f ca="1">IFERROR(__xludf.DUMMYFUNCTION("IMPORTRANGE(""https://docs.google.com/spreadsheets/d/11923uPwbBZFjjGgGUA6NLw09EwE0CqkOc4q9oUmW1yo/edit?usp=sharing"",""พิษณุโลก!J158"")"),0)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IFERROR(__xludf.DUMMYFUNCTION("IMPORTRANGE(""https://docs.google.com/spreadsheets/d/11923uPwbBZFjjGgGUA6NLw09EwE0CqkOc4q9oUmW1yo/edit?usp=sharing"",""พิษณุโลก!J159"")"),"")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IFERROR(__xludf.DUMMYFUNCTION("IMPORTRANGE(""https://docs.google.com/spreadsheets/d/11923uPwbBZFjjGgGUA6NLw09EwE0CqkOc4q9oUmW1yo/edit?usp=sharing"",""พิษณุโลก!J161"")"),0)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IFERROR(__xludf.DUMMYFUNCTION("IMPORTRANGE(""https://docs.google.com/spreadsheets/d/11923uPwbBZFjjGgGUA6NLw09EwE0CqkOc4q9oUmW1yo/edit?usp=sharing"",""พิษณุโลก!J162"")"),0)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IFERROR(__xludf.DUMMYFUNCTION("IMPORTRANGE(""https://docs.google.com/spreadsheets/d/11923uPwbBZFjjGgGUA6NLw09EwE0CqkOc4q9oUmW1yo/edit?usp=sharing"",""พิษณุโลก!J163"")"),0)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IFERROR(__xludf.DUMMYFUNCTION("IMPORTRANGE(""https://docs.google.com/spreadsheets/d/11923uPwbBZFjjGgGUA6NLw09EwE0CqkOc4q9oUmW1yo/edit?usp=sharing"",""พิษณุโลก!I164"")"),0)</f>
        <v>0</v>
      </c>
      <c r="J244" s="197">
        <f ca="1">IFERROR(__xludf.DUMMYFUNCTION("IMPORTRANGE(""https://docs.google.com/spreadsheets/d/11923uPwbBZFjjGgGUA6NLw09EwE0CqkOc4q9oUmW1yo/edit?usp=sharing"",""พิษณุโลก!J164"")"),0)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IFERROR(__xludf.DUMMYFUNCTION("IMPORTRANGE(""https://docs.google.com/spreadsheets/d/11923uPwbBZFjjGgGUA6NLw09EwE0CqkOc4q9oUmW1yo/edit?usp=sharing"",""พิษณุโลก!J165"")"),0)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IFERROR(__xludf.DUMMYFUNCTION("IMPORTRANGE(""https://docs.google.com/spreadsheets/d/11923uPwbBZFjjGgGUA6NLw09EwE0CqkOc4q9oUmW1yo/edit?usp=sharing"",""พิษณุโลก!J166"")"),0)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IFERROR(__xludf.DUMMYFUNCTION("IMPORTRANGE(""https://docs.google.com/spreadsheets/d/11923uPwbBZFjjGgGUA6NLw09EwE0CqkOc4q9oUmW1yo/edit?usp=sharing"",""พิษณุโลก!I169"")"),0)</f>
        <v>0</v>
      </c>
      <c r="J249" s="324">
        <f ca="1">IFERROR(__xludf.DUMMYFUNCTION("IMPORTRANGE(""https://docs.google.com/spreadsheets/d/11923uPwbBZFjjGgGUA6NLw09EwE0CqkOc4q9oUmW1yo/edit?usp=sharing"",""พิษณุโลก!J169"")"),0)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IFERROR(__xludf.DUMMYFUNCTION("IMPORTRANGE(""https://docs.google.com/spreadsheets/d/1Yj_ptqi66GCucihVvJfMjLAmec39IyEx_6qawtMGysU/edit?usp=sharing"",""สบก!CB28"")"),0)</f>
        <v>0</v>
      </c>
      <c r="N254" s="177">
        <f ca="1">IFERROR(__xludf.DUMMYFUNCTION("IMPORTRANGE(""https://docs.google.com/spreadsheets/d/1Yj_ptqi66GCucihVvJfMjLAmec39IyEx_6qawtMGysU/edit?usp=sharing"",""สบก!CC28"")"),0)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IFERROR(__xludf.DUMMYFUNCTION("IMPORTRANGE(""https://docs.google.com/spreadsheets/d/1Yj_ptqi66GCucihVvJfMjLAmec39IyEx_6qawtMGysU/edit?usp=sharing"",""สบก!BX28"")"),0)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IFERROR(__xludf.DUMMYFUNCTION("IMPORTRANGE(""https://docs.google.com/spreadsheets/d/1Yj_ptqi66GCucihVvJfMjLAmec39IyEx_6qawtMGysU/edit?usp=sharing"",""สบก!BY28"")"),0)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IFERROR(__xludf.DUMMYFUNCTION("IMPORTRANGE(""https://docs.google.com/spreadsheets/d/1Yj_ptqi66GCucihVvJfMjLAmec39IyEx_6qawtMGysU/edit?usp=sharing"",""สบก!BZ28"")"),0)</f>
        <v>0</v>
      </c>
      <c r="M258" s="103"/>
      <c r="N258" s="93">
        <f ca="1">IFERROR(__xludf.DUMMYFUNCTION("IMPORTRANGE(""https://docs.google.com/spreadsheets/d/1Yj_ptqi66GCucihVvJfMjLAmec39IyEx_6qawtMGysU/edit?usp=sharing"",""สบก!CD28"")"),0)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IFERROR(__xludf.DUMMYFUNCTION("IMPORTRANGE(""https://docs.google.com/spreadsheets/d/11923uPwbBZFjjGgGUA6NLw09EwE0CqkOc4q9oUmW1yo/edit?usp=sharing"",""พิษณุโลก!J175"")"),0)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IFERROR(__xludf.DUMMYFUNCTION("IMPORTRANGE(""https://docs.google.com/spreadsheets/d/11923uPwbBZFjjGgGUA6NLw09EwE0CqkOc4q9oUmW1yo/edit?usp=sharing"",""พิษณุโลก!J176"")"),0)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IFERROR(__xludf.DUMMYFUNCTION("IMPORTRANGE(""https://docs.google.com/spreadsheets/d/11923uPwbBZFjjGgGUA6NLw09EwE0CqkOc4q9oUmW1yo/edit?usp=sharing"",""พิษณุโลก!J177"")"),0)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IFERROR(__xludf.DUMMYFUNCTION("IMPORTRANGE(""https://docs.google.com/spreadsheets/d/11923uPwbBZFjjGgGUA6NLw09EwE0CqkOc4q9oUmW1yo/edit?usp=sharing"",""พิษณุโลก!J178"")"),0)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IFERROR(__xludf.DUMMYFUNCTION("IMPORTRANGE(""https://docs.google.com/spreadsheets/d/11923uPwbBZFjjGgGUA6NLw09EwE0CqkOc4q9oUmW1yo/edit?usp=sharing"",""พิษณุโลก!I179"")"),0)</f>
        <v>0</v>
      </c>
      <c r="J264" s="198">
        <f ca="1">IFERROR(__xludf.DUMMYFUNCTION("IMPORTRANGE(""https://docs.google.com/spreadsheets/d/11923uPwbBZFjjGgGUA6NLw09EwE0CqkOc4q9oUmW1yo/edit?usp=sharing"",""พิษณุโลก!J179"")"),0)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IFERROR(__xludf.DUMMYFUNCTION("IMPORTRANGE(""https://docs.google.com/spreadsheets/d/11923uPwbBZFjjGgGUA6NLw09EwE0CqkOc4q9oUmW1yo/edit?usp=sharing"",""พิษณุโลก!I180"")"),0)</f>
        <v>0</v>
      </c>
      <c r="J265" s="198">
        <f ca="1">IFERROR(__xludf.DUMMYFUNCTION("IMPORTRANGE(""https://docs.google.com/spreadsheets/d/11923uPwbBZFjjGgGUA6NLw09EwE0CqkOc4q9oUmW1yo/edit?usp=sharing"",""พิษณุโลก!J180"")"),0)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IFERROR(__xludf.DUMMYFUNCTION("IMPORTRANGE(""https://docs.google.com/spreadsheets/d/11923uPwbBZFjjGgGUA6NLw09EwE0CqkOc4q9oUmW1yo/edit?usp=sharing"",""พิษณุโลก!I181"")"),0)</f>
        <v>0</v>
      </c>
      <c r="J266" s="198">
        <f ca="1">IFERROR(__xludf.DUMMYFUNCTION("IMPORTRANGE(""https://docs.google.com/spreadsheets/d/11923uPwbBZFjjGgGUA6NLw09EwE0CqkOc4q9oUmW1yo/edit?usp=sharing"",""พิษณุโลก!J181"")"),0)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IFERROR(__xludf.DUMMYFUNCTION("IMPORTRANGE(""https://docs.google.com/spreadsheets/d/11923uPwbBZFjjGgGUA6NLw09EwE0CqkOc4q9oUmW1yo/edit?usp=sharing"",""พิษณุโลก!I182"")"),0)</f>
        <v>0</v>
      </c>
      <c r="J267" s="198">
        <f ca="1">IFERROR(__xludf.DUMMYFUNCTION("IMPORTRANGE(""https://docs.google.com/spreadsheets/d/11923uPwbBZFjjGgGUA6NLw09EwE0CqkOc4q9oUmW1yo/edit?usp=sharing"",""พิษณุโลก!J182"")"),0)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IFERROR(__xludf.DUMMYFUNCTION("IMPORTRANGE(""https://docs.google.com/spreadsheets/d/11923uPwbBZFjjGgGUA6NLw09EwE0CqkOc4q9oUmW1yo/edit?usp=sharing"",""พิษณุโลก!J183"")"),0)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IFERROR(__xludf.DUMMYFUNCTION("IMPORTRANGE(""https://docs.google.com/spreadsheets/d/11923uPwbBZFjjGgGUA6NLw09EwE0CqkOc4q9oUmW1yo/edit?usp=sharing"",""พิษณุโลก!J184"")"),0)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IFERROR(__xludf.DUMMYFUNCTION("IMPORTRANGE(""https://docs.google.com/spreadsheets/d/11923uPwbBZFjjGgGUA6NLw09EwE0CqkOc4q9oUmW1yo/edit?usp=sharing"",""พิษณุโลก!I185"")"),15)</f>
        <v>15</v>
      </c>
      <c r="J270" s="324">
        <f ca="1">IFERROR(__xludf.DUMMYFUNCTION("IMPORTRANGE(""https://docs.google.com/spreadsheets/d/11923uPwbBZFjjGgGUA6NLw09EwE0CqkOc4q9oUmW1yo/edit?usp=sharing"",""พิษณุโลก!J185"")"),15)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6020</v>
      </c>
      <c r="O271" s="157">
        <f t="shared" ref="O271:O273" ca="1" si="84">IF(L271&gt;0,N271*100/L271,0)</f>
        <v>10.905797101449275</v>
      </c>
      <c r="P271" s="157">
        <f t="shared" ref="P271:P273" ca="1" si="85">IF(M271&gt;0,N271*100/M271,0)</f>
        <v>18.666666666666668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6020</v>
      </c>
      <c r="O273" s="162">
        <f t="shared" ca="1" si="84"/>
        <v>10.905797101449275</v>
      </c>
      <c r="P273" s="162">
        <f t="shared" ca="1" si="85"/>
        <v>18.666666666666668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IFERROR(__xludf.DUMMYFUNCTION("IMPORTRANGE(""https://docs.google.com/spreadsheets/d/1Yj_ptqi66GCucihVvJfMjLAmec39IyEx_6qawtMGysU/edit?usp=sharing"",""สบก!CK28"")"),32250)</f>
        <v>32250</v>
      </c>
      <c r="N275" s="177">
        <f ca="1">IFERROR(__xludf.DUMMYFUNCTION("IMPORTRANGE(""https://docs.google.com/spreadsheets/d/1Yj_ptqi66GCucihVvJfMjLAmec39IyEx_6qawtMGysU/edit?usp=sharing"",""สบก!CL28"")"),6020)</f>
        <v>6020</v>
      </c>
      <c r="O275" s="178">
        <f ca="1">IF(L275&gt;0,N275*100/L275,0)</f>
        <v>10.905797101449275</v>
      </c>
      <c r="P275" s="178">
        <f ca="1">IF(M275&gt;0,N275*100/M275,0)</f>
        <v>18.666666666666668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IFERROR(__xludf.DUMMYFUNCTION("IMPORTRANGE(""https://docs.google.com/spreadsheets/d/1Yj_ptqi66GCucihVvJfMjLAmec39IyEx_6qawtMGysU/edit?usp=sharing"",""สบก!CG28"")"),0)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IFERROR(__xludf.DUMMYFUNCTION("IMPORTRANGE(""https://docs.google.com/spreadsheets/d/1Yj_ptqi66GCucihVvJfMjLAmec39IyEx_6qawtMGysU/edit?usp=sharing"",""สบก!CH28"")"),55200)</f>
        <v>55200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IFERROR(__xludf.DUMMYFUNCTION("IMPORTRANGE(""https://docs.google.com/spreadsheets/d/1Yj_ptqi66GCucihVvJfMjLAmec39IyEx_6qawtMGysU/edit?usp=sharing"",""สบก!CI28"")"),0)</f>
        <v>0</v>
      </c>
      <c r="M279" s="103"/>
      <c r="N279" s="93">
        <f ca="1">IFERROR(__xludf.DUMMYFUNCTION("IMPORTRANGE(""https://docs.google.com/spreadsheets/d/1Yj_ptqi66GCucihVvJfMjLAmec39IyEx_6qawtMGysU/edit?usp=sharing"",""สบก!CM28"")"),0)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IFERROR(__xludf.DUMMYFUNCTION("IMPORTRANGE(""https://docs.google.com/spreadsheets/d/11923uPwbBZFjjGgGUA6NLw09EwE0CqkOc4q9oUmW1yo/edit?usp=sharing"",""พิษณุโลก!J191"")"),0)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IFERROR(__xludf.DUMMYFUNCTION("IMPORTRANGE(""https://docs.google.com/spreadsheets/d/11923uPwbBZFjjGgGUA6NLw09EwE0CqkOc4q9oUmW1yo/edit?usp=sharing"",""พิษณุโลก!J192"")"),1)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IFERROR(__xludf.DUMMYFUNCTION("IMPORTRANGE(""https://docs.google.com/spreadsheets/d/11923uPwbBZFjjGgGUA6NLw09EwE0CqkOc4q9oUmW1yo/edit?usp=sharing"",""พิษณุโลก!J193"")"),1)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IFERROR(__xludf.DUMMYFUNCTION("IMPORTRANGE(""https://docs.google.com/spreadsheets/d/11923uPwbBZFjjGgGUA6NLw09EwE0CqkOc4q9oUmW1yo/edit?usp=sharing"",""พิษณุโลก!J194"")"),1)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IFERROR(__xludf.DUMMYFUNCTION("IMPORTRANGE(""https://docs.google.com/spreadsheets/d/11923uPwbBZFjjGgGUA6NLw09EwE0CqkOc4q9oUmW1yo/edit?usp=sharing"",""พิษณุโลก!I195"")"),15)</f>
        <v>15</v>
      </c>
      <c r="J285" s="198">
        <f ca="1">IFERROR(__xludf.DUMMYFUNCTION("IMPORTRANGE(""https://docs.google.com/spreadsheets/d/11923uPwbBZFjjGgGUA6NLw09EwE0CqkOc4q9oUmW1yo/edit?usp=sharing"",""พิษณุโลก!J195"")"),15)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IFERROR(__xludf.DUMMYFUNCTION("IMPORTRANGE(""https://docs.google.com/spreadsheets/d/11923uPwbBZFjjGgGUA6NLw09EwE0CqkOc4q9oUmW1yo/edit?usp=sharing"",""พิษณุโลก!J196"")"),0)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IFERROR(__xludf.DUMMYFUNCTION("IMPORTRANGE(""https://docs.google.com/spreadsheets/d/11923uPwbBZFjjGgGUA6NLw09EwE0CqkOc4q9oUmW1yo/edit?usp=sharing"",""พิษณุโลก!J197"")"),0)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IFERROR(__xludf.DUMMYFUNCTION("IMPORTRANGE(""https://docs.google.com/spreadsheets/d/11923uPwbBZFjjGgGUA6NLw09EwE0CqkOc4q9oUmW1yo/edit?usp=sharing"",""พิษณุโลก!I199"")"),0)</f>
        <v>0</v>
      </c>
      <c r="J289" s="324">
        <f ca="1">IFERROR(__xludf.DUMMYFUNCTION("IMPORTRANGE(""https://docs.google.com/spreadsheets/d/11923uPwbBZFjjGgGUA6NLw09EwE0CqkOc4q9oUmW1yo/edit?usp=sharing"",""พิษณุโลก!J199"")"),0)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IFERROR(__xludf.DUMMYFUNCTION("IMPORTRANGE(""https://docs.google.com/spreadsheets/d/1Yj_ptqi66GCucihVvJfMjLAmec39IyEx_6qawtMGysU/edit?usp=sharing"",""สบก!CT28"")"),0)</f>
        <v>0</v>
      </c>
      <c r="N294" s="177">
        <f ca="1">IFERROR(__xludf.DUMMYFUNCTION("IMPORTRANGE(""https://docs.google.com/spreadsheets/d/1Yj_ptqi66GCucihVvJfMjLAmec39IyEx_6qawtMGysU/edit?usp=sharing"",""สบก!CU28"")"),0)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IFERROR(__xludf.DUMMYFUNCTION("IMPORTRANGE(""https://docs.google.com/spreadsheets/d/1Yj_ptqi66GCucihVvJfMjLAmec39IyEx_6qawtMGysU/edit?usp=sharing"",""สบก!CP28"")"),0)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IFERROR(__xludf.DUMMYFUNCTION("IMPORTRANGE(""https://docs.google.com/spreadsheets/d/1Yj_ptqi66GCucihVvJfMjLAmec39IyEx_6qawtMGysU/edit?usp=sharing"",""สบก!CQ28"")"),0)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IFERROR(__xludf.DUMMYFUNCTION("IMPORTRANGE(""https://docs.google.com/spreadsheets/d/1Yj_ptqi66GCucihVvJfMjLAmec39IyEx_6qawtMGysU/edit?usp=sharing"",""สบก!CR28"")"),0)</f>
        <v>0</v>
      </c>
      <c r="M298" s="103"/>
      <c r="N298" s="93">
        <f ca="1">IFERROR(__xludf.DUMMYFUNCTION("IMPORTRANGE(""https://docs.google.com/spreadsheets/d/1Yj_ptqi66GCucihVvJfMjLAmec39IyEx_6qawtMGysU/edit?usp=sharing"",""สบก!CV28"")"),0)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IFERROR(__xludf.DUMMYFUNCTION("IMPORTRANGE(""https://docs.google.com/spreadsheets/d/11923uPwbBZFjjGgGUA6NLw09EwE0CqkOc4q9oUmW1yo/edit?usp=sharing"",""พิษณุโลก!J205"")"),0)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IFERROR(__xludf.DUMMYFUNCTION("IMPORTRANGE(""https://docs.google.com/spreadsheets/d/11923uPwbBZFjjGgGUA6NLw09EwE0CqkOc4q9oUmW1yo/edit?usp=sharing"",""พิษณุโลก!J206"")"),0)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IFERROR(__xludf.DUMMYFUNCTION("IMPORTRANGE(""https://docs.google.com/spreadsheets/d/11923uPwbBZFjjGgGUA6NLw09EwE0CqkOc4q9oUmW1yo/edit?usp=sharing"",""พิษณุโลก!J207"")"),0)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IFERROR(__xludf.DUMMYFUNCTION("IMPORTRANGE(""https://docs.google.com/spreadsheets/d/11923uPwbBZFjjGgGUA6NLw09EwE0CqkOc4q9oUmW1yo/edit?usp=sharing"",""พิษณุโลก!J208"")"),0)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IFERROR(__xludf.DUMMYFUNCTION("IMPORTRANGE(""https://docs.google.com/spreadsheets/d/11923uPwbBZFjjGgGUA6NLw09EwE0CqkOc4q9oUmW1yo/edit?usp=sharing"",""พิษณุโลก!I209"")"),0)</f>
        <v>0</v>
      </c>
      <c r="J304" s="213">
        <f ca="1">IFERROR(__xludf.DUMMYFUNCTION("IMPORTRANGE(""https://docs.google.com/spreadsheets/d/11923uPwbBZFjjGgGUA6NLw09EwE0CqkOc4q9oUmW1yo/edit?usp=sharing"",""พิษณุโลก!J209"")"),0)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IFERROR(__xludf.DUMMYFUNCTION("IMPORTRANGE(""https://docs.google.com/spreadsheets/d/11923uPwbBZFjjGgGUA6NLw09EwE0CqkOc4q9oUmW1yo/edit?usp=sharing"",""พิษณุโลก!I211"")"),0)</f>
        <v>0</v>
      </c>
      <c r="J306" s="213">
        <f ca="1">IFERROR(__xludf.DUMMYFUNCTION("IMPORTRANGE(""https://docs.google.com/spreadsheets/d/11923uPwbBZFjjGgGUA6NLw09EwE0CqkOc4q9oUmW1yo/edit?usp=sharing"",""พิษณุโลก!J211"")"),0)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IFERROR(__xludf.DUMMYFUNCTION("IMPORTRANGE(""https://docs.google.com/spreadsheets/d/11923uPwbBZFjjGgGUA6NLw09EwE0CqkOc4q9oUmW1yo/edit?usp=sharing"",""พิษณุโลก!J212"")"),0)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IFERROR(__xludf.DUMMYFUNCTION("IMPORTRANGE(""https://docs.google.com/spreadsheets/d/11923uPwbBZFjjGgGUA6NLw09EwE0CqkOc4q9oUmW1yo/edit?usp=sharing"",""พิษณุโลก!J213"")"),0)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IFERROR(__xludf.DUMMYFUNCTION("IMPORTRANGE(""https://docs.google.com/spreadsheets/d/11923uPwbBZFjjGgGUA6NLw09EwE0CqkOc4q9oUmW1yo/edit?usp=sharing"",""พิษณุโลก!I214"")"),0)</f>
        <v>0</v>
      </c>
      <c r="J309" s="341">
        <f ca="1">IFERROR(__xludf.DUMMYFUNCTION("IMPORTRANGE(""https://docs.google.com/spreadsheets/d/11923uPwbBZFjjGgGUA6NLw09EwE0CqkOc4q9oUmW1yo/edit?usp=sharing"",""พิษณุโลก!J214"")"),0)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IFERROR(__xludf.DUMMYFUNCTION("IMPORTRANGE(""https://docs.google.com/spreadsheets/d/1Yj_ptqi66GCucihVvJfMjLAmec39IyEx_6qawtMGysU/edit?usp=sharing"",""สบก!DC28"")"),0)</f>
        <v>0</v>
      </c>
      <c r="N314" s="177">
        <f ca="1">IFERROR(__xludf.DUMMYFUNCTION("IMPORTRANGE(""https://docs.google.com/spreadsheets/d/1Yj_ptqi66GCucihVvJfMjLAmec39IyEx_6qawtMGysU/edit?usp=sharing"",""สบก!DD28"")"),0)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IFERROR(__xludf.DUMMYFUNCTION("IMPORTRANGE(""https://docs.google.com/spreadsheets/d/1Yj_ptqi66GCucihVvJfMjLAmec39IyEx_6qawtMGysU/edit?usp=sharing"",""สบก!CY28"")"),0)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IFERROR(__xludf.DUMMYFUNCTION("IMPORTRANGE(""https://docs.google.com/spreadsheets/d/1Yj_ptqi66GCucihVvJfMjLAmec39IyEx_6qawtMGysU/edit?usp=sharing"",""สบก!CZ28"")"),0)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IFERROR(__xludf.DUMMYFUNCTION("IMPORTRANGE(""https://docs.google.com/spreadsheets/d/1Yj_ptqi66GCucihVvJfMjLAmec39IyEx_6qawtMGysU/edit?usp=sharing"",""สบก!DA28"")"),0)</f>
        <v>0</v>
      </c>
      <c r="M318" s="103"/>
      <c r="N318" s="93">
        <f ca="1">IFERROR(__xludf.DUMMYFUNCTION("IMPORTRANGE(""https://docs.google.com/spreadsheets/d/1Yj_ptqi66GCucihVvJfMjLAmec39IyEx_6qawtMGysU/edit?usp=sharing"",""สบก!DE28"")"),0)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IFERROR(__xludf.DUMMYFUNCTION("IMPORTRANGE(""https://docs.google.com/spreadsheets/d/11923uPwbBZFjjGgGUA6NLw09EwE0CqkOc4q9oUmW1yo/edit?usp=sharing"",""พิษณุโลก!J220"")"),0)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IFERROR(__xludf.DUMMYFUNCTION("IMPORTRANGE(""https://docs.google.com/spreadsheets/d/11923uPwbBZFjjGgGUA6NLw09EwE0CqkOc4q9oUmW1yo/edit?usp=sharing"",""พิษณุโลก!J221"")"),0)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IFERROR(__xludf.DUMMYFUNCTION("IMPORTRANGE(""https://docs.google.com/spreadsheets/d/11923uPwbBZFjjGgGUA6NLw09EwE0CqkOc4q9oUmW1yo/edit?usp=sharing"",""พิษณุโลก!J222"")"),0)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IFERROR(__xludf.DUMMYFUNCTION("IMPORTRANGE(""https://docs.google.com/spreadsheets/d/11923uPwbBZFjjGgGUA6NLw09EwE0CqkOc4q9oUmW1yo/edit?usp=sharing"",""พิษณุโลก!J223"")"),0)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IFERROR(__xludf.DUMMYFUNCTION("IMPORTRANGE(""https://docs.google.com/spreadsheets/d/11923uPwbBZFjjGgGUA6NLw09EwE0CqkOc4q9oUmW1yo/edit?usp=sharing"",""พิษณุโลก!I224"")"),0)</f>
        <v>0</v>
      </c>
      <c r="J324" s="213">
        <f ca="1">IFERROR(__xludf.DUMMYFUNCTION("IMPORTRANGE(""https://docs.google.com/spreadsheets/d/11923uPwbBZFjjGgGUA6NLw09EwE0CqkOc4q9oUmW1yo/edit?usp=sharing"",""พิษณุโลก!J224"")"),0)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IFERROR(__xludf.DUMMYFUNCTION("IMPORTRANGE(""https://docs.google.com/spreadsheets/d/11923uPwbBZFjjGgGUA6NLw09EwE0CqkOc4q9oUmW1yo/edit?usp=sharing"",""พิษณุโลก!J225"")"),0)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IFERROR(__xludf.DUMMYFUNCTION("IMPORTRANGE(""https://docs.google.com/spreadsheets/d/11923uPwbBZFjjGgGUA6NLw09EwE0CqkOc4q9oUmW1yo/edit?usp=sharing"",""พิษณุโลก!J226"")"),0)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IFERROR(__xludf.DUMMYFUNCTION("IMPORTRANGE(""https://docs.google.com/spreadsheets/d/11923uPwbBZFjjGgGUA6NLw09EwE0CqkOc4q9oUmW1yo/edit?usp=sharing"",""พิษณุโลก!I228"")"),220)</f>
        <v>220</v>
      </c>
      <c r="J328" s="347">
        <f ca="1">IFERROR(__xludf.DUMMYFUNCTION("IMPORTRANGE(""https://docs.google.com/spreadsheets/d/11923uPwbBZFjjGgGUA6NLw09EwE0CqkOc4q9oUmW1yo/edit?usp=sharing"",""พิษณุโลก!J228"")"),37)</f>
        <v>37</v>
      </c>
      <c r="K328" s="325">
        <f ca="1">IF(I328&gt;0,J328*100/I328,0)</f>
        <v>16.818181818181817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693330</v>
      </c>
      <c r="M329" s="158">
        <f t="shared" ca="1" si="98"/>
        <v>372130</v>
      </c>
      <c r="N329" s="158">
        <f t="shared" ca="1" si="98"/>
        <v>261565</v>
      </c>
      <c r="O329" s="157">
        <f t="shared" ref="O329:O331" ca="1" si="99">IF(L329&gt;0,N329*100/L329,0)</f>
        <v>37.725902528377539</v>
      </c>
      <c r="P329" s="157">
        <f t="shared" ref="P329:P331" ca="1" si="100">IF(M329&gt;0,N329*100/M329,0)</f>
        <v>70.288608819498563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693330</v>
      </c>
      <c r="M331" s="163">
        <f t="shared" ca="1" si="102"/>
        <v>372130</v>
      </c>
      <c r="N331" s="163">
        <f t="shared" ca="1" si="102"/>
        <v>261565</v>
      </c>
      <c r="O331" s="162">
        <f t="shared" ca="1" si="99"/>
        <v>37.725902528377539</v>
      </c>
      <c r="P331" s="162">
        <f t="shared" ca="1" si="100"/>
        <v>70.288608819498563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678330</v>
      </c>
      <c r="M333" s="176">
        <f ca="1">IFERROR(__xludf.DUMMYFUNCTION("IMPORTRANGE(""https://docs.google.com/spreadsheets/d/1Yj_ptqi66GCucihVvJfMjLAmec39IyEx_6qawtMGysU/edit?usp=sharing"",""สบก!DL28"")"),372130)</f>
        <v>372130</v>
      </c>
      <c r="N333" s="177">
        <f ca="1">IFERROR(__xludf.DUMMYFUNCTION("IMPORTRANGE(""https://docs.google.com/spreadsheets/d/1Yj_ptqi66GCucihVvJfMjLAmec39IyEx_6qawtMGysU/edit?usp=sharing"",""สบก!DM28"")"),246565)</f>
        <v>246565</v>
      </c>
      <c r="O333" s="178">
        <f ca="1">IF(L333&gt;0,N333*100/L333,0)</f>
        <v>36.348827266964456</v>
      </c>
      <c r="P333" s="178">
        <f ca="1">IF(M333&gt;0,N333*100/M333,0)</f>
        <v>66.257759385161094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IFERROR(__xludf.DUMMYFUNCTION("IMPORTRANGE(""https://docs.google.com/spreadsheets/d/1Yj_ptqi66GCucihVvJfMjLAmec39IyEx_6qawtMGysU/edit?usp=sharing"",""สบก!DH28"")"),306000)</f>
        <v>306000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IFERROR(__xludf.DUMMYFUNCTION("IMPORTRANGE(""https://docs.google.com/spreadsheets/d/1Yj_ptqi66GCucihVvJfMjLAmec39IyEx_6qawtMGysU/edit?usp=sharing"",""สบก!DI28"")"),372330)</f>
        <v>372330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IFERROR(__xludf.DUMMYFUNCTION("IMPORTRANGE(""https://docs.google.com/spreadsheets/d/1Yj_ptqi66GCucihVvJfMjLAmec39IyEx_6qawtMGysU/edit?usp=sharing"",""สบก!DJ28"")"),15000)</f>
        <v>15000</v>
      </c>
      <c r="M337" s="103"/>
      <c r="N337" s="93">
        <f ca="1">IFERROR(__xludf.DUMMYFUNCTION("IMPORTRANGE(""https://docs.google.com/spreadsheets/d/1Yj_ptqi66GCucihVvJfMjLAmec39IyEx_6qawtMGysU/edit?usp=sharing"",""สบก!DN28"")"),15000)</f>
        <v>15000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IFERROR(__xludf.DUMMYFUNCTION("IMPORTRANGE(""https://docs.google.com/spreadsheets/d/11923uPwbBZFjjGgGUA6NLw09EwE0CqkOc4q9oUmW1yo/edit?usp=sharing"",""พิษณุโลก!I234"")"),0)</f>
        <v>0</v>
      </c>
      <c r="J339" s="197">
        <f ca="1">IFERROR(__xludf.DUMMYFUNCTION("IMPORTRANGE(""https://docs.google.com/spreadsheets/d/11923uPwbBZFjjGgGUA6NLw09EwE0CqkOc4q9oUmW1yo/edit?usp=sharing"",""พิษณุโลก!J234"")"),109)</f>
        <v>109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IFERROR(__xludf.DUMMYFUNCTION("IMPORTRANGE(""https://docs.google.com/spreadsheets/d/11923uPwbBZFjjGgGUA6NLw09EwE0CqkOc4q9oUmW1yo/edit?usp=sharing"",""พิษณุโลก!I235"")"),2040)</f>
        <v>2040</v>
      </c>
      <c r="J340" s="197">
        <f ca="1">IFERROR(__xludf.DUMMYFUNCTION("IMPORTRANGE(""https://docs.google.com/spreadsheets/d/11923uPwbBZFjjGgGUA6NLw09EwE0CqkOc4q9oUmW1yo/edit?usp=sharing"",""พิษณุโลก!J235"")"),1051.81)</f>
        <v>1051.81</v>
      </c>
      <c r="K340" s="350">
        <f t="shared" ca="1" si="103"/>
        <v>51.559313725490199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IFERROR(__xludf.DUMMYFUNCTION("IMPORTRANGE(""https://docs.google.com/spreadsheets/d/11923uPwbBZFjjGgGUA6NLw09EwE0CqkOc4q9oUmW1yo/edit?usp=sharing"",""พิษณุโลก!I236"")"),220)</f>
        <v>220</v>
      </c>
      <c r="J341" s="197">
        <f ca="1">IFERROR(__xludf.DUMMYFUNCTION("IMPORTRANGE(""https://docs.google.com/spreadsheets/d/11923uPwbBZFjjGgGUA6NLw09EwE0CqkOc4q9oUmW1yo/edit?usp=sharing"",""พิษณุโลก!J236"")"),122)</f>
        <v>122</v>
      </c>
      <c r="K341" s="350">
        <f t="shared" ca="1" si="103"/>
        <v>55.454545454545453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IFERROR(__xludf.DUMMYFUNCTION("IMPORTRANGE(""https://docs.google.com/spreadsheets/d/11923uPwbBZFjjGgGUA6NLw09EwE0CqkOc4q9oUmW1yo/edit?usp=sharing"",""พิษณุโลก!I237"")"),0)</f>
        <v>0</v>
      </c>
      <c r="J342" s="197">
        <f ca="1">IFERROR(__xludf.DUMMYFUNCTION("IMPORTRANGE(""https://docs.google.com/spreadsheets/d/11923uPwbBZFjjGgGUA6NLw09EwE0CqkOc4q9oUmW1yo/edit?usp=sharing"",""พิษณุโลก!J237"")"),1319.05)</f>
        <v>1319.05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IFERROR(__xludf.DUMMYFUNCTION("IMPORTRANGE(""https://docs.google.com/spreadsheets/d/11923uPwbBZFjjGgGUA6NLw09EwE0CqkOc4q9oUmW1yo/edit?usp=sharing"",""พิษณุโลก!I238"")"),220)</f>
        <v>220</v>
      </c>
      <c r="J343" s="197">
        <f ca="1">IFERROR(__xludf.DUMMYFUNCTION("IMPORTRANGE(""https://docs.google.com/spreadsheets/d/11923uPwbBZFjjGgGUA6NLw09EwE0CqkOc4q9oUmW1yo/edit?usp=sharing"",""พิษณุโลก!J238"")"),0)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IFERROR(__xludf.DUMMYFUNCTION("IMPORTRANGE(""https://docs.google.com/spreadsheets/d/11923uPwbBZFjjGgGUA6NLw09EwE0CqkOc4q9oUmW1yo/edit?usp=sharing"",""พิษณุโลก!I239"")"),0)</f>
        <v>0</v>
      </c>
      <c r="J344" s="197">
        <f ca="1">IFERROR(__xludf.DUMMYFUNCTION("IMPORTRANGE(""https://docs.google.com/spreadsheets/d/11923uPwbBZFjjGgGUA6NLw09EwE0CqkOc4q9oUmW1yo/edit?usp=sharing"",""พิษณุโลก!J239"")"),0)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IFERROR(__xludf.DUMMYFUNCTION("IMPORTRANGE(""https://docs.google.com/spreadsheets/d/11923uPwbBZFjjGgGUA6NLw09EwE0CqkOc4q9oUmW1yo/edit?usp=sharing"",""พิษณุโลก!I240"")"),220)</f>
        <v>220</v>
      </c>
      <c r="J345" s="197">
        <f ca="1">IFERROR(__xludf.DUMMYFUNCTION("IMPORTRANGE(""https://docs.google.com/spreadsheets/d/11923uPwbBZFjjGgGUA6NLw09EwE0CqkOc4q9oUmW1yo/edit?usp=sharing"",""พิษณุโลก!J240"")"),37)</f>
        <v>37</v>
      </c>
      <c r="K345" s="350">
        <f t="shared" ca="1" si="103"/>
        <v>16.818181818181817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IFERROR(__xludf.DUMMYFUNCTION("IMPORTRANGE(""https://docs.google.com/spreadsheets/d/11923uPwbBZFjjGgGUA6NLw09EwE0CqkOc4q9oUmW1yo/edit?usp=sharing"",""พิษณุโลก!I241"")"),0)</f>
        <v>0</v>
      </c>
      <c r="J346" s="197">
        <f ca="1">IFERROR(__xludf.DUMMYFUNCTION("IMPORTRANGE(""https://docs.google.com/spreadsheets/d/11923uPwbBZFjjGgGUA6NLw09EwE0CqkOc4q9oUmW1yo/edit?usp=sharing"",""พิษณุโลก!J241"")"),493.76)</f>
        <v>493.76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IFERROR(__xludf.DUMMYFUNCTION("IMPORTRANGE(""https://docs.google.com/spreadsheets/d/11923uPwbBZFjjGgGUA6NLw09EwE0CqkOc4q9oUmW1yo/edit?usp=sharing"",""พิษณุโลก!L242"")"),2734339)</f>
        <v>2734339</v>
      </c>
      <c r="M347" s="366"/>
      <c r="N347" s="366">
        <f ca="1">IFERROR(__xludf.DUMMYFUNCTION("IMPORTRANGE(""https://docs.google.com/spreadsheets/d/11923uPwbBZFjjGgGUA6NLw09EwE0CqkOc4q9oUmW1yo/edit?usp=sharing"",""พิษณุโลก!M242"")"),289916.56)</f>
        <v>289916.56</v>
      </c>
      <c r="O347" s="366">
        <f ca="1">+IF(L347&gt;0,N347*100/L347,0)</f>
        <v>10.602802359180775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IFERROR(__xludf.DUMMYFUNCTION("IMPORTRANGE(""https://docs.google.com/spreadsheets/d/11923uPwbBZFjjGgGUA6NLw09EwE0CqkOc4q9oUmW1yo/edit?usp=sharing"",""พิษณุโลก!I244"")"),0)</f>
        <v>0</v>
      </c>
      <c r="J349" s="379">
        <f ca="1">IFERROR(__xludf.DUMMYFUNCTION("IMPORTRANGE(""https://docs.google.com/spreadsheets/d/11923uPwbBZFjjGgGUA6NLw09EwE0CqkOc4q9oUmW1yo/edit?usp=sharing"",""พิษณุโลก!J244"")"),0)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IFERROR(__xludf.DUMMYFUNCTION("IMPORTRANGE(""https://docs.google.com/spreadsheets/d/11923uPwbBZFjjGgGUA6NLw09EwE0CqkOc4q9oUmW1yo/edit?usp=sharing"",""พิษณุโลก!L244"")"),0)</f>
        <v>0</v>
      </c>
      <c r="M349" s="381"/>
      <c r="N349" s="381">
        <f ca="1">IFERROR(__xludf.DUMMYFUNCTION("IMPORTRANGE(""https://docs.google.com/spreadsheets/d/11923uPwbBZFjjGgGUA6NLw09EwE0CqkOc4q9oUmW1yo/edit?usp=sharing"",""พิษณุโลก!M244"")"),0)</f>
        <v>0</v>
      </c>
      <c r="O349" s="381">
        <f ca="1">+IF(L349&gt;0,N349*100/L349,0)</f>
        <v>0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IFERROR(__xludf.DUMMYFUNCTION("IMPORTRANGE(""https://docs.google.com/spreadsheets/d/11923uPwbBZFjjGgGUA6NLw09EwE0CqkOc4q9oUmW1yo/edit?usp=sharing"",""พิษณุโลก!I245"")"),0)</f>
        <v>0</v>
      </c>
      <c r="J350" s="379">
        <f ca="1">IFERROR(__xludf.DUMMYFUNCTION("IMPORTRANGE(""https://docs.google.com/spreadsheets/d/11923uPwbBZFjjGgGUA6NLw09EwE0CqkOc4q9oUmW1yo/edit?usp=sharing"",""พิษณุโลก!J245"")"),0)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IFERROR(__xludf.DUMMYFUNCTION("IMPORTRANGE(""https://docs.google.com/spreadsheets/d/11923uPwbBZFjjGgGUA6NLw09EwE0CqkOc4q9oUmW1yo/edit?usp=sharing"",""พิษณุโลก!L246"")"),0)</f>
        <v>0</v>
      </c>
      <c r="M351" s="172"/>
      <c r="N351" s="172">
        <f ca="1">IFERROR(__xludf.DUMMYFUNCTION("IMPORTRANGE(""https://docs.google.com/spreadsheets/d/11923uPwbBZFjjGgGUA6NLw09EwE0CqkOc4q9oUmW1yo/edit?usp=sharing"",""พิษณุโลก!M246"")"),0)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IFERROR(__xludf.DUMMYFUNCTION("IMPORTRANGE(""https://docs.google.com/spreadsheets/d/11923uPwbBZFjjGgGUA6NLw09EwE0CqkOc4q9oUmW1yo/edit?usp=sharing"",""พิษณุโลก!L247"")"),0)</f>
        <v>0</v>
      </c>
      <c r="M352" s="173"/>
      <c r="N352" s="172">
        <f ca="1">IFERROR(__xludf.DUMMYFUNCTION("IMPORTRANGE(""https://docs.google.com/spreadsheets/d/11923uPwbBZFjjGgGUA6NLw09EwE0CqkOc4q9oUmW1yo/edit?usp=sharing"",""พิษณุโลก!M247"")"),0)</f>
        <v>0</v>
      </c>
      <c r="O352" s="173">
        <f t="shared" ca="1" si="105"/>
        <v>0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IFERROR(__xludf.DUMMYFUNCTION("IMPORTRANGE(""https://docs.google.com/spreadsheets/d/11923uPwbBZFjjGgGUA6NLw09EwE0CqkOc4q9oUmW1yo/edit?usp=sharing"",""พิษณุโลก!L248"")"),0)</f>
        <v>0</v>
      </c>
      <c r="M353" s="178"/>
      <c r="N353" s="178">
        <f ca="1">IFERROR(__xludf.DUMMYFUNCTION("IMPORTRANGE(""https://docs.google.com/spreadsheets/d/11923uPwbBZFjjGgGUA6NLw09EwE0CqkOc4q9oUmW1yo/edit?usp=sharing"",""พิษณุโลก!M248"")"),0)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IFERROR(__xludf.DUMMYFUNCTION("IMPORTRANGE(""https://docs.google.com/spreadsheets/d/11923uPwbBZFjjGgGUA6NLw09EwE0CqkOc4q9oUmW1yo/edit?usp=sharing"",""พิษณุโลก!L249"")"),0)</f>
        <v>0</v>
      </c>
      <c r="M354" s="178"/>
      <c r="N354" s="175">
        <f ca="1">IFERROR(__xludf.DUMMYFUNCTION("IMPORTRANGE(""https://docs.google.com/spreadsheets/d/11923uPwbBZFjjGgGUA6NLw09EwE0CqkOc4q9oUmW1yo/edit?usp=sharing"",""พิษณุโลก!M249"")"),0)</f>
        <v>0</v>
      </c>
      <c r="O354" s="178">
        <f t="shared" ca="1" si="105"/>
        <v>0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IFERROR(__xludf.DUMMYFUNCTION("IMPORTRANGE(""https://docs.google.com/spreadsheets/d/11923uPwbBZFjjGgGUA6NLw09EwE0CqkOc4q9oUmW1yo/edit?usp=sharing"",""พิษณุโลก!M250"")"),0)</f>
        <v>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IFERROR(__xludf.DUMMYFUNCTION("IMPORTRANGE(""https://docs.google.com/spreadsheets/d/11923uPwbBZFjjGgGUA6NLw09EwE0CqkOc4q9oUmW1yo/edit?usp=sharing"",""พิษณุโลก!M251"")"),0)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IFERROR(__xludf.DUMMYFUNCTION("IMPORTRANGE(""https://docs.google.com/spreadsheets/d/11923uPwbBZFjjGgGUA6NLw09EwE0CqkOc4q9oUmW1yo/edit?usp=sharing"",""พิษณุโลก!M252"")"),0)</f>
        <v>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IFERROR(__xludf.DUMMYFUNCTION("IMPORTRANGE(""https://docs.google.com/spreadsheets/d/11923uPwbBZFjjGgGUA6NLw09EwE0CqkOc4q9oUmW1yo/edit?usp=sharing"",""พิษณุโลก!M253"")"),0)</f>
        <v>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IFERROR(__xludf.DUMMYFUNCTION("IMPORTRANGE(""https://docs.google.com/spreadsheets/d/11923uPwbBZFjjGgGUA6NLw09EwE0CqkOc4q9oUmW1yo/edit?usp=sharing"",""พิษณุโลก!J255"")"),0)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IFERROR(__xludf.DUMMYFUNCTION("IMPORTRANGE(""https://docs.google.com/spreadsheets/d/11923uPwbBZFjjGgGUA6NLw09EwE0CqkOc4q9oUmW1yo/edit?usp=sharing"",""พิษณุโลก!J256"")"),0)</f>
        <v>0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IFERROR(__xludf.DUMMYFUNCTION("IMPORTRANGE(""https://docs.google.com/spreadsheets/d/11923uPwbBZFjjGgGUA6NLw09EwE0CqkOc4q9oUmW1yo/edit?usp=sharing"",""พิษณุโลก!J257"")"),0)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IFERROR(__xludf.DUMMYFUNCTION("IMPORTRANGE(""https://docs.google.com/spreadsheets/d/11923uPwbBZFjjGgGUA6NLw09EwE0CqkOc4q9oUmW1yo/edit?usp=sharing"",""พิษณุโลก!J258"")"),0)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IFERROR(__xludf.DUMMYFUNCTION("IMPORTRANGE(""https://docs.google.com/spreadsheets/d/11923uPwbBZFjjGgGUA6NLw09EwE0CqkOc4q9oUmW1yo/edit?usp=sharing"",""พิษณุโลก!J166"")"),0)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IFERROR(__xludf.DUMMYFUNCTION("IMPORTRANGE(""https://docs.google.com/spreadsheets/d/11923uPwbBZFjjGgGUA6NLw09EwE0CqkOc4q9oUmW1yo/edit?usp=sharing"",""พิษณุโลก!J166"")"),0)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IFERROR(__xludf.DUMMYFUNCTION("IMPORTRANGE(""https://docs.google.com/spreadsheets/d/11923uPwbBZFjjGgGUA6NLw09EwE0CqkOc4q9oUmW1yo/edit?usp=sharing"",""พิษณุโลก!J166"")"),0)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IFERROR(__xludf.DUMMYFUNCTION("IMPORTRANGE(""https://docs.google.com/spreadsheets/d/11923uPwbBZFjjGgGUA6NLw09EwE0CqkOc4q9oUmW1yo/edit?usp=sharing"",""พิษณุโลก!J166"")"),0)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IFERROR(__xludf.DUMMYFUNCTION("IMPORTRANGE(""https://docs.google.com/spreadsheets/d/11923uPwbBZFjjGgGUA6NLw09EwE0CqkOc4q9oUmW1yo/edit?usp=sharing"",""พิษณุโลก!I263"")"),0)</f>
        <v>0</v>
      </c>
      <c r="J368" s="197">
        <f ca="1">IFERROR(__xludf.DUMMYFUNCTION("IMPORTRANGE(""https://docs.google.com/spreadsheets/d/11923uPwbBZFjjGgGUA6NLw09EwE0CqkOc4q9oUmW1yo/edit?usp=sharing"",""พิษณุโลก!J263"")"),0)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IFERROR(__xludf.DUMMYFUNCTION("IMPORTRANGE(""https://docs.google.com/spreadsheets/d/11923uPwbBZFjjGgGUA6NLw09EwE0CqkOc4q9oUmW1yo/edit?usp=sharing"",""พิษณุโลก!I164"")"),0)</f>
        <v>0</v>
      </c>
      <c r="J369" s="213">
        <f ca="1">IFERROR(__xludf.DUMMYFUNCTION("IMPORTRANGE(""https://docs.google.com/spreadsheets/d/11923uPwbBZFjjGgGUA6NLw09EwE0CqkOc4q9oUmW1yo/edit?usp=sharing"",""พิษณุโลก!J164"")"),0)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IFERROR(__xludf.DUMMYFUNCTION("IMPORTRANGE(""https://docs.google.com/spreadsheets/d/11923uPwbBZFjjGgGUA6NLw09EwE0CqkOc4q9oUmW1yo/edit?usp=sharing"",""พิษณุโลก!I265"")"),0)</f>
        <v>0</v>
      </c>
      <c r="J370" s="213">
        <f ca="1">IFERROR(__xludf.DUMMYFUNCTION("IMPORTRANGE(""https://docs.google.com/spreadsheets/d/11923uPwbBZFjjGgGUA6NLw09EwE0CqkOc4q9oUmW1yo/edit?usp=sharing"",""พิษณุโลก!J265"")"),0)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IFERROR(__xludf.DUMMYFUNCTION("IMPORTRANGE(""https://docs.google.com/spreadsheets/d/11923uPwbBZFjjGgGUA6NLw09EwE0CqkOc4q9oUmW1yo/edit?usp=sharing"",""พิษณุโลก!I164"")"),0)</f>
        <v>0</v>
      </c>
      <c r="J371" s="198">
        <f ca="1">IFERROR(__xludf.DUMMYFUNCTION("IMPORTRANGE(""https://docs.google.com/spreadsheets/d/11923uPwbBZFjjGgGUA6NLw09EwE0CqkOc4q9oUmW1yo/edit?usp=sharing"",""พิษณุโลก!J164"")"),0)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IFERROR(__xludf.DUMMYFUNCTION("IMPORTRANGE(""https://docs.google.com/spreadsheets/d/11923uPwbBZFjjGgGUA6NLw09EwE0CqkOc4q9oUmW1yo/edit?usp=sharing"",""พิษณุโลก!I267"")"),0)</f>
        <v>0</v>
      </c>
      <c r="J372" s="198">
        <f ca="1">IFERROR(__xludf.DUMMYFUNCTION("IMPORTRANGE(""https://docs.google.com/spreadsheets/d/11923uPwbBZFjjGgGUA6NLw09EwE0CqkOc4q9oUmW1yo/edit?usp=sharing"",""พิษณุโลก!J267"")"),0)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IFERROR(__xludf.DUMMYFUNCTION("IMPORTRANGE(""https://docs.google.com/spreadsheets/d/11923uPwbBZFjjGgGUA6NLw09EwE0CqkOc4q9oUmW1yo/edit?usp=sharing"",""พิษณุโลก!I164"")"),0)</f>
        <v>0</v>
      </c>
      <c r="J373" s="213">
        <f ca="1">IFERROR(__xludf.DUMMYFUNCTION("IMPORTRANGE(""https://docs.google.com/spreadsheets/d/11923uPwbBZFjjGgGUA6NLw09EwE0CqkOc4q9oUmW1yo/edit?usp=sharing"",""พิษณุโลก!J164"")"),0)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IFERROR(__xludf.DUMMYFUNCTION("IMPORTRANGE(""https://docs.google.com/spreadsheets/d/11923uPwbBZFjjGgGUA6NLw09EwE0CqkOc4q9oUmW1yo/edit?usp=sharing"",""พิษณุโลก!I164"")"),0)</f>
        <v>0</v>
      </c>
      <c r="J374" s="197">
        <f ca="1">IFERROR(__xludf.DUMMYFUNCTION("IMPORTRANGE(""https://docs.google.com/spreadsheets/d/11923uPwbBZFjjGgGUA6NLw09EwE0CqkOc4q9oUmW1yo/edit?usp=sharing"",""พิษณุโลก!J164"")"),0)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IFERROR(__xludf.DUMMYFUNCTION("IMPORTRANGE(""https://docs.google.com/spreadsheets/d/11923uPwbBZFjjGgGUA6NLw09EwE0CqkOc4q9oUmW1yo/edit?usp=sharing"",""พิษณุโลก!I270"")"),0)</f>
        <v>0</v>
      </c>
      <c r="J375" s="197">
        <f ca="1">IFERROR(__xludf.DUMMYFUNCTION("IMPORTRANGE(""https://docs.google.com/spreadsheets/d/11923uPwbBZFjjGgGUA6NLw09EwE0CqkOc4q9oUmW1yo/edit?usp=sharing"",""พิษณุโลก!J270"")"),0)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IFERROR(__xludf.DUMMYFUNCTION("IMPORTRANGE(""https://docs.google.com/spreadsheets/d/11923uPwbBZFjjGgGUA6NLw09EwE0CqkOc4q9oUmW1yo/edit?usp=sharing"",""พิษณุโลก!I271"")"),0)</f>
        <v>0</v>
      </c>
      <c r="J376" s="198">
        <f ca="1">IFERROR(__xludf.DUMMYFUNCTION("IMPORTRANGE(""https://docs.google.com/spreadsheets/d/11923uPwbBZFjjGgGUA6NLw09EwE0CqkOc4q9oUmW1yo/edit?usp=sharing"",""พิษณุโลก!J271"")"),0)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IFERROR(__xludf.DUMMYFUNCTION("IMPORTRANGE(""https://docs.google.com/spreadsheets/d/11923uPwbBZFjjGgGUA6NLw09EwE0CqkOc4q9oUmW1yo/edit?usp=sharing"",""พิษณุโลก!I272"")"),0)</f>
        <v>0</v>
      </c>
      <c r="J377" s="213">
        <f ca="1">IFERROR(__xludf.DUMMYFUNCTION("IMPORTRANGE(""https://docs.google.com/spreadsheets/d/11923uPwbBZFjjGgGUA6NLw09EwE0CqkOc4q9oUmW1yo/edit?usp=sharing"",""พิษณุโลก!J272"")"),0)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IFERROR(__xludf.DUMMYFUNCTION("IMPORTRANGE(""https://docs.google.com/spreadsheets/d/11923uPwbBZFjjGgGUA6NLw09EwE0CqkOc4q9oUmW1yo/edit?usp=sharing"",""พิษณุโลก!J273"")"),0)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IFERROR(__xludf.DUMMYFUNCTION("IMPORTRANGE(""https://docs.google.com/spreadsheets/d/11923uPwbBZFjjGgGUA6NLw09EwE0CqkOc4q9oUmW1yo/edit?usp=sharing"",""พิษณุโลก!J274"")"),0)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IFERROR(__xludf.DUMMYFUNCTION("IMPORTRANGE(""https://docs.google.com/spreadsheets/d/11923uPwbBZFjjGgGUA6NLw09EwE0CqkOc4q9oUmW1yo/edit?usp=sharing"",""พิษณุโลก!I275"")"),1000)</f>
        <v>1000</v>
      </c>
      <c r="J380" s="379">
        <f ca="1">IFERROR(__xludf.DUMMYFUNCTION("IMPORTRANGE(""https://docs.google.com/spreadsheets/d/11923uPwbBZFjjGgGUA6NLw09EwE0CqkOc4q9oUmW1yo/edit?usp=sharing"",""พิษณุโลก!J275"")"),1000)</f>
        <v>1000</v>
      </c>
      <c r="K380" s="380">
        <f t="shared" ref="K380:K381" ca="1" si="108">IF(I380&gt;0,J380*100/I380,0)</f>
        <v>100</v>
      </c>
      <c r="L380" s="381">
        <f ca="1">IFERROR(__xludf.DUMMYFUNCTION("IMPORTRANGE(""https://docs.google.com/spreadsheets/d/11923uPwbBZFjjGgGUA6NLw09EwE0CqkOc4q9oUmW1yo/edit?usp=sharing"",""พิษณุโลก!L275"")"),1028520)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IFERROR(__xludf.DUMMYFUNCTION("IMPORTRANGE(""https://docs.google.com/spreadsheets/d/11923uPwbBZFjjGgGUA6NLw09EwE0CqkOc4q9oUmW1yo/edit?usp=sharing"",""พิษณุโลก!M275"")"),59180.09)</f>
        <v>59180.09</v>
      </c>
      <c r="O380" s="381">
        <f ca="1">+IF(L380&gt;0,N380*100/L380,0)</f>
        <v>5.7539075564889357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IFERROR(__xludf.DUMMYFUNCTION("IMPORTRANGE(""https://docs.google.com/spreadsheets/d/11923uPwbBZFjjGgGUA6NLw09EwE0CqkOc4q9oUmW1yo/edit?usp=sharing"",""พิษณุโลก!I276"")"),100)</f>
        <v>100</v>
      </c>
      <c r="J381" s="379">
        <f ca="1">IFERROR(__xludf.DUMMYFUNCTION("IMPORTRANGE(""https://docs.google.com/spreadsheets/d/11923uPwbBZFjjGgGUA6NLw09EwE0CqkOc4q9oUmW1yo/edit?usp=sharing"",""พิษณุโลก!J276"")"),100)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IFERROR(__xludf.DUMMYFUNCTION("IMPORTRANGE(""https://docs.google.com/spreadsheets/d/11923uPwbBZFjjGgGUA6NLw09EwE0CqkOc4q9oUmW1yo/edit?usp=sharing"",""พิษณุโลก!L277"")"),0)</f>
        <v>0</v>
      </c>
      <c r="M382" s="172"/>
      <c r="N382" s="172">
        <f ca="1">IFERROR(__xludf.DUMMYFUNCTION("IMPORTRANGE(""https://docs.google.com/spreadsheets/d/11923uPwbBZFjjGgGUA6NLw09EwE0CqkOc4q9oUmW1yo/edit?usp=sharing"",""พิษณุโลก!M277"")"),0)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IFERROR(__xludf.DUMMYFUNCTION("IMPORTRANGE(""https://docs.google.com/spreadsheets/d/11923uPwbBZFjjGgGUA6NLw09EwE0CqkOc4q9oUmW1yo/edit?usp=sharing"",""พิษณุโลก!L278"")"),1028520)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IFERROR(__xludf.DUMMYFUNCTION("IMPORTRANGE(""https://docs.google.com/spreadsheets/d/11923uPwbBZFjjGgGUA6NLw09EwE0CqkOc4q9oUmW1yo/edit?usp=sharing"",""พิษณุโลก!M278"")"),59180.09)</f>
        <v>59180.09</v>
      </c>
      <c r="O383" s="173">
        <f t="shared" ca="1" si="109"/>
        <v>5.7539075564889357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IFERROR(__xludf.DUMMYFUNCTION("IMPORTRANGE(""https://docs.google.com/spreadsheets/d/11923uPwbBZFjjGgGUA6NLw09EwE0CqkOc4q9oUmW1yo/edit?usp=sharing"",""พิษณุโลก!L279"")"),0)</f>
        <v>0</v>
      </c>
      <c r="M384" s="178"/>
      <c r="N384" s="178">
        <f ca="1">IFERROR(__xludf.DUMMYFUNCTION("IMPORTRANGE(""https://docs.google.com/spreadsheets/d/11923uPwbBZFjjGgGUA6NLw09EwE0CqkOc4q9oUmW1yo/edit?usp=sharing"",""พิษณุโลก!M279"")"),0)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IFERROR(__xludf.DUMMYFUNCTION("IMPORTRANGE(""https://docs.google.com/spreadsheets/d/11923uPwbBZFjjGgGUA6NLw09EwE0CqkOc4q9oUmW1yo/edit?usp=sharing"",""พิษณุโลก!L280"")"),1028520)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IFERROR(__xludf.DUMMYFUNCTION("IMPORTRANGE(""https://docs.google.com/spreadsheets/d/11923uPwbBZFjjGgGUA6NLw09EwE0CqkOc4q9oUmW1yo/edit?usp=sharing"",""พิษณุโลก!M280"")"),59180.09)</f>
        <v>59180.09</v>
      </c>
      <c r="O385" s="178">
        <f t="shared" ca="1" si="109"/>
        <v>5.7539075564889357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IFERROR(__xludf.DUMMYFUNCTION("IMPORTRANGE(""https://docs.google.com/spreadsheets/d/11923uPwbBZFjjGgGUA6NLw09EwE0CqkOc4q9oUmW1yo/edit?usp=sharing"",""พิษณุโลก!M281"")"),25800)</f>
        <v>25800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IFERROR(__xludf.DUMMYFUNCTION("IMPORTRANGE(""https://docs.google.com/spreadsheets/d/11923uPwbBZFjjGgGUA6NLw09EwE0CqkOc4q9oUmW1yo/edit?usp=sharing"",""พิษณุโลก!M282"")"),0)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IFERROR(__xludf.DUMMYFUNCTION("IMPORTRANGE(""https://docs.google.com/spreadsheets/d/11923uPwbBZFjjGgGUA6NLw09EwE0CqkOc4q9oUmW1yo/edit?usp=sharing"",""พิษณุโลก!M283"")"),31900.09)</f>
        <v>31900.09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IFERROR(__xludf.DUMMYFUNCTION("IMPORTRANGE(""https://docs.google.com/spreadsheets/d/11923uPwbBZFjjGgGUA6NLw09EwE0CqkOc4q9oUmW1yo/edit?usp=sharing"",""พิษณุโลก!M284"")"),1480)</f>
        <v>1480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IFERROR(__xludf.DUMMYFUNCTION("IMPORTRANGE(""https://docs.google.com/spreadsheets/d/11923uPwbBZFjjGgGUA6NLw09EwE0CqkOc4q9oUmW1yo/edit?usp=sharing"",""พิษณุโลก!J286"")"),0)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IFERROR(__xludf.DUMMYFUNCTION("IMPORTRANGE(""https://docs.google.com/spreadsheets/d/11923uPwbBZFjjGgGUA6NLw09EwE0CqkOc4q9oUmW1yo/edit?usp=sharing"",""พิษณุโลก!J287"")"),1)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IFERROR(__xludf.DUMMYFUNCTION("IMPORTRANGE(""https://docs.google.com/spreadsheets/d/11923uPwbBZFjjGgGUA6NLw09EwE0CqkOc4q9oUmW1yo/edit?usp=sharing"",""พิษณุโลก!J288"")"),1)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IFERROR(__xludf.DUMMYFUNCTION("IMPORTRANGE(""https://docs.google.com/spreadsheets/d/11923uPwbBZFjjGgGUA6NLw09EwE0CqkOc4q9oUmW1yo/edit?usp=sharing"",""พิษณุโลก!J289"")"),1)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IFERROR(__xludf.DUMMYFUNCTION("IMPORTRANGE(""https://docs.google.com/spreadsheets/d/11923uPwbBZFjjGgGUA6NLw09EwE0CqkOc4q9oUmW1yo/edit?usp=sharing"",""พิษณุโลก!I291"")"),100)</f>
        <v>100</v>
      </c>
      <c r="J396" s="207">
        <f ca="1">IFERROR(__xludf.DUMMYFUNCTION("IMPORTRANGE(""https://docs.google.com/spreadsheets/d/11923uPwbBZFjjGgGUA6NLw09EwE0CqkOc4q9oUmW1yo/edit?usp=sharing"",""พิษณุโลก!J291"")"),100)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IFERROR(__xludf.DUMMYFUNCTION("IMPORTRANGE(""https://docs.google.com/spreadsheets/d/11923uPwbBZFjjGgGUA6NLw09EwE0CqkOc4q9oUmW1yo/edit?usp=sharing"",""พิษณุโลก!I292"")"),1000)</f>
        <v>1000</v>
      </c>
      <c r="J397" s="207">
        <f ca="1">IFERROR(__xludf.DUMMYFUNCTION("IMPORTRANGE(""https://docs.google.com/spreadsheets/d/11923uPwbBZFjjGgGUA6NLw09EwE0CqkOc4q9oUmW1yo/edit?usp=sharing"",""พิษณุโลก!J292"")"),1000)</f>
        <v>1000</v>
      </c>
      <c r="K397" s="171">
        <f t="shared" ca="1" si="110"/>
        <v>100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IFERROR(__xludf.DUMMYFUNCTION("IMPORTRANGE(""https://docs.google.com/spreadsheets/d/11923uPwbBZFjjGgGUA6NLw09EwE0CqkOc4q9oUmW1yo/edit?usp=sharing"",""พิษณุโลก!I293"")"),100)</f>
        <v>100</v>
      </c>
      <c r="J398" s="207">
        <f ca="1">IFERROR(__xludf.DUMMYFUNCTION("IMPORTRANGE(""https://docs.google.com/spreadsheets/d/11923uPwbBZFjjGgGUA6NLw09EwE0CqkOc4q9oUmW1yo/edit?usp=sharing"",""พิษณุโลก!J293"")"),0)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IFERROR(__xludf.DUMMYFUNCTION("IMPORTRANGE(""https://docs.google.com/spreadsheets/d/11923uPwbBZFjjGgGUA6NLw09EwE0CqkOc4q9oUmW1yo/edit?usp=sharing"",""พิษณุโลก!J294"")"),0)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IFERROR(__xludf.DUMMYFUNCTION("IMPORTRANGE(""https://docs.google.com/spreadsheets/d/11923uPwbBZFjjGgGUA6NLw09EwE0CqkOc4q9oUmW1yo/edit?usp=sharing"",""พิษณุโลก!J295"")"),0)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IFERROR(__xludf.DUMMYFUNCTION("IMPORTRANGE(""https://docs.google.com/spreadsheets/d/11923uPwbBZFjjGgGUA6NLw09EwE0CqkOc4q9oUmW1yo/edit?usp=sharing"",""พิษณุโลก!I296"")"),225)</f>
        <v>225</v>
      </c>
      <c r="J401" s="379">
        <f ca="1">IFERROR(__xludf.DUMMYFUNCTION("IMPORTRANGE(""https://docs.google.com/spreadsheets/d/11923uPwbBZFjjGgGUA6NLw09EwE0CqkOc4q9oUmW1yo/edit?usp=sharing"",""พิษณุโลก!J296"")"),195)</f>
        <v>195</v>
      </c>
      <c r="K401" s="380">
        <f t="shared" ref="K401:K402" ca="1" si="111">IF(I401&gt;0,J401*100/I401,0)</f>
        <v>86.666666666666671</v>
      </c>
      <c r="L401" s="381">
        <f ca="1">IFERROR(__xludf.DUMMYFUNCTION("IMPORTRANGE(""https://docs.google.com/spreadsheets/d/11923uPwbBZFjjGgGUA6NLw09EwE0CqkOc4q9oUmW1yo/edit?usp=sharing"",""พิษณุโลก!L296"")"),252320)</f>
        <v>252320</v>
      </c>
      <c r="M401" s="381"/>
      <c r="N401" s="381">
        <f ca="1">IFERROR(__xludf.DUMMYFUNCTION("IMPORTRANGE(""https://docs.google.com/spreadsheets/d/11923uPwbBZFjjGgGUA6NLw09EwE0CqkOc4q9oUmW1yo/edit?usp=sharing"",""พิษณุโลก!M296"")"),75260)</f>
        <v>75260</v>
      </c>
      <c r="O401" s="381">
        <f ca="1">+IF(L401&gt;0,N401*100/L401,0)</f>
        <v>29.827203551046292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IFERROR(__xludf.DUMMYFUNCTION("IMPORTRANGE(""https://docs.google.com/spreadsheets/d/11923uPwbBZFjjGgGUA6NLw09EwE0CqkOc4q9oUmW1yo/edit?usp=sharing"",""พิษณุโลก!I297"")"),75)</f>
        <v>75</v>
      </c>
      <c r="J402" s="379">
        <f ca="1">IFERROR(__xludf.DUMMYFUNCTION("IMPORTRANGE(""https://docs.google.com/spreadsheets/d/11923uPwbBZFjjGgGUA6NLw09EwE0CqkOc4q9oUmW1yo/edit?usp=sharing"",""พิษณุโลก!J297"")"),65)</f>
        <v>65</v>
      </c>
      <c r="K402" s="380">
        <f t="shared" ca="1" si="111"/>
        <v>86.666666666666671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IFERROR(__xludf.DUMMYFUNCTION("IMPORTRANGE(""https://docs.google.com/spreadsheets/d/11923uPwbBZFjjGgGUA6NLw09EwE0CqkOc4q9oUmW1yo/edit?usp=sharing"",""พิษณุโลก!L298"")"),0)</f>
        <v>0</v>
      </c>
      <c r="M403" s="172"/>
      <c r="N403" s="178">
        <f ca="1">IFERROR(__xludf.DUMMYFUNCTION("IMPORTRANGE(""https://docs.google.com/spreadsheets/d/11923uPwbBZFjjGgGUA6NLw09EwE0CqkOc4q9oUmW1yo/edit?usp=sharing"",""พิษณุโลก!M298"")"),0)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IFERROR(__xludf.DUMMYFUNCTION("IMPORTRANGE(""https://docs.google.com/spreadsheets/d/11923uPwbBZFjjGgGUA6NLw09EwE0CqkOc4q9oUmW1yo/edit?usp=sharing"",""พิษณุโลก!L299"")"),252320)</f>
        <v>252320</v>
      </c>
      <c r="M404" s="173"/>
      <c r="N404" s="178">
        <f ca="1">IFERROR(__xludf.DUMMYFUNCTION("IMPORTRANGE(""https://docs.google.com/spreadsheets/d/11923uPwbBZFjjGgGUA6NLw09EwE0CqkOc4q9oUmW1yo/edit?usp=sharing"",""พิษณุโลก!M299"")"),75260)</f>
        <v>75260</v>
      </c>
      <c r="O404" s="178">
        <f t="shared" ca="1" si="112"/>
        <v>29.827203551046292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IFERROR(__xludf.DUMMYFUNCTION("IMPORTRANGE(""https://docs.google.com/spreadsheets/d/11923uPwbBZFjjGgGUA6NLw09EwE0CqkOc4q9oUmW1yo/edit?usp=sharing"",""พิษณุโลก!L300"")"),0)</f>
        <v>0</v>
      </c>
      <c r="M405" s="178"/>
      <c r="N405" s="178">
        <f ca="1">IFERROR(__xludf.DUMMYFUNCTION("IMPORTRANGE(""https://docs.google.com/spreadsheets/d/11923uPwbBZFjjGgGUA6NLw09EwE0CqkOc4q9oUmW1yo/edit?usp=sharing"",""พิษณุโลก!M300"")"),0)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IFERROR(__xludf.DUMMYFUNCTION("IMPORTRANGE(""https://docs.google.com/spreadsheets/d/11923uPwbBZFjjGgGUA6NLw09EwE0CqkOc4q9oUmW1yo/edit?usp=sharing"",""พิษณุโลก!L301"")"),252320)</f>
        <v>252320</v>
      </c>
      <c r="M406" s="178"/>
      <c r="N406" s="178">
        <f ca="1">IFERROR(__xludf.DUMMYFUNCTION("IMPORTRANGE(""https://docs.google.com/spreadsheets/d/11923uPwbBZFjjGgGUA6NLw09EwE0CqkOc4q9oUmW1yo/edit?usp=sharing"",""พิษณุโลก!M301"")"),75260)</f>
        <v>75260</v>
      </c>
      <c r="O406" s="178">
        <f t="shared" ca="1" si="112"/>
        <v>29.827203551046292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IFERROR(__xludf.DUMMYFUNCTION("IMPORTRANGE(""https://docs.google.com/spreadsheets/d/11923uPwbBZFjjGgGUA6NLw09EwE0CqkOc4q9oUmW1yo/edit?usp=sharing"",""พิษณุโลก!M302"")"),75260)</f>
        <v>75260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IFERROR(__xludf.DUMMYFUNCTION("IMPORTRANGE(""https://docs.google.com/spreadsheets/d/11923uPwbBZFjjGgGUA6NLw09EwE0CqkOc4q9oUmW1yo/edit?usp=sharing"",""พิษณุโลก!M303"")"),0)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IFERROR(__xludf.DUMMYFUNCTION("IMPORTRANGE(""https://docs.google.com/spreadsheets/d/11923uPwbBZFjjGgGUA6NLw09EwE0CqkOc4q9oUmW1yo/edit?usp=sharing"",""พิษณุโลก!M304"")"),0)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IFERROR(__xludf.DUMMYFUNCTION("IMPORTRANGE(""https://docs.google.com/spreadsheets/d/11923uPwbBZFjjGgGUA6NLw09EwE0CqkOc4q9oUmW1yo/edit?usp=sharing"",""พิษณุโลก!M305"")"),0)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IFERROR(__xludf.DUMMYFUNCTION("IMPORTRANGE(""https://docs.google.com/spreadsheets/d/11923uPwbBZFjjGgGUA6NLw09EwE0CqkOc4q9oUmW1yo/edit?usp=sharing"",""พิษณุโลก!J307"")"),0)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IFERROR(__xludf.DUMMYFUNCTION("IMPORTRANGE(""https://docs.google.com/spreadsheets/d/11923uPwbBZFjjGgGUA6NLw09EwE0CqkOc4q9oUmW1yo/edit?usp=sharing"",""พิษณุโลก!J308"")"),1)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IFERROR(__xludf.DUMMYFUNCTION("IMPORTRANGE(""https://docs.google.com/spreadsheets/d/11923uPwbBZFjjGgGUA6NLw09EwE0CqkOc4q9oUmW1yo/edit?usp=sharing"",""พิษณุโลก!J309"")"),1)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IFERROR(__xludf.DUMMYFUNCTION("IMPORTRANGE(""https://docs.google.com/spreadsheets/d/11923uPwbBZFjjGgGUA6NLw09EwE0CqkOc4q9oUmW1yo/edit?usp=sharing"",""พิษณุโลก!J310"")"),1)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IFERROR(__xludf.DUMMYFUNCTION("IMPORTRANGE(""https://docs.google.com/spreadsheets/d/11923uPwbBZFjjGgGUA6NLw09EwE0CqkOc4q9oUmW1yo/edit?usp=sharing"",""พิษณุโลก!I311"")"),75)</f>
        <v>75</v>
      </c>
      <c r="J416" s="210">
        <f ca="1">IFERROR(__xludf.DUMMYFUNCTION("IMPORTRANGE(""https://docs.google.com/spreadsheets/d/11923uPwbBZFjjGgGUA6NLw09EwE0CqkOc4q9oUmW1yo/edit?usp=sharing"",""พิษณุโลก!J311"")"),65)</f>
        <v>65</v>
      </c>
      <c r="K416" s="211">
        <f t="shared" ref="K416:K432" ca="1" si="113">IF(I416&gt;0,J416*100/I416,0)</f>
        <v>86.666666666666671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IFERROR(__xludf.DUMMYFUNCTION("IMPORTRANGE(""https://docs.google.com/spreadsheets/d/11923uPwbBZFjjGgGUA6NLw09EwE0CqkOc4q9oUmW1yo/edit?usp=sharing"",""พิษณุโลก!I312"")"),25)</f>
        <v>25</v>
      </c>
      <c r="J417" s="400">
        <f ca="1">IFERROR(__xludf.DUMMYFUNCTION("IMPORTRANGE(""https://docs.google.com/spreadsheets/d/11923uPwbBZFjjGgGUA6NLw09EwE0CqkOc4q9oUmW1yo/edit?usp=sharing"",""พิษณุโลก!J312"")"),25)</f>
        <v>25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IFERROR(__xludf.DUMMYFUNCTION("IMPORTRANGE(""https://docs.google.com/spreadsheets/d/11923uPwbBZFjjGgGUA6NLw09EwE0CqkOc4q9oUmW1yo/edit?usp=sharing"",""พิษณุโลก!I313"")"),75)</f>
        <v>75</v>
      </c>
      <c r="J418" s="401">
        <f ca="1">IFERROR(__xludf.DUMMYFUNCTION("IMPORTRANGE(""https://docs.google.com/spreadsheets/d/11923uPwbBZFjjGgGUA6NLw09EwE0CqkOc4q9oUmW1yo/edit?usp=sharing"",""พิษณุโลก!J313"")"),75)</f>
        <v>75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IFERROR(__xludf.DUMMYFUNCTION("IMPORTRANGE(""https://docs.google.com/spreadsheets/d/11923uPwbBZFjjGgGUA6NLw09EwE0CqkOc4q9oUmW1yo/edit?usp=sharing"",""พิษณุโลก!I314"")"),25)</f>
        <v>25</v>
      </c>
      <c r="J419" s="402">
        <f ca="1">IFERROR(__xludf.DUMMYFUNCTION("IMPORTRANGE(""https://docs.google.com/spreadsheets/d/11923uPwbBZFjjGgGUA6NLw09EwE0CqkOc4q9oUmW1yo/edit?usp=sharing"",""พิษณุโลก!J314"")"),25)</f>
        <v>25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IFERROR(__xludf.DUMMYFUNCTION("IMPORTRANGE(""https://docs.google.com/spreadsheets/d/11923uPwbBZFjjGgGUA6NLw09EwE0CqkOc4q9oUmW1yo/edit?usp=sharing"",""พิษณุโลก!I315"")"),25)</f>
        <v>25</v>
      </c>
      <c r="J420" s="402">
        <f ca="1">IFERROR(__xludf.DUMMYFUNCTION("IMPORTRANGE(""https://docs.google.com/spreadsheets/d/11923uPwbBZFjjGgGUA6NLw09EwE0CqkOc4q9oUmW1yo/edit?usp=sharing"",""พิษณุโลก!J315"")"),25)</f>
        <v>25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IFERROR(__xludf.DUMMYFUNCTION("IMPORTRANGE(""https://docs.google.com/spreadsheets/d/11923uPwbBZFjjGgGUA6NLw09EwE0CqkOc4q9oUmW1yo/edit?usp=sharing"",""พิษณุโลก!I316"")"),40)</f>
        <v>40</v>
      </c>
      <c r="J421" s="400">
        <f ca="1">IFERROR(__xludf.DUMMYFUNCTION("IMPORTRANGE(""https://docs.google.com/spreadsheets/d/11923uPwbBZFjjGgGUA6NLw09EwE0CqkOc4q9oUmW1yo/edit?usp=sharing"",""พิษณุโลก!J316"")"),40)</f>
        <v>40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IFERROR(__xludf.DUMMYFUNCTION("IMPORTRANGE(""https://docs.google.com/spreadsheets/d/11923uPwbBZFjjGgGUA6NLw09EwE0CqkOc4q9oUmW1yo/edit?usp=sharing"",""พิษณุโลก!I317"")"),120)</f>
        <v>120</v>
      </c>
      <c r="J422" s="401">
        <f ca="1">IFERROR(__xludf.DUMMYFUNCTION("IMPORTRANGE(""https://docs.google.com/spreadsheets/d/11923uPwbBZFjjGgGUA6NLw09EwE0CqkOc4q9oUmW1yo/edit?usp=sharing"",""พิษณุโลก!J317"")"),120)</f>
        <v>120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IFERROR(__xludf.DUMMYFUNCTION("IMPORTRANGE(""https://docs.google.com/spreadsheets/d/11923uPwbBZFjjGgGUA6NLw09EwE0CqkOc4q9oUmW1yo/edit?usp=sharing"",""พิษณุโลก!I318"")"),40)</f>
        <v>40</v>
      </c>
      <c r="J423" s="402">
        <f ca="1">IFERROR(__xludf.DUMMYFUNCTION("IMPORTRANGE(""https://docs.google.com/spreadsheets/d/11923uPwbBZFjjGgGUA6NLw09EwE0CqkOc4q9oUmW1yo/edit?usp=sharing"",""พิษณุโลก!J318"")"),40)</f>
        <v>40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IFERROR(__xludf.DUMMYFUNCTION("IMPORTRANGE(""https://docs.google.com/spreadsheets/d/11923uPwbBZFjjGgGUA6NLw09EwE0CqkOc4q9oUmW1yo/edit?usp=sharing"",""พิษณุโลก!I319"")"),40)</f>
        <v>40</v>
      </c>
      <c r="J424" s="402">
        <f ca="1">IFERROR(__xludf.DUMMYFUNCTION("IMPORTRANGE(""https://docs.google.com/spreadsheets/d/11923uPwbBZFjjGgGUA6NLw09EwE0CqkOc4q9oUmW1yo/edit?usp=sharing"",""พิษณุโลก!J319"")"),40)</f>
        <v>40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IFERROR(__xludf.DUMMYFUNCTION("IMPORTRANGE(""https://docs.google.com/spreadsheets/d/11923uPwbBZFjjGgGUA6NLw09EwE0CqkOc4q9oUmW1yo/edit?usp=sharing"",""พิษณุโลก!I320"")"),40)</f>
        <v>40</v>
      </c>
      <c r="J425" s="402">
        <f ca="1">IFERROR(__xludf.DUMMYFUNCTION("IMPORTRANGE(""https://docs.google.com/spreadsheets/d/11923uPwbBZFjjGgGUA6NLw09EwE0CqkOc4q9oUmW1yo/edit?usp=sharing"",""พิษณุโลก!J320"")"),40)</f>
        <v>40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IFERROR(__xludf.DUMMYFUNCTION("IMPORTRANGE(""https://docs.google.com/spreadsheets/d/11923uPwbBZFjjGgGUA6NLw09EwE0CqkOc4q9oUmW1yo/edit?usp=sharing"",""พิษณุโลก!I321"")"),10)</f>
        <v>10</v>
      </c>
      <c r="J426" s="400">
        <f ca="1">IFERROR(__xludf.DUMMYFUNCTION("IMPORTRANGE(""https://docs.google.com/spreadsheets/d/11923uPwbBZFjjGgGUA6NLw09EwE0CqkOc4q9oUmW1yo/edit?usp=sharing"",""พิษณุโลก!J321"")"),0)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IFERROR(__xludf.DUMMYFUNCTION("IMPORTRANGE(""https://docs.google.com/spreadsheets/d/11923uPwbBZFjjGgGUA6NLw09EwE0CqkOc4q9oUmW1yo/edit?usp=sharing"",""พิษณุโลก!I322"")"),30)</f>
        <v>30</v>
      </c>
      <c r="J427" s="401">
        <f ca="1">IFERROR(__xludf.DUMMYFUNCTION("IMPORTRANGE(""https://docs.google.com/spreadsheets/d/11923uPwbBZFjjGgGUA6NLw09EwE0CqkOc4q9oUmW1yo/edit?usp=sharing"",""พิษณุโลก!J322"")"),0)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IFERROR(__xludf.DUMMYFUNCTION("IMPORTRANGE(""https://docs.google.com/spreadsheets/d/11923uPwbBZFjjGgGUA6NLw09EwE0CqkOc4q9oUmW1yo/edit?usp=sharing"",""พิษณุโลก!I323"")"),10)</f>
        <v>10</v>
      </c>
      <c r="J428" s="402">
        <f ca="1">IFERROR(__xludf.DUMMYFUNCTION("IMPORTRANGE(""https://docs.google.com/spreadsheets/d/11923uPwbBZFjjGgGUA6NLw09EwE0CqkOc4q9oUmW1yo/edit?usp=sharing"",""พิษณุโลก!J323"")"),0)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IFERROR(__xludf.DUMMYFUNCTION("IMPORTRANGE(""https://docs.google.com/spreadsheets/d/11923uPwbBZFjjGgGUA6NLw09EwE0CqkOc4q9oUmW1yo/edit?usp=sharing"",""พิษณุโลก!I324"")"),10)</f>
        <v>10</v>
      </c>
      <c r="J429" s="402">
        <f ca="1">IFERROR(__xludf.DUMMYFUNCTION("IMPORTRANGE(""https://docs.google.com/spreadsheets/d/11923uPwbBZFjjGgGUA6NLw09EwE0CqkOc4q9oUmW1yo/edit?usp=sharing"",""พิษณุโลก!J324"")"),0)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IFERROR(__xludf.DUMMYFUNCTION("IMPORTRANGE(""https://docs.google.com/spreadsheets/d/11923uPwbBZFjjGgGUA6NLw09EwE0CqkOc4q9oUmW1yo/edit?usp=sharing"",""พิษณุโลก!I325"")"),65)</f>
        <v>65</v>
      </c>
      <c r="J430" s="400">
        <f ca="1">IFERROR(__xludf.DUMMYFUNCTION("IMPORTRANGE(""https://docs.google.com/spreadsheets/d/11923uPwbBZFjjGgGUA6NLw09EwE0CqkOc4q9oUmW1yo/edit?usp=sharing"",""พิษณุโลก!J325"")"),0)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IFERROR(__xludf.DUMMYFUNCTION("IMPORTRANGE(""https://docs.google.com/spreadsheets/d/11923uPwbBZFjjGgGUA6NLw09EwE0CqkOc4q9oUmW1yo/edit?usp=sharing"",""พิษณุโลก!I326"")"),25)</f>
        <v>25</v>
      </c>
      <c r="J431" s="402">
        <f ca="1">IFERROR(__xludf.DUMMYFUNCTION("IMPORTRANGE(""https://docs.google.com/spreadsheets/d/11923uPwbBZFjjGgGUA6NLw09EwE0CqkOc4q9oUmW1yo/edit?usp=sharing"",""พิษณุโลก!J326"")"),0)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IFERROR(__xludf.DUMMYFUNCTION("IMPORTRANGE(""https://docs.google.com/spreadsheets/d/11923uPwbBZFjjGgGUA6NLw09EwE0CqkOc4q9oUmW1yo/edit?usp=sharing"",""พิษณุโลก!I327"")"),40)</f>
        <v>40</v>
      </c>
      <c r="J432" s="402">
        <f ca="1">IFERROR(__xludf.DUMMYFUNCTION("IMPORTRANGE(""https://docs.google.com/spreadsheets/d/11923uPwbBZFjjGgGUA6NLw09EwE0CqkOc4q9oUmW1yo/edit?usp=sharing"",""พิษณุโลก!J327"")"),0)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IFERROR(__xludf.DUMMYFUNCTION("IMPORTRANGE(""https://docs.google.com/spreadsheets/d/11923uPwbBZFjjGgGUA6NLw09EwE0CqkOc4q9oUmW1yo/edit?usp=sharing"",""พิษณุโลก!J328"")"),0)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IFERROR(__xludf.DUMMYFUNCTION("IMPORTRANGE(""https://docs.google.com/spreadsheets/d/11923uPwbBZFjjGgGUA6NLw09EwE0CqkOc4q9oUmW1yo/edit?usp=sharing"",""พิษณุโลก!J329"")"),0)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IFERROR(__xludf.DUMMYFUNCTION("IMPORTRANGE(""https://docs.google.com/spreadsheets/d/11923uPwbBZFjjGgGUA6NLw09EwE0CqkOc4q9oUmW1yo/edit?usp=sharing"",""พิษณุโลก!I330"")"),20)</f>
        <v>20</v>
      </c>
      <c r="J435" s="418">
        <f ca="1">IFERROR(__xludf.DUMMYFUNCTION("IMPORTRANGE(""https://docs.google.com/spreadsheets/d/11923uPwbBZFjjGgGUA6NLw09EwE0CqkOc4q9oUmW1yo/edit?usp=sharing"",""พิษณุโลก!J330"")"),20)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IFERROR(__xludf.DUMMYFUNCTION("IMPORTRANGE(""https://docs.google.com/spreadsheets/d/11923uPwbBZFjjGgGUA6NLw09EwE0CqkOc4q9oUmW1yo/edit?usp=sharing"",""พิษณุโลก!L330"")"),95000)</f>
        <v>95000</v>
      </c>
      <c r="M435" s="420"/>
      <c r="N435" s="420">
        <f ca="1">IFERROR(__xludf.DUMMYFUNCTION("IMPORTRANGE(""https://docs.google.com/spreadsheets/d/11923uPwbBZFjjGgGUA6NLw09EwE0CqkOc4q9oUmW1yo/edit?usp=sharing"",""พิษณุโลก!M330"")"),6860)</f>
        <v>6860</v>
      </c>
      <c r="O435" s="420">
        <f t="shared" ref="O435:O439" ca="1" si="114">+IF(L435&gt;0,N435*100/L435,0)</f>
        <v>7.2210526315789476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IFERROR(__xludf.DUMMYFUNCTION("IMPORTRANGE(""https://docs.google.com/spreadsheets/d/11923uPwbBZFjjGgGUA6NLw09EwE0CqkOc4q9oUmW1yo/edit?usp=sharing"",""พิษณุโลก!L331"")"),0)</f>
        <v>0</v>
      </c>
      <c r="M436" s="172"/>
      <c r="N436" s="178">
        <f ca="1">IFERROR(__xludf.DUMMYFUNCTION("IMPORTRANGE(""https://docs.google.com/spreadsheets/d/11923uPwbBZFjjGgGUA6NLw09EwE0CqkOc4q9oUmW1yo/edit?usp=sharing"",""พิษณุโลก!M331"")"),0)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IFERROR(__xludf.DUMMYFUNCTION("IMPORTRANGE(""https://docs.google.com/spreadsheets/d/11923uPwbBZFjjGgGUA6NLw09EwE0CqkOc4q9oUmW1yo/edit?usp=sharing"",""พิษณุโลก!L332"")"),95000)</f>
        <v>95000</v>
      </c>
      <c r="M437" s="173"/>
      <c r="N437" s="178">
        <f ca="1">IFERROR(__xludf.DUMMYFUNCTION("IMPORTRANGE(""https://docs.google.com/spreadsheets/d/11923uPwbBZFjjGgGUA6NLw09EwE0CqkOc4q9oUmW1yo/edit?usp=sharing"",""พิษณุโลก!M332"")"),6860)</f>
        <v>6860</v>
      </c>
      <c r="O437" s="178">
        <f t="shared" ca="1" si="114"/>
        <v>7.2210526315789476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IFERROR(__xludf.DUMMYFUNCTION("IMPORTRANGE(""https://docs.google.com/spreadsheets/d/11923uPwbBZFjjGgGUA6NLw09EwE0CqkOc4q9oUmW1yo/edit?usp=sharing"",""พิษณุโลก!L333"")"),0)</f>
        <v>0</v>
      </c>
      <c r="M438" s="178"/>
      <c r="N438" s="178">
        <f ca="1">IFERROR(__xludf.DUMMYFUNCTION("IMPORTRANGE(""https://docs.google.com/spreadsheets/d/11923uPwbBZFjjGgGUA6NLw09EwE0CqkOc4q9oUmW1yo/edit?usp=sharing"",""พิษณุโลก!M333"")"),0)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IFERROR(__xludf.DUMMYFUNCTION("IMPORTRANGE(""https://docs.google.com/spreadsheets/d/11923uPwbBZFjjGgGUA6NLw09EwE0CqkOc4q9oUmW1yo/edit?usp=sharing"",""พิษณุโลก!L334"")"),95000)</f>
        <v>95000</v>
      </c>
      <c r="M439" s="178"/>
      <c r="N439" s="178">
        <f ca="1">IFERROR(__xludf.DUMMYFUNCTION("IMPORTRANGE(""https://docs.google.com/spreadsheets/d/11923uPwbBZFjjGgGUA6NLw09EwE0CqkOc4q9oUmW1yo/edit?usp=sharing"",""พิษณุโลก!M334"")"),6860)</f>
        <v>6860</v>
      </c>
      <c r="O439" s="178">
        <f t="shared" ca="1" si="114"/>
        <v>7.2210526315789476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IFERROR(__xludf.DUMMYFUNCTION("IMPORTRANGE(""https://docs.google.com/spreadsheets/d/11923uPwbBZFjjGgGUA6NLw09EwE0CqkOc4q9oUmW1yo/edit?usp=sharing"",""พิษณุโลก!M335"")"),6860)</f>
        <v>6860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IFERROR(__xludf.DUMMYFUNCTION("IMPORTRANGE(""https://docs.google.com/spreadsheets/d/11923uPwbBZFjjGgGUA6NLw09EwE0CqkOc4q9oUmW1yo/edit?usp=sharing"",""พิษณุโลก!M336"")"),0)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IFERROR(__xludf.DUMMYFUNCTION("IMPORTRANGE(""https://docs.google.com/spreadsheets/d/11923uPwbBZFjjGgGUA6NLw09EwE0CqkOc4q9oUmW1yo/edit?usp=sharing"",""พิษณุโลก!M337"")"),0)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IFERROR(__xludf.DUMMYFUNCTION("IMPORTRANGE(""https://docs.google.com/spreadsheets/d/11923uPwbBZFjjGgGUA6NLw09EwE0CqkOc4q9oUmW1yo/edit?usp=sharing"",""พิษณุโลก!M338"")"),0)</f>
        <v>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IFERROR(__xludf.DUMMYFUNCTION("IMPORTRANGE(""https://docs.google.com/spreadsheets/d/11923uPwbBZFjjGgGUA6NLw09EwE0CqkOc4q9oUmW1yo/edit?usp=sharing"",""พิษณุโลก!J340"")"),0)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IFERROR(__xludf.DUMMYFUNCTION("IMPORTRANGE(""https://docs.google.com/spreadsheets/d/11923uPwbBZFjjGgGUA6NLw09EwE0CqkOc4q9oUmW1yo/edit?usp=sharing"",""พิษณุโลก!J341"")"),1)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IFERROR(__xludf.DUMMYFUNCTION("IMPORTRANGE(""https://docs.google.com/spreadsheets/d/11923uPwbBZFjjGgGUA6NLw09EwE0CqkOc4q9oUmW1yo/edit?usp=sharing"",""พิษณุโลก!J342"")"),1)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IFERROR(__xludf.DUMMYFUNCTION("IMPORTRANGE(""https://docs.google.com/spreadsheets/d/11923uPwbBZFjjGgGUA6NLw09EwE0CqkOc4q9oUmW1yo/edit?usp=sharing"",""พิษณุโลก!J343"")"),1)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IFERROR(__xludf.DUMMYFUNCTION("IMPORTRANGE(""https://docs.google.com/spreadsheets/d/11923uPwbBZFjjGgGUA6NLw09EwE0CqkOc4q9oUmW1yo/edit?usp=sharing"",""พิษณุโลก!I344"")"),20)</f>
        <v>20</v>
      </c>
      <c r="J449" s="210">
        <f ca="1">IFERROR(__xludf.DUMMYFUNCTION("IMPORTRANGE(""https://docs.google.com/spreadsheets/d/11923uPwbBZFjjGgGUA6NLw09EwE0CqkOc4q9oUmW1yo/edit?usp=sharing"",""พิษณุโลก!J344"")"),20)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IFERROR(__xludf.DUMMYFUNCTION("IMPORTRANGE(""https://docs.google.com/spreadsheets/d/11923uPwbBZFjjGgGUA6NLw09EwE0CqkOc4q9oUmW1yo/edit?usp=sharing"",""พิษณุโลก!I345"")"),20)</f>
        <v>20</v>
      </c>
      <c r="J450" s="198">
        <f ca="1">IFERROR(__xludf.DUMMYFUNCTION("IMPORTRANGE(""https://docs.google.com/spreadsheets/d/11923uPwbBZFjjGgGUA6NLw09EwE0CqkOc4q9oUmW1yo/edit?usp=sharing"",""พิษณุโลก!J345"")"),20)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IFERROR(__xludf.DUMMYFUNCTION("IMPORTRANGE(""https://docs.google.com/spreadsheets/d/11923uPwbBZFjjGgGUA6NLw09EwE0CqkOc4q9oUmW1yo/edit?usp=sharing"",""พิษณุโลก!I346"")"),0)</f>
        <v>0</v>
      </c>
      <c r="J451" s="197">
        <f ca="1">IFERROR(__xludf.DUMMYFUNCTION("IMPORTRANGE(""https://docs.google.com/spreadsheets/d/11923uPwbBZFjjGgGUA6NLw09EwE0CqkOc4q9oUmW1yo/edit?usp=sharing"",""พิษณุโลก!J346"")"),0)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IFERROR(__xludf.DUMMYFUNCTION("IMPORTRANGE(""https://docs.google.com/spreadsheets/d/11923uPwbBZFjjGgGUA6NLw09EwE0CqkOc4q9oUmW1yo/edit?usp=sharing"",""พิษณุโลก!I347"")"),0)</f>
        <v>0</v>
      </c>
      <c r="J452" s="197">
        <f ca="1">IFERROR(__xludf.DUMMYFUNCTION("IMPORTRANGE(""https://docs.google.com/spreadsheets/d/11923uPwbBZFjjGgGUA6NLw09EwE0CqkOc4q9oUmW1yo/edit?usp=sharing"",""พิษณุโลก!J347"")"),0)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IFERROR(__xludf.DUMMYFUNCTION("IMPORTRANGE(""https://docs.google.com/spreadsheets/d/11923uPwbBZFjjGgGUA6NLw09EwE0CqkOc4q9oUmW1yo/edit?usp=sharing"",""พิษณุโลก!J348"")"),0)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IFERROR(__xludf.DUMMYFUNCTION("IMPORTRANGE(""https://docs.google.com/spreadsheets/d/11923uPwbBZFjjGgGUA6NLw09EwE0CqkOc4q9oUmW1yo/edit?usp=sharing"",""พิษณุโลก!J349"")"),0)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IFERROR(__xludf.DUMMYFUNCTION("IMPORTRANGE(""https://docs.google.com/spreadsheets/d/11923uPwbBZFjjGgGUA6NLw09EwE0CqkOc4q9oUmW1yo/edit?usp=sharing"",""พิษณุโลก!I350"")"),60571)</f>
        <v>60571</v>
      </c>
      <c r="J455" s="379">
        <f ca="1">IFERROR(__xludf.DUMMYFUNCTION("IMPORTRANGE(""https://docs.google.com/spreadsheets/d/11923uPwbBZFjjGgGUA6NLw09EwE0CqkOc4q9oUmW1yo/edit?usp=sharing"",""พิษณุโลก!J350"")"),0)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IFERROR(__xludf.DUMMYFUNCTION("IMPORTRANGE(""https://docs.google.com/spreadsheets/d/11923uPwbBZFjjGgGUA6NLw09EwE0CqkOc4q9oUmW1yo/edit?usp=sharing"",""พิษณุโลก!L350"")"),513545)</f>
        <v>513545</v>
      </c>
      <c r="M455" s="381"/>
      <c r="N455" s="381">
        <f ca="1">IFERROR(__xludf.DUMMYFUNCTION("IMPORTRANGE(""https://docs.google.com/spreadsheets/d/11923uPwbBZFjjGgGUA6NLw09EwE0CqkOc4q9oUmW1yo/edit?usp=sharing"",""พิษณุโลก!M350"")"),86028.09)</f>
        <v>86028.09</v>
      </c>
      <c r="O455" s="381">
        <f t="shared" ref="O455:O459" ca="1" si="116">+IF(L455&gt;0,N455*100/L455,0)</f>
        <v>16.751811428404523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IFERROR(__xludf.DUMMYFUNCTION("IMPORTRANGE(""https://docs.google.com/spreadsheets/d/11923uPwbBZFjjGgGUA6NLw09EwE0CqkOc4q9oUmW1yo/edit?usp=sharing"",""พิษณุโลก!L351"")"),0)</f>
        <v>0</v>
      </c>
      <c r="M456" s="172"/>
      <c r="N456" s="178">
        <f ca="1">IFERROR(__xludf.DUMMYFUNCTION("IMPORTRANGE(""https://docs.google.com/spreadsheets/d/11923uPwbBZFjjGgGUA6NLw09EwE0CqkOc4q9oUmW1yo/edit?usp=sharing"",""พิษณุโลก!M351"")"),0)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IFERROR(__xludf.DUMMYFUNCTION("IMPORTRANGE(""https://docs.google.com/spreadsheets/d/11923uPwbBZFjjGgGUA6NLw09EwE0CqkOc4q9oUmW1yo/edit?usp=sharing"",""พิษณุโลก!L352"")"),513545)</f>
        <v>513545</v>
      </c>
      <c r="M457" s="173"/>
      <c r="N457" s="178">
        <f ca="1">IFERROR(__xludf.DUMMYFUNCTION("IMPORTRANGE(""https://docs.google.com/spreadsheets/d/11923uPwbBZFjjGgGUA6NLw09EwE0CqkOc4q9oUmW1yo/edit?usp=sharing"",""พิษณุโลก!M352"")"),86028.09)</f>
        <v>86028.09</v>
      </c>
      <c r="O457" s="178">
        <f t="shared" ca="1" si="116"/>
        <v>16.751811428404523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IFERROR(__xludf.DUMMYFUNCTION("IMPORTRANGE(""https://docs.google.com/spreadsheets/d/11923uPwbBZFjjGgGUA6NLw09EwE0CqkOc4q9oUmW1yo/edit?usp=sharing"",""พิษณุโลก!L353"")"),0)</f>
        <v>0</v>
      </c>
      <c r="M458" s="178"/>
      <c r="N458" s="178">
        <f ca="1">IFERROR(__xludf.DUMMYFUNCTION("IMPORTRANGE(""https://docs.google.com/spreadsheets/d/11923uPwbBZFjjGgGUA6NLw09EwE0CqkOc4q9oUmW1yo/edit?usp=sharing"",""พิษณุโลก!M353"")"),0)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IFERROR(__xludf.DUMMYFUNCTION("IMPORTRANGE(""https://docs.google.com/spreadsheets/d/11923uPwbBZFjjGgGUA6NLw09EwE0CqkOc4q9oUmW1yo/edit?usp=sharing"",""พิษณุโลก!L354"")"),513545)</f>
        <v>513545</v>
      </c>
      <c r="M459" s="178"/>
      <c r="N459" s="178">
        <f ca="1">IFERROR(__xludf.DUMMYFUNCTION("IMPORTRANGE(""https://docs.google.com/spreadsheets/d/11923uPwbBZFjjGgGUA6NLw09EwE0CqkOc4q9oUmW1yo/edit?usp=sharing"",""พิษณุโลก!M354"")"),86028.09)</f>
        <v>86028.09</v>
      </c>
      <c r="O459" s="178">
        <f t="shared" ca="1" si="116"/>
        <v>16.751811428404523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IFERROR(__xludf.DUMMYFUNCTION("IMPORTRANGE(""https://docs.google.com/spreadsheets/d/11923uPwbBZFjjGgGUA6NLw09EwE0CqkOc4q9oUmW1yo/edit?usp=sharing"",""พิษณุโลก!M355"")"),0)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IFERROR(__xludf.DUMMYFUNCTION("IMPORTRANGE(""https://docs.google.com/spreadsheets/d/11923uPwbBZFjjGgGUA6NLw09EwE0CqkOc4q9oUmW1yo/edit?usp=sharing"",""พิษณุโลก!M356"")"),0)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IFERROR(__xludf.DUMMYFUNCTION("IMPORTRANGE(""https://docs.google.com/spreadsheets/d/11923uPwbBZFjjGgGUA6NLw09EwE0CqkOc4q9oUmW1yo/edit?usp=sharing"",""พิษณุโลก!M357"")"),31900.09)</f>
        <v>31900.09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IFERROR(__xludf.DUMMYFUNCTION("IMPORTRANGE(""https://docs.google.com/spreadsheets/d/11923uPwbBZFjjGgGUA6NLw09EwE0CqkOc4q9oUmW1yo/edit?usp=sharing"",""พิษณุโลก!M358"")"),54128)</f>
        <v>54128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IFERROR(__xludf.DUMMYFUNCTION("IMPORTRANGE(""https://docs.google.com/spreadsheets/d/11923uPwbBZFjjGgGUA6NLw09EwE0CqkOc4q9oUmW1yo/edit?usp=sharing"",""พิษณุโลก!I359"")"),60571)</f>
        <v>60571</v>
      </c>
      <c r="J464" s="276">
        <f ca="1">IFERROR(__xludf.DUMMYFUNCTION("IMPORTRANGE(""https://docs.google.com/spreadsheets/d/11923uPwbBZFjjGgGUA6NLw09EwE0CqkOc4q9oUmW1yo/edit?usp=sharing"",""พิษณุโลก!J359"")"),0)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IFERROR(__xludf.DUMMYFUNCTION("IMPORTRANGE(""https://docs.google.com/spreadsheets/d/11923uPwbBZFjjGgGUA6NLw09EwE0CqkOc4q9oUmW1yo/edit?usp=sharing"",""พิษณุโลก!I360"")"),60571)</f>
        <v>60571</v>
      </c>
      <c r="J465" s="428">
        <f ca="1">IFERROR(__xludf.DUMMYFUNCTION("IMPORTRANGE(""https://docs.google.com/spreadsheets/d/11923uPwbBZFjjGgGUA6NLw09EwE0CqkOc4q9oUmW1yo/edit?usp=sharing"",""พิษณุโลก!J360"")"),0)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IFERROR(__xludf.DUMMYFUNCTION("IMPORTRANGE(""https://docs.google.com/spreadsheets/d/11923uPwbBZFjjGgGUA6NLw09EwE0CqkOc4q9oUmW1yo/edit?usp=sharing"",""พิษณุโลก!I361"")"),5640)</f>
        <v>5640</v>
      </c>
      <c r="J466" s="428">
        <f ca="1">IFERROR(__xludf.DUMMYFUNCTION("IMPORTRANGE(""https://docs.google.com/spreadsheets/d/11923uPwbBZFjjGgGUA6NLw09EwE0CqkOc4q9oUmW1yo/edit?usp=sharing"",""พิษณุโลก!J361"")"),0)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IFERROR(__xludf.DUMMYFUNCTION("IMPORTRANGE(""https://docs.google.com/spreadsheets/d/11923uPwbBZFjjGgGUA6NLw09EwE0CqkOc4q9oUmW1yo/edit?usp=sharing"",""พิษณุโลก!I362"")"),0)</f>
        <v>0</v>
      </c>
      <c r="J467" s="198">
        <f ca="1">IFERROR(__xludf.DUMMYFUNCTION("IMPORTRANGE(""https://docs.google.com/spreadsheets/d/11923uPwbBZFjjGgGUA6NLw09EwE0CqkOc4q9oUmW1yo/edit?usp=sharing"",""พิษณุโลก!J362"")"),0)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IFERROR(__xludf.DUMMYFUNCTION("IMPORTRANGE(""https://docs.google.com/spreadsheets/d/11923uPwbBZFjjGgGUA6NLw09EwE0CqkOc4q9oUmW1yo/edit?usp=sharing"",""พิษณุโลก!I363"")"),0)</f>
        <v>0</v>
      </c>
      <c r="J468" s="198">
        <f ca="1">IFERROR(__xludf.DUMMYFUNCTION("IMPORTRANGE(""https://docs.google.com/spreadsheets/d/11923uPwbBZFjjGgGUA6NLw09EwE0CqkOc4q9oUmW1yo/edit?usp=sharing"",""พิษณุโลก!J363"")"),0)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IFERROR(__xludf.DUMMYFUNCTION("IMPORTRANGE(""https://docs.google.com/spreadsheets/d/11923uPwbBZFjjGgGUA6NLw09EwE0CqkOc4q9oUmW1yo/edit?usp=sharing"",""พิษณุโลก!I364"")"),0)</f>
        <v>0</v>
      </c>
      <c r="J469" s="198">
        <f ca="1">IFERROR(__xludf.DUMMYFUNCTION("IMPORTRANGE(""https://docs.google.com/spreadsheets/d/11923uPwbBZFjjGgGUA6NLw09EwE0CqkOc4q9oUmW1yo/edit?usp=sharing"",""พิษณุโลก!J364"")"),0)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IFERROR(__xludf.DUMMYFUNCTION("IMPORTRANGE(""https://docs.google.com/spreadsheets/d/11923uPwbBZFjjGgGUA6NLw09EwE0CqkOc4q9oUmW1yo/edit?usp=sharing"",""พิษณุโลก!I365"")"),0)</f>
        <v>0</v>
      </c>
      <c r="J470" s="198">
        <f ca="1">IFERROR(__xludf.DUMMYFUNCTION("IMPORTRANGE(""https://docs.google.com/spreadsheets/d/11923uPwbBZFjjGgGUA6NLw09EwE0CqkOc4q9oUmW1yo/edit?usp=sharing"",""พิษณุโลก!J365"")"),0)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IFERROR(__xludf.DUMMYFUNCTION("IMPORTRANGE(""https://docs.google.com/spreadsheets/d/11923uPwbBZFjjGgGUA6NLw09EwE0CqkOc4q9oUmW1yo/edit?usp=sharing"",""พิษณุโลก!I366"")"),0)</f>
        <v>0</v>
      </c>
      <c r="J471" s="198">
        <f ca="1">IFERROR(__xludf.DUMMYFUNCTION("IMPORTRANGE(""https://docs.google.com/spreadsheets/d/11923uPwbBZFjjGgGUA6NLw09EwE0CqkOc4q9oUmW1yo/edit?usp=sharing"",""พิษณุโลก!J366"")"),0)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IFERROR(__xludf.DUMMYFUNCTION("IMPORTRANGE(""https://docs.google.com/spreadsheets/d/11923uPwbBZFjjGgGUA6NLw09EwE0CqkOc4q9oUmW1yo/edit?usp=sharing"",""พิษณุโลก!I367"")"),0)</f>
        <v>0</v>
      </c>
      <c r="J472" s="198">
        <f ca="1">IFERROR(__xludf.DUMMYFUNCTION("IMPORTRANGE(""https://docs.google.com/spreadsheets/d/11923uPwbBZFjjGgGUA6NLw09EwE0CqkOc4q9oUmW1yo/edit?usp=sharing"",""พิษณุโลก!J367"")"),0)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IFERROR(__xludf.DUMMYFUNCTION("IMPORTRANGE(""https://docs.google.com/spreadsheets/d/11923uPwbBZFjjGgGUA6NLw09EwE0CqkOc4q9oUmW1yo/edit?usp=sharing"",""พิษณุโลก!I368"")"),60571)</f>
        <v>60571</v>
      </c>
      <c r="J473" s="428">
        <f ca="1">IFERROR(__xludf.DUMMYFUNCTION("IMPORTRANGE(""https://docs.google.com/spreadsheets/d/11923uPwbBZFjjGgGUA6NLw09EwE0CqkOc4q9oUmW1yo/edit?usp=sharing"",""พิษณุโลก!J368"")"),0)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IFERROR(__xludf.DUMMYFUNCTION("IMPORTRANGE(""https://docs.google.com/spreadsheets/d/11923uPwbBZFjjGgGUA6NLw09EwE0CqkOc4q9oUmW1yo/edit?usp=sharing"",""พิษณุโลก!I369"")"),5640)</f>
        <v>5640</v>
      </c>
      <c r="J474" s="428">
        <f ca="1">IFERROR(__xludf.DUMMYFUNCTION("IMPORTRANGE(""https://docs.google.com/spreadsheets/d/11923uPwbBZFjjGgGUA6NLw09EwE0CqkOc4q9oUmW1yo/edit?usp=sharing"",""พิษณุโลก!J369"")"),0)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IFERROR(__xludf.DUMMYFUNCTION("IMPORTRANGE(""https://docs.google.com/spreadsheets/d/11923uPwbBZFjjGgGUA6NLw09EwE0CqkOc4q9oUmW1yo/edit?usp=sharing"",""พิษณุโลก!I370"")"),0)</f>
        <v>0</v>
      </c>
      <c r="J475" s="198">
        <f ca="1">IFERROR(__xludf.DUMMYFUNCTION("IMPORTRANGE(""https://docs.google.com/spreadsheets/d/11923uPwbBZFjjGgGUA6NLw09EwE0CqkOc4q9oUmW1yo/edit?usp=sharing"",""พิษณุโลก!J370"")"),0)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IFERROR(__xludf.DUMMYFUNCTION("IMPORTRANGE(""https://docs.google.com/spreadsheets/d/11923uPwbBZFjjGgGUA6NLw09EwE0CqkOc4q9oUmW1yo/edit?usp=sharing"",""พิษณุโลก!I371"")"),0)</f>
        <v>0</v>
      </c>
      <c r="J476" s="198">
        <f ca="1">IFERROR(__xludf.DUMMYFUNCTION("IMPORTRANGE(""https://docs.google.com/spreadsheets/d/11923uPwbBZFjjGgGUA6NLw09EwE0CqkOc4q9oUmW1yo/edit?usp=sharing"",""พิษณุโลก!J371"")"),0)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IFERROR(__xludf.DUMMYFUNCTION("IMPORTRANGE(""https://docs.google.com/spreadsheets/d/11923uPwbBZFjjGgGUA6NLw09EwE0CqkOc4q9oUmW1yo/edit?usp=sharing"",""พิษณุโลก!I372"")"),0)</f>
        <v>0</v>
      </c>
      <c r="J477" s="198">
        <f ca="1">IFERROR(__xludf.DUMMYFUNCTION("IMPORTRANGE(""https://docs.google.com/spreadsheets/d/11923uPwbBZFjjGgGUA6NLw09EwE0CqkOc4q9oUmW1yo/edit?usp=sharing"",""พิษณุโลก!J372"")"),0)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IFERROR(__xludf.DUMMYFUNCTION("IMPORTRANGE(""https://docs.google.com/spreadsheets/d/11923uPwbBZFjjGgGUA6NLw09EwE0CqkOc4q9oUmW1yo/edit?usp=sharing"",""พิษณุโลก!I373"")"),0)</f>
        <v>0</v>
      </c>
      <c r="J478" s="198">
        <f ca="1">IFERROR(__xludf.DUMMYFUNCTION("IMPORTRANGE(""https://docs.google.com/spreadsheets/d/11923uPwbBZFjjGgGUA6NLw09EwE0CqkOc4q9oUmW1yo/edit?usp=sharing"",""พิษณุโลก!J373"")"),0)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IFERROR(__xludf.DUMMYFUNCTION("IMPORTRANGE(""https://docs.google.com/spreadsheets/d/11923uPwbBZFjjGgGUA6NLw09EwE0CqkOc4q9oUmW1yo/edit?usp=sharing"",""พิษณุโลก!I374"")"),0)</f>
        <v>0</v>
      </c>
      <c r="J479" s="198">
        <f ca="1">IFERROR(__xludf.DUMMYFUNCTION("IMPORTRANGE(""https://docs.google.com/spreadsheets/d/11923uPwbBZFjjGgGUA6NLw09EwE0CqkOc4q9oUmW1yo/edit?usp=sharing"",""พิษณุโลก!J374"")"),0)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IFERROR(__xludf.DUMMYFUNCTION("IMPORTRANGE(""https://docs.google.com/spreadsheets/d/11923uPwbBZFjjGgGUA6NLw09EwE0CqkOc4q9oUmW1yo/edit?usp=sharing"",""พิษณุโลก!I375"")"),0)</f>
        <v>0</v>
      </c>
      <c r="J480" s="198">
        <f ca="1">IFERROR(__xludf.DUMMYFUNCTION("IMPORTRANGE(""https://docs.google.com/spreadsheets/d/11923uPwbBZFjjGgGUA6NLw09EwE0CqkOc4q9oUmW1yo/edit?usp=sharing"",""พิษณุโลก!J375"")"),0)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IFERROR(__xludf.DUMMYFUNCTION("IMPORTRANGE(""https://docs.google.com/spreadsheets/d/11923uPwbBZFjjGgGUA6NLw09EwE0CqkOc4q9oUmW1yo/edit?usp=sharing"",""พิษณุโลก!I376"")"),60571)</f>
        <v>60571</v>
      </c>
      <c r="J481" s="428">
        <f ca="1">IFERROR(__xludf.DUMMYFUNCTION("IMPORTRANGE(""https://docs.google.com/spreadsheets/d/11923uPwbBZFjjGgGUA6NLw09EwE0CqkOc4q9oUmW1yo/edit?usp=sharing"",""พิษณุโลก!J376"")"),0)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IFERROR(__xludf.DUMMYFUNCTION("IMPORTRANGE(""https://docs.google.com/spreadsheets/d/11923uPwbBZFjjGgGUA6NLw09EwE0CqkOc4q9oUmW1yo/edit?usp=sharing"",""พิษณุโลก!I377"")"),5640)</f>
        <v>5640</v>
      </c>
      <c r="J482" s="428">
        <f ca="1">IFERROR(__xludf.DUMMYFUNCTION("IMPORTRANGE(""https://docs.google.com/spreadsheets/d/11923uPwbBZFjjGgGUA6NLw09EwE0CqkOc4q9oUmW1yo/edit?usp=sharing"",""พิษณุโลก!J377"")"),0)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IFERROR(__xludf.DUMMYFUNCTION("IMPORTRANGE(""https://docs.google.com/spreadsheets/d/11923uPwbBZFjjGgGUA6NLw09EwE0CqkOc4q9oUmW1yo/edit?usp=sharing"",""พิษณุโลก!I378"")"),0)</f>
        <v>0</v>
      </c>
      <c r="J483" s="198">
        <f ca="1">IFERROR(__xludf.DUMMYFUNCTION("IMPORTRANGE(""https://docs.google.com/spreadsheets/d/11923uPwbBZFjjGgGUA6NLw09EwE0CqkOc4q9oUmW1yo/edit?usp=sharing"",""พิษณุโลก!J378"")"),0)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IFERROR(__xludf.DUMMYFUNCTION("IMPORTRANGE(""https://docs.google.com/spreadsheets/d/11923uPwbBZFjjGgGUA6NLw09EwE0CqkOc4q9oUmW1yo/edit?usp=sharing"",""พิษณุโลก!I379"")"),0)</f>
        <v>0</v>
      </c>
      <c r="J484" s="198">
        <f ca="1">IFERROR(__xludf.DUMMYFUNCTION("IMPORTRANGE(""https://docs.google.com/spreadsheets/d/11923uPwbBZFjjGgGUA6NLw09EwE0CqkOc4q9oUmW1yo/edit?usp=sharing"",""พิษณุโลก!J379"")"),0)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IFERROR(__xludf.DUMMYFUNCTION("IMPORTRANGE(""https://docs.google.com/spreadsheets/d/11923uPwbBZFjjGgGUA6NLw09EwE0CqkOc4q9oUmW1yo/edit?usp=sharing"",""พิษณุโลก!I380"")"),0)</f>
        <v>0</v>
      </c>
      <c r="J485" s="198">
        <f ca="1">IFERROR(__xludf.DUMMYFUNCTION("IMPORTRANGE(""https://docs.google.com/spreadsheets/d/11923uPwbBZFjjGgGUA6NLw09EwE0CqkOc4q9oUmW1yo/edit?usp=sharing"",""พิษณุโลก!J380"")"),0)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IFERROR(__xludf.DUMMYFUNCTION("IMPORTRANGE(""https://docs.google.com/spreadsheets/d/11923uPwbBZFjjGgGUA6NLw09EwE0CqkOc4q9oUmW1yo/edit?usp=sharing"",""พิษณุโลก!I381"")"),0)</f>
        <v>0</v>
      </c>
      <c r="J486" s="198">
        <f ca="1">IFERROR(__xludf.DUMMYFUNCTION("IMPORTRANGE(""https://docs.google.com/spreadsheets/d/11923uPwbBZFjjGgGUA6NLw09EwE0CqkOc4q9oUmW1yo/edit?usp=sharing"",""พิษณุโลก!J381"")"),0)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IFERROR(__xludf.DUMMYFUNCTION("IMPORTRANGE(""https://docs.google.com/spreadsheets/d/11923uPwbBZFjjGgGUA6NLw09EwE0CqkOc4q9oUmW1yo/edit?usp=sharing"",""พิษณุโลก!I382"")"),0)</f>
        <v>0</v>
      </c>
      <c r="J487" s="428">
        <f ca="1">IFERROR(__xludf.DUMMYFUNCTION("IMPORTRANGE(""https://docs.google.com/spreadsheets/d/11923uPwbBZFjjGgGUA6NLw09EwE0CqkOc4q9oUmW1yo/edit?usp=sharing"",""พิษณุโลก!J382"")"),0)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IFERROR(__xludf.DUMMYFUNCTION("IMPORTRANGE(""https://docs.google.com/spreadsheets/d/11923uPwbBZFjjGgGUA6NLw09EwE0CqkOc4q9oUmW1yo/edit?usp=sharing"",""พิษณุโลก!I383"")"),0)</f>
        <v>0</v>
      </c>
      <c r="J488" s="428">
        <f ca="1">IFERROR(__xludf.DUMMYFUNCTION("IMPORTRANGE(""https://docs.google.com/spreadsheets/d/11923uPwbBZFjjGgGUA6NLw09EwE0CqkOc4q9oUmW1yo/edit?usp=sharing"",""พิษณุโลก!J383"")"),0)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IFERROR(__xludf.DUMMYFUNCTION("IMPORTRANGE(""https://docs.google.com/spreadsheets/d/11923uPwbBZFjjGgGUA6NLw09EwE0CqkOc4q9oUmW1yo/edit?usp=sharing"",""พิษณุโลก!I384"")"),0)</f>
        <v>0</v>
      </c>
      <c r="J489" s="198">
        <f ca="1">IFERROR(__xludf.DUMMYFUNCTION("IMPORTRANGE(""https://docs.google.com/spreadsheets/d/11923uPwbBZFjjGgGUA6NLw09EwE0CqkOc4q9oUmW1yo/edit?usp=sharing"",""พิษณุโลก!J384"")"),0)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IFERROR(__xludf.DUMMYFUNCTION("IMPORTRANGE(""https://docs.google.com/spreadsheets/d/11923uPwbBZFjjGgGUA6NLw09EwE0CqkOc4q9oUmW1yo/edit?usp=sharing"",""พิษณุโลก!I385"")"),0)</f>
        <v>0</v>
      </c>
      <c r="J490" s="198">
        <f ca="1">IFERROR(__xludf.DUMMYFUNCTION("IMPORTRANGE(""https://docs.google.com/spreadsheets/d/11923uPwbBZFjjGgGUA6NLw09EwE0CqkOc4q9oUmW1yo/edit?usp=sharing"",""พิษณุโลก!J385"")"),0)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IFERROR(__xludf.DUMMYFUNCTION("IMPORTRANGE(""https://docs.google.com/spreadsheets/d/11923uPwbBZFjjGgGUA6NLw09EwE0CqkOc4q9oUmW1yo/edit?usp=sharing"",""พิษณุโลก!I386"")"),0)</f>
        <v>0</v>
      </c>
      <c r="J491" s="198">
        <f ca="1">IFERROR(__xludf.DUMMYFUNCTION("IMPORTRANGE(""https://docs.google.com/spreadsheets/d/11923uPwbBZFjjGgGUA6NLw09EwE0CqkOc4q9oUmW1yo/edit?usp=sharing"",""พิษณุโลก!J386"")"),0)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IFERROR(__xludf.DUMMYFUNCTION("IMPORTRANGE(""https://docs.google.com/spreadsheets/d/11923uPwbBZFjjGgGUA6NLw09EwE0CqkOc4q9oUmW1yo/edit?usp=sharing"",""พิษณุโลก!I387"")"),0)</f>
        <v>0</v>
      </c>
      <c r="J492" s="198">
        <f ca="1">IFERROR(__xludf.DUMMYFUNCTION("IMPORTRANGE(""https://docs.google.com/spreadsheets/d/11923uPwbBZFjjGgGUA6NLw09EwE0CqkOc4q9oUmW1yo/edit?usp=sharing"",""พิษณุโลก!J387"")"),0)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IFERROR(__xludf.DUMMYFUNCTION("IMPORTRANGE(""https://docs.google.com/spreadsheets/d/11923uPwbBZFjjGgGUA6NLw09EwE0CqkOc4q9oUmW1yo/edit?usp=sharing"",""พิษณุโลก!I388"")"),0)</f>
        <v>0</v>
      </c>
      <c r="J493" s="198">
        <f ca="1">IFERROR(__xludf.DUMMYFUNCTION("IMPORTRANGE(""https://docs.google.com/spreadsheets/d/11923uPwbBZFjjGgGUA6NLw09EwE0CqkOc4q9oUmW1yo/edit?usp=sharing"",""พิษณุโลก!J388"")"),0)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IFERROR(__xludf.DUMMYFUNCTION("IMPORTRANGE(""https://docs.google.com/spreadsheets/d/11923uPwbBZFjjGgGUA6NLw09EwE0CqkOc4q9oUmW1yo/edit?usp=sharing"",""พิษณุโลก!I389"")"),0)</f>
        <v>0</v>
      </c>
      <c r="J494" s="444">
        <f ca="1">IFERROR(__xludf.DUMMYFUNCTION("IMPORTRANGE(""https://docs.google.com/spreadsheets/d/11923uPwbBZFjjGgGUA6NLw09EwE0CqkOc4q9oUmW1yo/edit?usp=sharing"",""พิษณุโลก!J389"")"),0)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IFERROR(__xludf.DUMMYFUNCTION("IMPORTRANGE(""https://docs.google.com/spreadsheets/d/11923uPwbBZFjjGgGUA6NLw09EwE0CqkOc4q9oUmW1yo/edit?usp=sharing"",""พิษณุโลก!I390"")"),0)</f>
        <v>0</v>
      </c>
      <c r="J495" s="444">
        <f ca="1">IFERROR(__xludf.DUMMYFUNCTION("IMPORTRANGE(""https://docs.google.com/spreadsheets/d/11923uPwbBZFjjGgGUA6NLw09EwE0CqkOc4q9oUmW1yo/edit?usp=sharing"",""พิษณุโลก!J390"")"),0)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IFERROR(__xludf.DUMMYFUNCTION("IMPORTRANGE(""https://docs.google.com/spreadsheets/d/11923uPwbBZFjjGgGUA6NLw09EwE0CqkOc4q9oUmW1yo/edit?usp=sharing"",""พิษณุโลก!I391"")"),0)</f>
        <v>0</v>
      </c>
      <c r="J496" s="444">
        <f ca="1">IFERROR(__xludf.DUMMYFUNCTION("IMPORTRANGE(""https://docs.google.com/spreadsheets/d/11923uPwbBZFjjGgGUA6NLw09EwE0CqkOc4q9oUmW1yo/edit?usp=sharing"",""พิษณุโลก!J391"")"),0)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IFERROR(__xludf.DUMMYFUNCTION("IMPORTRANGE(""https://docs.google.com/spreadsheets/d/11923uPwbBZFjjGgGUA6NLw09EwE0CqkOc4q9oUmW1yo/edit?usp=sharing"",""พิษณุโลก!I392"")"),1632)</f>
        <v>1632</v>
      </c>
      <c r="J497" s="451">
        <f ca="1">IFERROR(__xludf.DUMMYFUNCTION("IMPORTRANGE(""https://docs.google.com/spreadsheets/d/11923uPwbBZFjjGgGUA6NLw09EwE0CqkOc4q9oUmW1yo/edit?usp=sharing"",""พิษณุโลก!J392"")"),998)</f>
        <v>998</v>
      </c>
      <c r="K497" s="452">
        <f t="shared" ca="1" si="117"/>
        <v>61.151960784313722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IFERROR(__xludf.DUMMYFUNCTION("IMPORTRANGE(""https://docs.google.com/spreadsheets/d/11923uPwbBZFjjGgGUA6NLw09EwE0CqkOc4q9oUmW1yo/edit?usp=sharing"",""พิษณุโลก!I393"")"),1632)</f>
        <v>1632</v>
      </c>
      <c r="J498" s="428">
        <f ca="1">IFERROR(__xludf.DUMMYFUNCTION("IMPORTRANGE(""https://docs.google.com/spreadsheets/d/11923uPwbBZFjjGgGUA6NLw09EwE0CqkOc4q9oUmW1yo/edit?usp=sharing"",""พิษณุโลก!J393"")"),998)</f>
        <v>998</v>
      </c>
      <c r="K498" s="171">
        <f t="shared" ca="1" si="117"/>
        <v>61.151960784313722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IFERROR(__xludf.DUMMYFUNCTION("IMPORTRANGE(""https://docs.google.com/spreadsheets/d/11923uPwbBZFjjGgGUA6NLw09EwE0CqkOc4q9oUmW1yo/edit?usp=sharing"",""พิษณุโลก!I394"")"),99)</f>
        <v>99</v>
      </c>
      <c r="J499" s="428">
        <f ca="1">IFERROR(__xludf.DUMMYFUNCTION("IMPORTRANGE(""https://docs.google.com/spreadsheets/d/11923uPwbBZFjjGgGUA6NLw09EwE0CqkOc4q9oUmW1yo/edit?usp=sharing"",""พิษณุโลก!J394"")"),60)</f>
        <v>60</v>
      </c>
      <c r="K499" s="211">
        <f t="shared" ca="1" si="117"/>
        <v>60.606060606060609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IFERROR(__xludf.DUMMYFUNCTION("IMPORTRANGE(""https://docs.google.com/spreadsheets/d/11923uPwbBZFjjGgGUA6NLw09EwE0CqkOc4q9oUmW1yo/edit?usp=sharing"",""พิษณุโลก!I395"")"),0)</f>
        <v>0</v>
      </c>
      <c r="J500" s="170">
        <f ca="1">IFERROR(__xludf.DUMMYFUNCTION("IMPORTRANGE(""https://docs.google.com/spreadsheets/d/11923uPwbBZFjjGgGUA6NLw09EwE0CqkOc4q9oUmW1yo/edit?usp=sharing"",""พิษณุโลก!J395"")"),975)</f>
        <v>975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IFERROR(__xludf.DUMMYFUNCTION("IMPORTRANGE(""https://docs.google.com/spreadsheets/d/11923uPwbBZFjjGgGUA6NLw09EwE0CqkOc4q9oUmW1yo/edit?usp=sharing"",""พิษณุโลก!I396"")"),0)</f>
        <v>0</v>
      </c>
      <c r="J501" s="170">
        <f ca="1">IFERROR(__xludf.DUMMYFUNCTION("IMPORTRANGE(""https://docs.google.com/spreadsheets/d/11923uPwbBZFjjGgGUA6NLw09EwE0CqkOc4q9oUmW1yo/edit?usp=sharing"",""พิษณุโลก!J396"")"),59)</f>
        <v>59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IFERROR(__xludf.DUMMYFUNCTION("IMPORTRANGE(""https://docs.google.com/spreadsheets/d/11923uPwbBZFjjGgGUA6NLw09EwE0CqkOc4q9oUmW1yo/edit?usp=sharing"",""พิษณุโลก!I397"")"),0)</f>
        <v>0</v>
      </c>
      <c r="J502" s="198">
        <f ca="1">IFERROR(__xludf.DUMMYFUNCTION("IMPORTRANGE(""https://docs.google.com/spreadsheets/d/11923uPwbBZFjjGgGUA6NLw09EwE0CqkOc4q9oUmW1yo/edit?usp=sharing"",""พิษณุโลก!J397"")"),550)</f>
        <v>550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IFERROR(__xludf.DUMMYFUNCTION("IMPORTRANGE(""https://docs.google.com/spreadsheets/d/11923uPwbBZFjjGgGUA6NLw09EwE0CqkOc4q9oUmW1yo/edit?usp=sharing"",""พิษณุโลก!I398"")"),0)</f>
        <v>0</v>
      </c>
      <c r="J503" s="207">
        <f ca="1">IFERROR(__xludf.DUMMYFUNCTION("IMPORTRANGE(""https://docs.google.com/spreadsheets/d/11923uPwbBZFjjGgGUA6NLw09EwE0CqkOc4q9oUmW1yo/edit?usp=sharing"",""พิษณุโลก!J398"")"),31)</f>
        <v>31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IFERROR(__xludf.DUMMYFUNCTION("IMPORTRANGE(""https://docs.google.com/spreadsheets/d/11923uPwbBZFjjGgGUA6NLw09EwE0CqkOc4q9oUmW1yo/edit?usp=sharing"",""พิษณุโลก!I399"")"),0)</f>
        <v>0</v>
      </c>
      <c r="J504" s="198">
        <f ca="1">IFERROR(__xludf.DUMMYFUNCTION("IMPORTRANGE(""https://docs.google.com/spreadsheets/d/11923uPwbBZFjjGgGUA6NLw09EwE0CqkOc4q9oUmW1yo/edit?usp=sharing"",""พิษณุโลก!J399"")"),425)</f>
        <v>425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IFERROR(__xludf.DUMMYFUNCTION("IMPORTRANGE(""https://docs.google.com/spreadsheets/d/11923uPwbBZFjjGgGUA6NLw09EwE0CqkOc4q9oUmW1yo/edit?usp=sharing"",""พิษณุโลก!I400"")"),0)</f>
        <v>0</v>
      </c>
      <c r="J505" s="207">
        <f ca="1">IFERROR(__xludf.DUMMYFUNCTION("IMPORTRANGE(""https://docs.google.com/spreadsheets/d/11923uPwbBZFjjGgGUA6NLw09EwE0CqkOc4q9oUmW1yo/edit?usp=sharing"",""พิษณุโลก!J400"")"),28)</f>
        <v>28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IFERROR(__xludf.DUMMYFUNCTION("IMPORTRANGE(""https://docs.google.com/spreadsheets/d/11923uPwbBZFjjGgGUA6NLw09EwE0CqkOc4q9oUmW1yo/edit?usp=sharing"",""พิษณุโลก!I401"")"),0)</f>
        <v>0</v>
      </c>
      <c r="J506" s="198">
        <f ca="1">IFERROR(__xludf.DUMMYFUNCTION("IMPORTRANGE(""https://docs.google.com/spreadsheets/d/11923uPwbBZFjjGgGUA6NLw09EwE0CqkOc4q9oUmW1yo/edit?usp=sharing"",""พิษณุโลก!J401"")"),0)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IFERROR(__xludf.DUMMYFUNCTION("IMPORTRANGE(""https://docs.google.com/spreadsheets/d/11923uPwbBZFjjGgGUA6NLw09EwE0CqkOc4q9oUmW1yo/edit?usp=sharing"",""พิษณุโลก!I402"")"),0)</f>
        <v>0</v>
      </c>
      <c r="J507" s="207">
        <f ca="1">IFERROR(__xludf.DUMMYFUNCTION("IMPORTRANGE(""https://docs.google.com/spreadsheets/d/11923uPwbBZFjjGgGUA6NLw09EwE0CqkOc4q9oUmW1yo/edit?usp=sharing"",""พิษณุโลก!J402"")"),0)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IFERROR(__xludf.DUMMYFUNCTION("IMPORTRANGE(""https://docs.google.com/spreadsheets/d/11923uPwbBZFjjGgGUA6NLw09EwE0CqkOc4q9oUmW1yo/edit?usp=sharing"",""พิษณุโลก!I403"")"),0)</f>
        <v>0</v>
      </c>
      <c r="J508" s="170">
        <f ca="1">IFERROR(__xludf.DUMMYFUNCTION("IMPORTRANGE(""https://docs.google.com/spreadsheets/d/11923uPwbBZFjjGgGUA6NLw09EwE0CqkOc4q9oUmW1yo/edit?usp=sharing"",""พิษณุโลก!J403"")"),23)</f>
        <v>23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IFERROR(__xludf.DUMMYFUNCTION("IMPORTRANGE(""https://docs.google.com/spreadsheets/d/11923uPwbBZFjjGgGUA6NLw09EwE0CqkOc4q9oUmW1yo/edit?usp=sharing"",""พิษณุโลก!I404"")"),0)</f>
        <v>0</v>
      </c>
      <c r="J509" s="170">
        <f ca="1">IFERROR(__xludf.DUMMYFUNCTION("IMPORTRANGE(""https://docs.google.com/spreadsheets/d/11923uPwbBZFjjGgGUA6NLw09EwE0CqkOc4q9oUmW1yo/edit?usp=sharing"",""พิษณุโลก!J404"")"),1)</f>
        <v>1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IFERROR(__xludf.DUMMYFUNCTION("IMPORTRANGE(""https://docs.google.com/spreadsheets/d/11923uPwbBZFjjGgGUA6NLw09EwE0CqkOc4q9oUmW1yo/edit?usp=sharing"",""พิษณุโลก!I405"")"),0)</f>
        <v>0</v>
      </c>
      <c r="J510" s="207">
        <f ca="1">IFERROR(__xludf.DUMMYFUNCTION("IMPORTRANGE(""https://docs.google.com/spreadsheets/d/11923uPwbBZFjjGgGUA6NLw09EwE0CqkOc4q9oUmW1yo/edit?usp=sharing"",""พิษณุโลก!J405"")"),23)</f>
        <v>23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IFERROR(__xludf.DUMMYFUNCTION("IMPORTRANGE(""https://docs.google.com/spreadsheets/d/11923uPwbBZFjjGgGUA6NLw09EwE0CqkOc4q9oUmW1yo/edit?usp=sharing"",""พิษณุโลก!I406"")"),0)</f>
        <v>0</v>
      </c>
      <c r="J511" s="207">
        <f ca="1">IFERROR(__xludf.DUMMYFUNCTION("IMPORTRANGE(""https://docs.google.com/spreadsheets/d/11923uPwbBZFjjGgGUA6NLw09EwE0CqkOc4q9oUmW1yo/edit?usp=sharing"",""พิษณุโลก!J406"")"),1)</f>
        <v>1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IFERROR(__xludf.DUMMYFUNCTION("IMPORTRANGE(""https://docs.google.com/spreadsheets/d/11923uPwbBZFjjGgGUA6NLw09EwE0CqkOc4q9oUmW1yo/edit?usp=sharing"",""พิษณุโลก!I407"")"),0)</f>
        <v>0</v>
      </c>
      <c r="J512" s="207">
        <f ca="1">IFERROR(__xludf.DUMMYFUNCTION("IMPORTRANGE(""https://docs.google.com/spreadsheets/d/11923uPwbBZFjjGgGUA6NLw09EwE0CqkOc4q9oUmW1yo/edit?usp=sharing"",""พิษณุโลก!J407"")"),0)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IFERROR(__xludf.DUMMYFUNCTION("IMPORTRANGE(""https://docs.google.com/spreadsheets/d/11923uPwbBZFjjGgGUA6NLw09EwE0CqkOc4q9oUmW1yo/edit?usp=sharing"",""พิษณุโลก!I408"")"),0)</f>
        <v>0</v>
      </c>
      <c r="J513" s="207">
        <f ca="1">IFERROR(__xludf.DUMMYFUNCTION("IMPORTRANGE(""https://docs.google.com/spreadsheets/d/11923uPwbBZFjjGgGUA6NLw09EwE0CqkOc4q9oUmW1yo/edit?usp=sharing"",""พิษณุโลก!J408"")"),0)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IFERROR(__xludf.DUMMYFUNCTION("IMPORTRANGE(""https://docs.google.com/spreadsheets/d/11923uPwbBZFjjGgGUA6NLw09EwE0CqkOc4q9oUmW1yo/edit?usp=sharing"",""พิษณุโลก!I409"")"),0)</f>
        <v>0</v>
      </c>
      <c r="J514" s="207">
        <f ca="1">IFERROR(__xludf.DUMMYFUNCTION("IMPORTRANGE(""https://docs.google.com/spreadsheets/d/11923uPwbBZFjjGgGUA6NLw09EwE0CqkOc4q9oUmW1yo/edit?usp=sharing"",""พิษณุโลก!J409"")"),0)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IFERROR(__xludf.DUMMYFUNCTION("IMPORTRANGE(""https://docs.google.com/spreadsheets/d/11923uPwbBZFjjGgGUA6NLw09EwE0CqkOc4q9oUmW1yo/edit?usp=sharing"",""พิษณุโลก!I410"")"),0)</f>
        <v>0</v>
      </c>
      <c r="J515" s="207">
        <f ca="1">IFERROR(__xludf.DUMMYFUNCTION("IMPORTRANGE(""https://docs.google.com/spreadsheets/d/11923uPwbBZFjjGgGUA6NLw09EwE0CqkOc4q9oUmW1yo/edit?usp=sharing"",""พิษณุโลก!J410"")"),0)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IFERROR(__xludf.DUMMYFUNCTION("IMPORTRANGE(""https://docs.google.com/spreadsheets/d/11923uPwbBZFjjGgGUA6NLw09EwE0CqkOc4q9oUmW1yo/edit?usp=sharing"",""พิษณุโลก!I411"")"),0)</f>
        <v>0</v>
      </c>
      <c r="J516" s="276">
        <f ca="1">IFERROR(__xludf.DUMMYFUNCTION("IMPORTRANGE(""https://docs.google.com/spreadsheets/d/11923uPwbBZFjjGgGUA6NLw09EwE0CqkOc4q9oUmW1yo/edit?usp=sharing"",""พิษณุโลก!J411"")"),0)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IFERROR(__xludf.DUMMYFUNCTION("IMPORTRANGE(""https://docs.google.com/spreadsheets/d/11923uPwbBZFjjGgGUA6NLw09EwE0CqkOc4q9oUmW1yo/edit?usp=sharing"",""พิษณุโลก!I412"")"),0)</f>
        <v>0</v>
      </c>
      <c r="J517" s="292">
        <f ca="1">IFERROR(__xludf.DUMMYFUNCTION("IMPORTRANGE(""https://docs.google.com/spreadsheets/d/11923uPwbBZFjjGgGUA6NLw09EwE0CqkOc4q9oUmW1yo/edit?usp=sharing"",""พิษณุโลก!J412"")"),0)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IFERROR(__xludf.DUMMYFUNCTION("IMPORTRANGE(""https://docs.google.com/spreadsheets/d/11923uPwbBZFjjGgGUA6NLw09EwE0CqkOc4q9oUmW1yo/edit?usp=sharing"",""พิษณุโลก!I413"")"),0)</f>
        <v>0</v>
      </c>
      <c r="J518" s="292">
        <f ca="1">IFERROR(__xludf.DUMMYFUNCTION("IMPORTRANGE(""https://docs.google.com/spreadsheets/d/11923uPwbBZFjjGgGUA6NLw09EwE0CqkOc4q9oUmW1yo/edit?usp=sharing"",""พิษณุโลก!J413"")"),0)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IFERROR(__xludf.DUMMYFUNCTION("IMPORTRANGE(""https://docs.google.com/spreadsheets/d/11923uPwbBZFjjGgGUA6NLw09EwE0CqkOc4q9oUmW1yo/edit?usp=sharing"",""พิษณุโลก!I414"")"),0)</f>
        <v>0</v>
      </c>
      <c r="J519" s="197">
        <f ca="1">IFERROR(__xludf.DUMMYFUNCTION("IMPORTRANGE(""https://docs.google.com/spreadsheets/d/11923uPwbBZFjjGgGUA6NLw09EwE0CqkOc4q9oUmW1yo/edit?usp=sharing"",""พิษณุโลก!J414"")"),0)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IFERROR(__xludf.DUMMYFUNCTION("IMPORTRANGE(""https://docs.google.com/spreadsheets/d/11923uPwbBZFjjGgGUA6NLw09EwE0CqkOc4q9oUmW1yo/edit?usp=sharing"",""พิษณุโลก!I415"")"),0)</f>
        <v>0</v>
      </c>
      <c r="J520" s="197">
        <f ca="1">IFERROR(__xludf.DUMMYFUNCTION("IMPORTRANGE(""https://docs.google.com/spreadsheets/d/11923uPwbBZFjjGgGUA6NLw09EwE0CqkOc4q9oUmW1yo/edit?usp=sharing"",""พิษณุโลก!J415"")"),0)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IFERROR(__xludf.DUMMYFUNCTION("IMPORTRANGE(""https://docs.google.com/spreadsheets/d/11923uPwbBZFjjGgGUA6NLw09EwE0CqkOc4q9oUmW1yo/edit?usp=sharing"",""พิษณุโลก!I416"")"),0)</f>
        <v>0</v>
      </c>
      <c r="J521" s="197">
        <f ca="1">IFERROR(__xludf.DUMMYFUNCTION("IMPORTRANGE(""https://docs.google.com/spreadsheets/d/11923uPwbBZFjjGgGUA6NLw09EwE0CqkOc4q9oUmW1yo/edit?usp=sharing"",""พิษณุโลก!J416"")"),0)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IFERROR(__xludf.DUMMYFUNCTION("IMPORTRANGE(""https://docs.google.com/spreadsheets/d/11923uPwbBZFjjGgGUA6NLw09EwE0CqkOc4q9oUmW1yo/edit?usp=sharing"",""พิษณุโลก!I417"")"),0)</f>
        <v>0</v>
      </c>
      <c r="J522" s="197">
        <f ca="1">IFERROR(__xludf.DUMMYFUNCTION("IMPORTRANGE(""https://docs.google.com/spreadsheets/d/11923uPwbBZFjjGgGUA6NLw09EwE0CqkOc4q9oUmW1yo/edit?usp=sharing"",""พิษณุโลก!J417"")"),0)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IFERROR(__xludf.DUMMYFUNCTION("IMPORTRANGE(""https://docs.google.com/spreadsheets/d/11923uPwbBZFjjGgGUA6NLw09EwE0CqkOc4q9oUmW1yo/edit?usp=sharing"",""พิษณุโลก!I418"")"),0)</f>
        <v>0</v>
      </c>
      <c r="J523" s="197">
        <f ca="1">IFERROR(__xludf.DUMMYFUNCTION("IMPORTRANGE(""https://docs.google.com/spreadsheets/d/11923uPwbBZFjjGgGUA6NLw09EwE0CqkOc4q9oUmW1yo/edit?usp=sharing"",""พิษณุโลก!J418"")"),0)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IFERROR(__xludf.DUMMYFUNCTION("IMPORTRANGE(""https://docs.google.com/spreadsheets/d/11923uPwbBZFjjGgGUA6NLw09EwE0CqkOc4q9oUmW1yo/edit?usp=sharing"",""พิษณุโลก!I419"")"),0)</f>
        <v>0</v>
      </c>
      <c r="J524" s="197">
        <f ca="1">IFERROR(__xludf.DUMMYFUNCTION("IMPORTRANGE(""https://docs.google.com/spreadsheets/d/11923uPwbBZFjjGgGUA6NLw09EwE0CqkOc4q9oUmW1yo/edit?usp=sharing"",""พิษณุโลก!J419"")"),0)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IFERROR(__xludf.DUMMYFUNCTION("IMPORTRANGE(""https://docs.google.com/spreadsheets/d/11923uPwbBZFjjGgGUA6NLw09EwE0CqkOc4q9oUmW1yo/edit?usp=sharing"",""พิษณุโลก!I420"")"),0)</f>
        <v>0</v>
      </c>
      <c r="J525" s="292">
        <f ca="1">IFERROR(__xludf.DUMMYFUNCTION("IMPORTRANGE(""https://docs.google.com/spreadsheets/d/11923uPwbBZFjjGgGUA6NLw09EwE0CqkOc4q9oUmW1yo/edit?usp=sharing"",""พิษณุโลก!J420"")"),0)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IFERROR(__xludf.DUMMYFUNCTION("IMPORTRANGE(""https://docs.google.com/spreadsheets/d/11923uPwbBZFjjGgGUA6NLw09EwE0CqkOc4q9oUmW1yo/edit?usp=sharing"",""พิษณุโลก!I421"")"),0)</f>
        <v>0</v>
      </c>
      <c r="J526" s="292">
        <f ca="1">IFERROR(__xludf.DUMMYFUNCTION("IMPORTRANGE(""https://docs.google.com/spreadsheets/d/11923uPwbBZFjjGgGUA6NLw09EwE0CqkOc4q9oUmW1yo/edit?usp=sharing"",""พิษณุโลก!J421"")"),0)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IFERROR(__xludf.DUMMYFUNCTION("IMPORTRANGE(""https://docs.google.com/spreadsheets/d/11923uPwbBZFjjGgGUA6NLw09EwE0CqkOc4q9oUmW1yo/edit?usp=sharing"",""พิษณุโลก!I422"")"),0)</f>
        <v>0</v>
      </c>
      <c r="J527" s="207">
        <f ca="1">IFERROR(__xludf.DUMMYFUNCTION("IMPORTRANGE(""https://docs.google.com/spreadsheets/d/11923uPwbBZFjjGgGUA6NLw09EwE0CqkOc4q9oUmW1yo/edit?usp=sharing"",""พิษณุโลก!J422"")"),0)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IFERROR(__xludf.DUMMYFUNCTION("IMPORTRANGE(""https://docs.google.com/spreadsheets/d/11923uPwbBZFjjGgGUA6NLw09EwE0CqkOc4q9oUmW1yo/edit?usp=sharing"",""พิษณุโลก!I423"")"),0)</f>
        <v>0</v>
      </c>
      <c r="J528" s="207">
        <f ca="1">IFERROR(__xludf.DUMMYFUNCTION("IMPORTRANGE(""https://docs.google.com/spreadsheets/d/11923uPwbBZFjjGgGUA6NLw09EwE0CqkOc4q9oUmW1yo/edit?usp=sharing"",""พิษณุโลก!J423"")"),0)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IFERROR(__xludf.DUMMYFUNCTION("IMPORTRANGE(""https://docs.google.com/spreadsheets/d/11923uPwbBZFjjGgGUA6NLw09EwE0CqkOc4q9oUmW1yo/edit?usp=sharing"",""พิษณุโลก!I424"")"),0)</f>
        <v>0</v>
      </c>
      <c r="J529" s="207">
        <f ca="1">IFERROR(__xludf.DUMMYFUNCTION("IMPORTRANGE(""https://docs.google.com/spreadsheets/d/11923uPwbBZFjjGgGUA6NLw09EwE0CqkOc4q9oUmW1yo/edit?usp=sharing"",""พิษณุโลก!J424"")"),0)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IFERROR(__xludf.DUMMYFUNCTION("IMPORTRANGE(""https://docs.google.com/spreadsheets/d/11923uPwbBZFjjGgGUA6NLw09EwE0CqkOc4q9oUmW1yo/edit?usp=sharing"",""พิษณุโลก!I425"")"),0)</f>
        <v>0</v>
      </c>
      <c r="J530" s="207">
        <f ca="1">IFERROR(__xludf.DUMMYFUNCTION("IMPORTRANGE(""https://docs.google.com/spreadsheets/d/11923uPwbBZFjjGgGUA6NLw09EwE0CqkOc4q9oUmW1yo/edit?usp=sharing"",""พิษณุโลก!J425"")"),0)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IFERROR(__xludf.DUMMYFUNCTION("IMPORTRANGE(""https://docs.google.com/spreadsheets/d/11923uPwbBZFjjGgGUA6NLw09EwE0CqkOc4q9oUmW1yo/edit?usp=sharing"",""พิษณุโลก!I426"")"),0)</f>
        <v>0</v>
      </c>
      <c r="J531" s="207">
        <f ca="1">IFERROR(__xludf.DUMMYFUNCTION("IMPORTRANGE(""https://docs.google.com/spreadsheets/d/11923uPwbBZFjjGgGUA6NLw09EwE0CqkOc4q9oUmW1yo/edit?usp=sharing"",""พิษณุโลก!J426"")"),0)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IFERROR(__xludf.DUMMYFUNCTION("IMPORTRANGE(""https://docs.google.com/spreadsheets/d/11923uPwbBZFjjGgGUA6NLw09EwE0CqkOc4q9oUmW1yo/edit?usp=sharing"",""พิษณุโลก!I427"")"),0)</f>
        <v>0</v>
      </c>
      <c r="J532" s="474">
        <f ca="1">IFERROR(__xludf.DUMMYFUNCTION("IMPORTRANGE(""https://docs.google.com/spreadsheets/d/11923uPwbBZFjjGgGUA6NLw09EwE0CqkOc4q9oUmW1yo/edit?usp=sharing"",""พิษณุโลก!J427"")"),0)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IFERROR(__xludf.DUMMYFUNCTION("IMPORTRANGE(""https://docs.google.com/spreadsheets/d/11923uPwbBZFjjGgGUA6NLw09EwE0CqkOc4q9oUmW1yo/edit?usp=sharing"",""พิษณุโลก!I428"")"),22)</f>
        <v>22</v>
      </c>
      <c r="J533" s="418">
        <f ca="1">IFERROR(__xludf.DUMMYFUNCTION("IMPORTRANGE(""https://docs.google.com/spreadsheets/d/11923uPwbBZFjjGgGUA6NLw09EwE0CqkOc4q9oUmW1yo/edit?usp=sharing"",""พิษณุโลก!J428"")"),22)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IFERROR(__xludf.DUMMYFUNCTION("IMPORTRANGE(""https://docs.google.com/spreadsheets/d/11923uPwbBZFjjGgGUA6NLw09EwE0CqkOc4q9oUmW1yo/edit?usp=sharing"",""พิษณุโลก!L428"")"),34340)</f>
        <v>34340</v>
      </c>
      <c r="M533" s="420"/>
      <c r="N533" s="420">
        <f ca="1">IFERROR(__xludf.DUMMYFUNCTION("IMPORTRANGE(""https://docs.google.com/spreadsheets/d/11923uPwbBZFjjGgGUA6NLw09EwE0CqkOc4q9oUmW1yo/edit?usp=sharing"",""พิษณุโลก!M428"")"),21160)</f>
        <v>21160</v>
      </c>
      <c r="O533" s="420">
        <f t="shared" ref="O533:O537" ca="1" si="118">+IF(L533&gt;0,N533*100/L533,0)</f>
        <v>61.619103086779269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IFERROR(__xludf.DUMMYFUNCTION("IMPORTRANGE(""https://docs.google.com/spreadsheets/d/11923uPwbBZFjjGgGUA6NLw09EwE0CqkOc4q9oUmW1yo/edit?usp=sharing"",""พิษณุโลก!L429"")"),0)</f>
        <v>0</v>
      </c>
      <c r="M534" s="172"/>
      <c r="N534" s="178">
        <f ca="1">IFERROR(__xludf.DUMMYFUNCTION("IMPORTRANGE(""https://docs.google.com/spreadsheets/d/11923uPwbBZFjjGgGUA6NLw09EwE0CqkOc4q9oUmW1yo/edit?usp=sharing"",""พิษณุโลก!M429"")"),0)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IFERROR(__xludf.DUMMYFUNCTION("IMPORTRANGE(""https://docs.google.com/spreadsheets/d/11923uPwbBZFjjGgGUA6NLw09EwE0CqkOc4q9oUmW1yo/edit?usp=sharing"",""พิษณุโลก!L430"")"),34340)</f>
        <v>34340</v>
      </c>
      <c r="M535" s="173"/>
      <c r="N535" s="178">
        <f ca="1">IFERROR(__xludf.DUMMYFUNCTION("IMPORTRANGE(""https://docs.google.com/spreadsheets/d/11923uPwbBZFjjGgGUA6NLw09EwE0CqkOc4q9oUmW1yo/edit?usp=sharing"",""พิษณุโลก!M430"")"),21160)</f>
        <v>21160</v>
      </c>
      <c r="O535" s="178">
        <f t="shared" ca="1" si="118"/>
        <v>61.619103086779269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IFERROR(__xludf.DUMMYFUNCTION("IMPORTRANGE(""https://docs.google.com/spreadsheets/d/11923uPwbBZFjjGgGUA6NLw09EwE0CqkOc4q9oUmW1yo/edit?usp=sharing"",""พิษณุโลก!L431"")"),0)</f>
        <v>0</v>
      </c>
      <c r="M536" s="178"/>
      <c r="N536" s="178">
        <f ca="1">IFERROR(__xludf.DUMMYFUNCTION("IMPORTRANGE(""https://docs.google.com/spreadsheets/d/11923uPwbBZFjjGgGUA6NLw09EwE0CqkOc4q9oUmW1yo/edit?usp=sharing"",""พิษณุโลก!M431"")"),0)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IFERROR(__xludf.DUMMYFUNCTION("IMPORTRANGE(""https://docs.google.com/spreadsheets/d/11923uPwbBZFjjGgGUA6NLw09EwE0CqkOc4q9oUmW1yo/edit?usp=sharing"",""พิษณุโลก!L432"")"),34340)</f>
        <v>34340</v>
      </c>
      <c r="M537" s="178"/>
      <c r="N537" s="178">
        <f ca="1">IFERROR(__xludf.DUMMYFUNCTION("IMPORTRANGE(""https://docs.google.com/spreadsheets/d/11923uPwbBZFjjGgGUA6NLw09EwE0CqkOc4q9oUmW1yo/edit?usp=sharing"",""พิษณุโลก!M432"")"),21160)</f>
        <v>21160</v>
      </c>
      <c r="O537" s="178">
        <f t="shared" ca="1" si="118"/>
        <v>61.619103086779269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IFERROR(__xludf.DUMMYFUNCTION("IMPORTRANGE(""https://docs.google.com/spreadsheets/d/11923uPwbBZFjjGgGUA6NLw09EwE0CqkOc4q9oUmW1yo/edit?usp=sharing"",""พิษณุโลก!M433"")"),19880)</f>
        <v>19880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IFERROR(__xludf.DUMMYFUNCTION("IMPORTRANGE(""https://docs.google.com/spreadsheets/d/11923uPwbBZFjjGgGUA6NLw09EwE0CqkOc4q9oUmW1yo/edit?usp=sharing"",""พิษณุโลก!M434"")"),0)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IFERROR(__xludf.DUMMYFUNCTION("IMPORTRANGE(""https://docs.google.com/spreadsheets/d/11923uPwbBZFjjGgGUA6NLw09EwE0CqkOc4q9oUmW1yo/edit?usp=sharing"",""พิษณุโลก!M435"")"),0)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IFERROR(__xludf.DUMMYFUNCTION("IMPORTRANGE(""https://docs.google.com/spreadsheets/d/11923uPwbBZFjjGgGUA6NLw09EwE0CqkOc4q9oUmW1yo/edit?usp=sharing"",""พิษณุโลก!M436"")"),1280)</f>
        <v>1280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IFERROR(__xludf.DUMMYFUNCTION("IMPORTRANGE(""https://docs.google.com/spreadsheets/d/11923uPwbBZFjjGgGUA6NLw09EwE0CqkOc4q9oUmW1yo/edit?usp=sharing"",""พิษณุโลก!J438"")"),0)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IFERROR(__xludf.DUMMYFUNCTION("IMPORTRANGE(""https://docs.google.com/spreadsheets/d/11923uPwbBZFjjGgGUA6NLw09EwE0CqkOc4q9oUmW1yo/edit?usp=sharing"",""พิษณุโลก!J439"")"),1)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IFERROR(__xludf.DUMMYFUNCTION("IMPORTRANGE(""https://docs.google.com/spreadsheets/d/11923uPwbBZFjjGgGUA6NLw09EwE0CqkOc4q9oUmW1yo/edit?usp=sharing"",""พิษณุโลก!J440"")"),1)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IFERROR(__xludf.DUMMYFUNCTION("IMPORTRANGE(""https://docs.google.com/spreadsheets/d/11923uPwbBZFjjGgGUA6NLw09EwE0CqkOc4q9oUmW1yo/edit?usp=sharing"",""พิษณุโลก!J441"")"),1)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IFERROR(__xludf.DUMMYFUNCTION("IMPORTRANGE(""https://docs.google.com/spreadsheets/d/11923uPwbBZFjjGgGUA6NLw09EwE0CqkOc4q9oUmW1yo/edit?usp=sharing"",""พิษณุโลก!I442"")"),22)</f>
        <v>22</v>
      </c>
      <c r="J547" s="198">
        <f ca="1">IFERROR(__xludf.DUMMYFUNCTION("IMPORTRANGE(""https://docs.google.com/spreadsheets/d/11923uPwbBZFjjGgGUA6NLw09EwE0CqkOc4q9oUmW1yo/edit?usp=sharing"",""พิษณุโลก!J442"")"),22)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IFERROR(__xludf.DUMMYFUNCTION("IMPORTRANGE(""https://docs.google.com/spreadsheets/d/11923uPwbBZFjjGgGUA6NLw09EwE0CqkOc4q9oUmW1yo/edit?usp=sharing"",""พิษณุโลก!J166"")"),0)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IFERROR(__xludf.DUMMYFUNCTION("IMPORTRANGE(""https://docs.google.com/spreadsheets/d/11923uPwbBZFjjGgGUA6NLw09EwE0CqkOc4q9oUmW1yo/edit?usp=sharing"",""พิษณุโลก!J444"")"),0)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IFERROR(__xludf.DUMMYFUNCTION("IMPORTRANGE(""https://docs.google.com/spreadsheets/d/11923uPwbBZFjjGgGUA6NLw09EwE0CqkOc4q9oUmW1yo/edit?usp=sharing"",""พิษณุโลก!J445"")"),0)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IFERROR(__xludf.DUMMYFUNCTION("IMPORTRANGE(""https://docs.google.com/spreadsheets/d/11923uPwbBZFjjGgGUA6NLw09EwE0CqkOc4q9oUmW1yo/edit?usp=sharing"",""พิษณุโลก!I446"")"),9000)</f>
        <v>9000</v>
      </c>
      <c r="J551" s="418">
        <f ca="1">IFERROR(__xludf.DUMMYFUNCTION("IMPORTRANGE(""https://docs.google.com/spreadsheets/d/11923uPwbBZFjjGgGUA6NLw09EwE0CqkOc4q9oUmW1yo/edit?usp=sharing"",""พิษณุโลก!J446"")"),865)</f>
        <v>865</v>
      </c>
      <c r="K551" s="419">
        <f ca="1">IF(I551&gt;0,J551*100/I551,0)</f>
        <v>9.6111111111111107</v>
      </c>
      <c r="L551" s="420">
        <f ca="1">IFERROR(__xludf.DUMMYFUNCTION("IMPORTRANGE(""https://docs.google.com/spreadsheets/d/11923uPwbBZFjjGgGUA6NLw09EwE0CqkOc4q9oUmW1yo/edit?usp=sharing"",""พิษณุโลก!L446"")"),534000)</f>
        <v>534000</v>
      </c>
      <c r="M551" s="420"/>
      <c r="N551" s="420">
        <f ca="1">IFERROR(__xludf.DUMMYFUNCTION("IMPORTRANGE(""https://docs.google.com/spreadsheets/d/11923uPwbBZFjjGgGUA6NLw09EwE0CqkOc4q9oUmW1yo/edit?usp=sharing"",""พิษณุโลก!M446"")"),29707.74)</f>
        <v>29707.74</v>
      </c>
      <c r="O551" s="420">
        <f t="shared" ref="O551:O555" ca="1" si="120">+IF(L551&gt;0,N551*100/L551,0)</f>
        <v>5.5632471910112358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IFERROR(__xludf.DUMMYFUNCTION("IMPORTRANGE(""https://docs.google.com/spreadsheets/d/11923uPwbBZFjjGgGUA6NLw09EwE0CqkOc4q9oUmW1yo/edit?usp=sharing"",""พิษณุโลก!L447"")"),0)</f>
        <v>0</v>
      </c>
      <c r="M552" s="172"/>
      <c r="N552" s="178">
        <f ca="1">IFERROR(__xludf.DUMMYFUNCTION("IMPORTRANGE(""https://docs.google.com/spreadsheets/d/11923uPwbBZFjjGgGUA6NLw09EwE0CqkOc4q9oUmW1yo/edit?usp=sharing"",""พิษณุโลก!M447"")"),0)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IFERROR(__xludf.DUMMYFUNCTION("IMPORTRANGE(""https://docs.google.com/spreadsheets/d/11923uPwbBZFjjGgGUA6NLw09EwE0CqkOc4q9oUmW1yo/edit?usp=sharing"",""พิษณุโลก!L448"")"),534000)</f>
        <v>534000</v>
      </c>
      <c r="M553" s="173"/>
      <c r="N553" s="178">
        <f ca="1">IFERROR(__xludf.DUMMYFUNCTION("IMPORTRANGE(""https://docs.google.com/spreadsheets/d/11923uPwbBZFjjGgGUA6NLw09EwE0CqkOc4q9oUmW1yo/edit?usp=sharing"",""พิษณุโลก!M448"")"),29707.74)</f>
        <v>29707.74</v>
      </c>
      <c r="O553" s="178">
        <f t="shared" ca="1" si="120"/>
        <v>5.5632471910112358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IFERROR(__xludf.DUMMYFUNCTION("IMPORTRANGE(""https://docs.google.com/spreadsheets/d/11923uPwbBZFjjGgGUA6NLw09EwE0CqkOc4q9oUmW1yo/edit?usp=sharing"",""พิษณุโลก!L449"")"),0)</f>
        <v>0</v>
      </c>
      <c r="M554" s="178"/>
      <c r="N554" s="178">
        <f ca="1">IFERROR(__xludf.DUMMYFUNCTION("IMPORTRANGE(""https://docs.google.com/spreadsheets/d/11923uPwbBZFjjGgGUA6NLw09EwE0CqkOc4q9oUmW1yo/edit?usp=sharing"",""พิษณุโลก!M449"")"),0)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IFERROR(__xludf.DUMMYFUNCTION("IMPORTRANGE(""https://docs.google.com/spreadsheets/d/11923uPwbBZFjjGgGUA6NLw09EwE0CqkOc4q9oUmW1yo/edit?usp=sharing"",""พิษณุโลก!L450"")"),534000)</f>
        <v>534000</v>
      </c>
      <c r="M555" s="178"/>
      <c r="N555" s="178">
        <f ca="1">IFERROR(__xludf.DUMMYFUNCTION("IMPORTRANGE(""https://docs.google.com/spreadsheets/d/11923uPwbBZFjjGgGUA6NLw09EwE0CqkOc4q9oUmW1yo/edit?usp=sharing"",""พิษณุโลก!M450"")"),29707.74)</f>
        <v>29707.74</v>
      </c>
      <c r="O555" s="178">
        <f t="shared" ca="1" si="120"/>
        <v>5.5632471910112358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IFERROR(__xludf.DUMMYFUNCTION("IMPORTRANGE(""https://docs.google.com/spreadsheets/d/11923uPwbBZFjjGgGUA6NLw09EwE0CqkOc4q9oUmW1yo/edit?usp=sharing"",""พิษณุโลก!M451"")"),0)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IFERROR(__xludf.DUMMYFUNCTION("IMPORTRANGE(""https://docs.google.com/spreadsheets/d/11923uPwbBZFjjGgGUA6NLw09EwE0CqkOc4q9oUmW1yo/edit?usp=sharing"",""พิษณุโลก!M452"")"),0)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IFERROR(__xludf.DUMMYFUNCTION("IMPORTRANGE(""https://docs.google.com/spreadsheets/d/11923uPwbBZFjjGgGUA6NLw09EwE0CqkOc4q9oUmW1yo/edit?usp=sharing"",""พิษณุโลก!M453"")"),0)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IFERROR(__xludf.DUMMYFUNCTION("IMPORTRANGE(""https://docs.google.com/spreadsheets/d/11923uPwbBZFjjGgGUA6NLw09EwE0CqkOc4q9oUmW1yo/edit?usp=sharing"",""พิษณุโลก!M454"")"),29707.74)</f>
        <v>29707.74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IFERROR(__xludf.DUMMYFUNCTION("IMPORTRANGE(""https://docs.google.com/spreadsheets/d/11923uPwbBZFjjGgGUA6NLw09EwE0CqkOc4q9oUmW1yo/edit?usp=sharing"",""พิษณุโลก!I455"")"),9000)</f>
        <v>9000</v>
      </c>
      <c r="J560" s="170">
        <f ca="1">IFERROR(__xludf.DUMMYFUNCTION("IMPORTRANGE(""https://docs.google.com/spreadsheets/d/11923uPwbBZFjjGgGUA6NLw09EwE0CqkOc4q9oUmW1yo/edit?usp=sharing"",""พิษณุโลก!J455"")"),865)</f>
        <v>865</v>
      </c>
      <c r="K560" s="233">
        <f t="shared" ref="K560:K564" ca="1" si="121">IF(I560&gt;0,J560*100/I560,0)</f>
        <v>9.6111111111111107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IFERROR(__xludf.DUMMYFUNCTION("IMPORTRANGE(""https://docs.google.com/spreadsheets/d/11923uPwbBZFjjGgGUA6NLw09EwE0CqkOc4q9oUmW1yo/edit?usp=sharing"",""พิษณุโลก!I456"")"),0)</f>
        <v>0</v>
      </c>
      <c r="J561" s="213">
        <f ca="1">IFERROR(__xludf.DUMMYFUNCTION("IMPORTRANGE(""https://docs.google.com/spreadsheets/d/11923uPwbBZFjjGgGUA6NLw09EwE0CqkOc4q9oUmW1yo/edit?usp=sharing"",""พิษณุโลก!J456"")"),55)</f>
        <v>55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IFERROR(__xludf.DUMMYFUNCTION("IMPORTRANGE(""https://docs.google.com/spreadsheets/d/11923uPwbBZFjjGgGUA6NLw09EwE0CqkOc4q9oUmW1yo/edit?usp=sharing"",""พิษณุโลก!I457"")"),"")</f>
        <v/>
      </c>
      <c r="J562" s="213" t="str">
        <f ca="1">IFERROR(__xludf.DUMMYFUNCTION("IMPORTRANGE(""https://docs.google.com/spreadsheets/d/11923uPwbBZFjjGgGUA6NLw09EwE0CqkOc4q9oUmW1yo/edit?usp=sharing"",""พิษณุโลก!J457"")"),"")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IFERROR(__xludf.DUMMYFUNCTION("IMPORTRANGE(""https://docs.google.com/spreadsheets/d/11923uPwbBZFjjGgGUA6NLw09EwE0CqkOc4q9oUmW1yo/edit?usp=sharing"",""พิษณุโลก!I458"")"),"")</f>
        <v/>
      </c>
      <c r="J563" s="197" t="str">
        <f ca="1">IFERROR(__xludf.DUMMYFUNCTION("IMPORTRANGE(""https://docs.google.com/spreadsheets/d/11923uPwbBZFjjGgGUA6NLw09EwE0CqkOc4q9oUmW1yo/edit?usp=sharing"",""พิษณุโลก!J458"")"),"")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IFERROR(__xludf.DUMMYFUNCTION("IMPORTRANGE(""https://docs.google.com/spreadsheets/d/11923uPwbBZFjjGgGUA6NLw09EwE0CqkOc4q9oUmW1yo/edit?usp=sharing"",""พิษณุโลก!I459"")"),1500)</f>
        <v>1500</v>
      </c>
      <c r="J564" s="379">
        <f ca="1">IFERROR(__xludf.DUMMYFUNCTION("IMPORTRANGE(""https://docs.google.com/spreadsheets/d/11923uPwbBZFjjGgGUA6NLw09EwE0CqkOc4q9oUmW1yo/edit?usp=sharing"",""พิษณุโลก!J459"")"),1231)</f>
        <v>1231</v>
      </c>
      <c r="K564" s="380">
        <f t="shared" ca="1" si="121"/>
        <v>82.066666666666663</v>
      </c>
      <c r="L564" s="381">
        <f ca="1">IFERROR(__xludf.DUMMYFUNCTION("IMPORTRANGE(""https://docs.google.com/spreadsheets/d/11923uPwbBZFjjGgGUA6NLw09EwE0CqkOc4q9oUmW1yo/edit?usp=sharing"",""พิษณุโลก!L459"")"),144240)</f>
        <v>144240</v>
      </c>
      <c r="M564" s="381"/>
      <c r="N564" s="381">
        <f ca="1">IFERROR(__xludf.DUMMYFUNCTION("IMPORTRANGE(""https://docs.google.com/spreadsheets/d/11923uPwbBZFjjGgGUA6NLw09EwE0CqkOc4q9oUmW1yo/edit?usp=sharing"",""พิษณุโลก!M459"")"),11080.64)</f>
        <v>11080.64</v>
      </c>
      <c r="O564" s="381">
        <f t="shared" ref="O564:O568" ca="1" si="122">+IF(L564&gt;0,N564*100/L564,0)</f>
        <v>7.6820854132002214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IFERROR(__xludf.DUMMYFUNCTION("IMPORTRANGE(""https://docs.google.com/spreadsheets/d/11923uPwbBZFjjGgGUA6NLw09EwE0CqkOc4q9oUmW1yo/edit?usp=sharing"",""พิษณุโลก!L460"")"),0)</f>
        <v>0</v>
      </c>
      <c r="M565" s="172"/>
      <c r="N565" s="178">
        <f ca="1">IFERROR(__xludf.DUMMYFUNCTION("IMPORTRANGE(""https://docs.google.com/spreadsheets/d/11923uPwbBZFjjGgGUA6NLw09EwE0CqkOc4q9oUmW1yo/edit?usp=sharing"",""พิษณุโลก!M460"")"),0)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IFERROR(__xludf.DUMMYFUNCTION("IMPORTRANGE(""https://docs.google.com/spreadsheets/d/11923uPwbBZFjjGgGUA6NLw09EwE0CqkOc4q9oUmW1yo/edit?usp=sharing"",""พิษณุโลก!L461"")"),144240)</f>
        <v>144240</v>
      </c>
      <c r="M566" s="173"/>
      <c r="N566" s="178">
        <f ca="1">IFERROR(__xludf.DUMMYFUNCTION("IMPORTRANGE(""https://docs.google.com/spreadsheets/d/11923uPwbBZFjjGgGUA6NLw09EwE0CqkOc4q9oUmW1yo/edit?usp=sharing"",""พิษณุโลก!M461"")"),11080.64)</f>
        <v>11080.64</v>
      </c>
      <c r="O566" s="178">
        <f t="shared" ca="1" si="122"/>
        <v>7.6820854132002214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IFERROR(__xludf.DUMMYFUNCTION("IMPORTRANGE(""https://docs.google.com/spreadsheets/d/11923uPwbBZFjjGgGUA6NLw09EwE0CqkOc4q9oUmW1yo/edit?usp=sharing"",""พิษณุโลก!L462"")"),0)</f>
        <v>0</v>
      </c>
      <c r="M567" s="178"/>
      <c r="N567" s="178">
        <f ca="1">IFERROR(__xludf.DUMMYFUNCTION("IMPORTRANGE(""https://docs.google.com/spreadsheets/d/11923uPwbBZFjjGgGUA6NLw09EwE0CqkOc4q9oUmW1yo/edit?usp=sharing"",""พิษณุโลก!M462"")"),0)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IFERROR(__xludf.DUMMYFUNCTION("IMPORTRANGE(""https://docs.google.com/spreadsheets/d/11923uPwbBZFjjGgGUA6NLw09EwE0CqkOc4q9oUmW1yo/edit?usp=sharing"",""พิษณุโลก!L463"")"),144240)</f>
        <v>144240</v>
      </c>
      <c r="M568" s="178"/>
      <c r="N568" s="178">
        <f ca="1">IFERROR(__xludf.DUMMYFUNCTION("IMPORTRANGE(""https://docs.google.com/spreadsheets/d/11923uPwbBZFjjGgGUA6NLw09EwE0CqkOc4q9oUmW1yo/edit?usp=sharing"",""พิษณุโลก!M463"")"),11080.64)</f>
        <v>11080.64</v>
      </c>
      <c r="O568" s="178">
        <f t="shared" ca="1" si="122"/>
        <v>7.6820854132002214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IFERROR(__xludf.DUMMYFUNCTION("IMPORTRANGE(""https://docs.google.com/spreadsheets/d/11923uPwbBZFjjGgGUA6NLw09EwE0CqkOc4q9oUmW1yo/edit?usp=sharing"",""พิษณุโลก!M464"")"),0)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IFERROR(__xludf.DUMMYFUNCTION("IMPORTRANGE(""https://docs.google.com/spreadsheets/d/11923uPwbBZFjjGgGUA6NLw09EwE0CqkOc4q9oUmW1yo/edit?usp=sharing"",""พิษณุโลก!M465"")"),0)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IFERROR(__xludf.DUMMYFUNCTION("IMPORTRANGE(""https://docs.google.com/spreadsheets/d/11923uPwbBZFjjGgGUA6NLw09EwE0CqkOc4q9oUmW1yo/edit?usp=sharing"",""พิษณุโลก!M466"")"),9580.64)</f>
        <v>9580.64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IFERROR(__xludf.DUMMYFUNCTION("IMPORTRANGE(""https://docs.google.com/spreadsheets/d/11923uPwbBZFjjGgGUA6NLw09EwE0CqkOc4q9oUmW1yo/edit?usp=sharing"",""พิษณุโลก!M467"")"),1500)</f>
        <v>1500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IFERROR(__xludf.DUMMYFUNCTION("IMPORTRANGE(""https://docs.google.com/spreadsheets/d/11923uPwbBZFjjGgGUA6NLw09EwE0CqkOc4q9oUmW1yo/edit?usp=sharing"",""พิษณุโลก!I468"")"),1500)</f>
        <v>1500</v>
      </c>
      <c r="J573" s="428">
        <f ca="1">IFERROR(__xludf.DUMMYFUNCTION("IMPORTRANGE(""https://docs.google.com/spreadsheets/d/11923uPwbBZFjjGgGUA6NLw09EwE0CqkOc4q9oUmW1yo/edit?usp=sharing"",""พิษณุโลก!J468"")"),1231)</f>
        <v>1231</v>
      </c>
      <c r="K573" s="211">
        <f ca="1">IF(I573&gt;0,J573*100/I573,0)</f>
        <v>82.066666666666663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IFERROR(__xludf.DUMMYFUNCTION("IMPORTRANGE(""https://docs.google.com/spreadsheets/d/11923uPwbBZFjjGgGUA6NLw09EwE0CqkOc4q9oUmW1yo/edit?usp=sharing"",""พิษณุโลก!I470"")"),0)</f>
        <v>0</v>
      </c>
      <c r="J575" s="207">
        <f ca="1">IFERROR(__xludf.DUMMYFUNCTION("IMPORTRANGE(""https://docs.google.com/spreadsheets/d/11923uPwbBZFjjGgGUA6NLw09EwE0CqkOc4q9oUmW1yo/edit?usp=sharing"",""พิษณุโลก!J470"")"),4)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IFERROR(__xludf.DUMMYFUNCTION("IMPORTRANGE(""https://docs.google.com/spreadsheets/d/11923uPwbBZFjjGgGUA6NLw09EwE0CqkOc4q9oUmW1yo/edit?usp=sharing"",""พิษณุโลก!I471"")"),0)</f>
        <v>0</v>
      </c>
      <c r="J576" s="207">
        <f ca="1">IFERROR(__xludf.DUMMYFUNCTION("IMPORTRANGE(""https://docs.google.com/spreadsheets/d/11923uPwbBZFjjGgGUA6NLw09EwE0CqkOc4q9oUmW1yo/edit?usp=sharing"",""พิษณุโลก!J471"")"),165)</f>
        <v>165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IFERROR(__xludf.DUMMYFUNCTION("IMPORTRANGE(""https://docs.google.com/spreadsheets/d/11923uPwbBZFjjGgGUA6NLw09EwE0CqkOc4q9oUmW1yo/edit?usp=sharing"",""พิษณุโลก!I472"")"),0)</f>
        <v>0</v>
      </c>
      <c r="J577" s="198">
        <f ca="1">IFERROR(__xludf.DUMMYFUNCTION("IMPORTRANGE(""https://docs.google.com/spreadsheets/d/11923uPwbBZFjjGgGUA6NLw09EwE0CqkOc4q9oUmW1yo/edit?usp=sharing"",""พิษณุโลก!J472"")"),1062)</f>
        <v>1062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IFERROR(__xludf.DUMMYFUNCTION("IMPORTRANGE(""https://docs.google.com/spreadsheets/d/11923uPwbBZFjjGgGUA6NLw09EwE0CqkOc4q9oUmW1yo/edit?usp=sharing"",""พิษณุโลก!I473"")"),0)</f>
        <v>0</v>
      </c>
      <c r="J578" s="207">
        <f ca="1">IFERROR(__xludf.DUMMYFUNCTION("IMPORTRANGE(""https://docs.google.com/spreadsheets/d/11923uPwbBZFjjGgGUA6NLw09EwE0CqkOc4q9oUmW1yo/edit?usp=sharing"",""พิษณุโลก!J473"")"),4)</f>
        <v>4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IFERROR(__xludf.DUMMYFUNCTION("IMPORTRANGE(""https://docs.google.com/spreadsheets/d/11923uPwbBZFjjGgGUA6NLw09EwE0CqkOc4q9oUmW1yo/edit?usp=sharing"",""พิษณุโลก!I474"")"),0)</f>
        <v>0</v>
      </c>
      <c r="J579" s="207">
        <f ca="1">IFERROR(__xludf.DUMMYFUNCTION("IMPORTRANGE(""https://docs.google.com/spreadsheets/d/11923uPwbBZFjjGgGUA6NLw09EwE0CqkOc4q9oUmW1yo/edit?usp=sharing"",""พิษณุโลก!J474"")"),0)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IFERROR(__xludf.DUMMYFUNCTION("IMPORTRANGE(""https://docs.google.com/spreadsheets/d/11923uPwbBZFjjGgGUA6NLw09EwE0CqkOc4q9oUmW1yo/edit?usp=sharing"",""พิษณุโลก!I475"")"),24)</f>
        <v>24</v>
      </c>
      <c r="J580" s="379">
        <f ca="1">IFERROR(__xludf.DUMMYFUNCTION("IMPORTRANGE(""https://docs.google.com/spreadsheets/d/11923uPwbBZFjjGgGUA6NLw09EwE0CqkOc4q9oUmW1yo/edit?usp=sharing"",""พิษณุโลก!J475"")"),3)</f>
        <v>3</v>
      </c>
      <c r="K580" s="380">
        <f ca="1">IF(I580&gt;0,J580*100/I580,0)</f>
        <v>12.5</v>
      </c>
      <c r="L580" s="381">
        <f ca="1">IFERROR(__xludf.DUMMYFUNCTION("IMPORTRANGE(""https://docs.google.com/spreadsheets/d/11923uPwbBZFjjGgGUA6NLw09EwE0CqkOc4q9oUmW1yo/edit?usp=sharing"",""พิษณุโลก!L475"")"),127824)</f>
        <v>127824</v>
      </c>
      <c r="M580" s="381"/>
      <c r="N580" s="381">
        <f ca="1">IFERROR(__xludf.DUMMYFUNCTION("IMPORTRANGE(""https://docs.google.com/spreadsheets/d/11923uPwbBZFjjGgGUA6NLw09EwE0CqkOc4q9oUmW1yo/edit?usp=sharing"",""พิษณุโลก!M475"")"),240)</f>
        <v>240</v>
      </c>
      <c r="O580" s="381">
        <f t="shared" ref="O580:O584" ca="1" si="124">+IF(L580&gt;0,N580*100/L580,0)</f>
        <v>0.1877581674802854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IFERROR(__xludf.DUMMYFUNCTION("IMPORTRANGE(""https://docs.google.com/spreadsheets/d/11923uPwbBZFjjGgGUA6NLw09EwE0CqkOc4q9oUmW1yo/edit?usp=sharing"",""พิษณุโลก!L476"")"),0)</f>
        <v>0</v>
      </c>
      <c r="M581" s="172"/>
      <c r="N581" s="178">
        <f ca="1">IFERROR(__xludf.DUMMYFUNCTION("IMPORTRANGE(""https://docs.google.com/spreadsheets/d/11923uPwbBZFjjGgGUA6NLw09EwE0CqkOc4q9oUmW1yo/edit?usp=sharing"",""พิษณุโลก!M476"")"),0)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IFERROR(__xludf.DUMMYFUNCTION("IMPORTRANGE(""https://docs.google.com/spreadsheets/d/11923uPwbBZFjjGgGUA6NLw09EwE0CqkOc4q9oUmW1yo/edit?usp=sharing"",""พิษณุโลก!L477"")"),127824)</f>
        <v>127824</v>
      </c>
      <c r="M582" s="173"/>
      <c r="N582" s="178">
        <f ca="1">IFERROR(__xludf.DUMMYFUNCTION("IMPORTRANGE(""https://docs.google.com/spreadsheets/d/11923uPwbBZFjjGgGUA6NLw09EwE0CqkOc4q9oUmW1yo/edit?usp=sharing"",""พิษณุโลก!M477"")"),240)</f>
        <v>240</v>
      </c>
      <c r="O582" s="178">
        <f t="shared" ca="1" si="124"/>
        <v>0.1877581674802854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IFERROR(__xludf.DUMMYFUNCTION("IMPORTRANGE(""https://docs.google.com/spreadsheets/d/11923uPwbBZFjjGgGUA6NLw09EwE0CqkOc4q9oUmW1yo/edit?usp=sharing"",""พิษณุโลก!L478"")"),0)</f>
        <v>0</v>
      </c>
      <c r="M583" s="178"/>
      <c r="N583" s="178">
        <f ca="1">IFERROR(__xludf.DUMMYFUNCTION("IMPORTRANGE(""https://docs.google.com/spreadsheets/d/11923uPwbBZFjjGgGUA6NLw09EwE0CqkOc4q9oUmW1yo/edit?usp=sharing"",""พิษณุโลก!M478"")"),0)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IFERROR(__xludf.DUMMYFUNCTION("IMPORTRANGE(""https://docs.google.com/spreadsheets/d/11923uPwbBZFjjGgGUA6NLw09EwE0CqkOc4q9oUmW1yo/edit?usp=sharing"",""พิษณุโลก!L479"")"),127824)</f>
        <v>127824</v>
      </c>
      <c r="M584" s="178"/>
      <c r="N584" s="178">
        <f ca="1">IFERROR(__xludf.DUMMYFUNCTION("IMPORTRANGE(""https://docs.google.com/spreadsheets/d/11923uPwbBZFjjGgGUA6NLw09EwE0CqkOc4q9oUmW1yo/edit?usp=sharing"",""พิษณุโลก!M479"")"),240)</f>
        <v>240</v>
      </c>
      <c r="O584" s="178">
        <f t="shared" ca="1" si="124"/>
        <v>0.1877581674802854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IFERROR(__xludf.DUMMYFUNCTION("IMPORTRANGE(""https://docs.google.com/spreadsheets/d/11923uPwbBZFjjGgGUA6NLw09EwE0CqkOc4q9oUmW1yo/edit?usp=sharing"",""พิษณุโลก!M480"")"),0)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IFERROR(__xludf.DUMMYFUNCTION("IMPORTRANGE(""https://docs.google.com/spreadsheets/d/11923uPwbBZFjjGgGUA6NLw09EwE0CqkOc4q9oUmW1yo/edit?usp=sharing"",""พิษณุโลก!M481"")"),0)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IFERROR(__xludf.DUMMYFUNCTION("IMPORTRANGE(""https://docs.google.com/spreadsheets/d/11923uPwbBZFjjGgGUA6NLw09EwE0CqkOc4q9oUmW1yo/edit?usp=sharing"",""พิษณุโลก!M482"")"),0)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IFERROR(__xludf.DUMMYFUNCTION("IMPORTRANGE(""https://docs.google.com/spreadsheets/d/11923uPwbBZFjjGgGUA6NLw09EwE0CqkOc4q9oUmW1yo/edit?usp=sharing"",""พิษณุโลก!M483"")"),240)</f>
        <v>240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IFERROR(__xludf.DUMMYFUNCTION("IMPORTRANGE(""https://docs.google.com/spreadsheets/d/11923uPwbBZFjjGgGUA6NLw09EwE0CqkOc4q9oUmW1yo/edit?usp=sharing"",""พิษณุโลก!I484"")"),24)</f>
        <v>24</v>
      </c>
      <c r="J589" s="197">
        <f ca="1">IFERROR(__xludf.DUMMYFUNCTION("IMPORTRANGE(""https://docs.google.com/spreadsheets/d/11923uPwbBZFjjGgGUA6NLw09EwE0CqkOc4q9oUmW1yo/edit?usp=sharing"",""พิษณุโลก!J484"")"),5)</f>
        <v>5</v>
      </c>
      <c r="K589" s="171">
        <f t="shared" ref="K589:K596" ca="1" si="125">IF(I589&gt;0,J589*100/I589,0)</f>
        <v>20.833333333333332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IFERROR(__xludf.DUMMYFUNCTION("IMPORTRANGE(""https://docs.google.com/spreadsheets/d/11923uPwbBZFjjGgGUA6NLw09EwE0CqkOc4q9oUmW1yo/edit?usp=sharing"",""พิษณุโลก!I485"")"),0)</f>
        <v>0</v>
      </c>
      <c r="J590" s="197">
        <f ca="1">IFERROR(__xludf.DUMMYFUNCTION("IMPORTRANGE(""https://docs.google.com/spreadsheets/d/11923uPwbBZFjjGgGUA6NLw09EwE0CqkOc4q9oUmW1yo/edit?usp=sharing"",""พิษณุโลก!J485"")"),28.33)</f>
        <v>28.33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IFERROR(__xludf.DUMMYFUNCTION("IMPORTRANGE(""https://docs.google.com/spreadsheets/d/11923uPwbBZFjjGgGUA6NLw09EwE0CqkOc4q9oUmW1yo/edit?usp=sharing"",""พิษณุโลก!I486"")"),24)</f>
        <v>24</v>
      </c>
      <c r="J591" s="197">
        <f ca="1">IFERROR(__xludf.DUMMYFUNCTION("IMPORTRANGE(""https://docs.google.com/spreadsheets/d/11923uPwbBZFjjGgGUA6NLw09EwE0CqkOc4q9oUmW1yo/edit?usp=sharing"",""พิษณุโลก!J486"")"),3)</f>
        <v>3</v>
      </c>
      <c r="K591" s="171">
        <f t="shared" ca="1" si="125"/>
        <v>12.5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IFERROR(__xludf.DUMMYFUNCTION("IMPORTRANGE(""https://docs.google.com/spreadsheets/d/11923uPwbBZFjjGgGUA6NLw09EwE0CqkOc4q9oUmW1yo/edit?usp=sharing"",""พิษณุโลก!I487"")"),0)</f>
        <v>0</v>
      </c>
      <c r="J592" s="197">
        <f ca="1">IFERROR(__xludf.DUMMYFUNCTION("IMPORTRANGE(""https://docs.google.com/spreadsheets/d/11923uPwbBZFjjGgGUA6NLw09EwE0CqkOc4q9oUmW1yo/edit?usp=sharing"",""พิษณุโลก!J487"")"),4.76)</f>
        <v>4.76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IFERROR(__xludf.DUMMYFUNCTION("IMPORTRANGE(""https://docs.google.com/spreadsheets/d/11923uPwbBZFjjGgGUA6NLw09EwE0CqkOc4q9oUmW1yo/edit?usp=sharing"",""พิษณุโลก!I488"")"),24)</f>
        <v>24</v>
      </c>
      <c r="J593" s="197">
        <f ca="1">IFERROR(__xludf.DUMMYFUNCTION("IMPORTRANGE(""https://docs.google.com/spreadsheets/d/11923uPwbBZFjjGgGUA6NLw09EwE0CqkOc4q9oUmW1yo/edit?usp=sharing"",""พิษณุโลก!J488"")"),0)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IFERROR(__xludf.DUMMYFUNCTION("IMPORTRANGE(""https://docs.google.com/spreadsheets/d/11923uPwbBZFjjGgGUA6NLw09EwE0CqkOc4q9oUmW1yo/edit?usp=sharing"",""พิษณุโลก!I489"")"),0)</f>
        <v>0</v>
      </c>
      <c r="J594" s="197">
        <f ca="1">IFERROR(__xludf.DUMMYFUNCTION("IMPORTRANGE(""https://docs.google.com/spreadsheets/d/11923uPwbBZFjjGgGUA6NLw09EwE0CqkOc4q9oUmW1yo/edit?usp=sharing"",""พิษณุโลก!J489"")"),0)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IFERROR(__xludf.DUMMYFUNCTION("IMPORTRANGE(""https://docs.google.com/spreadsheets/d/11923uPwbBZFjjGgGUA6NLw09EwE0CqkOc4q9oUmW1yo/edit?usp=sharing"",""พิษณุโลก!I490"")"),24)</f>
        <v>24</v>
      </c>
      <c r="J595" s="197">
        <f ca="1">IFERROR(__xludf.DUMMYFUNCTION("IMPORTRANGE(""https://docs.google.com/spreadsheets/d/11923uPwbBZFjjGgGUA6NLw09EwE0CqkOc4q9oUmW1yo/edit?usp=sharing"",""พิษณุโลก!J490"")"),3)</f>
        <v>3</v>
      </c>
      <c r="K595" s="171">
        <f t="shared" ca="1" si="125"/>
        <v>12.5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IFERROR(__xludf.DUMMYFUNCTION("IMPORTRANGE(""https://docs.google.com/spreadsheets/d/11923uPwbBZFjjGgGUA6NLw09EwE0CqkOc4q9oUmW1yo/edit?usp=sharing"",""พิษณุโลก!I491"")"),0)</f>
        <v>0</v>
      </c>
      <c r="J596" s="250">
        <f ca="1">IFERROR(__xludf.DUMMYFUNCTION("IMPORTRANGE(""https://docs.google.com/spreadsheets/d/11923uPwbBZFjjGgGUA6NLw09EwE0CqkOc4q9oUmW1yo/edit?usp=sharing"",""พิษณุโลก!J491"")"),4.76)</f>
        <v>4.76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IFERROR(__xludf.DUMMYFUNCTION("IMPORTRANGE(""https://docs.google.com/spreadsheets/d/11923uPwbBZFjjGgGUA6NLw09EwE0CqkOc4q9oUmW1yo/edit?usp=sharing"",""พิษณุโลก!I492"")"),50)</f>
        <v>50</v>
      </c>
      <c r="J597" s="495">
        <f ca="1">IFERROR(__xludf.DUMMYFUNCTION("IMPORTRANGE(""https://docs.google.com/spreadsheets/d/11923uPwbBZFjjGgGUA6NLw09EwE0CqkOc4q9oUmW1yo/edit?usp=sharing"",""พิษณุโลก!J492"")"),0)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IFERROR(__xludf.DUMMYFUNCTION("IMPORTRANGE(""https://docs.google.com/spreadsheets/d/11923uPwbBZFjjGgGUA6NLw09EwE0CqkOc4q9oUmW1yo/edit?usp=sharing"",""พิษณุโลก!L492"")"),4550)</f>
        <v>4550</v>
      </c>
      <c r="M597" s="420"/>
      <c r="N597" s="420">
        <f ca="1">IFERROR(__xludf.DUMMYFUNCTION("IMPORTRANGE(""https://docs.google.com/spreadsheets/d/11923uPwbBZFjjGgGUA6NLw09EwE0CqkOc4q9oUmW1yo/edit?usp=sharing"",""พิษณุโลก!M492"")"),400)</f>
        <v>400</v>
      </c>
      <c r="O597" s="420">
        <f t="shared" ref="O597:O601" ca="1" si="126">+IF(L597&gt;0,N597*100/L597,0)</f>
        <v>8.791208791208792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IFERROR(__xludf.DUMMYFUNCTION("IMPORTRANGE(""https://docs.google.com/spreadsheets/d/11923uPwbBZFjjGgGUA6NLw09EwE0CqkOc4q9oUmW1yo/edit?usp=sharing"",""พิษณุโลก!L493"")"),0)</f>
        <v>0</v>
      </c>
      <c r="M598" s="172"/>
      <c r="N598" s="178">
        <f ca="1">IFERROR(__xludf.DUMMYFUNCTION("IMPORTRANGE(""https://docs.google.com/spreadsheets/d/11923uPwbBZFjjGgGUA6NLw09EwE0CqkOc4q9oUmW1yo/edit?usp=sharing"",""พิษณุโลก!M493"")"),0)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IFERROR(__xludf.DUMMYFUNCTION("IMPORTRANGE(""https://docs.google.com/spreadsheets/d/11923uPwbBZFjjGgGUA6NLw09EwE0CqkOc4q9oUmW1yo/edit?usp=sharing"",""พิษณุโลก!L494"")"),4550)</f>
        <v>4550</v>
      </c>
      <c r="M599" s="173"/>
      <c r="N599" s="178">
        <f ca="1">IFERROR(__xludf.DUMMYFUNCTION("IMPORTRANGE(""https://docs.google.com/spreadsheets/d/11923uPwbBZFjjGgGUA6NLw09EwE0CqkOc4q9oUmW1yo/edit?usp=sharing"",""พิษณุโลก!M494"")"),400)</f>
        <v>400</v>
      </c>
      <c r="O599" s="178">
        <f t="shared" ca="1" si="126"/>
        <v>8.791208791208792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IFERROR(__xludf.DUMMYFUNCTION("IMPORTRANGE(""https://docs.google.com/spreadsheets/d/11923uPwbBZFjjGgGUA6NLw09EwE0CqkOc4q9oUmW1yo/edit?usp=sharing"",""พิษณุโลก!L495"")"),0)</f>
        <v>0</v>
      </c>
      <c r="M600" s="178"/>
      <c r="N600" s="178">
        <f ca="1">IFERROR(__xludf.DUMMYFUNCTION("IMPORTRANGE(""https://docs.google.com/spreadsheets/d/11923uPwbBZFjjGgGUA6NLw09EwE0CqkOc4q9oUmW1yo/edit?usp=sharing"",""พิษณุโลก!M495"")"),0)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IFERROR(__xludf.DUMMYFUNCTION("IMPORTRANGE(""https://docs.google.com/spreadsheets/d/11923uPwbBZFjjGgGUA6NLw09EwE0CqkOc4q9oUmW1yo/edit?usp=sharing"",""พิษณุโลก!L496"")"),4550)</f>
        <v>4550</v>
      </c>
      <c r="M601" s="178"/>
      <c r="N601" s="178">
        <f ca="1">IFERROR(__xludf.DUMMYFUNCTION("IMPORTRANGE(""https://docs.google.com/spreadsheets/d/11923uPwbBZFjjGgGUA6NLw09EwE0CqkOc4q9oUmW1yo/edit?usp=sharing"",""พิษณุโลก!M496"")"),400)</f>
        <v>400</v>
      </c>
      <c r="O601" s="178">
        <f t="shared" ca="1" si="126"/>
        <v>8.791208791208792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IFERROR(__xludf.DUMMYFUNCTION("IMPORTRANGE(""https://docs.google.com/spreadsheets/d/11923uPwbBZFjjGgGUA6NLw09EwE0CqkOc4q9oUmW1yo/edit?usp=sharing"",""พิษณุโลก!M497"")"),0)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IFERROR(__xludf.DUMMYFUNCTION("IMPORTRANGE(""https://docs.google.com/spreadsheets/d/11923uPwbBZFjjGgGUA6NLw09EwE0CqkOc4q9oUmW1yo/edit?usp=sharing"",""พิษณุโลก!M498"")"),0)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IFERROR(__xludf.DUMMYFUNCTION("IMPORTRANGE(""https://docs.google.com/spreadsheets/d/11923uPwbBZFjjGgGUA6NLw09EwE0CqkOc4q9oUmW1yo/edit?usp=sharing"",""พิษณุโลก!M499"")"),0)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IFERROR(__xludf.DUMMYFUNCTION("IMPORTRANGE(""https://docs.google.com/spreadsheets/d/11923uPwbBZFjjGgGUA6NLw09EwE0CqkOc4q9oUmW1yo/edit?usp=sharing"",""พิษณุโลก!M500"")"),400)</f>
        <v>400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IFERROR(__xludf.DUMMYFUNCTION("IMPORTRANGE(""https://docs.google.com/spreadsheets/d/11923uPwbBZFjjGgGUA6NLw09EwE0CqkOc4q9oUmW1yo/edit?usp=sharing"",""พิษณุโลก!J502"")"),0)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IFERROR(__xludf.DUMMYFUNCTION("IMPORTRANGE(""https://docs.google.com/spreadsheets/d/11923uPwbBZFjjGgGUA6NLw09EwE0CqkOc4q9oUmW1yo/edit?usp=sharing"",""พิษณุโลก!J503"")"),1)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IFERROR(__xludf.DUMMYFUNCTION("IMPORTRANGE(""https://docs.google.com/spreadsheets/d/11923uPwbBZFjjGgGUA6NLw09EwE0CqkOc4q9oUmW1yo/edit?usp=sharing"",""พิษณุโลก!J166"")"),0)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IFERROR(__xludf.DUMMYFUNCTION("IMPORTRANGE(""https://docs.google.com/spreadsheets/d/11923uPwbBZFjjGgGUA6NLw09EwE0CqkOc4q9oUmW1yo/edit?usp=sharing"",""พิษณุโลก!J166"")"),0)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IFERROR(__xludf.DUMMYFUNCTION("IMPORTRANGE(""https://docs.google.com/spreadsheets/d/11923uPwbBZFjjGgGUA6NLw09EwE0CqkOc4q9oUmW1yo/edit?usp=sharing"",""พิษณุโลก!I506"")"),50)</f>
        <v>50</v>
      </c>
      <c r="J611" s="170">
        <f ca="1">IFERROR(__xludf.DUMMYFUNCTION("IMPORTRANGE(""https://docs.google.com/spreadsheets/d/11923uPwbBZFjjGgGUA6NLw09EwE0CqkOc4q9oUmW1yo/edit?usp=sharing"",""พิษณุโลก!J506"")"),0)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IFERROR(__xludf.DUMMYFUNCTION("IMPORTRANGE(""https://docs.google.com/spreadsheets/d/11923uPwbBZFjjGgGUA6NLw09EwE0CqkOc4q9oUmW1yo/edit?usp=sharing"",""พิษณุโลก!I507"")"),0)</f>
        <v>0</v>
      </c>
      <c r="J612" s="207">
        <f ca="1">IFERROR(__xludf.DUMMYFUNCTION("IMPORTRANGE(""https://docs.google.com/spreadsheets/d/11923uPwbBZFjjGgGUA6NLw09EwE0CqkOc4q9oUmW1yo/edit?usp=sharing"",""พิษณุโลก!J507"")"),0)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IFERROR(__xludf.DUMMYFUNCTION("IMPORTRANGE(""https://docs.google.com/spreadsheets/d/11923uPwbBZFjjGgGUA6NLw09EwE0CqkOc4q9oUmW1yo/edit?usp=sharing"",""พิษณุโลก!I508"")"),0)</f>
        <v>0</v>
      </c>
      <c r="J613" s="207">
        <f ca="1">IFERROR(__xludf.DUMMYFUNCTION("IMPORTRANGE(""https://docs.google.com/spreadsheets/d/11923uPwbBZFjjGgGUA6NLw09EwE0CqkOc4q9oUmW1yo/edit?usp=sharing"",""พิษณุโลก!J508"")"),0)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IFERROR(__xludf.DUMMYFUNCTION("IMPORTRANGE(""https://docs.google.com/spreadsheets/d/11923uPwbBZFjjGgGUA6NLw09EwE0CqkOc4q9oUmW1yo/edit?usp=sharing"",""พิษณุโลก!I509"")"),0)</f>
        <v>0</v>
      </c>
      <c r="J614" s="207">
        <f ca="1">IFERROR(__xludf.DUMMYFUNCTION("IMPORTRANGE(""https://docs.google.com/spreadsheets/d/11923uPwbBZFjjGgGUA6NLw09EwE0CqkOc4q9oUmW1yo/edit?usp=sharing"",""พิษณุโลก!J509"")"),0)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IFERROR(__xludf.DUMMYFUNCTION("IMPORTRANGE(""https://docs.google.com/spreadsheets/d/11923uPwbBZFjjGgGUA6NLw09EwE0CqkOc4q9oUmW1yo/edit?usp=sharing"",""พิษณุโลก!I510"")"),0)</f>
        <v>0</v>
      </c>
      <c r="J615" s="207">
        <f ca="1">IFERROR(__xludf.DUMMYFUNCTION("IMPORTRANGE(""https://docs.google.com/spreadsheets/d/11923uPwbBZFjjGgGUA6NLw09EwE0CqkOc4q9oUmW1yo/edit?usp=sharing"",""พิษณุโลก!J510"")"),0)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IFERROR(__xludf.DUMMYFUNCTION("IMPORTRANGE(""https://docs.google.com/spreadsheets/d/11923uPwbBZFjjGgGUA6NLw09EwE0CqkOc4q9oUmW1yo/edit?usp=sharing"",""พิษณุโลก!I511"")"),0)</f>
        <v>0</v>
      </c>
      <c r="J616" s="207">
        <f ca="1">IFERROR(__xludf.DUMMYFUNCTION("IMPORTRANGE(""https://docs.google.com/spreadsheets/d/11923uPwbBZFjjGgGUA6NLw09EwE0CqkOc4q9oUmW1yo/edit?usp=sharing"",""พิษณุโลก!J511"")"),0)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IFERROR(__xludf.DUMMYFUNCTION("IMPORTRANGE(""https://docs.google.com/spreadsheets/d/11923uPwbBZFjjGgGUA6NLw09EwE0CqkOc4q9oUmW1yo/edit?usp=sharing"",""พิษณุโลก!I512"")"),0)</f>
        <v>0</v>
      </c>
      <c r="J617" s="197">
        <f ca="1">IFERROR(__xludf.DUMMYFUNCTION("IMPORTRANGE(""https://docs.google.com/spreadsheets/d/11923uPwbBZFjjGgGUA6NLw09EwE0CqkOc4q9oUmW1yo/edit?usp=sharing"",""พิษณุโลก!J512"")"),0)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IFERROR(__xludf.DUMMYFUNCTION("IMPORTRANGE(""https://docs.google.com/spreadsheets/d/11923uPwbBZFjjGgGUA6NLw09EwE0CqkOc4q9oUmW1yo/edit?usp=sharing"",""พิษณุโลก!I513"")"),0)</f>
        <v>0</v>
      </c>
      <c r="J618" s="198">
        <f ca="1">IFERROR(__xludf.DUMMYFUNCTION("IMPORTRANGE(""https://docs.google.com/spreadsheets/d/11923uPwbBZFjjGgGUA6NLw09EwE0CqkOc4q9oUmW1yo/edit?usp=sharing"",""พิษณุโลก!J513"")"),0)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IFERROR(__xludf.DUMMYFUNCTION("IMPORTRANGE(""https://docs.google.com/spreadsheets/d/11923uPwbBZFjjGgGUA6NLw09EwE0CqkOc4q9oUmW1yo/edit?usp=sharing"",""พิษณุโลก!I514"")"),0)</f>
        <v>0</v>
      </c>
      <c r="J619" s="198">
        <f ca="1">IFERROR(__xludf.DUMMYFUNCTION("IMPORTRANGE(""https://docs.google.com/spreadsheets/d/11923uPwbBZFjjGgGUA6NLw09EwE0CqkOc4q9oUmW1yo/edit?usp=sharing"",""พิษณุโลก!J514"")"),0)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IFERROR(__xludf.DUMMYFUNCTION("IMPORTRANGE(""https://docs.google.com/spreadsheets/d/11923uPwbBZFjjGgGUA6NLw09EwE0CqkOc4q9oUmW1yo/edit?usp=sharing"",""พิษณุโลก!I515"")"),32)</f>
        <v>32</v>
      </c>
      <c r="J620" s="212">
        <f ca="1">IFERROR(__xludf.DUMMYFUNCTION("IMPORTRANGE(""https://docs.google.com/spreadsheets/d/11923uPwbBZFjjGgGUA6NLw09EwE0CqkOc4q9oUmW1yo/edit?usp=sharing"",""พิษณุโลก!J515"")"),0)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IFERROR(__xludf.DUMMYFUNCTION("IMPORTRANGE(""https://docs.google.com/spreadsheets/d/11923uPwbBZFjjGgGUA6NLw09EwE0CqkOc4q9oUmW1yo/edit?usp=sharing"",""พิษณุโลก!I516"")"),0)</f>
        <v>0</v>
      </c>
      <c r="J621" s="212">
        <f ca="1">IFERROR(__xludf.DUMMYFUNCTION("IMPORTRANGE(""https://docs.google.com/spreadsheets/d/11923uPwbBZFjjGgGUA6NLw09EwE0CqkOc4q9oUmW1yo/edit?usp=sharing"",""พิษณุโลก!J516"")"),0)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IFERROR(__xludf.DUMMYFUNCTION("IMPORTRANGE(""https://docs.google.com/spreadsheets/d/11923uPwbBZFjjGgGUA6NLw09EwE0CqkOc4q9oUmW1yo/edit?usp=sharing"",""พิษณุโลก!I517"")"),0)</f>
        <v>0</v>
      </c>
      <c r="J622" s="198">
        <f ca="1">IFERROR(__xludf.DUMMYFUNCTION("IMPORTRANGE(""https://docs.google.com/spreadsheets/d/11923uPwbBZFjjGgGUA6NLw09EwE0CqkOc4q9oUmW1yo/edit?usp=sharing"",""พิษณุโลก!J517"")"),0)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IFERROR(__xludf.DUMMYFUNCTION("IMPORTRANGE(""https://docs.google.com/spreadsheets/d/11923uPwbBZFjjGgGUA6NLw09EwE0CqkOc4q9oUmW1yo/edit?usp=sharing"",""พิษณุโลก!I518"")"),0)</f>
        <v>0</v>
      </c>
      <c r="J623" s="198">
        <f ca="1">IFERROR(__xludf.DUMMYFUNCTION("IMPORTRANGE(""https://docs.google.com/spreadsheets/d/11923uPwbBZFjjGgGUA6NLw09EwE0CqkOc4q9oUmW1yo/edit?usp=sharing"",""พิษณุโลก!J518"")"),0)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IFERROR(__xludf.DUMMYFUNCTION("IMPORTRANGE(""https://docs.google.com/spreadsheets/d/11923uPwbBZFjjGgGUA6NLw09EwE0CqkOc4q9oUmW1yo/edit?usp=sharing"",""พิษณุโลก!I519"")"),0)</f>
        <v>0</v>
      </c>
      <c r="J624" s="197">
        <f ca="1">IFERROR(__xludf.DUMMYFUNCTION("IMPORTRANGE(""https://docs.google.com/spreadsheets/d/11923uPwbBZFjjGgGUA6NLw09EwE0CqkOc4q9oUmW1yo/edit?usp=sharing"",""พิษณุโลก!J519"")"),0)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IFERROR(__xludf.DUMMYFUNCTION("IMPORTRANGE(""https://docs.google.com/spreadsheets/d/11923uPwbBZFjjGgGUA6NLw09EwE0CqkOc4q9oUmW1yo/edit?usp=sharing"",""พิษณุโลก!I520"")"),0)</f>
        <v>0</v>
      </c>
      <c r="J625" s="198">
        <f ca="1">IFERROR(__xludf.DUMMYFUNCTION("IMPORTRANGE(""https://docs.google.com/spreadsheets/d/11923uPwbBZFjjGgGUA6NLw09EwE0CqkOc4q9oUmW1yo/edit?usp=sharing"",""พิษณุโลก!J520"")"),0)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IFERROR(__xludf.DUMMYFUNCTION("IMPORTRANGE(""https://docs.google.com/spreadsheets/d/11923uPwbBZFjjGgGUA6NLw09EwE0CqkOc4q9oUmW1yo/edit?usp=sharing"",""พิษณุโลก!I521"")"),0)</f>
        <v>0</v>
      </c>
      <c r="J626" s="198">
        <f ca="1">IFERROR(__xludf.DUMMYFUNCTION("IMPORTRANGE(""https://docs.google.com/spreadsheets/d/11923uPwbBZFjjGgGUA6NLw09EwE0CqkOc4q9oUmW1yo/edit?usp=sharing"",""พิษณุโลก!J521"")"),0)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9">
        <f ca="1">IFERROR(__xludf.DUMMYFUNCTION("IMPORTRANGE(""https://docs.google.com/spreadsheets/d/11923uPwbBZFjjGgGUA6NLw09EwE0CqkOc4q9oUmW1yo/edit?usp=sharing"",""พิษณุโลก!J523"")"),492814.83)</f>
        <v>492814.83</v>
      </c>
      <c r="K628" s="350">
        <f t="shared" ref="K628:K635" ca="1" si="129">IF(I628&gt;0,J628*100/I628,0)</f>
        <v>12.668101978380776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IFERROR(__xludf.DUMMYFUNCTION("IMPORTRANGE(""https://docs.google.com/spreadsheets/d/11923uPwbBZFjjGgGUA6NLw09EwE0CqkOc4q9oUmW1yo/edit?usp=sharing"",""พิษณุโลก!I524"")"),290)</f>
        <v>290</v>
      </c>
      <c r="J629" s="349">
        <f ca="1">IFERROR(__xludf.DUMMYFUNCTION("IMPORTRANGE(""https://docs.google.com/spreadsheets/d/11923uPwbBZFjjGgGUA6NLw09EwE0CqkOc4q9oUmW1yo/edit?usp=sharing"",""พิษณุโลก!J524"")"),32)</f>
        <v>32</v>
      </c>
      <c r="K629" s="350">
        <f t="shared" ca="1" si="129"/>
        <v>11.03448275862069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9">
        <f ca="1">IFERROR(__xludf.DUMMYFUNCTION("IMPORTRANGE(""https://docs.google.com/spreadsheets/d/11923uPwbBZFjjGgGUA6NLw09EwE0CqkOc4q9oUmW1yo/edit?usp=sharing"",""พิษณุโลก!J525"")"),256599.98)</f>
        <v>256599.98</v>
      </c>
      <c r="K630" s="350">
        <f t="shared" ca="1" si="129"/>
        <v>10.01665861020428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IFERROR(__xludf.DUMMYFUNCTION("IMPORTRANGE(""https://docs.google.com/spreadsheets/d/11923uPwbBZFjjGgGUA6NLw09EwE0CqkOc4q9oUmW1yo/edit?usp=sharing"",""พิษณุโลก!I526"")"),116)</f>
        <v>116</v>
      </c>
      <c r="J631" s="349">
        <f ca="1">IFERROR(__xludf.DUMMYFUNCTION("IMPORTRANGE(""https://docs.google.com/spreadsheets/d/11923uPwbBZFjjGgGUA6NLw09EwE0CqkOc4q9oUmW1yo/edit?usp=sharing"",""พิษณุโลก!J526"")"),72)</f>
        <v>72</v>
      </c>
      <c r="K631" s="350">
        <f t="shared" ca="1" si="129"/>
        <v>62.068965517241381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IFERROR(__xludf.DUMMYFUNCTION("IMPORTRANGE(""https://docs.google.com/spreadsheets/d/11923uPwbBZFjjGgGUA6NLw09EwE0CqkOc4q9oUmW1yo/edit?usp=sharing"",""พิษณุโลก!I527"")"),0)</f>
        <v>0</v>
      </c>
      <c r="J632" s="349">
        <f ca="1">IFERROR(__xludf.DUMMYFUNCTION("IMPORTRANGE(""https://docs.google.com/spreadsheets/d/11923uPwbBZFjjGgGUA6NLw09EwE0CqkOc4q9oUmW1yo/edit?usp=sharing"",""พิษณุโลก!J527"")"),0)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IFERROR(__xludf.DUMMYFUNCTION("IMPORTRANGE(""https://docs.google.com/spreadsheets/d/11923uPwbBZFjjGgGUA6NLw09EwE0CqkOc4q9oUmW1yo/edit?usp=sharing"",""พิษณุโลก!I528"")"),0)</f>
        <v>0</v>
      </c>
      <c r="J633" s="349">
        <f ca="1">IFERROR(__xludf.DUMMYFUNCTION("IMPORTRANGE(""https://docs.google.com/spreadsheets/d/11923uPwbBZFjjGgGUA6NLw09EwE0CqkOc4q9oUmW1yo/edit?usp=sharing"",""พิษณุโลก!J528"")"),0)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IFERROR(__xludf.DUMMYFUNCTION("IMPORTRANGE(""https://docs.google.com/spreadsheets/d/11923uPwbBZFjjGgGUA6NLw09EwE0CqkOc4q9oUmW1yo/edit?usp=sharing"",""พิษณุโลก!I529"")"),4000000)</f>
        <v>4000000</v>
      </c>
      <c r="J634" s="349">
        <f ca="1">IFERROR(__xludf.DUMMYFUNCTION("IMPORTRANGE(""https://docs.google.com/spreadsheets/d/11923uPwbBZFjjGgGUA6NLw09EwE0CqkOc4q9oUmW1yo/edit?usp=sharing"",""พิษณุโลก!J529"")"),0)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IFERROR(__xludf.DUMMYFUNCTION("IMPORTRANGE(""https://docs.google.com/spreadsheets/d/11923uPwbBZFjjGgGUA6NLw09EwE0CqkOc4q9oUmW1yo/edit?usp=sharing"",""พิษณุโลก!I530"")"),100)</f>
        <v>100</v>
      </c>
      <c r="J635" s="519">
        <f ca="1">IFERROR(__xludf.DUMMYFUNCTION("IMPORTRANGE(""https://docs.google.com/spreadsheets/d/11923uPwbBZFjjGgGUA6NLw09EwE0CqkOc4q9oUmW1yo/edit?usp=sharing"",""พิษณุโลก!J530"")"),0)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257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7110761</v>
      </c>
      <c r="M8" s="25">
        <f t="shared" ca="1" si="0"/>
        <v>2048220</v>
      </c>
      <c r="N8" s="25">
        <f t="shared" ca="1" si="0"/>
        <v>1951381.46</v>
      </c>
      <c r="O8" s="24">
        <f t="shared" ref="O8:O16" ca="1" si="1">IF(L8&gt;0,N8*100/L8,0)</f>
        <v>27.442652903114027</v>
      </c>
      <c r="P8" s="24">
        <f t="shared" ref="P8:P16" ca="1" si="2">IF(M8&gt;0,N8*100/M8,0)</f>
        <v>95.272063547861066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7110761</v>
      </c>
      <c r="M10" s="32">
        <f t="shared" ca="1" si="4"/>
        <v>2048220</v>
      </c>
      <c r="N10" s="32">
        <f t="shared" ca="1" si="4"/>
        <v>1951381.46</v>
      </c>
      <c r="O10" s="31">
        <f t="shared" ca="1" si="1"/>
        <v>27.442652903114027</v>
      </c>
      <c r="P10" s="31">
        <f t="shared" ca="1" si="2"/>
        <v>95.272063547861066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6877461</v>
      </c>
      <c r="M12" s="40">
        <f t="shared" ca="1" si="6"/>
        <v>2048220</v>
      </c>
      <c r="N12" s="40">
        <f t="shared" ca="1" si="6"/>
        <v>1718081.46</v>
      </c>
      <c r="O12" s="40">
        <f t="shared" ca="1" si="1"/>
        <v>24.981333372882812</v>
      </c>
      <c r="P12" s="40">
        <f t="shared" ca="1" si="2"/>
        <v>83.881685561121358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1991600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4885861</v>
      </c>
      <c r="M14" s="40">
        <f t="shared" si="8"/>
        <v>0</v>
      </c>
      <c r="N14" s="40">
        <f t="shared" ca="1" si="8"/>
        <v>469393.46</v>
      </c>
      <c r="O14" s="43">
        <f t="shared" ca="1" si="1"/>
        <v>9.6071799832209717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233300</v>
      </c>
      <c r="M16" s="40">
        <f t="shared" si="10"/>
        <v>0</v>
      </c>
      <c r="N16" s="40">
        <f t="shared" ca="1" si="10"/>
        <v>233300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3960805</v>
      </c>
      <c r="M18" s="25">
        <f t="shared" ca="1" si="11"/>
        <v>2048220</v>
      </c>
      <c r="N18" s="25">
        <f t="shared" ca="1" si="11"/>
        <v>1481988</v>
      </c>
      <c r="O18" s="24">
        <f t="shared" ref="O18:O20" ca="1" si="12">IF(L18&gt;0,N18*100/L18,0)</f>
        <v>37.416333295883035</v>
      </c>
      <c r="P18" s="24">
        <f t="shared" ref="P18:P26" ca="1" si="13">IF(M18&gt;0,N18*100/M18,0)</f>
        <v>72.354922811026157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3960805</v>
      </c>
      <c r="M20" s="32">
        <f t="shared" ca="1" si="15"/>
        <v>2048220</v>
      </c>
      <c r="N20" s="32">
        <f t="shared" ca="1" si="15"/>
        <v>1481988</v>
      </c>
      <c r="O20" s="31">
        <f t="shared" ca="1" si="12"/>
        <v>37.416333295883035</v>
      </c>
      <c r="P20" s="31">
        <f t="shared" ca="1" si="13"/>
        <v>72.354922811026157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3727505</v>
      </c>
      <c r="M22" s="44">
        <f t="shared" ca="1" si="18"/>
        <v>2048220</v>
      </c>
      <c r="N22" s="43">
        <f t="shared" ca="1" si="18"/>
        <v>1248688</v>
      </c>
      <c r="O22" s="43">
        <f t="shared" ca="1" si="17"/>
        <v>33.499297787662258</v>
      </c>
      <c r="P22" s="43">
        <f t="shared" ca="1" si="13"/>
        <v>60.964544824286456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1991600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1735905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233300</v>
      </c>
      <c r="M26" s="52">
        <f t="shared" si="22"/>
        <v>0</v>
      </c>
      <c r="N26" s="52">
        <f t="shared" ca="1" si="22"/>
        <v>233300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3149956</v>
      </c>
      <c r="M28" s="25">
        <f t="shared" si="23"/>
        <v>0</v>
      </c>
      <c r="N28" s="25">
        <f t="shared" ca="1" si="23"/>
        <v>469393.46</v>
      </c>
      <c r="O28" s="24">
        <f t="shared" ref="O28:O30" ca="1" si="24">IF(L28&gt;0,N28*100/L28,0)</f>
        <v>14.901587831703045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3149956</v>
      </c>
      <c r="M30" s="32">
        <f t="shared" si="27"/>
        <v>0</v>
      </c>
      <c r="N30" s="32">
        <f t="shared" ca="1" si="27"/>
        <v>469393.46</v>
      </c>
      <c r="O30" s="31">
        <f t="shared" ca="1" si="24"/>
        <v>14.901587831703045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3149956</v>
      </c>
      <c r="M32" s="43">
        <f t="shared" si="30"/>
        <v>0</v>
      </c>
      <c r="N32" s="43">
        <f t="shared" ca="1" si="30"/>
        <v>469393.46</v>
      </c>
      <c r="O32" s="43">
        <f t="shared" ca="1" si="29"/>
        <v>14.901587831703045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3149956</v>
      </c>
      <c r="M34" s="43">
        <f t="shared" si="32"/>
        <v>0</v>
      </c>
      <c r="N34" s="43">
        <f t="shared" ca="1" si="32"/>
        <v>469393.46</v>
      </c>
      <c r="O34" s="43">
        <f t="shared" ca="1" si="29"/>
        <v>14.901587831703045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3960805</v>
      </c>
      <c r="M37" s="57">
        <f t="shared" ca="1" si="33"/>
        <v>2048220</v>
      </c>
      <c r="N37" s="57">
        <f t="shared" ca="1" si="33"/>
        <v>1481988</v>
      </c>
      <c r="O37" s="58">
        <f t="shared" ca="1" si="29"/>
        <v>37.416333295883035</v>
      </c>
      <c r="P37" s="58">
        <f t="shared" ca="1" si="25"/>
        <v>72.354922811026157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978600</v>
      </c>
      <c r="M41" s="81">
        <f t="shared" ca="1" si="34"/>
        <v>405100</v>
      </c>
      <c r="N41" s="81">
        <f t="shared" ca="1" si="34"/>
        <v>430950</v>
      </c>
      <c r="O41" s="80">
        <f t="shared" ref="O41:O43" ca="1" si="35">IF(L41&gt;0,N41*100/L41,0)</f>
        <v>44.037400367872472</v>
      </c>
      <c r="P41" s="80">
        <f t="shared" ref="P41:P43" ca="1" si="36">IF(M41&gt;0,N41*100/M41,0)</f>
        <v>106.3811404591459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978600</v>
      </c>
      <c r="M43" s="81">
        <f t="shared" ca="1" si="38"/>
        <v>405100</v>
      </c>
      <c r="N43" s="81">
        <f t="shared" ca="1" si="38"/>
        <v>430950</v>
      </c>
      <c r="O43" s="80">
        <f t="shared" ca="1" si="35"/>
        <v>44.037400367872472</v>
      </c>
      <c r="P43" s="80">
        <f t="shared" ca="1" si="36"/>
        <v>106.3811404591459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810100</v>
      </c>
      <c r="M45" s="93">
        <f ca="1">IFERROR(__xludf.DUMMYFUNCTION("IMPORTRANGE(""https://docs.google.com/spreadsheets/d/1Yj_ptqi66GCucihVvJfMjLAmec39IyEx_6qawtMGysU/edit?usp=sharing"",""สบก!Q29"")"),405100)</f>
        <v>405100</v>
      </c>
      <c r="N45" s="93">
        <f ca="1">IFERROR(__xludf.DUMMYFUNCTION("IMPORTRANGE(""https://docs.google.com/spreadsheets/d/1Yj_ptqi66GCucihVvJfMjLAmec39IyEx_6qawtMGysU/edit?usp=sharing"",""สบก!R29"")"),262450)</f>
        <v>262450</v>
      </c>
      <c r="O45" s="94">
        <f ca="1">IF(L45&gt;0,N45*100/L45,0)</f>
        <v>32.397234909270459</v>
      </c>
      <c r="P45" s="94">
        <f ca="1">IF(M45&gt;0,N45*100/M45,0)</f>
        <v>64.786472475931873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IFERROR(__xludf.DUMMYFUNCTION("IMPORTRANGE(""https://docs.google.com/spreadsheets/d/1Yj_ptqi66GCucihVvJfMjLAmec39IyEx_6qawtMGysU/edit?usp=sharing"",""สบก!M29"")"),810100)</f>
        <v>810100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IFERROR(__xludf.DUMMYFUNCTION("IMPORTRANGE(""https://docs.google.com/spreadsheets/d/1Yj_ptqi66GCucihVvJfMjLAmec39IyEx_6qawtMGysU/edit?usp=sharing"",""สบก!N29"")"),0)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IFERROR(__xludf.DUMMYFUNCTION("IMPORTRANGE(""https://docs.google.com/spreadsheets/d/1Yj_ptqi66GCucihVvJfMjLAmec39IyEx_6qawtMGysU/edit?usp=sharing"",""สบก!O29"")"),168500)</f>
        <v>168500</v>
      </c>
      <c r="M49" s="103"/>
      <c r="N49" s="93">
        <f ca="1">IFERROR(__xludf.DUMMYFUNCTION("IMPORTRANGE(""https://docs.google.com/spreadsheets/d/1Yj_ptqi66GCucihVvJfMjLAmec39IyEx_6qawtMGysU/edit?usp=sharing"",""สบก!S29"")"),168500)</f>
        <v>168500</v>
      </c>
      <c r="O49" s="103">
        <f ca="1">IF(L49&gt;0,N49*100/L49,0)</f>
        <v>100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564000</v>
      </c>
      <c r="M53" s="127">
        <f t="shared" ca="1" si="39"/>
        <v>299325</v>
      </c>
      <c r="N53" s="127">
        <f t="shared" ca="1" si="39"/>
        <v>176258</v>
      </c>
      <c r="O53" s="126">
        <f t="shared" ref="O53:O55" ca="1" si="40">IF(L53&gt;0,N53*100/L53,0)</f>
        <v>31.251418439716311</v>
      </c>
      <c r="P53" s="126">
        <f t="shared" ref="P53:P55" ca="1" si="41">IF(M53&gt;0,N53*100/M53,0)</f>
        <v>58.885158272780423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564000</v>
      </c>
      <c r="M55" s="127">
        <f t="shared" ca="1" si="43"/>
        <v>299325</v>
      </c>
      <c r="N55" s="127">
        <f t="shared" ca="1" si="43"/>
        <v>176258</v>
      </c>
      <c r="O55" s="126">
        <f t="shared" ca="1" si="40"/>
        <v>31.251418439716311</v>
      </c>
      <c r="P55" s="126">
        <f t="shared" ca="1" si="41"/>
        <v>58.885158272780423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564000</v>
      </c>
      <c r="M57" s="93">
        <f ca="1">IFERROR(__xludf.DUMMYFUNCTION("IMPORTRANGE(""https://docs.google.com/spreadsheets/d/1Yj_ptqi66GCucihVvJfMjLAmec39IyEx_6qawtMGysU/edit?usp=sharing"",""สบก!Z29"")"),299325)</f>
        <v>299325</v>
      </c>
      <c r="N57" s="93">
        <f ca="1">IFERROR(__xludf.DUMMYFUNCTION("IMPORTRANGE(""https://docs.google.com/spreadsheets/d/1Yj_ptqi66GCucihVvJfMjLAmec39IyEx_6qawtMGysU/edit?usp=sharing"",""สบก!AA29"")"),176258)</f>
        <v>176258</v>
      </c>
      <c r="O57" s="94">
        <f ca="1">IF(L57&gt;0,N57*100/L57,0)</f>
        <v>31.251418439716311</v>
      </c>
      <c r="P57" s="94">
        <f ca="1">IF(M57&gt;0,N57*100/M57,0)</f>
        <v>58.885158272780423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IFERROR(__xludf.DUMMYFUNCTION("IMPORTRANGE(""https://docs.google.com/spreadsheets/d/1Yj_ptqi66GCucihVvJfMjLAmec39IyEx_6qawtMGysU/edit?usp=sharing"",""สบก!V29"")"),564000)</f>
        <v>564000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IFERROR(__xludf.DUMMYFUNCTION("IMPORTRANGE(""https://docs.google.com/spreadsheets/d/1Yj_ptqi66GCucihVvJfMjLAmec39IyEx_6qawtMGysU/edit?usp=sharing"",""สบก!W29"")"),0)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IFERROR(__xludf.DUMMYFUNCTION("IMPORTRANGE(""https://docs.google.com/spreadsheets/d/1Yj_ptqi66GCucihVvJfMjLAmec39IyEx_6qawtMGysU/edit?usp=sharing"",""สบก!X29"")"),0)</f>
        <v>0</v>
      </c>
      <c r="M61" s="103"/>
      <c r="N61" s="93">
        <f ca="1">IFERROR(__xludf.DUMMYFUNCTION("IMPORTRANGE(""https://docs.google.com/spreadsheets/d/1Yj_ptqi66GCucihVvJfMjLAmec39IyEx_6qawtMGysU/edit?usp=sharing"",""สบก!AB29"")"),0)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IFERROR(__xludf.DUMMYFUNCTION("IMPORTRANGE(""https://docs.google.com/spreadsheets/d/11923uPwbBZFjjGgGUA6NLw09EwE0CqkOc4q9oUmW1yo/edit?usp=sharing"",""เพชรบูรณ์!I9"")"),1)</f>
        <v>1</v>
      </c>
      <c r="J64" s="148">
        <f ca="1">IFERROR(__xludf.DUMMYFUNCTION("IMPORTRANGE(""https://docs.google.com/spreadsheets/d/11923uPwbBZFjjGgGUA6NLw09EwE0CqkOc4q9oUmW1yo/edit?usp=sharing"",""เพชรบูรณ์!J9"")"),1)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IFERROR(__xludf.DUMMYFUNCTION("IMPORTRANGE(""https://docs.google.com/spreadsheets/d/11923uPwbBZFjjGgGUA6NLw09EwE0CqkOc4q9oUmW1yo/edit?usp=sharing"",""เพชรบูรณ์!I10"")"),35)</f>
        <v>35</v>
      </c>
      <c r="J65" s="148">
        <f ca="1">IFERROR(__xludf.DUMMYFUNCTION("IMPORTRANGE(""https://docs.google.com/spreadsheets/d/11923uPwbBZFjjGgGUA6NLw09EwE0CqkOc4q9oUmW1yo/edit?usp=sharing"",""เพชรบูรณ์!J10"")"),35)</f>
        <v>35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577500</v>
      </c>
      <c r="M66" s="158">
        <f t="shared" ca="1" si="45"/>
        <v>325420</v>
      </c>
      <c r="N66" s="158">
        <f t="shared" ca="1" si="45"/>
        <v>193087</v>
      </c>
      <c r="O66" s="157">
        <f t="shared" ref="O66:O68" ca="1" si="46">IF(L66&gt;0,N66*100/L66,0)</f>
        <v>33.434978354978355</v>
      </c>
      <c r="P66" s="157">
        <f t="shared" ref="P66:P68" ca="1" si="47">IF(M66&gt;0,N66*100/M66,0)</f>
        <v>59.334705918505314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577500</v>
      </c>
      <c r="M68" s="163">
        <f t="shared" ca="1" si="49"/>
        <v>325420</v>
      </c>
      <c r="N68" s="163">
        <f t="shared" ca="1" si="49"/>
        <v>193087</v>
      </c>
      <c r="O68" s="162">
        <f t="shared" ca="1" si="46"/>
        <v>33.434978354978355</v>
      </c>
      <c r="P68" s="162">
        <f t="shared" ca="1" si="47"/>
        <v>59.334705918505314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577500</v>
      </c>
      <c r="M70" s="176">
        <f ca="1">IFERROR(__xludf.DUMMYFUNCTION("IMPORTRANGE(""https://docs.google.com/spreadsheets/d/1Yj_ptqi66GCucihVvJfMjLAmec39IyEx_6qawtMGysU/edit?usp=sharing"",""สบก!AI29"")"),325420)</f>
        <v>325420</v>
      </c>
      <c r="N70" s="177">
        <f ca="1">IFERROR(__xludf.DUMMYFUNCTION("IMPORTRANGE(""https://docs.google.com/spreadsheets/d/1Yj_ptqi66GCucihVvJfMjLAmec39IyEx_6qawtMGysU/edit?usp=sharing"",""สบก!AJ29"")"),193087)</f>
        <v>193087</v>
      </c>
      <c r="O70" s="178">
        <f ca="1">IF(L70&gt;0,N70*100/L70,0)</f>
        <v>33.434978354978355</v>
      </c>
      <c r="P70" s="178">
        <f ca="1">IF(M70&gt;0,N70*100/M70,0)</f>
        <v>59.334705918505314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IFERROR(__xludf.DUMMYFUNCTION("IMPORTRANGE(""https://docs.google.com/spreadsheets/d/1Yj_ptqi66GCucihVvJfMjLAmec39IyEx_6qawtMGysU/edit?usp=sharing"",""สบก!AE29"")"),179500)</f>
        <v>179500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IFERROR(__xludf.DUMMYFUNCTION("IMPORTRANGE(""https://docs.google.com/spreadsheets/d/1Yj_ptqi66GCucihVvJfMjLAmec39IyEx_6qawtMGysU/edit?usp=sharing"",""สบก!AF29"")"),398000)</f>
        <v>398000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IFERROR(__xludf.DUMMYFUNCTION("IMPORTRANGE(""https://docs.google.com/spreadsheets/d/1Yj_ptqi66GCucihVvJfMjLAmec39IyEx_6qawtMGysU/edit?usp=sharing"",""สบก!AG29"")"),0)</f>
        <v>0</v>
      </c>
      <c r="M74" s="103"/>
      <c r="N74" s="93">
        <f ca="1">IFERROR(__xludf.DUMMYFUNCTION("IMPORTRANGE(""https://docs.google.com/spreadsheets/d/1Yj_ptqi66GCucihVvJfMjLAmec39IyEx_6qawtMGysU/edit?usp=sharing"",""สบก!AK29"")"),0)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IFERROR(__xludf.DUMMYFUNCTION("IMPORTRANGE(""https://docs.google.com/spreadsheets/d/11923uPwbBZFjjGgGUA6NLw09EwE0CqkOc4q9oUmW1yo/edit?usp=sharing"",""เพชรบูรณ์!J16"")"),0)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IFERROR(__xludf.DUMMYFUNCTION("IMPORTRANGE(""https://docs.google.com/spreadsheets/d/11923uPwbBZFjjGgGUA6NLw09EwE0CqkOc4q9oUmW1yo/edit?usp=sharing"",""เพชรบูรณ์!J17"")"),1)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IFERROR(__xludf.DUMMYFUNCTION("IMPORTRANGE(""https://docs.google.com/spreadsheets/d/11923uPwbBZFjjGgGUA6NLw09EwE0CqkOc4q9oUmW1yo/edit?usp=sharing"",""เพชรบูรณ์!J18"")"),1)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IFERROR(__xludf.DUMMYFUNCTION("IMPORTRANGE(""https://docs.google.com/spreadsheets/d/11923uPwbBZFjjGgGUA6NLw09EwE0CqkOc4q9oUmW1yo/edit?usp=sharing"",""เพชรบูรณ์!J19"")"),1)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IFERROR(__xludf.DUMMYFUNCTION("IMPORTRANGE(""https://docs.google.com/spreadsheets/d/11923uPwbBZFjjGgGUA6NLw09EwE0CqkOc4q9oUmW1yo/edit?usp=sharing"",""เพชรบูรณ์!I20"")"),1)</f>
        <v>1</v>
      </c>
      <c r="J80" s="210">
        <f ca="1">IFERROR(__xludf.DUMMYFUNCTION("IMPORTRANGE(""https://docs.google.com/spreadsheets/d/11923uPwbBZFjjGgGUA6NLw09EwE0CqkOc4q9oUmW1yo/edit?usp=sharing"",""เพชรบูรณ์!J20"")"),1)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IFERROR(__xludf.DUMMYFUNCTION("IMPORTRANGE(""https://docs.google.com/spreadsheets/d/11923uPwbBZFjjGgGUA6NLw09EwE0CqkOc4q9oUmW1yo/edit?usp=sharing"",""เพชรบูรณ์!I21"")"),35)</f>
        <v>35</v>
      </c>
      <c r="J81" s="210">
        <f ca="1">IFERROR(__xludf.DUMMYFUNCTION("IMPORTRANGE(""https://docs.google.com/spreadsheets/d/11923uPwbBZFjjGgGUA6NLw09EwE0CqkOc4q9oUmW1yo/edit?usp=sharing"",""เพชรบูรณ์!J21"")"),35)</f>
        <v>35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IFERROR(__xludf.DUMMYFUNCTION("IMPORTRANGE(""https://docs.google.com/spreadsheets/d/11923uPwbBZFjjGgGUA6NLw09EwE0CqkOc4q9oUmW1yo/edit?usp=sharing"",""เพชรบูรณ์!I22"")"),0)</f>
        <v>0</v>
      </c>
      <c r="J82" s="213">
        <f ca="1">IFERROR(__xludf.DUMMYFUNCTION("IMPORTRANGE(""https://docs.google.com/spreadsheets/d/11923uPwbBZFjjGgGUA6NLw09EwE0CqkOc4q9oUmW1yo/edit?usp=sharing"",""เพชรบูรณ์!J22"")"),0)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IFERROR(__xludf.DUMMYFUNCTION("IMPORTRANGE(""https://docs.google.com/spreadsheets/d/11923uPwbBZFjjGgGUA6NLw09EwE0CqkOc4q9oUmW1yo/edit?usp=sharing"",""เพชรบูรณ์!I23"")"),0)</f>
        <v>0</v>
      </c>
      <c r="J83" s="213">
        <f ca="1">IFERROR(__xludf.DUMMYFUNCTION("IMPORTRANGE(""https://docs.google.com/spreadsheets/d/11923uPwbBZFjjGgGUA6NLw09EwE0CqkOc4q9oUmW1yo/edit?usp=sharing"",""เพชรบูรณ์!J23"")"),0)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IFERROR(__xludf.DUMMYFUNCTION("IMPORTRANGE(""https://docs.google.com/spreadsheets/d/11923uPwbBZFjjGgGUA6NLw09EwE0CqkOc4q9oUmW1yo/edit?usp=sharing"",""เพชรบูรณ์!I24"")"),1)</f>
        <v>1</v>
      </c>
      <c r="J84" s="198">
        <f ca="1">IFERROR(__xludf.DUMMYFUNCTION("IMPORTRANGE(""https://docs.google.com/spreadsheets/d/11923uPwbBZFjjGgGUA6NLw09EwE0CqkOc4q9oUmW1yo/edit?usp=sharing"",""เพชรบูรณ์!J24"")"),1)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IFERROR(__xludf.DUMMYFUNCTION("IMPORTRANGE(""https://docs.google.com/spreadsheets/d/11923uPwbBZFjjGgGUA6NLw09EwE0CqkOc4q9oUmW1yo/edit?usp=sharing"",""เพชรบูรณ์!I25"")"),35)</f>
        <v>35</v>
      </c>
      <c r="J85" s="198">
        <f ca="1">IFERROR(__xludf.DUMMYFUNCTION("IMPORTRANGE(""https://docs.google.com/spreadsheets/d/11923uPwbBZFjjGgGUA6NLw09EwE0CqkOc4q9oUmW1yo/edit?usp=sharing"",""เพชรบูรณ์!J25"")"),35)</f>
        <v>35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IFERROR(__xludf.DUMMYFUNCTION("IMPORTRANGE(""https://docs.google.com/spreadsheets/d/11923uPwbBZFjjGgGUA6NLw09EwE0CqkOc4q9oUmW1yo/edit?usp=sharing"",""เพชรบูรณ์!I26"")"),0)</f>
        <v>0</v>
      </c>
      <c r="J86" s="213">
        <f ca="1">IFERROR(__xludf.DUMMYFUNCTION("IMPORTRANGE(""https://docs.google.com/spreadsheets/d/11923uPwbBZFjjGgGUA6NLw09EwE0CqkOc4q9oUmW1yo/edit?usp=sharing"",""เพชรบูรณ์!J26"")"),0)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IFERROR(__xludf.DUMMYFUNCTION("IMPORTRANGE(""https://docs.google.com/spreadsheets/d/11923uPwbBZFjjGgGUA6NLw09EwE0CqkOc4q9oUmW1yo/edit?usp=sharing"",""เพชรบูรณ์!I27"")"),0)</f>
        <v>0</v>
      </c>
      <c r="J87" s="213">
        <f ca="1">IFERROR(__xludf.DUMMYFUNCTION("IMPORTRANGE(""https://docs.google.com/spreadsheets/d/11923uPwbBZFjjGgGUA6NLw09EwE0CqkOc4q9oUmW1yo/edit?usp=sharing"",""เพชรบูรณ์!J27"")"),0)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IFERROR(__xludf.DUMMYFUNCTION("IMPORTRANGE(""https://docs.google.com/spreadsheets/d/11923uPwbBZFjjGgGUA6NLw09EwE0CqkOc4q9oUmW1yo/edit?usp=sharing"",""เพชรบูรณ์!I28"")"),0)</f>
        <v>0</v>
      </c>
      <c r="J88" s="213">
        <f ca="1">IFERROR(__xludf.DUMMYFUNCTION("IMPORTRANGE(""https://docs.google.com/spreadsheets/d/11923uPwbBZFjjGgGUA6NLw09EwE0CqkOc4q9oUmW1yo/edit?usp=sharing"",""เพชรบูรณ์!J28"")"),0)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IFERROR(__xludf.DUMMYFUNCTION("IMPORTRANGE(""https://docs.google.com/spreadsheets/d/11923uPwbBZFjjGgGUA6NLw09EwE0CqkOc4q9oUmW1yo/edit?usp=sharing"",""เพชรบูรณ์!J29"")"),0)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IFERROR(__xludf.DUMMYFUNCTION("IMPORTRANGE(""https://docs.google.com/spreadsheets/d/11923uPwbBZFjjGgGUA6NLw09EwE0CqkOc4q9oUmW1yo/edit?usp=sharing"",""เพชรบูรณ์!J30"")"),0)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IFERROR(__xludf.DUMMYFUNCTION("IMPORTRANGE(""https://docs.google.com/spreadsheets/d/11923uPwbBZFjjGgGUA6NLw09EwE0CqkOc4q9oUmW1yo/edit?usp=sharing"",""เพชรบูรณ์!I32"")"),0)</f>
        <v>0</v>
      </c>
      <c r="J92" s="148">
        <f ca="1">IFERROR(__xludf.DUMMYFUNCTION("IMPORTRANGE(""https://docs.google.com/spreadsheets/d/11923uPwbBZFjjGgGUA6NLw09EwE0CqkOc4q9oUmW1yo/edit?usp=sharing"",""เพชรบูรณ์!J32"")"),0)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IFERROR(__xludf.DUMMYFUNCTION("IMPORTRANGE(""https://docs.google.com/spreadsheets/d/11923uPwbBZFjjGgGUA6NLw09EwE0CqkOc4q9oUmW1yo/edit?usp=sharing"",""เพชรบูรณ์!I33"")"),0)</f>
        <v>0</v>
      </c>
      <c r="J93" s="148">
        <f ca="1">IFERROR(__xludf.DUMMYFUNCTION("IMPORTRANGE(""https://docs.google.com/spreadsheets/d/11923uPwbBZFjjGgGUA6NLw09EwE0CqkOc4q9oUmW1yo/edit?usp=sharing"",""เพชรบูรณ์!J33"")"),0)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IFERROR(__xludf.DUMMYFUNCTION("IMPORTRANGE(""https://docs.google.com/spreadsheets/d/1Yj_ptqi66GCucihVvJfMjLAmec39IyEx_6qawtMGysU/edit?usp=sharing"",""สบก!AR29"")"),0)</f>
        <v>0</v>
      </c>
      <c r="N98" s="177">
        <f ca="1">IFERROR(__xludf.DUMMYFUNCTION("IMPORTRANGE(""https://docs.google.com/spreadsheets/d/1Yj_ptqi66GCucihVvJfMjLAmec39IyEx_6qawtMGysU/edit?usp=sharing"",""สบก!AS29"")"),0)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IFERROR(__xludf.DUMMYFUNCTION("IMPORTRANGE(""https://docs.google.com/spreadsheets/d/1Yj_ptqi66GCucihVvJfMjLAmec39IyEx_6qawtMGysU/edit?usp=sharing"",""สบก!AN29"")"),0)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IFERROR(__xludf.DUMMYFUNCTION("IMPORTRANGE(""https://docs.google.com/spreadsheets/d/1Yj_ptqi66GCucihVvJfMjLAmec39IyEx_6qawtMGysU/edit?usp=sharing"",""สบก!AO29"")"),0)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IFERROR(__xludf.DUMMYFUNCTION("IMPORTRANGE(""https://docs.google.com/spreadsheets/d/1Yj_ptqi66GCucihVvJfMjLAmec39IyEx_6qawtMGysU/edit?usp=sharing"",""สบก!AP29"")"),0)</f>
        <v>0</v>
      </c>
      <c r="M102" s="103"/>
      <c r="N102" s="93">
        <f ca="1">IFERROR(__xludf.DUMMYFUNCTION("IMPORTRANGE(""https://docs.google.com/spreadsheets/d/1Yj_ptqi66GCucihVvJfMjLAmec39IyEx_6qawtMGysU/edit?usp=sharing"",""สบก!AT29"")"),0)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IFERROR(__xludf.DUMMYFUNCTION("IMPORTRANGE(""https://docs.google.com/spreadsheets/d/11923uPwbBZFjjGgGUA6NLw09EwE0CqkOc4q9oUmW1yo/edit?usp=sharing"",""เพชรบูรณ์!J39"")"),0)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IFERROR(__xludf.DUMMYFUNCTION("IMPORTRANGE(""https://docs.google.com/spreadsheets/d/11923uPwbBZFjjGgGUA6NLw09EwE0CqkOc4q9oUmW1yo/edit?usp=sharing"",""เพชรบูรณ์!J40"")"),0)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IFERROR(__xludf.DUMMYFUNCTION("IMPORTRANGE(""https://docs.google.com/spreadsheets/d/11923uPwbBZFjjGgGUA6NLw09EwE0CqkOc4q9oUmW1yo/edit?usp=sharing"",""เพชรบูรณ์!J41"")"),0)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IFERROR(__xludf.DUMMYFUNCTION("IMPORTRANGE(""https://docs.google.com/spreadsheets/d/11923uPwbBZFjjGgGUA6NLw09EwE0CqkOc4q9oUmW1yo/edit?usp=sharing"",""เพชรบูรณ์!J42"")"),0)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IFERROR(__xludf.DUMMYFUNCTION("IMPORTRANGE(""https://docs.google.com/spreadsheets/d/11923uPwbBZFjjGgGUA6NLw09EwE0CqkOc4q9oUmW1yo/edit?usp=sharing"",""เพชรบูรณ์!I43"")"),0)</f>
        <v>0</v>
      </c>
      <c r="J108" s="213">
        <f ca="1">IFERROR(__xludf.DUMMYFUNCTION("IMPORTRANGE(""https://docs.google.com/spreadsheets/d/11923uPwbBZFjjGgGUA6NLw09EwE0CqkOc4q9oUmW1yo/edit?usp=sharing"",""เพชรบูรณ์!J43"")"),0)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IFERROR(__xludf.DUMMYFUNCTION("IMPORTRANGE(""https://docs.google.com/spreadsheets/d/11923uPwbBZFjjGgGUA6NLw09EwE0CqkOc4q9oUmW1yo/edit?usp=sharing"",""เพชรบูรณ์!I44"")"),0)</f>
        <v>0</v>
      </c>
      <c r="J109" s="213">
        <f ca="1">IFERROR(__xludf.DUMMYFUNCTION("IMPORTRANGE(""https://docs.google.com/spreadsheets/d/11923uPwbBZFjjGgGUA6NLw09EwE0CqkOc4q9oUmW1yo/edit?usp=sharing"",""เพชรบูรณ์!J44"")"),0)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IFERROR(__xludf.DUMMYFUNCTION("IMPORTRANGE(""https://docs.google.com/spreadsheets/d/11923uPwbBZFjjGgGUA6NLw09EwE0CqkOc4q9oUmW1yo/edit?usp=sharing"",""เพชรบูรณ์!I45"")"),0)</f>
        <v>0</v>
      </c>
      <c r="J110" s="213">
        <f ca="1">IFERROR(__xludf.DUMMYFUNCTION("IMPORTRANGE(""https://docs.google.com/spreadsheets/d/11923uPwbBZFjjGgGUA6NLw09EwE0CqkOc4q9oUmW1yo/edit?usp=sharing"",""เพชรบูรณ์!J45"")"),0)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IFERROR(__xludf.DUMMYFUNCTION("IMPORTRANGE(""https://docs.google.com/spreadsheets/d/11923uPwbBZFjjGgGUA6NLw09EwE0CqkOc4q9oUmW1yo/edit?usp=sharing"",""เพชรบูรณ์!I46"")"),0)</f>
        <v>0</v>
      </c>
      <c r="J111" s="213">
        <f ca="1">IFERROR(__xludf.DUMMYFUNCTION("IMPORTRANGE(""https://docs.google.com/spreadsheets/d/11923uPwbBZFjjGgGUA6NLw09EwE0CqkOc4q9oUmW1yo/edit?usp=sharing"",""เพชรบูรณ์!J46"")"),0)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IFERROR(__xludf.DUMMYFUNCTION("IMPORTRANGE(""https://docs.google.com/spreadsheets/d/11923uPwbBZFjjGgGUA6NLw09EwE0CqkOc4q9oUmW1yo/edit?usp=sharing"",""เพชรบูรณ์!I47"")"),0)</f>
        <v>0</v>
      </c>
      <c r="J112" s="213">
        <f ca="1">IFERROR(__xludf.DUMMYFUNCTION("IMPORTRANGE(""https://docs.google.com/spreadsheets/d/11923uPwbBZFjjGgGUA6NLw09EwE0CqkOc4q9oUmW1yo/edit?usp=sharing"",""เพชรบูรณ์!J47"")"),0)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IFERROR(__xludf.DUMMYFUNCTION("IMPORTRANGE(""https://docs.google.com/spreadsheets/d/11923uPwbBZFjjGgGUA6NLw09EwE0CqkOc4q9oUmW1yo/edit?usp=sharing"",""เพชรบูรณ์!I48"")"),0)</f>
        <v>0</v>
      </c>
      <c r="J113" s="213">
        <f ca="1">IFERROR(__xludf.DUMMYFUNCTION("IMPORTRANGE(""https://docs.google.com/spreadsheets/d/11923uPwbBZFjjGgGUA6NLw09EwE0CqkOc4q9oUmW1yo/edit?usp=sharing"",""เพชรบูรณ์!J48"")"),0)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IFERROR(__xludf.DUMMYFUNCTION("IMPORTRANGE(""https://docs.google.com/spreadsheets/d/11923uPwbBZFjjGgGUA6NLw09EwE0CqkOc4q9oUmW1yo/edit?usp=sharing"",""เพชรบูรณ์!J49"")"),0)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IFERROR(__xludf.DUMMYFUNCTION("IMPORTRANGE(""https://docs.google.com/spreadsheets/d/11923uPwbBZFjjGgGUA6NLw09EwE0CqkOc4q9oUmW1yo/edit?usp=sharing"",""เพชรบูรณ์!J50"")"),0)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IFERROR(__xludf.DUMMYFUNCTION("IMPORTRANGE(""https://docs.google.com/spreadsheets/d/11923uPwbBZFjjGgGUA6NLw09EwE0CqkOc4q9oUmW1yo/edit?usp=sharing"",""เพชรบูรณ์!I52"")"),20)</f>
        <v>20</v>
      </c>
      <c r="J117" s="148">
        <f ca="1">IFERROR(__xludf.DUMMYFUNCTION("IMPORTRANGE(""https://docs.google.com/spreadsheets/d/11923uPwbBZFjjGgGUA6NLw09EwE0CqkOc4q9oUmW1yo/edit?usp=sharing"",""เพชรบูรณ์!J52"")"),20)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58830</v>
      </c>
      <c r="O118" s="157">
        <f t="shared" ref="O118:O120" ca="1" si="59">IF(L118&gt;0,N118*100/L118,0)</f>
        <v>71.360989810771471</v>
      </c>
      <c r="P118" s="157">
        <f t="shared" ref="P118:P120" ca="1" si="60">IF(M118&gt;0,N118*100/M118,0)</f>
        <v>88.546056592414203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58830</v>
      </c>
      <c r="O120" s="162">
        <f t="shared" ca="1" si="59"/>
        <v>71.360989810771471</v>
      </c>
      <c r="P120" s="162">
        <f t="shared" ca="1" si="60"/>
        <v>88.546056592414203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IFERROR(__xludf.DUMMYFUNCTION("IMPORTRANGE(""https://docs.google.com/spreadsheets/d/1Yj_ptqi66GCucihVvJfMjLAmec39IyEx_6qawtMGysU/edit?usp=sharing"",""สบก!BA29"")"),66440)</f>
        <v>66440</v>
      </c>
      <c r="N122" s="177">
        <f ca="1">IFERROR(__xludf.DUMMYFUNCTION("IMPORTRANGE(""https://docs.google.com/spreadsheets/d/1Yj_ptqi66GCucihVvJfMjLAmec39IyEx_6qawtMGysU/edit?usp=sharing"",""สบก!BB29"")"),58830)</f>
        <v>58830</v>
      </c>
      <c r="O122" s="178">
        <f ca="1">IF(L122&gt;0,N122*100/L122,0)</f>
        <v>71.360989810771471</v>
      </c>
      <c r="P122" s="178">
        <f ca="1">IF(M122&gt;0,N122*100/M122,0)</f>
        <v>88.546056592414203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IFERROR(__xludf.DUMMYFUNCTION("IMPORTRANGE(""https://docs.google.com/spreadsheets/d/1Yj_ptqi66GCucihVvJfMjLAmec39IyEx_6qawtMGysU/edit?usp=sharing"",""สบก!AW29"")"),0)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IFERROR(__xludf.DUMMYFUNCTION("IMPORTRANGE(""https://docs.google.com/spreadsheets/d/1Yj_ptqi66GCucihVvJfMjLAmec39IyEx_6qawtMGysU/edit?usp=sharing"",""สบก!AX29"")"),82440)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IFERROR(__xludf.DUMMYFUNCTION("IMPORTRANGE(""https://docs.google.com/spreadsheets/d/1Yj_ptqi66GCucihVvJfMjLAmec39IyEx_6qawtMGysU/edit?usp=sharing"",""สบก!AY29"")"),0)</f>
        <v>0</v>
      </c>
      <c r="M126" s="103"/>
      <c r="N126" s="93">
        <f ca="1">IFERROR(__xludf.DUMMYFUNCTION("IMPORTRANGE(""https://docs.google.com/spreadsheets/d/1Yj_ptqi66GCucihVvJfMjLAmec39IyEx_6qawtMGysU/edit?usp=sharing"",""สบก!BC29"")"),0)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258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IFERROR(__xludf.DUMMYFUNCTION("IMPORTRANGE(""https://docs.google.com/spreadsheets/d/11923uPwbBZFjjGgGUA6NLw09EwE0CqkOc4q9oUmW1yo/edit?usp=sharing"",""เพชรบูรณ์!J58"")"),0)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IFERROR(__xludf.DUMMYFUNCTION("IMPORTRANGE(""https://docs.google.com/spreadsheets/d/11923uPwbBZFjjGgGUA6NLw09EwE0CqkOc4q9oUmW1yo/edit?usp=sharing"",""เพชรบูรณ์!J59"")"),1)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IFERROR(__xludf.DUMMYFUNCTION("IMPORTRANGE(""https://docs.google.com/spreadsheets/d/11923uPwbBZFjjGgGUA6NLw09EwE0CqkOc4q9oUmW1yo/edit?usp=sharing"",""เพชรบูรณ์!J60"")"),1)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IFERROR(__xludf.DUMMYFUNCTION("IMPORTRANGE(""https://docs.google.com/spreadsheets/d/11923uPwbBZFjjGgGUA6NLw09EwE0CqkOc4q9oUmW1yo/edit?usp=sharing"",""เพชรบูรณ์!J61"")"),0)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IFERROR(__xludf.DUMMYFUNCTION("IMPORTRANGE(""https://docs.google.com/spreadsheets/d/11923uPwbBZFjjGgGUA6NLw09EwE0CqkOc4q9oUmW1yo/edit?usp=sharing"",""เพชรบูรณ์!I62"")"),20)</f>
        <v>20</v>
      </c>
      <c r="J132" s="213">
        <f ca="1">IFERROR(__xludf.DUMMYFUNCTION("IMPORTRANGE(""https://docs.google.com/spreadsheets/d/11923uPwbBZFjjGgGUA6NLw09EwE0CqkOc4q9oUmW1yo/edit?usp=sharing"",""เพชรบูรณ์!J62"")"),20)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IFERROR(__xludf.DUMMYFUNCTION("IMPORTRANGE(""https://docs.google.com/spreadsheets/d/11923uPwbBZFjjGgGUA6NLw09EwE0CqkOc4q9oUmW1yo/edit?usp=sharing"",""เพชรบูรณ์!I63"")"),20)</f>
        <v>20</v>
      </c>
      <c r="J133" s="213">
        <f ca="1">IFERROR(__xludf.DUMMYFUNCTION("IMPORTRANGE(""https://docs.google.com/spreadsheets/d/11923uPwbBZFjjGgGUA6NLw09EwE0CqkOc4q9oUmW1yo/edit?usp=sharing"",""เพชรบูรณ์!J63"")"),20)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IFERROR(__xludf.DUMMYFUNCTION("IMPORTRANGE(""https://docs.google.com/spreadsheets/d/11923uPwbBZFjjGgGUA6NLw09EwE0CqkOc4q9oUmW1yo/edit?usp=sharing"",""เพชรบูรณ์!J64"")"),0)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IFERROR(__xludf.DUMMYFUNCTION("IMPORTRANGE(""https://docs.google.com/spreadsheets/d/11923uPwbBZFjjGgGUA6NLw09EwE0CqkOc4q9oUmW1yo/edit?usp=sharing"",""เพชรบูรณ์!J65"")"),0)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IFERROR(__xludf.DUMMYFUNCTION("IMPORTRANGE(""https://docs.google.com/spreadsheets/d/11923uPwbBZFjjGgGUA6NLw09EwE0CqkOc4q9oUmW1yo/edit?usp=sharing"",""เพชรบูรณ์!I68"")"),15)</f>
        <v>15</v>
      </c>
      <c r="J138" s="276">
        <f ca="1">IFERROR(__xludf.DUMMYFUNCTION("IMPORTRANGE(""https://docs.google.com/spreadsheets/d/11923uPwbBZFjjGgGUA6NLw09EwE0CqkOc4q9oUmW1yo/edit?usp=sharing"",""เพชรบูรณ์!J68"")"),15)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254700</v>
      </c>
      <c r="M140" s="158">
        <f t="shared" ca="1" si="64"/>
        <v>132750</v>
      </c>
      <c r="N140" s="158">
        <f t="shared" ca="1" si="64"/>
        <v>83350</v>
      </c>
      <c r="O140" s="157">
        <f t="shared" ref="O140:O142" ca="1" si="65">IF(L140&gt;0,N140*100/L140,0)</f>
        <v>32.724774244208874</v>
      </c>
      <c r="P140" s="157">
        <f t="shared" ref="P140:P142" ca="1" si="66">IF(M140&gt;0,N140*100/M140,0)</f>
        <v>62.78719397363465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254700</v>
      </c>
      <c r="M142" s="163">
        <f t="shared" ca="1" si="68"/>
        <v>132750</v>
      </c>
      <c r="N142" s="163">
        <f t="shared" ca="1" si="68"/>
        <v>83350</v>
      </c>
      <c r="O142" s="162">
        <f t="shared" ca="1" si="65"/>
        <v>32.724774244208874</v>
      </c>
      <c r="P142" s="162">
        <f t="shared" ca="1" si="66"/>
        <v>62.78719397363465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254700</v>
      </c>
      <c r="M144" s="176">
        <f ca="1">IFERROR(__xludf.DUMMYFUNCTION("IMPORTRANGE(""https://docs.google.com/spreadsheets/d/1Yj_ptqi66GCucihVvJfMjLAmec39IyEx_6qawtMGysU/edit?usp=sharing"",""สบก!BJ29"")"),132750)</f>
        <v>132750</v>
      </c>
      <c r="N144" s="177">
        <f ca="1">IFERROR(__xludf.DUMMYFUNCTION("IMPORTRANGE(""https://docs.google.com/spreadsheets/d/1Yj_ptqi66GCucihVvJfMjLAmec39IyEx_6qawtMGysU/edit?usp=sharing"",""สบก!BK29"")"),83350)</f>
        <v>83350</v>
      </c>
      <c r="O144" s="178">
        <f ca="1">IF(L144&gt;0,N144*100/L144,0)</f>
        <v>32.724774244208874</v>
      </c>
      <c r="P144" s="178">
        <f ca="1">IF(M144&gt;0,N144*100/M144,0)</f>
        <v>62.78719397363465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IFERROR(__xludf.DUMMYFUNCTION("IMPORTRANGE(""https://docs.google.com/spreadsheets/d/1Yj_ptqi66GCucihVvJfMjLAmec39IyEx_6qawtMGysU/edit?usp=sharing"",""สบก!BF29"")"),132000)</f>
        <v>132000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IFERROR(__xludf.DUMMYFUNCTION("IMPORTRANGE(""https://docs.google.com/spreadsheets/d/1Yj_ptqi66GCucihVvJfMjLAmec39IyEx_6qawtMGysU/edit?usp=sharing"",""สบก!BG29"")"),122700)</f>
        <v>122700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IFERROR(__xludf.DUMMYFUNCTION("IMPORTRANGE(""https://docs.google.com/spreadsheets/d/1Yj_ptqi66GCucihVvJfMjLAmec39IyEx_6qawtMGysU/edit?usp=sharing"",""สบก!BH29"")"),0)</f>
        <v>0</v>
      </c>
      <c r="M148" s="103"/>
      <c r="N148" s="93">
        <f ca="1">IFERROR(__xludf.DUMMYFUNCTION("IMPORTRANGE(""https://docs.google.com/spreadsheets/d/1Yj_ptqi66GCucihVvJfMjLAmec39IyEx_6qawtMGysU/edit?usp=sharing"",""สบก!BL29"")"),0)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IFERROR(__xludf.DUMMYFUNCTION("IMPORTRANGE(""https://docs.google.com/spreadsheets/d/11923uPwbBZFjjGgGUA6NLw09EwE0CqkOc4q9oUmW1yo/edit?usp=sharing"",""เพชรบูรณ์!I74"")"),4)</f>
        <v>4</v>
      </c>
      <c r="J149" s="284">
        <f ca="1">IFERROR(__xludf.DUMMYFUNCTION("IMPORTRANGE(""https://docs.google.com/spreadsheets/d/11923uPwbBZFjjGgGUA6NLw09EwE0CqkOc4q9oUmW1yo/edit?usp=sharing"",""เพชรบูรณ์!J74"")"),1)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IFERROR(__xludf.DUMMYFUNCTION("IMPORTRANGE(""https://docs.google.com/spreadsheets/d/11923uPwbBZFjjGgGUA6NLw09EwE0CqkOc4q9oUmW1yo/edit?usp=sharing"",""เพชรบูรณ์!J79"")"),0)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IFERROR(__xludf.DUMMYFUNCTION("IMPORTRANGE(""https://docs.google.com/spreadsheets/d/11923uPwbBZFjjGgGUA6NLw09EwE0CqkOc4q9oUmW1yo/edit?usp=sharing"",""เพชรบูรณ์!J80"")"),1)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IFERROR(__xludf.DUMMYFUNCTION("IMPORTRANGE(""https://docs.google.com/spreadsheets/d/11923uPwbBZFjjGgGUA6NLw09EwE0CqkOc4q9oUmW1yo/edit?usp=sharing"",""เพชรบูรณ์!J81"")"),1)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IFERROR(__xludf.DUMMYFUNCTION("IMPORTRANGE(""https://docs.google.com/spreadsheets/d/11923uPwbBZFjjGgGUA6NLw09EwE0CqkOc4q9oUmW1yo/edit?usp=sharing"",""เพชรบูรณ์!J82"")"),1)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IFERROR(__xludf.DUMMYFUNCTION("IMPORTRANGE(""https://docs.google.com/spreadsheets/d/11923uPwbBZFjjGgGUA6NLw09EwE0CqkOc4q9oUmW1yo/edit?usp=sharing"",""เพชรบูรณ์!I83"")"),4)</f>
        <v>4</v>
      </c>
      <c r="J158" s="198">
        <f ca="1">IFERROR(__xludf.DUMMYFUNCTION("IMPORTRANGE(""https://docs.google.com/spreadsheets/d/11923uPwbBZFjjGgGUA6NLw09EwE0CqkOc4q9oUmW1yo/edit?usp=sharing"",""เพชรบูรณ์!J83"")"),1)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IFERROR(__xludf.DUMMYFUNCTION("IMPORTRANGE(""https://docs.google.com/spreadsheets/d/11923uPwbBZFjjGgGUA6NLw09EwE0CqkOc4q9oUmW1yo/edit?usp=sharing"",""เพชรบูรณ์!J84"")"),68)</f>
        <v>68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IFERROR(__xludf.DUMMYFUNCTION("IMPORTRANGE(""https://docs.google.com/spreadsheets/d/11923uPwbBZFjjGgGUA6NLw09EwE0CqkOc4q9oUmW1yo/edit?usp=sharing"",""เพชรบูรณ์!J85"")"),68)</f>
        <v>68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IFERROR(__xludf.DUMMYFUNCTION("IMPORTRANGE(""https://docs.google.com/spreadsheets/d/11923uPwbBZFjjGgGUA6NLw09EwE0CqkOc4q9oUmW1yo/edit?usp=sharing"",""เพชรบูรณ์!J86"")"),0)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IFERROR(__xludf.DUMMYFUNCTION("IMPORTRANGE(""https://docs.google.com/spreadsheets/d/11923uPwbBZFjjGgGUA6NLw09EwE0CqkOc4q9oUmW1yo/edit?usp=sharing"",""เพชรบูรณ์!J87"")"),0)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IFERROR(__xludf.DUMMYFUNCTION("IMPORTRANGE(""https://docs.google.com/spreadsheets/d/11923uPwbBZFjjGgGUA6NLw09EwE0CqkOc4q9oUmW1yo/edit?usp=sharing"",""เพชรบูรณ์!J88"")"),0)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IFERROR(__xludf.DUMMYFUNCTION("IMPORTRANGE(""https://docs.google.com/spreadsheets/d/11923uPwbBZFjjGgGUA6NLw09EwE0CqkOc4q9oUmW1yo/edit?usp=sharing"",""เพชรบูรณ์!I89"")"),2)</f>
        <v>2</v>
      </c>
      <c r="J164" s="292">
        <f ca="1">IFERROR(__xludf.DUMMYFUNCTION("IMPORTRANGE(""https://docs.google.com/spreadsheets/d/11923uPwbBZFjjGgGUA6NLw09EwE0CqkOc4q9oUmW1yo/edit?usp=sharing"",""เพชรบูรณ์!J89"")"),1)</f>
        <v>1</v>
      </c>
      <c r="K164" s="293">
        <f ca="1">IF(I164&gt;0,J164*100/I164,0)</f>
        <v>50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IFERROR(__xludf.DUMMYFUNCTION("IMPORTRANGE(""https://docs.google.com/spreadsheets/d/11923uPwbBZFjjGgGUA6NLw09EwE0CqkOc4q9oUmW1yo/edit?usp=sharing"",""เพชรบูรณ์!J94"")"),0)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IFERROR(__xludf.DUMMYFUNCTION("IMPORTRANGE(""https://docs.google.com/spreadsheets/d/11923uPwbBZFjjGgGUA6NLw09EwE0CqkOc4q9oUmW1yo/edit?usp=sharing"",""เพชรบูรณ์!J95"")"),1)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IFERROR(__xludf.DUMMYFUNCTION("IMPORTRANGE(""https://docs.google.com/spreadsheets/d/11923uPwbBZFjjGgGUA6NLw09EwE0CqkOc4q9oUmW1yo/edit?usp=sharing"",""เพชรบูรณ์!J96"")"),0)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IFERROR(__xludf.DUMMYFUNCTION("IMPORTRANGE(""https://docs.google.com/spreadsheets/d/11923uPwbBZFjjGgGUA6NLw09EwE0CqkOc4q9oUmW1yo/edit?usp=sharing"",""เพชรบูรณ์!J97"")"),0)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IFERROR(__xludf.DUMMYFUNCTION("IMPORTRANGE(""https://docs.google.com/spreadsheets/d/11923uPwbBZFjjGgGUA6NLw09EwE0CqkOc4q9oUmW1yo/edit?usp=sharing"",""เพชรบูรณ์!I98"")"),2)</f>
        <v>2</v>
      </c>
      <c r="J173" s="198">
        <f ca="1">IFERROR(__xludf.DUMMYFUNCTION("IMPORTRANGE(""https://docs.google.com/spreadsheets/d/11923uPwbBZFjjGgGUA6NLw09EwE0CqkOc4q9oUmW1yo/edit?usp=sharing"",""เพชรบูรณ์!J98"")"),1)</f>
        <v>1</v>
      </c>
      <c r="K173" s="171">
        <f ca="1">IF(I173&gt;0,J173*100/I173,0)</f>
        <v>50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IFERROR(__xludf.DUMMYFUNCTION("IMPORTRANGE(""https://docs.google.com/spreadsheets/d/11923uPwbBZFjjGgGUA6NLw09EwE0CqkOc4q9oUmW1yo/edit?usp=sharing"",""เพชรบูรณ์!J99"")"),0)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IFERROR(__xludf.DUMMYFUNCTION("IMPORTRANGE(""https://docs.google.com/spreadsheets/d/11923uPwbBZFjjGgGUA6NLw09EwE0CqkOc4q9oUmW1yo/edit?usp=sharing"",""เพชรบูรณ์!J100"")"),0)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IFERROR(__xludf.DUMMYFUNCTION("IMPORTRANGE(""https://docs.google.com/spreadsheets/d/11923uPwbBZFjjGgGUA6NLw09EwE0CqkOc4q9oUmW1yo/edit?usp=sharing"",""เพชรบูรณ์!I101"")"),2)</f>
        <v>2</v>
      </c>
      <c r="J176" s="292">
        <f ca="1">IFERROR(__xludf.DUMMYFUNCTION("IMPORTRANGE(""https://docs.google.com/spreadsheets/d/11923uPwbBZFjjGgGUA6NLw09EwE0CqkOc4q9oUmW1yo/edit?usp=sharing"",""เพชรบูรณ์!J101"")"),1)</f>
        <v>1</v>
      </c>
      <c r="K176" s="293">
        <f ca="1">IF(I176&gt;0,J176*100/I176,0)</f>
        <v>50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IFERROR(__xludf.DUMMYFUNCTION("IMPORTRANGE(""https://docs.google.com/spreadsheets/d/11923uPwbBZFjjGgGUA6NLw09EwE0CqkOc4q9oUmW1yo/edit?usp=sharing"",""เพชรบูรณ์!J106"")"),0)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IFERROR(__xludf.DUMMYFUNCTION("IMPORTRANGE(""https://docs.google.com/spreadsheets/d/11923uPwbBZFjjGgGUA6NLw09EwE0CqkOc4q9oUmW1yo/edit?usp=sharing"",""เพชรบูรณ์!J107"")"),1)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IFERROR(__xludf.DUMMYFUNCTION("IMPORTRANGE(""https://docs.google.com/spreadsheets/d/11923uPwbBZFjjGgGUA6NLw09EwE0CqkOc4q9oUmW1yo/edit?usp=sharing"",""เพชรบูรณ์!J108"")"),0)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IFERROR(__xludf.DUMMYFUNCTION("IMPORTRANGE(""https://docs.google.com/spreadsheets/d/11923uPwbBZFjjGgGUA6NLw09EwE0CqkOc4q9oUmW1yo/edit?usp=sharing"",""เพชรบูรณ์!J109"")"),0)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IFERROR(__xludf.DUMMYFUNCTION("IMPORTRANGE(""https://docs.google.com/spreadsheets/d/11923uPwbBZFjjGgGUA6NLw09EwE0CqkOc4q9oUmW1yo/edit?usp=sharing"",""เพชรบูรณ์!I110"")"),2)</f>
        <v>2</v>
      </c>
      <c r="J185" s="213">
        <f ca="1">IFERROR(__xludf.DUMMYFUNCTION("IMPORTRANGE(""https://docs.google.com/spreadsheets/d/11923uPwbBZFjjGgGUA6NLw09EwE0CqkOc4q9oUmW1yo/edit?usp=sharing"",""เพชรบูรณ์!J110"")"),1)</f>
        <v>1</v>
      </c>
      <c r="K185" s="233">
        <f t="shared" ref="K185:K186" ca="1" si="69">IF(I185&gt;0,J185*100/I185,0)</f>
        <v>50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IFERROR(__xludf.DUMMYFUNCTION("IMPORTRANGE(""https://docs.google.com/spreadsheets/d/11923uPwbBZFjjGgGUA6NLw09EwE0CqkOc4q9oUmW1yo/edit?usp=sharing"",""เพชรบูรณ์!I111"")"),2)</f>
        <v>2</v>
      </c>
      <c r="J186" s="213">
        <f ca="1">IFERROR(__xludf.DUMMYFUNCTION("IMPORTRANGE(""https://docs.google.com/spreadsheets/d/11923uPwbBZFjjGgGUA6NLw09EwE0CqkOc4q9oUmW1yo/edit?usp=sharing"",""เพชรบูรณ์!J111"")"),1)</f>
        <v>1</v>
      </c>
      <c r="K186" s="233">
        <f t="shared" ca="1" si="69"/>
        <v>50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IFERROR(__xludf.DUMMYFUNCTION("IMPORTRANGE(""https://docs.google.com/spreadsheets/d/11923uPwbBZFjjGgGUA6NLw09EwE0CqkOc4q9oUmW1yo/edit?usp=sharing"",""เพชรบูรณ์!J112"")"),0)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IFERROR(__xludf.DUMMYFUNCTION("IMPORTRANGE(""https://docs.google.com/spreadsheets/d/11923uPwbBZFjjGgGUA6NLw09EwE0CqkOc4q9oUmW1yo/edit?usp=sharing"",""เพชรบูรณ์!J113"")"),0)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IFERROR(__xludf.DUMMYFUNCTION("IMPORTRANGE(""https://docs.google.com/spreadsheets/d/11923uPwbBZFjjGgGUA6NLw09EwE0CqkOc4q9oUmW1yo/edit?usp=sharing"",""เพชรบูรณ์!I114"")"),128000)</f>
        <v>128000</v>
      </c>
      <c r="J189" s="292">
        <f ca="1">IFERROR(__xludf.DUMMYFUNCTION("IMPORTRANGE(""https://docs.google.com/spreadsheets/d/11923uPwbBZFjjGgGUA6NLw09EwE0CqkOc4q9oUmW1yo/edit?usp=sharing"",""เพชรบูรณ์!J114"")"),0)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IFERROR(__xludf.DUMMYFUNCTION("IMPORTRANGE(""https://docs.google.com/spreadsheets/d/11923uPwbBZFjjGgGUA6NLw09EwE0CqkOc4q9oUmW1yo/edit?usp=sharing"",""เพชรบูรณ์!J119"")"),0)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IFERROR(__xludf.DUMMYFUNCTION("IMPORTRANGE(""https://docs.google.com/spreadsheets/d/11923uPwbBZFjjGgGUA6NLw09EwE0CqkOc4q9oUmW1yo/edit?usp=sharing"",""เพชรบูรณ์!J120"")"),1)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IFERROR(__xludf.DUMMYFUNCTION("IMPORTRANGE(""https://docs.google.com/spreadsheets/d/11923uPwbBZFjjGgGUA6NLw09EwE0CqkOc4q9oUmW1yo/edit?usp=sharing"",""เพชรบูรณ์!J121"")"),1)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IFERROR(__xludf.DUMMYFUNCTION("IMPORTRANGE(""https://docs.google.com/spreadsheets/d/11923uPwbBZFjjGgGUA6NLw09EwE0CqkOc4q9oUmW1yo/edit?usp=sharing"",""เพชรบูรณ์!J122"")"),1)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IFERROR(__xludf.DUMMYFUNCTION("IMPORTRANGE(""https://docs.google.com/spreadsheets/d/11923uPwbBZFjjGgGUA6NLw09EwE0CqkOc4q9oUmW1yo/edit?usp=sharing"",""เพชรบูรณ์!I124"")"),128000)</f>
        <v>128000</v>
      </c>
      <c r="J199" s="198">
        <f ca="1">IFERROR(__xludf.DUMMYFUNCTION("IMPORTRANGE(""https://docs.google.com/spreadsheets/d/11923uPwbBZFjjGgGUA6NLw09EwE0CqkOc4q9oUmW1yo/edit?usp=sharing"",""เพชรบูรณ์!J124"")"),128000)</f>
        <v>128000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IFERROR(__xludf.DUMMYFUNCTION("IMPORTRANGE(""https://docs.google.com/spreadsheets/d/11923uPwbBZFjjGgGUA6NLw09EwE0CqkOc4q9oUmW1yo/edit?usp=sharing"",""เพชรบูรณ์!I125"")"),128000)</f>
        <v>128000</v>
      </c>
      <c r="J200" s="198">
        <f ca="1">IFERROR(__xludf.DUMMYFUNCTION("IMPORTRANGE(""https://docs.google.com/spreadsheets/d/11923uPwbBZFjjGgGUA6NLw09EwE0CqkOc4q9oUmW1yo/edit?usp=sharing"",""เพชรบูรณ์!J125"")"),0)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IFERROR(__xludf.DUMMYFUNCTION("IMPORTRANGE(""https://docs.google.com/spreadsheets/d/11923uPwbBZFjjGgGUA6NLw09EwE0CqkOc4q9oUmW1yo/edit?usp=sharing"",""เพชรบูรณ์!I126"")"),15)</f>
        <v>15</v>
      </c>
      <c r="J201" s="198">
        <f ca="1">IFERROR(__xludf.DUMMYFUNCTION("IMPORTRANGE(""https://docs.google.com/spreadsheets/d/11923uPwbBZFjjGgGUA6NLw09EwE0CqkOc4q9oUmW1yo/edit?usp=sharing"",""เพชรบูรณ์!J126"")"),15)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IFERROR(__xludf.DUMMYFUNCTION("IMPORTRANGE(""https://docs.google.com/spreadsheets/d/11923uPwbBZFjjGgGUA6NLw09EwE0CqkOc4q9oUmW1yo/edit?usp=sharing"",""เพชรบูรณ์!J127"")"),0)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IFERROR(__xludf.DUMMYFUNCTION("IMPORTRANGE(""https://docs.google.com/spreadsheets/d/11923uPwbBZFjjGgGUA6NLw09EwE0CqkOc4q9oUmW1yo/edit?usp=sharing"",""เพชรบูรณ์!J128"")"),0)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IFERROR(__xludf.DUMMYFUNCTION("IMPORTRANGE(""https://docs.google.com/spreadsheets/d/11923uPwbBZFjjGgGUA6NLw09EwE0CqkOc4q9oUmW1yo/edit?usp=sharing"",""เพชรบูรณ์!I129"")"),0)</f>
        <v>0</v>
      </c>
      <c r="J204" s="292">
        <f ca="1">IFERROR(__xludf.DUMMYFUNCTION("IMPORTRANGE(""https://docs.google.com/spreadsheets/d/11923uPwbBZFjjGgGUA6NLw09EwE0CqkOc4q9oUmW1yo/edit?usp=sharing"",""เพชรบูรณ์!J129"")"),0)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IFERROR(__xludf.DUMMYFUNCTION("IMPORTRANGE(""https://docs.google.com/spreadsheets/d/11923uPwbBZFjjGgGUA6NLw09EwE0CqkOc4q9oUmW1yo/edit?usp=sharing"",""เพชรบูรณ์!J134"")"),0)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IFERROR(__xludf.DUMMYFUNCTION("IMPORTRANGE(""https://docs.google.com/spreadsheets/d/11923uPwbBZFjjGgGUA6NLw09EwE0CqkOc4q9oUmW1yo/edit?usp=sharing"",""เพชรบูรณ์!J135"")"),0)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IFERROR(__xludf.DUMMYFUNCTION("IMPORTRANGE(""https://docs.google.com/spreadsheets/d/11923uPwbBZFjjGgGUA6NLw09EwE0CqkOc4q9oUmW1yo/edit?usp=sharing"",""เพชรบูรณ์!J136"")"),0)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IFERROR(__xludf.DUMMYFUNCTION("IMPORTRANGE(""https://docs.google.com/spreadsheets/d/11923uPwbBZFjjGgGUA6NLw09EwE0CqkOc4q9oUmW1yo/edit?usp=sharing"",""เพชรบูรณ์!J137"")"),0)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IFERROR(__xludf.DUMMYFUNCTION("IMPORTRANGE(""https://docs.google.com/spreadsheets/d/11923uPwbBZFjjGgGUA6NLw09EwE0CqkOc4q9oUmW1yo/edit?usp=sharing"",""เพชรบูรณ์!I138"")"),0)</f>
        <v>0</v>
      </c>
      <c r="J213" s="213">
        <f ca="1">IFERROR(__xludf.DUMMYFUNCTION("IMPORTRANGE(""https://docs.google.com/spreadsheets/d/11923uPwbBZFjjGgGUA6NLw09EwE0CqkOc4q9oUmW1yo/edit?usp=sharing"",""เพชรบูรณ์!J138"")"),0)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IFERROR(__xludf.DUMMYFUNCTION("IMPORTRANGE(""https://docs.google.com/spreadsheets/d/11923uPwbBZFjjGgGUA6NLw09EwE0CqkOc4q9oUmW1yo/edit?usp=sharing"",""เพชรบูรณ์!I140"")"),0)</f>
        <v>0</v>
      </c>
      <c r="J215" s="213">
        <f ca="1">IFERROR(__xludf.DUMMYFUNCTION("IMPORTRANGE(""https://docs.google.com/spreadsheets/d/11923uPwbBZFjjGgGUA6NLw09EwE0CqkOc4q9oUmW1yo/edit?usp=sharing"",""เพชรบูรณ์!J140"")"),0)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IFERROR(__xludf.DUMMYFUNCTION("IMPORTRANGE(""https://docs.google.com/spreadsheets/d/11923uPwbBZFjjGgGUA6NLw09EwE0CqkOc4q9oUmW1yo/edit?usp=sharing"",""เพชรบูรณ์!I141"")"),0)</f>
        <v>0</v>
      </c>
      <c r="J216" s="213">
        <f ca="1">IFERROR(__xludf.DUMMYFUNCTION("IMPORTRANGE(""https://docs.google.com/spreadsheets/d/11923uPwbBZFjjGgGUA6NLw09EwE0CqkOc4q9oUmW1yo/edit?usp=sharing"",""เพชรบูรณ์!J141"")"),0)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IFERROR(__xludf.DUMMYFUNCTION("IMPORTRANGE(""https://docs.google.com/spreadsheets/d/11923uPwbBZFjjGgGUA6NLw09EwE0CqkOc4q9oUmW1yo/edit?usp=sharing"",""เพชรบูรณ์!J142"")"),0)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IFERROR(__xludf.DUMMYFUNCTION("IMPORTRANGE(""https://docs.google.com/spreadsheets/d/11923uPwbBZFjjGgGUA6NLw09EwE0CqkOc4q9oUmW1yo/edit?usp=sharing"",""เพชรบูรณ์!J143"")"),0)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IFERROR(__xludf.DUMMYFUNCTION("IMPORTRANGE(""https://docs.google.com/spreadsheets/d/11923uPwbBZFjjGgGUA6NLw09EwE0CqkOc4q9oUmW1yo/edit?usp=sharing"",""เพชรบูรณ์!I144"")"),15)</f>
        <v>15</v>
      </c>
      <c r="J219" s="276">
        <f ca="1">IFERROR(__xludf.DUMMYFUNCTION("IMPORTRANGE(""https://docs.google.com/spreadsheets/d/11923uPwbBZFjjGgGUA6NLw09EwE0CqkOc4q9oUmW1yo/edit?usp=sharing"",""เพชรบูรณ์!J144"")"),15)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IFERROR(__xludf.DUMMYFUNCTION("IMPORTRANGE(""https://docs.google.com/spreadsheets/d/1Yj_ptqi66GCucihVvJfMjLAmec39IyEx_6qawtMGysU/edit?usp=sharing"",""สบก!BS29"")"),21125)</f>
        <v>21125</v>
      </c>
      <c r="N224" s="177">
        <f ca="1">IFERROR(__xludf.DUMMYFUNCTION("IMPORTRANGE(""https://docs.google.com/spreadsheets/d/1Yj_ptqi66GCucihVvJfMjLAmec39IyEx_6qawtMGysU/edit?usp=sharing"",""สบก!BT29"")"),21125)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IFERROR(__xludf.DUMMYFUNCTION("IMPORTRANGE(""https://docs.google.com/spreadsheets/d/1Yj_ptqi66GCucihVvJfMjLAmec39IyEx_6qawtMGysU/edit?usp=sharing"",""สบก!BO29"")"),0)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IFERROR(__xludf.DUMMYFUNCTION("IMPORTRANGE(""https://docs.google.com/spreadsheets/d/1Yj_ptqi66GCucihVvJfMjLAmec39IyEx_6qawtMGysU/edit?usp=sharing"",""สบก!BP29"")"),21125)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IFERROR(__xludf.DUMMYFUNCTION("IMPORTRANGE(""https://docs.google.com/spreadsheets/d/1Yj_ptqi66GCucihVvJfMjLAmec39IyEx_6qawtMGysU/edit?usp=sharing"",""สบก!BQ29"")"),0)</f>
        <v>0</v>
      </c>
      <c r="M228" s="103"/>
      <c r="N228" s="93">
        <f ca="1">IFERROR(__xludf.DUMMYFUNCTION("IMPORTRANGE(""https://docs.google.com/spreadsheets/d/1Yj_ptqi66GCucihVvJfMjLAmec39IyEx_6qawtMGysU/edit?usp=sharing"",""สบก!BU29"")"),0)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IFERROR(__xludf.DUMMYFUNCTION("IMPORTRANGE(""https://docs.google.com/spreadsheets/d/11923uPwbBZFjjGgGUA6NLw09EwE0CqkOc4q9oUmW1yo/edit?usp=sharing"",""เพชรบูรณ์!I149"")"),15)</f>
        <v>15</v>
      </c>
      <c r="J229" s="276">
        <f ca="1">IFERROR(__xludf.DUMMYFUNCTION("IMPORTRANGE(""https://docs.google.com/spreadsheets/d/11923uPwbBZFjjGgGUA6NLw09EwE0CqkOc4q9oUmW1yo/edit?usp=sharing"",""เพชรบูรณ์!J149"")"),15)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IFERROR(__xludf.DUMMYFUNCTION("IMPORTRANGE(""https://docs.google.com/spreadsheets/d/11923uPwbBZFjjGgGUA6NLw09EwE0CqkOc4q9oUmW1yo/edit?usp=sharing"",""เพชรบูรณ์!J151"")"),0)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IFERROR(__xludf.DUMMYFUNCTION("IMPORTRANGE(""https://docs.google.com/spreadsheets/d/11923uPwbBZFjjGgGUA6NLw09EwE0CqkOc4q9oUmW1yo/edit?usp=sharing"",""เพชรบูรณ์!J152"")"),1)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IFERROR(__xludf.DUMMYFUNCTION("IMPORTRANGE(""https://docs.google.com/spreadsheets/d/11923uPwbBZFjjGgGUA6NLw09EwE0CqkOc4q9oUmW1yo/edit?usp=sharing"",""เพชรบูรณ์!J153"")"),1)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IFERROR(__xludf.DUMMYFUNCTION("IMPORTRANGE(""https://docs.google.com/spreadsheets/d/11923uPwbBZFjjGgGUA6NLw09EwE0CqkOc4q9oUmW1yo/edit?usp=sharing"",""เพชรบูรณ์!J154"")"),1)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IFERROR(__xludf.DUMMYFUNCTION("IMPORTRANGE(""https://docs.google.com/spreadsheets/d/11923uPwbBZFjjGgGUA6NLw09EwE0CqkOc4q9oUmW1yo/edit?usp=sharing"",""เพชรบูรณ์!I155"")"),15)</f>
        <v>15</v>
      </c>
      <c r="J235" s="198">
        <f ca="1">IFERROR(__xludf.DUMMYFUNCTION("IMPORTRANGE(""https://docs.google.com/spreadsheets/d/11923uPwbBZFjjGgGUA6NLw09EwE0CqkOc4q9oUmW1yo/edit?usp=sharing"",""เพชรบูรณ์!J155"")"),15)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IFERROR(__xludf.DUMMYFUNCTION("IMPORTRANGE(""https://docs.google.com/spreadsheets/d/11923uPwbBZFjjGgGUA6NLw09EwE0CqkOc4q9oUmW1yo/edit?usp=sharing"",""เพชรบูรณ์!J156"")"),0)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IFERROR(__xludf.DUMMYFUNCTION("IMPORTRANGE(""https://docs.google.com/spreadsheets/d/11923uPwbBZFjjGgGUA6NLw09EwE0CqkOc4q9oUmW1yo/edit?usp=sharing"",""เพชรบูรณ์!J157"")"),0)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IFERROR(__xludf.DUMMYFUNCTION("IMPORTRANGE(""https://docs.google.com/spreadsheets/d/11923uPwbBZFjjGgGUA6NLw09EwE0CqkOc4q9oUmW1yo/edit?usp=sharing"",""เพชรบูรณ์!I158"")"),0)</f>
        <v>0</v>
      </c>
      <c r="J238" s="276">
        <f ca="1">IFERROR(__xludf.DUMMYFUNCTION("IMPORTRANGE(""https://docs.google.com/spreadsheets/d/11923uPwbBZFjjGgGUA6NLw09EwE0CqkOc4q9oUmW1yo/edit?usp=sharing"",""เพชรบูรณ์!J158"")"),0)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IFERROR(__xludf.DUMMYFUNCTION("IMPORTRANGE(""https://docs.google.com/spreadsheets/d/11923uPwbBZFjjGgGUA6NLw09EwE0CqkOc4q9oUmW1yo/edit?usp=sharing"",""เพชรบูรณ์!J159"")"),"")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IFERROR(__xludf.DUMMYFUNCTION("IMPORTRANGE(""https://docs.google.com/spreadsheets/d/11923uPwbBZFjjGgGUA6NLw09EwE0CqkOc4q9oUmW1yo/edit?usp=sharing"",""เพชรบูรณ์!J161"")"),0)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IFERROR(__xludf.DUMMYFUNCTION("IMPORTRANGE(""https://docs.google.com/spreadsheets/d/11923uPwbBZFjjGgGUA6NLw09EwE0CqkOc4q9oUmW1yo/edit?usp=sharing"",""เพชรบูรณ์!J162"")"),0)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IFERROR(__xludf.DUMMYFUNCTION("IMPORTRANGE(""https://docs.google.com/spreadsheets/d/11923uPwbBZFjjGgGUA6NLw09EwE0CqkOc4q9oUmW1yo/edit?usp=sharing"",""เพชรบูรณ์!J163"")"),0)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IFERROR(__xludf.DUMMYFUNCTION("IMPORTRANGE(""https://docs.google.com/spreadsheets/d/11923uPwbBZFjjGgGUA6NLw09EwE0CqkOc4q9oUmW1yo/edit?usp=sharing"",""เพชรบูรณ์!I164"")"),0)</f>
        <v>0</v>
      </c>
      <c r="J244" s="197">
        <f ca="1">IFERROR(__xludf.DUMMYFUNCTION("IMPORTRANGE(""https://docs.google.com/spreadsheets/d/11923uPwbBZFjjGgGUA6NLw09EwE0CqkOc4q9oUmW1yo/edit?usp=sharing"",""เพชรบูรณ์!J164"")"),0)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IFERROR(__xludf.DUMMYFUNCTION("IMPORTRANGE(""https://docs.google.com/spreadsheets/d/11923uPwbBZFjjGgGUA6NLw09EwE0CqkOc4q9oUmW1yo/edit?usp=sharing"",""เพชรบูรณ์!J165"")"),0)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IFERROR(__xludf.DUMMYFUNCTION("IMPORTRANGE(""https://docs.google.com/spreadsheets/d/11923uPwbBZFjjGgGUA6NLw09EwE0CqkOc4q9oUmW1yo/edit?usp=sharing"",""เพชรบูรณ์!J166"")"),0)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IFERROR(__xludf.DUMMYFUNCTION("IMPORTRANGE(""https://docs.google.com/spreadsheets/d/11923uPwbBZFjjGgGUA6NLw09EwE0CqkOc4q9oUmW1yo/edit?usp=sharing"",""เพชรบูรณ์!I169"")"),25)</f>
        <v>25</v>
      </c>
      <c r="J249" s="324">
        <f ca="1">IFERROR(__xludf.DUMMYFUNCTION("IMPORTRANGE(""https://docs.google.com/spreadsheets/d/11923uPwbBZFjjGgGUA6NLw09EwE0CqkOc4q9oUmW1yo/edit?usp=sharing"",""เพชรบูรณ์!J169"")"),0)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199000</v>
      </c>
      <c r="M250" s="158">
        <f t="shared" ca="1" si="77"/>
        <v>97500</v>
      </c>
      <c r="N250" s="158">
        <f t="shared" ca="1" si="77"/>
        <v>45464</v>
      </c>
      <c r="O250" s="157">
        <f t="shared" ref="O250:O252" ca="1" si="78">IF(L250&gt;0,N250*100/L250,0)</f>
        <v>22.846231155778895</v>
      </c>
      <c r="P250" s="157">
        <f t="shared" ref="P250:P252" ca="1" si="79">IF(M250&gt;0,N250*100/M250,0)</f>
        <v>46.62974358974359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199000</v>
      </c>
      <c r="M252" s="163">
        <f t="shared" ca="1" si="81"/>
        <v>97500</v>
      </c>
      <c r="N252" s="163">
        <f t="shared" ca="1" si="81"/>
        <v>45464</v>
      </c>
      <c r="O252" s="162">
        <f t="shared" ca="1" si="78"/>
        <v>22.846231155778895</v>
      </c>
      <c r="P252" s="162">
        <f t="shared" ca="1" si="79"/>
        <v>46.62974358974359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199000</v>
      </c>
      <c r="M254" s="176">
        <f ca="1">IFERROR(__xludf.DUMMYFUNCTION("IMPORTRANGE(""https://docs.google.com/spreadsheets/d/1Yj_ptqi66GCucihVvJfMjLAmec39IyEx_6qawtMGysU/edit?usp=sharing"",""สบก!CB29"")"),97500)</f>
        <v>97500</v>
      </c>
      <c r="N254" s="177">
        <f ca="1">IFERROR(__xludf.DUMMYFUNCTION("IMPORTRANGE(""https://docs.google.com/spreadsheets/d/1Yj_ptqi66GCucihVvJfMjLAmec39IyEx_6qawtMGysU/edit?usp=sharing"",""สบก!CC29"")"),45464)</f>
        <v>45464</v>
      </c>
      <c r="O254" s="178">
        <f ca="1">IF(L254&gt;0,N254*100/L254,0)</f>
        <v>22.846231155778895</v>
      </c>
      <c r="P254" s="178">
        <f ca="1">IF(M254&gt;0,N254*100/M254,0)</f>
        <v>46.62974358974359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IFERROR(__xludf.DUMMYFUNCTION("IMPORTRANGE(""https://docs.google.com/spreadsheets/d/1Yj_ptqi66GCucihVvJfMjLAmec39IyEx_6qawtMGysU/edit?usp=sharing"",""สบก!BX29"")"),0)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IFERROR(__xludf.DUMMYFUNCTION("IMPORTRANGE(""https://docs.google.com/spreadsheets/d/1Yj_ptqi66GCucihVvJfMjLAmec39IyEx_6qawtMGysU/edit?usp=sharing"",""สบก!BY29"")"),199000)</f>
        <v>199000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IFERROR(__xludf.DUMMYFUNCTION("IMPORTRANGE(""https://docs.google.com/spreadsheets/d/1Yj_ptqi66GCucihVvJfMjLAmec39IyEx_6qawtMGysU/edit?usp=sharing"",""สบก!BZ29"")"),0)</f>
        <v>0</v>
      </c>
      <c r="M258" s="103"/>
      <c r="N258" s="93">
        <f ca="1">IFERROR(__xludf.DUMMYFUNCTION("IMPORTRANGE(""https://docs.google.com/spreadsheets/d/1Yj_ptqi66GCucihVvJfMjLAmec39IyEx_6qawtMGysU/edit?usp=sharing"",""สบก!CD29"")"),0)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IFERROR(__xludf.DUMMYFUNCTION("IMPORTRANGE(""https://docs.google.com/spreadsheets/d/11923uPwbBZFjjGgGUA6NLw09EwE0CqkOc4q9oUmW1yo/edit?usp=sharing"",""เพชรบูรณ์!J175"")"),0)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IFERROR(__xludf.DUMMYFUNCTION("IMPORTRANGE(""https://docs.google.com/spreadsheets/d/11923uPwbBZFjjGgGUA6NLw09EwE0CqkOc4q9oUmW1yo/edit?usp=sharing"",""เพชรบูรณ์!J176"")"),1)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IFERROR(__xludf.DUMMYFUNCTION("IMPORTRANGE(""https://docs.google.com/spreadsheets/d/11923uPwbBZFjjGgGUA6NLw09EwE0CqkOc4q9oUmW1yo/edit?usp=sharing"",""เพชรบูรณ์!J177"")"),1)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IFERROR(__xludf.DUMMYFUNCTION("IMPORTRANGE(""https://docs.google.com/spreadsheets/d/11923uPwbBZFjjGgGUA6NLw09EwE0CqkOc4q9oUmW1yo/edit?usp=sharing"",""เพชรบูรณ์!J178"")"),1)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IFERROR(__xludf.DUMMYFUNCTION("IMPORTRANGE(""https://docs.google.com/spreadsheets/d/11923uPwbBZFjjGgGUA6NLw09EwE0CqkOc4q9oUmW1yo/edit?usp=sharing"",""เพชรบูรณ์!I179"")"),1)</f>
        <v>1</v>
      </c>
      <c r="J264" s="198">
        <f ca="1">IFERROR(__xludf.DUMMYFUNCTION("IMPORTRANGE(""https://docs.google.com/spreadsheets/d/11923uPwbBZFjjGgGUA6NLw09EwE0CqkOc4q9oUmW1yo/edit?usp=sharing"",""เพชรบูรณ์!J179"")"),1)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IFERROR(__xludf.DUMMYFUNCTION("IMPORTRANGE(""https://docs.google.com/spreadsheets/d/11923uPwbBZFjjGgGUA6NLw09EwE0CqkOc4q9oUmW1yo/edit?usp=sharing"",""เพชรบูรณ์!I180"")"),25)</f>
        <v>25</v>
      </c>
      <c r="J265" s="198">
        <f ca="1">IFERROR(__xludf.DUMMYFUNCTION("IMPORTRANGE(""https://docs.google.com/spreadsheets/d/11923uPwbBZFjjGgGUA6NLw09EwE0CqkOc4q9oUmW1yo/edit?usp=sharing"",""เพชรบูรณ์!J180"")"),0)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IFERROR(__xludf.DUMMYFUNCTION("IMPORTRANGE(""https://docs.google.com/spreadsheets/d/11923uPwbBZFjjGgGUA6NLw09EwE0CqkOc4q9oUmW1yo/edit?usp=sharing"",""เพชรบูรณ์!I181"")"),25)</f>
        <v>25</v>
      </c>
      <c r="J266" s="198">
        <f ca="1">IFERROR(__xludf.DUMMYFUNCTION("IMPORTRANGE(""https://docs.google.com/spreadsheets/d/11923uPwbBZFjjGgGUA6NLw09EwE0CqkOc4q9oUmW1yo/edit?usp=sharing"",""เพชรบูรณ์!J181"")"),0)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IFERROR(__xludf.DUMMYFUNCTION("IMPORTRANGE(""https://docs.google.com/spreadsheets/d/11923uPwbBZFjjGgGUA6NLw09EwE0CqkOc4q9oUmW1yo/edit?usp=sharing"",""เพชรบูรณ์!I182"")"),1)</f>
        <v>1</v>
      </c>
      <c r="J267" s="198">
        <f ca="1">IFERROR(__xludf.DUMMYFUNCTION("IMPORTRANGE(""https://docs.google.com/spreadsheets/d/11923uPwbBZFjjGgGUA6NLw09EwE0CqkOc4q9oUmW1yo/edit?usp=sharing"",""เพชรบูรณ์!J182"")"),1)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IFERROR(__xludf.DUMMYFUNCTION("IMPORTRANGE(""https://docs.google.com/spreadsheets/d/11923uPwbBZFjjGgGUA6NLw09EwE0CqkOc4q9oUmW1yo/edit?usp=sharing"",""เพชรบูรณ์!J183"")"),0)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IFERROR(__xludf.DUMMYFUNCTION("IMPORTRANGE(""https://docs.google.com/spreadsheets/d/11923uPwbBZFjjGgGUA6NLw09EwE0CqkOc4q9oUmW1yo/edit?usp=sharing"",""เพชรบูรณ์!J184"")"),0)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IFERROR(__xludf.DUMMYFUNCTION("IMPORTRANGE(""https://docs.google.com/spreadsheets/d/11923uPwbBZFjjGgGUA6NLw09EwE0CqkOc4q9oUmW1yo/edit?usp=sharing"",""เพชรบูรณ์!I185"")"),20)</f>
        <v>20</v>
      </c>
      <c r="J270" s="324">
        <f ca="1">IFERROR(__xludf.DUMMYFUNCTION("IMPORTRANGE(""https://docs.google.com/spreadsheets/d/11923uPwbBZFjjGgGUA6NLw09EwE0CqkOc4q9oUmW1yo/edit?usp=sharing"",""เพชรบูรณ์!J185"")"),20)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73700</v>
      </c>
      <c r="M271" s="158">
        <f t="shared" ca="1" si="83"/>
        <v>33000</v>
      </c>
      <c r="N271" s="158">
        <f t="shared" ca="1" si="83"/>
        <v>33000</v>
      </c>
      <c r="O271" s="157">
        <f t="shared" ref="O271:O273" ca="1" si="84">IF(L271&gt;0,N271*100/L271,0)</f>
        <v>44.776119402985074</v>
      </c>
      <c r="P271" s="157">
        <f t="shared" ref="P271:P273" ca="1" si="85">IF(M271&gt;0,N271*100/M271,0)</f>
        <v>100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73700</v>
      </c>
      <c r="M273" s="163">
        <f t="shared" ca="1" si="87"/>
        <v>33000</v>
      </c>
      <c r="N273" s="163">
        <f t="shared" ca="1" si="87"/>
        <v>33000</v>
      </c>
      <c r="O273" s="162">
        <f t="shared" ca="1" si="84"/>
        <v>44.776119402985074</v>
      </c>
      <c r="P273" s="162">
        <f t="shared" ca="1" si="85"/>
        <v>100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73700</v>
      </c>
      <c r="M275" s="176">
        <f ca="1">IFERROR(__xludf.DUMMYFUNCTION("IMPORTRANGE(""https://docs.google.com/spreadsheets/d/1Yj_ptqi66GCucihVvJfMjLAmec39IyEx_6qawtMGysU/edit?usp=sharing"",""สบก!CK29"")"),33000)</f>
        <v>33000</v>
      </c>
      <c r="N275" s="177">
        <f ca="1">IFERROR(__xludf.DUMMYFUNCTION("IMPORTRANGE(""https://docs.google.com/spreadsheets/d/1Yj_ptqi66GCucihVvJfMjLAmec39IyEx_6qawtMGysU/edit?usp=sharing"",""สบก!CL29"")"),33000)</f>
        <v>33000</v>
      </c>
      <c r="O275" s="178">
        <f ca="1">IF(L275&gt;0,N275*100/L275,0)</f>
        <v>44.776119402985074</v>
      </c>
      <c r="P275" s="178">
        <f ca="1">IF(M275&gt;0,N275*100/M275,0)</f>
        <v>100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IFERROR(__xludf.DUMMYFUNCTION("IMPORTRANGE(""https://docs.google.com/spreadsheets/d/1Yj_ptqi66GCucihVvJfMjLAmec39IyEx_6qawtMGysU/edit?usp=sharing"",""สบก!CG29"")"),0)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IFERROR(__xludf.DUMMYFUNCTION("IMPORTRANGE(""https://docs.google.com/spreadsheets/d/1Yj_ptqi66GCucihVvJfMjLAmec39IyEx_6qawtMGysU/edit?usp=sharing"",""สบก!CH29"")"),73700)</f>
        <v>73700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IFERROR(__xludf.DUMMYFUNCTION("IMPORTRANGE(""https://docs.google.com/spreadsheets/d/1Yj_ptqi66GCucihVvJfMjLAmec39IyEx_6qawtMGysU/edit?usp=sharing"",""สบก!CI29"")"),0)</f>
        <v>0</v>
      </c>
      <c r="M279" s="103"/>
      <c r="N279" s="93">
        <f ca="1">IFERROR(__xludf.DUMMYFUNCTION("IMPORTRANGE(""https://docs.google.com/spreadsheets/d/1Yj_ptqi66GCucihVvJfMjLAmec39IyEx_6qawtMGysU/edit?usp=sharing"",""สบก!CM29"")"),0)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IFERROR(__xludf.DUMMYFUNCTION("IMPORTRANGE(""https://docs.google.com/spreadsheets/d/11923uPwbBZFjjGgGUA6NLw09EwE0CqkOc4q9oUmW1yo/edit?usp=sharing"",""เพชรบูรณ์!J191"")"),0)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IFERROR(__xludf.DUMMYFUNCTION("IMPORTRANGE(""https://docs.google.com/spreadsheets/d/11923uPwbBZFjjGgGUA6NLw09EwE0CqkOc4q9oUmW1yo/edit?usp=sharing"",""เพชรบูรณ์!J192"")"),1)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IFERROR(__xludf.DUMMYFUNCTION("IMPORTRANGE(""https://docs.google.com/spreadsheets/d/11923uPwbBZFjjGgGUA6NLw09EwE0CqkOc4q9oUmW1yo/edit?usp=sharing"",""เพชรบูรณ์!J193"")"),1)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IFERROR(__xludf.DUMMYFUNCTION("IMPORTRANGE(""https://docs.google.com/spreadsheets/d/11923uPwbBZFjjGgGUA6NLw09EwE0CqkOc4q9oUmW1yo/edit?usp=sharing"",""เพชรบูรณ์!J194"")"),1)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IFERROR(__xludf.DUMMYFUNCTION("IMPORTRANGE(""https://docs.google.com/spreadsheets/d/11923uPwbBZFjjGgGUA6NLw09EwE0CqkOc4q9oUmW1yo/edit?usp=sharing"",""เพชรบูรณ์!I195"")"),20)</f>
        <v>20</v>
      </c>
      <c r="J285" s="198">
        <f ca="1">IFERROR(__xludf.DUMMYFUNCTION("IMPORTRANGE(""https://docs.google.com/spreadsheets/d/11923uPwbBZFjjGgGUA6NLw09EwE0CqkOc4q9oUmW1yo/edit?usp=sharing"",""เพชรบูรณ์!J195"")"),20)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IFERROR(__xludf.DUMMYFUNCTION("IMPORTRANGE(""https://docs.google.com/spreadsheets/d/11923uPwbBZFjjGgGUA6NLw09EwE0CqkOc4q9oUmW1yo/edit?usp=sharing"",""เพชรบูรณ์!J196"")"),0)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IFERROR(__xludf.DUMMYFUNCTION("IMPORTRANGE(""https://docs.google.com/spreadsheets/d/11923uPwbBZFjjGgGUA6NLw09EwE0CqkOc4q9oUmW1yo/edit?usp=sharing"",""เพชรบูรณ์!J197"")"),0)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IFERROR(__xludf.DUMMYFUNCTION("IMPORTRANGE(""https://docs.google.com/spreadsheets/d/11923uPwbBZFjjGgGUA6NLw09EwE0CqkOc4q9oUmW1yo/edit?usp=sharing"",""เพชรบูรณ์!I199"")"),0)</f>
        <v>0</v>
      </c>
      <c r="J289" s="324">
        <f ca="1">IFERROR(__xludf.DUMMYFUNCTION("IMPORTRANGE(""https://docs.google.com/spreadsheets/d/11923uPwbBZFjjGgGUA6NLw09EwE0CqkOc4q9oUmW1yo/edit?usp=sharing"",""เพชรบูรณ์!J199"")"),0)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IFERROR(__xludf.DUMMYFUNCTION("IMPORTRANGE(""https://docs.google.com/spreadsheets/d/1Yj_ptqi66GCucihVvJfMjLAmec39IyEx_6qawtMGysU/edit?usp=sharing"",""สบก!CT29"")"),0)</f>
        <v>0</v>
      </c>
      <c r="N294" s="177">
        <f ca="1">IFERROR(__xludf.DUMMYFUNCTION("IMPORTRANGE(""https://docs.google.com/spreadsheets/d/1Yj_ptqi66GCucihVvJfMjLAmec39IyEx_6qawtMGysU/edit?usp=sharing"",""สบก!CU29"")"),0)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IFERROR(__xludf.DUMMYFUNCTION("IMPORTRANGE(""https://docs.google.com/spreadsheets/d/1Yj_ptqi66GCucihVvJfMjLAmec39IyEx_6qawtMGysU/edit?usp=sharing"",""สบก!CP29"")"),0)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IFERROR(__xludf.DUMMYFUNCTION("IMPORTRANGE(""https://docs.google.com/spreadsheets/d/1Yj_ptqi66GCucihVvJfMjLAmec39IyEx_6qawtMGysU/edit?usp=sharing"",""สบก!CQ29"")"),0)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IFERROR(__xludf.DUMMYFUNCTION("IMPORTRANGE(""https://docs.google.com/spreadsheets/d/1Yj_ptqi66GCucihVvJfMjLAmec39IyEx_6qawtMGysU/edit?usp=sharing"",""สบก!CR29"")"),0)</f>
        <v>0</v>
      </c>
      <c r="M298" s="103"/>
      <c r="N298" s="93">
        <f ca="1">IFERROR(__xludf.DUMMYFUNCTION("IMPORTRANGE(""https://docs.google.com/spreadsheets/d/1Yj_ptqi66GCucihVvJfMjLAmec39IyEx_6qawtMGysU/edit?usp=sharing"",""สบก!CV29"")"),0)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IFERROR(__xludf.DUMMYFUNCTION("IMPORTRANGE(""https://docs.google.com/spreadsheets/d/11923uPwbBZFjjGgGUA6NLw09EwE0CqkOc4q9oUmW1yo/edit?usp=sharing"",""เพชรบูรณ์!J205"")"),0)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IFERROR(__xludf.DUMMYFUNCTION("IMPORTRANGE(""https://docs.google.com/spreadsheets/d/11923uPwbBZFjjGgGUA6NLw09EwE0CqkOc4q9oUmW1yo/edit?usp=sharing"",""เพชรบูรณ์!J206"")"),0)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IFERROR(__xludf.DUMMYFUNCTION("IMPORTRANGE(""https://docs.google.com/spreadsheets/d/11923uPwbBZFjjGgGUA6NLw09EwE0CqkOc4q9oUmW1yo/edit?usp=sharing"",""เพชรบูรณ์!J207"")"),0)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IFERROR(__xludf.DUMMYFUNCTION("IMPORTRANGE(""https://docs.google.com/spreadsheets/d/11923uPwbBZFjjGgGUA6NLw09EwE0CqkOc4q9oUmW1yo/edit?usp=sharing"",""เพชรบูรณ์!J208"")"),0)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IFERROR(__xludf.DUMMYFUNCTION("IMPORTRANGE(""https://docs.google.com/spreadsheets/d/11923uPwbBZFjjGgGUA6NLw09EwE0CqkOc4q9oUmW1yo/edit?usp=sharing"",""เพชรบูรณ์!I209"")"),0)</f>
        <v>0</v>
      </c>
      <c r="J304" s="213">
        <f ca="1">IFERROR(__xludf.DUMMYFUNCTION("IMPORTRANGE(""https://docs.google.com/spreadsheets/d/11923uPwbBZFjjGgGUA6NLw09EwE0CqkOc4q9oUmW1yo/edit?usp=sharing"",""เพชรบูรณ์!J209"")"),0)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IFERROR(__xludf.DUMMYFUNCTION("IMPORTRANGE(""https://docs.google.com/spreadsheets/d/11923uPwbBZFjjGgGUA6NLw09EwE0CqkOc4q9oUmW1yo/edit?usp=sharing"",""เพชรบูรณ์!I211"")"),0)</f>
        <v>0</v>
      </c>
      <c r="J306" s="213">
        <f ca="1">IFERROR(__xludf.DUMMYFUNCTION("IMPORTRANGE(""https://docs.google.com/spreadsheets/d/11923uPwbBZFjjGgGUA6NLw09EwE0CqkOc4q9oUmW1yo/edit?usp=sharing"",""เพชรบูรณ์!J211"")"),0)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IFERROR(__xludf.DUMMYFUNCTION("IMPORTRANGE(""https://docs.google.com/spreadsheets/d/11923uPwbBZFjjGgGUA6NLw09EwE0CqkOc4q9oUmW1yo/edit?usp=sharing"",""เพชรบูรณ์!J212"")"),0)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IFERROR(__xludf.DUMMYFUNCTION("IMPORTRANGE(""https://docs.google.com/spreadsheets/d/11923uPwbBZFjjGgGUA6NLw09EwE0CqkOc4q9oUmW1yo/edit?usp=sharing"",""เพชรบูรณ์!J213"")"),0)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IFERROR(__xludf.DUMMYFUNCTION("IMPORTRANGE(""https://docs.google.com/spreadsheets/d/11923uPwbBZFjjGgGUA6NLw09EwE0CqkOc4q9oUmW1yo/edit?usp=sharing"",""เพชรบูรณ์!I214"")"),0)</f>
        <v>0</v>
      </c>
      <c r="J309" s="341">
        <f ca="1">IFERROR(__xludf.DUMMYFUNCTION("IMPORTRANGE(""https://docs.google.com/spreadsheets/d/11923uPwbBZFjjGgGUA6NLw09EwE0CqkOc4q9oUmW1yo/edit?usp=sharing"",""เพชรบูรณ์!J214"")"),0)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IFERROR(__xludf.DUMMYFUNCTION("IMPORTRANGE(""https://docs.google.com/spreadsheets/d/1Yj_ptqi66GCucihVvJfMjLAmec39IyEx_6qawtMGysU/edit?usp=sharing"",""สบก!DC29"")"),0)</f>
        <v>0</v>
      </c>
      <c r="N314" s="177">
        <f ca="1">IFERROR(__xludf.DUMMYFUNCTION("IMPORTRANGE(""https://docs.google.com/spreadsheets/d/1Yj_ptqi66GCucihVvJfMjLAmec39IyEx_6qawtMGysU/edit?usp=sharing"",""สบก!DD29"")"),0)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IFERROR(__xludf.DUMMYFUNCTION("IMPORTRANGE(""https://docs.google.com/spreadsheets/d/1Yj_ptqi66GCucihVvJfMjLAmec39IyEx_6qawtMGysU/edit?usp=sharing"",""สบก!CY29"")"),0)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IFERROR(__xludf.DUMMYFUNCTION("IMPORTRANGE(""https://docs.google.com/spreadsheets/d/1Yj_ptqi66GCucihVvJfMjLAmec39IyEx_6qawtMGysU/edit?usp=sharing"",""สบก!CZ29"")"),0)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IFERROR(__xludf.DUMMYFUNCTION("IMPORTRANGE(""https://docs.google.com/spreadsheets/d/1Yj_ptqi66GCucihVvJfMjLAmec39IyEx_6qawtMGysU/edit?usp=sharing"",""สบก!DA29"")"),0)</f>
        <v>0</v>
      </c>
      <c r="M318" s="103"/>
      <c r="N318" s="93">
        <f ca="1">IFERROR(__xludf.DUMMYFUNCTION("IMPORTRANGE(""https://docs.google.com/spreadsheets/d/1Yj_ptqi66GCucihVvJfMjLAmec39IyEx_6qawtMGysU/edit?usp=sharing"",""สบก!DE29"")"),0)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IFERROR(__xludf.DUMMYFUNCTION("IMPORTRANGE(""https://docs.google.com/spreadsheets/d/11923uPwbBZFjjGgGUA6NLw09EwE0CqkOc4q9oUmW1yo/edit?usp=sharing"",""เพชรบูรณ์!J220"")"),0)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IFERROR(__xludf.DUMMYFUNCTION("IMPORTRANGE(""https://docs.google.com/spreadsheets/d/11923uPwbBZFjjGgGUA6NLw09EwE0CqkOc4q9oUmW1yo/edit?usp=sharing"",""เพชรบูรณ์!J221"")"),0)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IFERROR(__xludf.DUMMYFUNCTION("IMPORTRANGE(""https://docs.google.com/spreadsheets/d/11923uPwbBZFjjGgGUA6NLw09EwE0CqkOc4q9oUmW1yo/edit?usp=sharing"",""เพชรบูรณ์!J222"")"),0)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IFERROR(__xludf.DUMMYFUNCTION("IMPORTRANGE(""https://docs.google.com/spreadsheets/d/11923uPwbBZFjjGgGUA6NLw09EwE0CqkOc4q9oUmW1yo/edit?usp=sharing"",""เพชรบูรณ์!J223"")"),0)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IFERROR(__xludf.DUMMYFUNCTION("IMPORTRANGE(""https://docs.google.com/spreadsheets/d/11923uPwbBZFjjGgGUA6NLw09EwE0CqkOc4q9oUmW1yo/edit?usp=sharing"",""เพชรบูรณ์!I224"")"),0)</f>
        <v>0</v>
      </c>
      <c r="J324" s="213">
        <f ca="1">IFERROR(__xludf.DUMMYFUNCTION("IMPORTRANGE(""https://docs.google.com/spreadsheets/d/11923uPwbBZFjjGgGUA6NLw09EwE0CqkOc4q9oUmW1yo/edit?usp=sharing"",""เพชรบูรณ์!J224"")"),0)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IFERROR(__xludf.DUMMYFUNCTION("IMPORTRANGE(""https://docs.google.com/spreadsheets/d/11923uPwbBZFjjGgGUA6NLw09EwE0CqkOc4q9oUmW1yo/edit?usp=sharing"",""เพชรบูรณ์!J225"")"),0)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IFERROR(__xludf.DUMMYFUNCTION("IMPORTRANGE(""https://docs.google.com/spreadsheets/d/11923uPwbBZFjjGgGUA6NLw09EwE0CqkOc4q9oUmW1yo/edit?usp=sharing"",""เพชรบูรณ์!J226"")"),0)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IFERROR(__xludf.DUMMYFUNCTION("IMPORTRANGE(""https://docs.google.com/spreadsheets/d/11923uPwbBZFjjGgGUA6NLw09EwE0CqkOc4q9oUmW1yo/edit?usp=sharing"",""เพชรบูรณ์!I228"")"),610)</f>
        <v>610</v>
      </c>
      <c r="J328" s="347">
        <f ca="1">IFERROR(__xludf.DUMMYFUNCTION("IMPORTRANGE(""https://docs.google.com/spreadsheets/d/11923uPwbBZFjjGgGUA6NLw09EwE0CqkOc4q9oUmW1yo/edit?usp=sharing"",""เพชรบูรณ์!J228"")"),0)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1209740</v>
      </c>
      <c r="M329" s="158">
        <f t="shared" ca="1" si="98"/>
        <v>667560</v>
      </c>
      <c r="N329" s="158">
        <f t="shared" ca="1" si="98"/>
        <v>439924</v>
      </c>
      <c r="O329" s="157">
        <f t="shared" ref="O329:O331" ca="1" si="99">IF(L329&gt;0,N329*100/L329,0)</f>
        <v>36.365169375237656</v>
      </c>
      <c r="P329" s="157">
        <f t="shared" ref="P329:P331" ca="1" si="100">IF(M329&gt;0,N329*100/M329,0)</f>
        <v>65.900293606567203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1209740</v>
      </c>
      <c r="M331" s="163">
        <f t="shared" ca="1" si="102"/>
        <v>667560</v>
      </c>
      <c r="N331" s="163">
        <f t="shared" ca="1" si="102"/>
        <v>439924</v>
      </c>
      <c r="O331" s="162">
        <f t="shared" ca="1" si="99"/>
        <v>36.365169375237656</v>
      </c>
      <c r="P331" s="162">
        <f t="shared" ca="1" si="100"/>
        <v>65.900293606567203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1144940</v>
      </c>
      <c r="M333" s="176">
        <f ca="1">IFERROR(__xludf.DUMMYFUNCTION("IMPORTRANGE(""https://docs.google.com/spreadsheets/d/1Yj_ptqi66GCucihVvJfMjLAmec39IyEx_6qawtMGysU/edit?usp=sharing"",""สบก!DL29"")"),667560)</f>
        <v>667560</v>
      </c>
      <c r="N333" s="177">
        <f ca="1">IFERROR(__xludf.DUMMYFUNCTION("IMPORTRANGE(""https://docs.google.com/spreadsheets/d/1Yj_ptqi66GCucihVvJfMjLAmec39IyEx_6qawtMGysU/edit?usp=sharing"",""สบก!DM29"")"),375124)</f>
        <v>375124</v>
      </c>
      <c r="O333" s="178">
        <f ca="1">IF(L333&gt;0,N333*100/L333,0)</f>
        <v>32.763638269254287</v>
      </c>
      <c r="P333" s="178">
        <f ca="1">IF(M333&gt;0,N333*100/M333,0)</f>
        <v>56.193300976691233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IFERROR(__xludf.DUMMYFUNCTION("IMPORTRANGE(""https://docs.google.com/spreadsheets/d/1Yj_ptqi66GCucihVvJfMjLAmec39IyEx_6qawtMGysU/edit?usp=sharing"",""สบก!DH29"")"),306000)</f>
        <v>306000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IFERROR(__xludf.DUMMYFUNCTION("IMPORTRANGE(""https://docs.google.com/spreadsheets/d/1Yj_ptqi66GCucihVvJfMjLAmec39IyEx_6qawtMGysU/edit?usp=sharing"",""สบก!DI29"")"),838940)</f>
        <v>838940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IFERROR(__xludf.DUMMYFUNCTION("IMPORTRANGE(""https://docs.google.com/spreadsheets/d/1Yj_ptqi66GCucihVvJfMjLAmec39IyEx_6qawtMGysU/edit?usp=sharing"",""สบก!DJ29"")"),64800)</f>
        <v>64800</v>
      </c>
      <c r="M337" s="103"/>
      <c r="N337" s="93">
        <f ca="1">IFERROR(__xludf.DUMMYFUNCTION("IMPORTRANGE(""https://docs.google.com/spreadsheets/d/1Yj_ptqi66GCucihVvJfMjLAmec39IyEx_6qawtMGysU/edit?usp=sharing"",""สบก!DN29"")"),64800)</f>
        <v>64800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IFERROR(__xludf.DUMMYFUNCTION("IMPORTRANGE(""https://docs.google.com/spreadsheets/d/11923uPwbBZFjjGgGUA6NLw09EwE0CqkOc4q9oUmW1yo/edit?usp=sharing"",""เพชรบูรณ์!I234"")"),0)</f>
        <v>0</v>
      </c>
      <c r="J339" s="197">
        <f ca="1">IFERROR(__xludf.DUMMYFUNCTION("IMPORTRANGE(""https://docs.google.com/spreadsheets/d/11923uPwbBZFjjGgGUA6NLw09EwE0CqkOc4q9oUmW1yo/edit?usp=sharing"",""เพชรบูรณ์!J234"")"),145)</f>
        <v>145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IFERROR(__xludf.DUMMYFUNCTION("IMPORTRANGE(""https://docs.google.com/spreadsheets/d/11923uPwbBZFjjGgGUA6NLw09EwE0CqkOc4q9oUmW1yo/edit?usp=sharing"",""เพชรบูรณ์!I235"")"),5920)</f>
        <v>5920</v>
      </c>
      <c r="J340" s="197">
        <f ca="1">IFERROR(__xludf.DUMMYFUNCTION("IMPORTRANGE(""https://docs.google.com/spreadsheets/d/11923uPwbBZFjjGgGUA6NLw09EwE0CqkOc4q9oUmW1yo/edit?usp=sharing"",""เพชรบูรณ์!J235"")"),1585.38)</f>
        <v>1585.38</v>
      </c>
      <c r="K340" s="350">
        <f t="shared" ca="1" si="103"/>
        <v>26.780067567567567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IFERROR(__xludf.DUMMYFUNCTION("IMPORTRANGE(""https://docs.google.com/spreadsheets/d/11923uPwbBZFjjGgGUA6NLw09EwE0CqkOc4q9oUmW1yo/edit?usp=sharing"",""เพชรบูรณ์!I236"")"),610)</f>
        <v>610</v>
      </c>
      <c r="J341" s="197">
        <f ca="1">IFERROR(__xludf.DUMMYFUNCTION("IMPORTRANGE(""https://docs.google.com/spreadsheets/d/11923uPwbBZFjjGgGUA6NLw09EwE0CqkOc4q9oUmW1yo/edit?usp=sharing"",""เพชรบูรณ์!J236"")"),186)</f>
        <v>186</v>
      </c>
      <c r="K341" s="350">
        <f t="shared" ca="1" si="103"/>
        <v>30.491803278688526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IFERROR(__xludf.DUMMYFUNCTION("IMPORTRANGE(""https://docs.google.com/spreadsheets/d/11923uPwbBZFjjGgGUA6NLw09EwE0CqkOc4q9oUmW1yo/edit?usp=sharing"",""เพชรบูรณ์!I237"")"),0)</f>
        <v>0</v>
      </c>
      <c r="J342" s="197">
        <f ca="1">IFERROR(__xludf.DUMMYFUNCTION("IMPORTRANGE(""https://docs.google.com/spreadsheets/d/11923uPwbBZFjjGgGUA6NLw09EwE0CqkOc4q9oUmW1yo/edit?usp=sharing"",""เพชรบูรณ์!J237"")"),2657.6)</f>
        <v>2657.6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IFERROR(__xludf.DUMMYFUNCTION("IMPORTRANGE(""https://docs.google.com/spreadsheets/d/11923uPwbBZFjjGgGUA6NLw09EwE0CqkOc4q9oUmW1yo/edit?usp=sharing"",""เพชรบูรณ์!I238"")"),610)</f>
        <v>610</v>
      </c>
      <c r="J343" s="197">
        <f ca="1">IFERROR(__xludf.DUMMYFUNCTION("IMPORTRANGE(""https://docs.google.com/spreadsheets/d/11923uPwbBZFjjGgGUA6NLw09EwE0CqkOc4q9oUmW1yo/edit?usp=sharing"",""เพชรบูรณ์!J238"")"),0)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IFERROR(__xludf.DUMMYFUNCTION("IMPORTRANGE(""https://docs.google.com/spreadsheets/d/11923uPwbBZFjjGgGUA6NLw09EwE0CqkOc4q9oUmW1yo/edit?usp=sharing"",""เพชรบูรณ์!I239"")"),0)</f>
        <v>0</v>
      </c>
      <c r="J344" s="197">
        <f ca="1">IFERROR(__xludf.DUMMYFUNCTION("IMPORTRANGE(""https://docs.google.com/spreadsheets/d/11923uPwbBZFjjGgGUA6NLw09EwE0CqkOc4q9oUmW1yo/edit?usp=sharing"",""เพชรบูรณ์!J239"")"),0)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IFERROR(__xludf.DUMMYFUNCTION("IMPORTRANGE(""https://docs.google.com/spreadsheets/d/11923uPwbBZFjjGgGUA6NLw09EwE0CqkOc4q9oUmW1yo/edit?usp=sharing"",""เพชรบูรณ์!I240"")"),610)</f>
        <v>610</v>
      </c>
      <c r="J345" s="197">
        <f ca="1">IFERROR(__xludf.DUMMYFUNCTION("IMPORTRANGE(""https://docs.google.com/spreadsheets/d/11923uPwbBZFjjGgGUA6NLw09EwE0CqkOc4q9oUmW1yo/edit?usp=sharing"",""เพชรบูรณ์!J240"")"),0)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IFERROR(__xludf.DUMMYFUNCTION("IMPORTRANGE(""https://docs.google.com/spreadsheets/d/11923uPwbBZFjjGgGUA6NLw09EwE0CqkOc4q9oUmW1yo/edit?usp=sharing"",""เพชรบูรณ์!I241"")"),0)</f>
        <v>0</v>
      </c>
      <c r="J346" s="197">
        <f ca="1">IFERROR(__xludf.DUMMYFUNCTION("IMPORTRANGE(""https://docs.google.com/spreadsheets/d/11923uPwbBZFjjGgGUA6NLw09EwE0CqkOc4q9oUmW1yo/edit?usp=sharing"",""เพชรบูรณ์!J241"")"),0)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IFERROR(__xludf.DUMMYFUNCTION("IMPORTRANGE(""https://docs.google.com/spreadsheets/d/11923uPwbBZFjjGgGUA6NLw09EwE0CqkOc4q9oUmW1yo/edit?usp=sharing"",""เพชรบูรณ์!L242"")"),3149956)</f>
        <v>3149956</v>
      </c>
      <c r="M347" s="366"/>
      <c r="N347" s="366">
        <f ca="1">IFERROR(__xludf.DUMMYFUNCTION("IMPORTRANGE(""https://docs.google.com/spreadsheets/d/11923uPwbBZFjjGgGUA6NLw09EwE0CqkOc4q9oUmW1yo/edit?usp=sharing"",""เพชรบูรณ์!M242"")"),469393.46)</f>
        <v>469393.46</v>
      </c>
      <c r="O347" s="366">
        <f ca="1">+IF(L347&gt;0,N347*100/L347,0)</f>
        <v>14.901587831703045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IFERROR(__xludf.DUMMYFUNCTION("IMPORTRANGE(""https://docs.google.com/spreadsheets/d/11923uPwbBZFjjGgGUA6NLw09EwE0CqkOc4q9oUmW1yo/edit?usp=sharing"",""เพชรบูรณ์!I244"")"),425)</f>
        <v>425</v>
      </c>
      <c r="J349" s="379">
        <f ca="1">IFERROR(__xludf.DUMMYFUNCTION("IMPORTRANGE(""https://docs.google.com/spreadsheets/d/11923uPwbBZFjjGgGUA6NLw09EwE0CqkOc4q9oUmW1yo/edit?usp=sharing"",""เพชรบูรณ์!J244"")"),0)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IFERROR(__xludf.DUMMYFUNCTION("IMPORTRANGE(""https://docs.google.com/spreadsheets/d/11923uPwbBZFjjGgGUA6NLw09EwE0CqkOc4q9oUmW1yo/edit?usp=sharing"",""เพชรบูรณ์!L244"")"),664130)</f>
        <v>664130</v>
      </c>
      <c r="M349" s="381"/>
      <c r="N349" s="381">
        <f ca="1">IFERROR(__xludf.DUMMYFUNCTION("IMPORTRANGE(""https://docs.google.com/spreadsheets/d/11923uPwbBZFjjGgGUA6NLw09EwE0CqkOc4q9oUmW1yo/edit?usp=sharing"",""เพชรบูรณ์!M244"")"),171204)</f>
        <v>171204</v>
      </c>
      <c r="O349" s="381">
        <f ca="1">+IF(L349&gt;0,N349*100/L349,0)</f>
        <v>25.778687907487992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IFERROR(__xludf.DUMMYFUNCTION("IMPORTRANGE(""https://docs.google.com/spreadsheets/d/11923uPwbBZFjjGgGUA6NLw09EwE0CqkOc4q9oUmW1yo/edit?usp=sharing"",""เพชรบูรณ์!I245"")"),95)</f>
        <v>95</v>
      </c>
      <c r="J350" s="379">
        <f ca="1">IFERROR(__xludf.DUMMYFUNCTION("IMPORTRANGE(""https://docs.google.com/spreadsheets/d/11923uPwbBZFjjGgGUA6NLw09EwE0CqkOc4q9oUmW1yo/edit?usp=sharing"",""เพชรบูรณ์!J245"")"),95)</f>
        <v>95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IFERROR(__xludf.DUMMYFUNCTION("IMPORTRANGE(""https://docs.google.com/spreadsheets/d/11923uPwbBZFjjGgGUA6NLw09EwE0CqkOc4q9oUmW1yo/edit?usp=sharing"",""เพชรบูรณ์!L246"")"),0)</f>
        <v>0</v>
      </c>
      <c r="M351" s="172"/>
      <c r="N351" s="172">
        <f ca="1">IFERROR(__xludf.DUMMYFUNCTION("IMPORTRANGE(""https://docs.google.com/spreadsheets/d/11923uPwbBZFjjGgGUA6NLw09EwE0CqkOc4q9oUmW1yo/edit?usp=sharing"",""เพชรบูรณ์!M246"")"),0)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IFERROR(__xludf.DUMMYFUNCTION("IMPORTRANGE(""https://docs.google.com/spreadsheets/d/11923uPwbBZFjjGgGUA6NLw09EwE0CqkOc4q9oUmW1yo/edit?usp=sharing"",""เพชรบูรณ์!L247"")"),664130)</f>
        <v>664130</v>
      </c>
      <c r="M352" s="173"/>
      <c r="N352" s="172">
        <f ca="1">IFERROR(__xludf.DUMMYFUNCTION("IMPORTRANGE(""https://docs.google.com/spreadsheets/d/11923uPwbBZFjjGgGUA6NLw09EwE0CqkOc4q9oUmW1yo/edit?usp=sharing"",""เพชรบูรณ์!M247"")"),171204)</f>
        <v>171204</v>
      </c>
      <c r="O352" s="173">
        <f t="shared" ca="1" si="105"/>
        <v>25.778687907487992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IFERROR(__xludf.DUMMYFUNCTION("IMPORTRANGE(""https://docs.google.com/spreadsheets/d/11923uPwbBZFjjGgGUA6NLw09EwE0CqkOc4q9oUmW1yo/edit?usp=sharing"",""เพชรบูรณ์!L248"")"),0)</f>
        <v>0</v>
      </c>
      <c r="M353" s="178"/>
      <c r="N353" s="178">
        <f ca="1">IFERROR(__xludf.DUMMYFUNCTION("IMPORTRANGE(""https://docs.google.com/spreadsheets/d/11923uPwbBZFjjGgGUA6NLw09EwE0CqkOc4q9oUmW1yo/edit?usp=sharing"",""เพชรบูรณ์!M248"")"),0)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IFERROR(__xludf.DUMMYFUNCTION("IMPORTRANGE(""https://docs.google.com/spreadsheets/d/11923uPwbBZFjjGgGUA6NLw09EwE0CqkOc4q9oUmW1yo/edit?usp=sharing"",""เพชรบูรณ์!L249"")"),664130)</f>
        <v>664130</v>
      </c>
      <c r="M354" s="178"/>
      <c r="N354" s="175">
        <f ca="1">IFERROR(__xludf.DUMMYFUNCTION("IMPORTRANGE(""https://docs.google.com/spreadsheets/d/11923uPwbBZFjjGgGUA6NLw09EwE0CqkOc4q9oUmW1yo/edit?usp=sharing"",""เพชรบูรณ์!M249"")"),171204)</f>
        <v>171204</v>
      </c>
      <c r="O354" s="178">
        <f t="shared" ca="1" si="105"/>
        <v>25.778687907487992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IFERROR(__xludf.DUMMYFUNCTION("IMPORTRANGE(""https://docs.google.com/spreadsheets/d/11923uPwbBZFjjGgGUA6NLw09EwE0CqkOc4q9oUmW1yo/edit?usp=sharing"",""เพชรบูรณ์!M250"")"),112334)</f>
        <v>112334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IFERROR(__xludf.DUMMYFUNCTION("IMPORTRANGE(""https://docs.google.com/spreadsheets/d/11923uPwbBZFjjGgGUA6NLw09EwE0CqkOc4q9oUmW1yo/edit?usp=sharing"",""เพชรบูรณ์!M251"")"),0)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IFERROR(__xludf.DUMMYFUNCTION("IMPORTRANGE(""https://docs.google.com/spreadsheets/d/11923uPwbBZFjjGgGUA6NLw09EwE0CqkOc4q9oUmW1yo/edit?usp=sharing"",""เพชรบูรณ์!M252"")"),32248)</f>
        <v>32248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IFERROR(__xludf.DUMMYFUNCTION("IMPORTRANGE(""https://docs.google.com/spreadsheets/d/11923uPwbBZFjjGgGUA6NLw09EwE0CqkOc4q9oUmW1yo/edit?usp=sharing"",""เพชรบูรณ์!M253"")"),26622)</f>
        <v>26622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IFERROR(__xludf.DUMMYFUNCTION("IMPORTRANGE(""https://docs.google.com/spreadsheets/d/11923uPwbBZFjjGgGUA6NLw09EwE0CqkOc4q9oUmW1yo/edit?usp=sharing"",""เพชรบูรณ์!J255"")"),0)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IFERROR(__xludf.DUMMYFUNCTION("IMPORTRANGE(""https://docs.google.com/spreadsheets/d/11923uPwbBZFjjGgGUA6NLw09EwE0CqkOc4q9oUmW1yo/edit?usp=sharing"",""เพชรบูรณ์!J256"")"),1)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IFERROR(__xludf.DUMMYFUNCTION("IMPORTRANGE(""https://docs.google.com/spreadsheets/d/11923uPwbBZFjjGgGUA6NLw09EwE0CqkOc4q9oUmW1yo/edit?usp=sharing"",""เพชรบูรณ์!J257"")"),1)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IFERROR(__xludf.DUMMYFUNCTION("IMPORTRANGE(""https://docs.google.com/spreadsheets/d/11923uPwbBZFjjGgGUA6NLw09EwE0CqkOc4q9oUmW1yo/edit?usp=sharing"",""เพชรบูรณ์!J258"")"),1)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IFERROR(__xludf.DUMMYFUNCTION("IMPORTRANGE(""https://docs.google.com/spreadsheets/d/11923uPwbBZFjjGgGUA6NLw09EwE0CqkOc4q9oUmW1yo/edit?usp=sharing"",""เพชรบูรณ์!J166"")"),0)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IFERROR(__xludf.DUMMYFUNCTION("IMPORTRANGE(""https://docs.google.com/spreadsheets/d/11923uPwbBZFjjGgGUA6NLw09EwE0CqkOc4q9oUmW1yo/edit?usp=sharing"",""เพชรบูรณ์!J166"")"),0)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IFERROR(__xludf.DUMMYFUNCTION("IMPORTRANGE(""https://docs.google.com/spreadsheets/d/11923uPwbBZFjjGgGUA6NLw09EwE0CqkOc4q9oUmW1yo/edit?usp=sharing"",""เพชรบูรณ์!J166"")"),0)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IFERROR(__xludf.DUMMYFUNCTION("IMPORTRANGE(""https://docs.google.com/spreadsheets/d/11923uPwbBZFjjGgGUA6NLw09EwE0CqkOc4q9oUmW1yo/edit?usp=sharing"",""เพชรบูรณ์!J166"")"),0)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IFERROR(__xludf.DUMMYFUNCTION("IMPORTRANGE(""https://docs.google.com/spreadsheets/d/11923uPwbBZFjjGgGUA6NLw09EwE0CqkOc4q9oUmW1yo/edit?usp=sharing"",""เพชรบูรณ์!I263"")"),95)</f>
        <v>95</v>
      </c>
      <c r="J368" s="197">
        <f ca="1">IFERROR(__xludf.DUMMYFUNCTION("IMPORTRANGE(""https://docs.google.com/spreadsheets/d/11923uPwbBZFjjGgGUA6NLw09EwE0CqkOc4q9oUmW1yo/edit?usp=sharing"",""เพชรบูรณ์!J263"")"),95)</f>
        <v>95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IFERROR(__xludf.DUMMYFUNCTION("IMPORTRANGE(""https://docs.google.com/spreadsheets/d/11923uPwbBZFjjGgGUA6NLw09EwE0CqkOc4q9oUmW1yo/edit?usp=sharing"",""เพชรบูรณ์!I164"")"),0)</f>
        <v>0</v>
      </c>
      <c r="J369" s="213">
        <f ca="1">IFERROR(__xludf.DUMMYFUNCTION("IMPORTRANGE(""https://docs.google.com/spreadsheets/d/11923uPwbBZFjjGgGUA6NLw09EwE0CqkOc4q9oUmW1yo/edit?usp=sharing"",""เพชรบูรณ์!J164"")"),0)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IFERROR(__xludf.DUMMYFUNCTION("IMPORTRANGE(""https://docs.google.com/spreadsheets/d/11923uPwbBZFjjGgGUA6NLw09EwE0CqkOc4q9oUmW1yo/edit?usp=sharing"",""เพชรบูรณ์!I265"")"),95)</f>
        <v>95</v>
      </c>
      <c r="J370" s="213">
        <f ca="1">IFERROR(__xludf.DUMMYFUNCTION("IMPORTRANGE(""https://docs.google.com/spreadsheets/d/11923uPwbBZFjjGgGUA6NLw09EwE0CqkOc4q9oUmW1yo/edit?usp=sharing"",""เพชรบูรณ์!J265"")"),95)</f>
        <v>95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IFERROR(__xludf.DUMMYFUNCTION("IMPORTRANGE(""https://docs.google.com/spreadsheets/d/11923uPwbBZFjjGgGUA6NLw09EwE0CqkOc4q9oUmW1yo/edit?usp=sharing"",""เพชรบูรณ์!I164"")"),0)</f>
        <v>0</v>
      </c>
      <c r="J371" s="198">
        <f ca="1">IFERROR(__xludf.DUMMYFUNCTION("IMPORTRANGE(""https://docs.google.com/spreadsheets/d/11923uPwbBZFjjGgGUA6NLw09EwE0CqkOc4q9oUmW1yo/edit?usp=sharing"",""เพชรบูรณ์!J164"")"),0)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IFERROR(__xludf.DUMMYFUNCTION("IMPORTRANGE(""https://docs.google.com/spreadsheets/d/11923uPwbBZFjjGgGUA6NLw09EwE0CqkOc4q9oUmW1yo/edit?usp=sharing"",""เพชรบูรณ์!I267"")"),95)</f>
        <v>95</v>
      </c>
      <c r="J372" s="198">
        <f ca="1">IFERROR(__xludf.DUMMYFUNCTION("IMPORTRANGE(""https://docs.google.com/spreadsheets/d/11923uPwbBZFjjGgGUA6NLw09EwE0CqkOc4q9oUmW1yo/edit?usp=sharing"",""เพชรบูรณ์!J267"")"),95)</f>
        <v>95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IFERROR(__xludf.DUMMYFUNCTION("IMPORTRANGE(""https://docs.google.com/spreadsheets/d/11923uPwbBZFjjGgGUA6NLw09EwE0CqkOc4q9oUmW1yo/edit?usp=sharing"",""เพชรบูรณ์!I164"")"),0)</f>
        <v>0</v>
      </c>
      <c r="J373" s="213">
        <f ca="1">IFERROR(__xludf.DUMMYFUNCTION("IMPORTRANGE(""https://docs.google.com/spreadsheets/d/11923uPwbBZFjjGgGUA6NLw09EwE0CqkOc4q9oUmW1yo/edit?usp=sharing"",""เพชรบูรณ์!J164"")"),0)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IFERROR(__xludf.DUMMYFUNCTION("IMPORTRANGE(""https://docs.google.com/spreadsheets/d/11923uPwbBZFjjGgGUA6NLw09EwE0CqkOc4q9oUmW1yo/edit?usp=sharing"",""เพชรบูรณ์!I164"")"),0)</f>
        <v>0</v>
      </c>
      <c r="J374" s="197">
        <f ca="1">IFERROR(__xludf.DUMMYFUNCTION("IMPORTRANGE(""https://docs.google.com/spreadsheets/d/11923uPwbBZFjjGgGUA6NLw09EwE0CqkOc4q9oUmW1yo/edit?usp=sharing"",""เพชรบูรณ์!J164"")"),0)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IFERROR(__xludf.DUMMYFUNCTION("IMPORTRANGE(""https://docs.google.com/spreadsheets/d/11923uPwbBZFjjGgGUA6NLw09EwE0CqkOc4q9oUmW1yo/edit?usp=sharing"",""เพชรบูรณ์!I270"")"),425)</f>
        <v>425</v>
      </c>
      <c r="J375" s="197">
        <f ca="1">IFERROR(__xludf.DUMMYFUNCTION("IMPORTRANGE(""https://docs.google.com/spreadsheets/d/11923uPwbBZFjjGgGUA6NLw09EwE0CqkOc4q9oUmW1yo/edit?usp=sharing"",""เพชรบูรณ์!J270"")"),0)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IFERROR(__xludf.DUMMYFUNCTION("IMPORTRANGE(""https://docs.google.com/spreadsheets/d/11923uPwbBZFjjGgGUA6NLw09EwE0CqkOc4q9oUmW1yo/edit?usp=sharing"",""เพชรบูรณ์!I271"")"),150)</f>
        <v>150</v>
      </c>
      <c r="J376" s="198">
        <f ca="1">IFERROR(__xludf.DUMMYFUNCTION("IMPORTRANGE(""https://docs.google.com/spreadsheets/d/11923uPwbBZFjjGgGUA6NLw09EwE0CqkOc4q9oUmW1yo/edit?usp=sharing"",""เพชรบูรณ์!J271"")"),0)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IFERROR(__xludf.DUMMYFUNCTION("IMPORTRANGE(""https://docs.google.com/spreadsheets/d/11923uPwbBZFjjGgGUA6NLw09EwE0CqkOc4q9oUmW1yo/edit?usp=sharing"",""เพชรบูรณ์!I272"")"),275)</f>
        <v>275</v>
      </c>
      <c r="J377" s="213">
        <f ca="1">IFERROR(__xludf.DUMMYFUNCTION("IMPORTRANGE(""https://docs.google.com/spreadsheets/d/11923uPwbBZFjjGgGUA6NLw09EwE0CqkOc4q9oUmW1yo/edit?usp=sharing"",""เพชรบูรณ์!J272"")"),0)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IFERROR(__xludf.DUMMYFUNCTION("IMPORTRANGE(""https://docs.google.com/spreadsheets/d/11923uPwbBZFjjGgGUA6NLw09EwE0CqkOc4q9oUmW1yo/edit?usp=sharing"",""เพชรบูรณ์!J273"")"),0)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IFERROR(__xludf.DUMMYFUNCTION("IMPORTRANGE(""https://docs.google.com/spreadsheets/d/11923uPwbBZFjjGgGUA6NLw09EwE0CqkOc4q9oUmW1yo/edit?usp=sharing"",""เพชรบูรณ์!J274"")"),0)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IFERROR(__xludf.DUMMYFUNCTION("IMPORTRANGE(""https://docs.google.com/spreadsheets/d/11923uPwbBZFjjGgGUA6NLw09EwE0CqkOc4q9oUmW1yo/edit?usp=sharing"",""เพชรบูรณ์!I275"")"),1000)</f>
        <v>1000</v>
      </c>
      <c r="J380" s="379">
        <f ca="1">IFERROR(__xludf.DUMMYFUNCTION("IMPORTRANGE(""https://docs.google.com/spreadsheets/d/11923uPwbBZFjjGgGUA6NLw09EwE0CqkOc4q9oUmW1yo/edit?usp=sharing"",""เพชรบูรณ์!J275"")"),0)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IFERROR(__xludf.DUMMYFUNCTION("IMPORTRANGE(""https://docs.google.com/spreadsheets/d/11923uPwbBZFjjGgGUA6NLw09EwE0CqkOc4q9oUmW1yo/edit?usp=sharing"",""เพชรบูรณ์!L275"")"),1028520)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IFERROR(__xludf.DUMMYFUNCTION("IMPORTRANGE(""https://docs.google.com/spreadsheets/d/11923uPwbBZFjjGgGUA6NLw09EwE0CqkOc4q9oUmW1yo/edit?usp=sharing"",""เพชรบูรณ์!M275"")"),74601)</f>
        <v>74601</v>
      </c>
      <c r="O380" s="381">
        <f ca="1">+IF(L380&gt;0,N380*100/L380,0)</f>
        <v>7.2532376618830945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IFERROR(__xludf.DUMMYFUNCTION("IMPORTRANGE(""https://docs.google.com/spreadsheets/d/11923uPwbBZFjjGgGUA6NLw09EwE0CqkOc4q9oUmW1yo/edit?usp=sharing"",""เพชรบูรณ์!I276"")"),100)</f>
        <v>100</v>
      </c>
      <c r="J381" s="379">
        <f ca="1">IFERROR(__xludf.DUMMYFUNCTION("IMPORTRANGE(""https://docs.google.com/spreadsheets/d/11923uPwbBZFjjGgGUA6NLw09EwE0CqkOc4q9oUmW1yo/edit?usp=sharing"",""เพชรบูรณ์!J276"")"),0)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IFERROR(__xludf.DUMMYFUNCTION("IMPORTRANGE(""https://docs.google.com/spreadsheets/d/11923uPwbBZFjjGgGUA6NLw09EwE0CqkOc4q9oUmW1yo/edit?usp=sharing"",""เพชรบูรณ์!L277"")"),0)</f>
        <v>0</v>
      </c>
      <c r="M382" s="172"/>
      <c r="N382" s="172">
        <f ca="1">IFERROR(__xludf.DUMMYFUNCTION("IMPORTRANGE(""https://docs.google.com/spreadsheets/d/11923uPwbBZFjjGgGUA6NLw09EwE0CqkOc4q9oUmW1yo/edit?usp=sharing"",""เพชรบูรณ์!M277"")"),0)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IFERROR(__xludf.DUMMYFUNCTION("IMPORTRANGE(""https://docs.google.com/spreadsheets/d/11923uPwbBZFjjGgGUA6NLw09EwE0CqkOc4q9oUmW1yo/edit?usp=sharing"",""เพชรบูรณ์!L278"")"),1028520)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IFERROR(__xludf.DUMMYFUNCTION("IMPORTRANGE(""https://docs.google.com/spreadsheets/d/11923uPwbBZFjjGgGUA6NLw09EwE0CqkOc4q9oUmW1yo/edit?usp=sharing"",""เพชรบูรณ์!M278"")"),74601)</f>
        <v>74601</v>
      </c>
      <c r="O383" s="173">
        <f t="shared" ca="1" si="109"/>
        <v>7.2532376618830945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IFERROR(__xludf.DUMMYFUNCTION("IMPORTRANGE(""https://docs.google.com/spreadsheets/d/11923uPwbBZFjjGgGUA6NLw09EwE0CqkOc4q9oUmW1yo/edit?usp=sharing"",""เพชรบูรณ์!L279"")"),0)</f>
        <v>0</v>
      </c>
      <c r="M384" s="178"/>
      <c r="N384" s="178">
        <f ca="1">IFERROR(__xludf.DUMMYFUNCTION("IMPORTRANGE(""https://docs.google.com/spreadsheets/d/11923uPwbBZFjjGgGUA6NLw09EwE0CqkOc4q9oUmW1yo/edit?usp=sharing"",""เพชรบูรณ์!M279"")"),0)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IFERROR(__xludf.DUMMYFUNCTION("IMPORTRANGE(""https://docs.google.com/spreadsheets/d/11923uPwbBZFjjGgGUA6NLw09EwE0CqkOc4q9oUmW1yo/edit?usp=sharing"",""เพชรบูรณ์!L280"")"),1028520)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IFERROR(__xludf.DUMMYFUNCTION("IMPORTRANGE(""https://docs.google.com/spreadsheets/d/11923uPwbBZFjjGgGUA6NLw09EwE0CqkOc4q9oUmW1yo/edit?usp=sharing"",""เพชรบูรณ์!M280"")"),74601)</f>
        <v>74601</v>
      </c>
      <c r="O385" s="178">
        <f t="shared" ca="1" si="109"/>
        <v>7.2532376618830945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IFERROR(__xludf.DUMMYFUNCTION("IMPORTRANGE(""https://docs.google.com/spreadsheets/d/11923uPwbBZFjjGgGUA6NLw09EwE0CqkOc4q9oUmW1yo/edit?usp=sharing"",""เพชรบูรณ์!M281"")"),23708)</f>
        <v>23708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IFERROR(__xludf.DUMMYFUNCTION("IMPORTRANGE(""https://docs.google.com/spreadsheets/d/11923uPwbBZFjjGgGUA6NLw09EwE0CqkOc4q9oUmW1yo/edit?usp=sharing"",""เพชรบูรณ์!M282"")"),0)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IFERROR(__xludf.DUMMYFUNCTION("IMPORTRANGE(""https://docs.google.com/spreadsheets/d/11923uPwbBZFjjGgGUA6NLw09EwE0CqkOc4q9oUmW1yo/edit?usp=sharing"",""เพชรบูรณ์!M283"")"),32248)</f>
        <v>32248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IFERROR(__xludf.DUMMYFUNCTION("IMPORTRANGE(""https://docs.google.com/spreadsheets/d/11923uPwbBZFjjGgGUA6NLw09EwE0CqkOc4q9oUmW1yo/edit?usp=sharing"",""เพชรบูรณ์!M284"")"),18645)</f>
        <v>18645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IFERROR(__xludf.DUMMYFUNCTION("IMPORTRANGE(""https://docs.google.com/spreadsheets/d/11923uPwbBZFjjGgGUA6NLw09EwE0CqkOc4q9oUmW1yo/edit?usp=sharing"",""เพชรบูรณ์!J286"")"),0)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IFERROR(__xludf.DUMMYFUNCTION("IMPORTRANGE(""https://docs.google.com/spreadsheets/d/11923uPwbBZFjjGgGUA6NLw09EwE0CqkOc4q9oUmW1yo/edit?usp=sharing"",""เพชรบูรณ์!J287"")"),1)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IFERROR(__xludf.DUMMYFUNCTION("IMPORTRANGE(""https://docs.google.com/spreadsheets/d/11923uPwbBZFjjGgGUA6NLw09EwE0CqkOc4q9oUmW1yo/edit?usp=sharing"",""เพชรบูรณ์!J288"")"),1)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IFERROR(__xludf.DUMMYFUNCTION("IMPORTRANGE(""https://docs.google.com/spreadsheets/d/11923uPwbBZFjjGgGUA6NLw09EwE0CqkOc4q9oUmW1yo/edit?usp=sharing"",""เพชรบูรณ์!J289"")"),1)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IFERROR(__xludf.DUMMYFUNCTION("IMPORTRANGE(""https://docs.google.com/spreadsheets/d/11923uPwbBZFjjGgGUA6NLw09EwE0CqkOc4q9oUmW1yo/edit?usp=sharing"",""เพชรบูรณ์!I291"")"),100)</f>
        <v>100</v>
      </c>
      <c r="J396" s="207">
        <f ca="1">IFERROR(__xludf.DUMMYFUNCTION("IMPORTRANGE(""https://docs.google.com/spreadsheets/d/11923uPwbBZFjjGgGUA6NLw09EwE0CqkOc4q9oUmW1yo/edit?usp=sharing"",""เพชรบูรณ์!J291"")"),0)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IFERROR(__xludf.DUMMYFUNCTION("IMPORTRANGE(""https://docs.google.com/spreadsheets/d/11923uPwbBZFjjGgGUA6NLw09EwE0CqkOc4q9oUmW1yo/edit?usp=sharing"",""เพชรบูรณ์!I292"")"),1000)</f>
        <v>1000</v>
      </c>
      <c r="J397" s="207">
        <f ca="1">IFERROR(__xludf.DUMMYFUNCTION("IMPORTRANGE(""https://docs.google.com/spreadsheets/d/11923uPwbBZFjjGgGUA6NLw09EwE0CqkOc4q9oUmW1yo/edit?usp=sharing"",""เพชรบูรณ์!J292"")"),0)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IFERROR(__xludf.DUMMYFUNCTION("IMPORTRANGE(""https://docs.google.com/spreadsheets/d/11923uPwbBZFjjGgGUA6NLw09EwE0CqkOc4q9oUmW1yo/edit?usp=sharing"",""เพชรบูรณ์!I293"")"),100)</f>
        <v>100</v>
      </c>
      <c r="J398" s="207">
        <f ca="1">IFERROR(__xludf.DUMMYFUNCTION("IMPORTRANGE(""https://docs.google.com/spreadsheets/d/11923uPwbBZFjjGgGUA6NLw09EwE0CqkOc4q9oUmW1yo/edit?usp=sharing"",""เพชรบูรณ์!J293"")"),0)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IFERROR(__xludf.DUMMYFUNCTION("IMPORTRANGE(""https://docs.google.com/spreadsheets/d/11923uPwbBZFjjGgGUA6NLw09EwE0CqkOc4q9oUmW1yo/edit?usp=sharing"",""เพชรบูรณ์!J294"")"),0)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IFERROR(__xludf.DUMMYFUNCTION("IMPORTRANGE(""https://docs.google.com/spreadsheets/d/11923uPwbBZFjjGgGUA6NLw09EwE0CqkOc4q9oUmW1yo/edit?usp=sharing"",""เพชรบูรณ์!J295"")"),0)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IFERROR(__xludf.DUMMYFUNCTION("IMPORTRANGE(""https://docs.google.com/spreadsheets/d/11923uPwbBZFjjGgGUA6NLw09EwE0CqkOc4q9oUmW1yo/edit?usp=sharing"",""เพชรบูรณ์!I296"")"),219)</f>
        <v>219</v>
      </c>
      <c r="J401" s="379">
        <f ca="1">IFERROR(__xludf.DUMMYFUNCTION("IMPORTRANGE(""https://docs.google.com/spreadsheets/d/11923uPwbBZFjjGgGUA6NLw09EwE0CqkOc4q9oUmW1yo/edit?usp=sharing"",""เพชรบูรณ์!J296"")"),0)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IFERROR(__xludf.DUMMYFUNCTION("IMPORTRANGE(""https://docs.google.com/spreadsheets/d/11923uPwbBZFjjGgGUA6NLw09EwE0CqkOc4q9oUmW1yo/edit?usp=sharing"",""เพชรบูรณ์!L296"")"),244540)</f>
        <v>244540</v>
      </c>
      <c r="M401" s="381"/>
      <c r="N401" s="381">
        <f ca="1">IFERROR(__xludf.DUMMYFUNCTION("IMPORTRANGE(""https://docs.google.com/spreadsheets/d/11923uPwbBZFjjGgGUA6NLw09EwE0CqkOc4q9oUmW1yo/edit?usp=sharing"",""เพชรบูรณ์!M296"")"),30360)</f>
        <v>30360</v>
      </c>
      <c r="O401" s="381">
        <f ca="1">+IF(L401&gt;0,N401*100/L401,0)</f>
        <v>12.415146806248467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IFERROR(__xludf.DUMMYFUNCTION("IMPORTRANGE(""https://docs.google.com/spreadsheets/d/11923uPwbBZFjjGgGUA6NLw09EwE0CqkOc4q9oUmW1yo/edit?usp=sharing"",""เพชรบูรณ์!I297"")"),73)</f>
        <v>73</v>
      </c>
      <c r="J402" s="379">
        <f ca="1">IFERROR(__xludf.DUMMYFUNCTION("IMPORTRANGE(""https://docs.google.com/spreadsheets/d/11923uPwbBZFjjGgGUA6NLw09EwE0CqkOc4q9oUmW1yo/edit?usp=sharing"",""เพชรบูรณ์!J297"")"),0)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IFERROR(__xludf.DUMMYFUNCTION("IMPORTRANGE(""https://docs.google.com/spreadsheets/d/11923uPwbBZFjjGgGUA6NLw09EwE0CqkOc4q9oUmW1yo/edit?usp=sharing"",""เพชรบูรณ์!L298"")"),0)</f>
        <v>0</v>
      </c>
      <c r="M403" s="172"/>
      <c r="N403" s="178">
        <f ca="1">IFERROR(__xludf.DUMMYFUNCTION("IMPORTRANGE(""https://docs.google.com/spreadsheets/d/11923uPwbBZFjjGgGUA6NLw09EwE0CqkOc4q9oUmW1yo/edit?usp=sharing"",""เพชรบูรณ์!M298"")"),0)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IFERROR(__xludf.DUMMYFUNCTION("IMPORTRANGE(""https://docs.google.com/spreadsheets/d/11923uPwbBZFjjGgGUA6NLw09EwE0CqkOc4q9oUmW1yo/edit?usp=sharing"",""เพชรบูรณ์!L299"")"),244540)</f>
        <v>244540</v>
      </c>
      <c r="M404" s="173"/>
      <c r="N404" s="178">
        <f ca="1">IFERROR(__xludf.DUMMYFUNCTION("IMPORTRANGE(""https://docs.google.com/spreadsheets/d/11923uPwbBZFjjGgGUA6NLw09EwE0CqkOc4q9oUmW1yo/edit?usp=sharing"",""เพชรบูรณ์!M299"")"),30360)</f>
        <v>30360</v>
      </c>
      <c r="O404" s="178">
        <f t="shared" ca="1" si="112"/>
        <v>12.415146806248467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IFERROR(__xludf.DUMMYFUNCTION("IMPORTRANGE(""https://docs.google.com/spreadsheets/d/11923uPwbBZFjjGgGUA6NLw09EwE0CqkOc4q9oUmW1yo/edit?usp=sharing"",""เพชรบูรณ์!L300"")"),0)</f>
        <v>0</v>
      </c>
      <c r="M405" s="178"/>
      <c r="N405" s="178">
        <f ca="1">IFERROR(__xludf.DUMMYFUNCTION("IMPORTRANGE(""https://docs.google.com/spreadsheets/d/11923uPwbBZFjjGgGUA6NLw09EwE0CqkOc4q9oUmW1yo/edit?usp=sharing"",""เพชรบูรณ์!M300"")"),0)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IFERROR(__xludf.DUMMYFUNCTION("IMPORTRANGE(""https://docs.google.com/spreadsheets/d/11923uPwbBZFjjGgGUA6NLw09EwE0CqkOc4q9oUmW1yo/edit?usp=sharing"",""เพชรบูรณ์!L301"")"),244540)</f>
        <v>244540</v>
      </c>
      <c r="M406" s="178"/>
      <c r="N406" s="178">
        <f ca="1">IFERROR(__xludf.DUMMYFUNCTION("IMPORTRANGE(""https://docs.google.com/spreadsheets/d/11923uPwbBZFjjGgGUA6NLw09EwE0CqkOc4q9oUmW1yo/edit?usp=sharing"",""เพชรบูรณ์!M301"")"),30360)</f>
        <v>30360</v>
      </c>
      <c r="O406" s="178">
        <f t="shared" ca="1" si="112"/>
        <v>12.415146806248467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IFERROR(__xludf.DUMMYFUNCTION("IMPORTRANGE(""https://docs.google.com/spreadsheets/d/11923uPwbBZFjjGgGUA6NLw09EwE0CqkOc4q9oUmW1yo/edit?usp=sharing"",""เพชรบูรณ์!M302"")"),30360)</f>
        <v>30360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IFERROR(__xludf.DUMMYFUNCTION("IMPORTRANGE(""https://docs.google.com/spreadsheets/d/11923uPwbBZFjjGgGUA6NLw09EwE0CqkOc4q9oUmW1yo/edit?usp=sharing"",""เพชรบูรณ์!M303"")"),0)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IFERROR(__xludf.DUMMYFUNCTION("IMPORTRANGE(""https://docs.google.com/spreadsheets/d/11923uPwbBZFjjGgGUA6NLw09EwE0CqkOc4q9oUmW1yo/edit?usp=sharing"",""เพชรบูรณ์!M304"")"),0)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IFERROR(__xludf.DUMMYFUNCTION("IMPORTRANGE(""https://docs.google.com/spreadsheets/d/11923uPwbBZFjjGgGUA6NLw09EwE0CqkOc4q9oUmW1yo/edit?usp=sharing"",""เพชรบูรณ์!M305"")"),0)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IFERROR(__xludf.DUMMYFUNCTION("IMPORTRANGE(""https://docs.google.com/spreadsheets/d/11923uPwbBZFjjGgGUA6NLw09EwE0CqkOc4q9oUmW1yo/edit?usp=sharing"",""เพชรบูรณ์!J307"")"),0)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IFERROR(__xludf.DUMMYFUNCTION("IMPORTRANGE(""https://docs.google.com/spreadsheets/d/11923uPwbBZFjjGgGUA6NLw09EwE0CqkOc4q9oUmW1yo/edit?usp=sharing"",""เพชรบูรณ์!J308"")"),1)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IFERROR(__xludf.DUMMYFUNCTION("IMPORTRANGE(""https://docs.google.com/spreadsheets/d/11923uPwbBZFjjGgGUA6NLw09EwE0CqkOc4q9oUmW1yo/edit?usp=sharing"",""เพชรบูรณ์!J309"")"),1)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IFERROR(__xludf.DUMMYFUNCTION("IMPORTRANGE(""https://docs.google.com/spreadsheets/d/11923uPwbBZFjjGgGUA6NLw09EwE0CqkOc4q9oUmW1yo/edit?usp=sharing"",""เพชรบูรณ์!J310"")"),1)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IFERROR(__xludf.DUMMYFUNCTION("IMPORTRANGE(""https://docs.google.com/spreadsheets/d/11923uPwbBZFjjGgGUA6NLw09EwE0CqkOc4q9oUmW1yo/edit?usp=sharing"",""เพชรบูรณ์!I311"")"),73)</f>
        <v>73</v>
      </c>
      <c r="J416" s="210">
        <f ca="1">IFERROR(__xludf.DUMMYFUNCTION("IMPORTRANGE(""https://docs.google.com/spreadsheets/d/11923uPwbBZFjjGgGUA6NLw09EwE0CqkOc4q9oUmW1yo/edit?usp=sharing"",""เพชรบูรณ์!J311"")"),0)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IFERROR(__xludf.DUMMYFUNCTION("IMPORTRANGE(""https://docs.google.com/spreadsheets/d/11923uPwbBZFjjGgGUA6NLw09EwE0CqkOc4q9oUmW1yo/edit?usp=sharing"",""เพชรบูรณ์!I312"")"),25)</f>
        <v>25</v>
      </c>
      <c r="J417" s="400">
        <f ca="1">IFERROR(__xludf.DUMMYFUNCTION("IMPORTRANGE(""https://docs.google.com/spreadsheets/d/11923uPwbBZFjjGgGUA6NLw09EwE0CqkOc4q9oUmW1yo/edit?usp=sharing"",""เพชรบูรณ์!J312"")"),0)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IFERROR(__xludf.DUMMYFUNCTION("IMPORTRANGE(""https://docs.google.com/spreadsheets/d/11923uPwbBZFjjGgGUA6NLw09EwE0CqkOc4q9oUmW1yo/edit?usp=sharing"",""เพชรบูรณ์!I313"")"),75)</f>
        <v>75</v>
      </c>
      <c r="J418" s="401">
        <f ca="1">IFERROR(__xludf.DUMMYFUNCTION("IMPORTRANGE(""https://docs.google.com/spreadsheets/d/11923uPwbBZFjjGgGUA6NLw09EwE0CqkOc4q9oUmW1yo/edit?usp=sharing"",""เพชรบูรณ์!J313"")"),0)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IFERROR(__xludf.DUMMYFUNCTION("IMPORTRANGE(""https://docs.google.com/spreadsheets/d/11923uPwbBZFjjGgGUA6NLw09EwE0CqkOc4q9oUmW1yo/edit?usp=sharing"",""เพชรบูรณ์!I314"")"),25)</f>
        <v>25</v>
      </c>
      <c r="J419" s="402">
        <f ca="1">IFERROR(__xludf.DUMMYFUNCTION("IMPORTRANGE(""https://docs.google.com/spreadsheets/d/11923uPwbBZFjjGgGUA6NLw09EwE0CqkOc4q9oUmW1yo/edit?usp=sharing"",""เพชรบูรณ์!J314"")"),0)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IFERROR(__xludf.DUMMYFUNCTION("IMPORTRANGE(""https://docs.google.com/spreadsheets/d/11923uPwbBZFjjGgGUA6NLw09EwE0CqkOc4q9oUmW1yo/edit?usp=sharing"",""เพชรบูรณ์!I315"")"),25)</f>
        <v>25</v>
      </c>
      <c r="J420" s="402">
        <f ca="1">IFERROR(__xludf.DUMMYFUNCTION("IMPORTRANGE(""https://docs.google.com/spreadsheets/d/11923uPwbBZFjjGgGUA6NLw09EwE0CqkOc4q9oUmW1yo/edit?usp=sharing"",""เพชรบูรณ์!J315"")"),25)</f>
        <v>25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IFERROR(__xludf.DUMMYFUNCTION("IMPORTRANGE(""https://docs.google.com/spreadsheets/d/11923uPwbBZFjjGgGUA6NLw09EwE0CqkOc4q9oUmW1yo/edit?usp=sharing"",""เพชรบูรณ์!I316"")"),38)</f>
        <v>38</v>
      </c>
      <c r="J421" s="400">
        <f ca="1">IFERROR(__xludf.DUMMYFUNCTION("IMPORTRANGE(""https://docs.google.com/spreadsheets/d/11923uPwbBZFjjGgGUA6NLw09EwE0CqkOc4q9oUmW1yo/edit?usp=sharing"",""เพชรบูรณ์!J316"")"),0)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IFERROR(__xludf.DUMMYFUNCTION("IMPORTRANGE(""https://docs.google.com/spreadsheets/d/11923uPwbBZFjjGgGUA6NLw09EwE0CqkOc4q9oUmW1yo/edit?usp=sharing"",""เพชรบูรณ์!I317"")"),114)</f>
        <v>114</v>
      </c>
      <c r="J422" s="401">
        <f ca="1">IFERROR(__xludf.DUMMYFUNCTION("IMPORTRANGE(""https://docs.google.com/spreadsheets/d/11923uPwbBZFjjGgGUA6NLw09EwE0CqkOc4q9oUmW1yo/edit?usp=sharing"",""เพชรบูรณ์!J317"")"),0)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IFERROR(__xludf.DUMMYFUNCTION("IMPORTRANGE(""https://docs.google.com/spreadsheets/d/11923uPwbBZFjjGgGUA6NLw09EwE0CqkOc4q9oUmW1yo/edit?usp=sharing"",""เพชรบูรณ์!I318"")"),38)</f>
        <v>38</v>
      </c>
      <c r="J423" s="402">
        <f ca="1">IFERROR(__xludf.DUMMYFUNCTION("IMPORTRANGE(""https://docs.google.com/spreadsheets/d/11923uPwbBZFjjGgGUA6NLw09EwE0CqkOc4q9oUmW1yo/edit?usp=sharing"",""เพชรบูรณ์!J318"")"),0)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IFERROR(__xludf.DUMMYFUNCTION("IMPORTRANGE(""https://docs.google.com/spreadsheets/d/11923uPwbBZFjjGgGUA6NLw09EwE0CqkOc4q9oUmW1yo/edit?usp=sharing"",""เพชรบูรณ์!I319"")"),38)</f>
        <v>38</v>
      </c>
      <c r="J424" s="402">
        <f ca="1">IFERROR(__xludf.DUMMYFUNCTION("IMPORTRANGE(""https://docs.google.com/spreadsheets/d/11923uPwbBZFjjGgGUA6NLw09EwE0CqkOc4q9oUmW1yo/edit?usp=sharing"",""เพชรบูรณ์!J319"")"),0)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IFERROR(__xludf.DUMMYFUNCTION("IMPORTRANGE(""https://docs.google.com/spreadsheets/d/11923uPwbBZFjjGgGUA6NLw09EwE0CqkOc4q9oUmW1yo/edit?usp=sharing"",""เพชรบูรณ์!I320"")"),38)</f>
        <v>38</v>
      </c>
      <c r="J425" s="402">
        <f ca="1">IFERROR(__xludf.DUMMYFUNCTION("IMPORTRANGE(""https://docs.google.com/spreadsheets/d/11923uPwbBZFjjGgGUA6NLw09EwE0CqkOc4q9oUmW1yo/edit?usp=sharing"",""เพชรบูรณ์!J320"")"),0)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IFERROR(__xludf.DUMMYFUNCTION("IMPORTRANGE(""https://docs.google.com/spreadsheets/d/11923uPwbBZFjjGgGUA6NLw09EwE0CqkOc4q9oUmW1yo/edit?usp=sharing"",""เพชรบูรณ์!I321"")"),10)</f>
        <v>10</v>
      </c>
      <c r="J426" s="400">
        <f ca="1">IFERROR(__xludf.DUMMYFUNCTION("IMPORTRANGE(""https://docs.google.com/spreadsheets/d/11923uPwbBZFjjGgGUA6NLw09EwE0CqkOc4q9oUmW1yo/edit?usp=sharing"",""เพชรบูรณ์!J321"")"),0)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IFERROR(__xludf.DUMMYFUNCTION("IMPORTRANGE(""https://docs.google.com/spreadsheets/d/11923uPwbBZFjjGgGUA6NLw09EwE0CqkOc4q9oUmW1yo/edit?usp=sharing"",""เพชรบูรณ์!I322"")"),30)</f>
        <v>30</v>
      </c>
      <c r="J427" s="401">
        <f ca="1">IFERROR(__xludf.DUMMYFUNCTION("IMPORTRANGE(""https://docs.google.com/spreadsheets/d/11923uPwbBZFjjGgGUA6NLw09EwE0CqkOc4q9oUmW1yo/edit?usp=sharing"",""เพชรบูรณ์!J322"")"),0)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IFERROR(__xludf.DUMMYFUNCTION("IMPORTRANGE(""https://docs.google.com/spreadsheets/d/11923uPwbBZFjjGgGUA6NLw09EwE0CqkOc4q9oUmW1yo/edit?usp=sharing"",""เพชรบูรณ์!I323"")"),10)</f>
        <v>10</v>
      </c>
      <c r="J428" s="402">
        <f ca="1">IFERROR(__xludf.DUMMYFUNCTION("IMPORTRANGE(""https://docs.google.com/spreadsheets/d/11923uPwbBZFjjGgGUA6NLw09EwE0CqkOc4q9oUmW1yo/edit?usp=sharing"",""เพชรบูรณ์!J323"")"),0)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IFERROR(__xludf.DUMMYFUNCTION("IMPORTRANGE(""https://docs.google.com/spreadsheets/d/11923uPwbBZFjjGgGUA6NLw09EwE0CqkOc4q9oUmW1yo/edit?usp=sharing"",""เพชรบูรณ์!I324"")"),10)</f>
        <v>10</v>
      </c>
      <c r="J429" s="402">
        <f ca="1">IFERROR(__xludf.DUMMYFUNCTION("IMPORTRANGE(""https://docs.google.com/spreadsheets/d/11923uPwbBZFjjGgGUA6NLw09EwE0CqkOc4q9oUmW1yo/edit?usp=sharing"",""เพชรบูรณ์!J324"")"),0)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IFERROR(__xludf.DUMMYFUNCTION("IMPORTRANGE(""https://docs.google.com/spreadsheets/d/11923uPwbBZFjjGgGUA6NLw09EwE0CqkOc4q9oUmW1yo/edit?usp=sharing"",""เพชรบูรณ์!I325"")"),63)</f>
        <v>63</v>
      </c>
      <c r="J430" s="400">
        <f ca="1">IFERROR(__xludf.DUMMYFUNCTION("IMPORTRANGE(""https://docs.google.com/spreadsheets/d/11923uPwbBZFjjGgGUA6NLw09EwE0CqkOc4q9oUmW1yo/edit?usp=sharing"",""เพชรบูรณ์!J325"")"),0)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IFERROR(__xludf.DUMMYFUNCTION("IMPORTRANGE(""https://docs.google.com/spreadsheets/d/11923uPwbBZFjjGgGUA6NLw09EwE0CqkOc4q9oUmW1yo/edit?usp=sharing"",""เพชรบูรณ์!I326"")"),25)</f>
        <v>25</v>
      </c>
      <c r="J431" s="402">
        <f ca="1">IFERROR(__xludf.DUMMYFUNCTION("IMPORTRANGE(""https://docs.google.com/spreadsheets/d/11923uPwbBZFjjGgGUA6NLw09EwE0CqkOc4q9oUmW1yo/edit?usp=sharing"",""เพชรบูรณ์!J326"")"),0)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IFERROR(__xludf.DUMMYFUNCTION("IMPORTRANGE(""https://docs.google.com/spreadsheets/d/11923uPwbBZFjjGgGUA6NLw09EwE0CqkOc4q9oUmW1yo/edit?usp=sharing"",""เพชรบูรณ์!I327"")"),38)</f>
        <v>38</v>
      </c>
      <c r="J432" s="402">
        <f ca="1">IFERROR(__xludf.DUMMYFUNCTION("IMPORTRANGE(""https://docs.google.com/spreadsheets/d/11923uPwbBZFjjGgGUA6NLw09EwE0CqkOc4q9oUmW1yo/edit?usp=sharing"",""เพชรบูรณ์!J327"")"),0)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IFERROR(__xludf.DUMMYFUNCTION("IMPORTRANGE(""https://docs.google.com/spreadsheets/d/11923uPwbBZFjjGgGUA6NLw09EwE0CqkOc4q9oUmW1yo/edit?usp=sharing"",""เพชรบูรณ์!J328"")"),0)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IFERROR(__xludf.DUMMYFUNCTION("IMPORTRANGE(""https://docs.google.com/spreadsheets/d/11923uPwbBZFjjGgGUA6NLw09EwE0CqkOc4q9oUmW1yo/edit?usp=sharing"",""เพชรบูรณ์!J329"")"),0)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IFERROR(__xludf.DUMMYFUNCTION("IMPORTRANGE(""https://docs.google.com/spreadsheets/d/11923uPwbBZFjjGgGUA6NLw09EwE0CqkOc4q9oUmW1yo/edit?usp=sharing"",""เพชรบูรณ์!I330"")"),40)</f>
        <v>40</v>
      </c>
      <c r="J435" s="418">
        <f ca="1">IFERROR(__xludf.DUMMYFUNCTION("IMPORTRANGE(""https://docs.google.com/spreadsheets/d/11923uPwbBZFjjGgGUA6NLw09EwE0CqkOc4q9oUmW1yo/edit?usp=sharing"",""เพชรบูรณ์!J330"")"),20)</f>
        <v>20</v>
      </c>
      <c r="K435" s="419">
        <f ca="1">IF(I435&gt;0,J435*100/I435,0)</f>
        <v>50</v>
      </c>
      <c r="L435" s="420">
        <f ca="1">IFERROR(__xludf.DUMMYFUNCTION("IMPORTRANGE(""https://docs.google.com/spreadsheets/d/11923uPwbBZFjjGgGUA6NLw09EwE0CqkOc4q9oUmW1yo/edit?usp=sharing"",""เพชรบูรณ์!L330"")"),139000)</f>
        <v>139000</v>
      </c>
      <c r="M435" s="420"/>
      <c r="N435" s="420">
        <f ca="1">IFERROR(__xludf.DUMMYFUNCTION("IMPORTRANGE(""https://docs.google.com/spreadsheets/d/11923uPwbBZFjjGgGUA6NLw09EwE0CqkOc4q9oUmW1yo/edit?usp=sharing"",""เพชรบูรณ์!M330"")"),27060)</f>
        <v>27060</v>
      </c>
      <c r="O435" s="420">
        <f t="shared" ref="O435:O439" ca="1" si="114">+IF(L435&gt;0,N435*100/L435,0)</f>
        <v>19.467625899280577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IFERROR(__xludf.DUMMYFUNCTION("IMPORTRANGE(""https://docs.google.com/spreadsheets/d/11923uPwbBZFjjGgGUA6NLw09EwE0CqkOc4q9oUmW1yo/edit?usp=sharing"",""เพชรบูรณ์!L331"")"),0)</f>
        <v>0</v>
      </c>
      <c r="M436" s="172"/>
      <c r="N436" s="178">
        <f ca="1">IFERROR(__xludf.DUMMYFUNCTION("IMPORTRANGE(""https://docs.google.com/spreadsheets/d/11923uPwbBZFjjGgGUA6NLw09EwE0CqkOc4q9oUmW1yo/edit?usp=sharing"",""เพชรบูรณ์!M331"")"),0)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IFERROR(__xludf.DUMMYFUNCTION("IMPORTRANGE(""https://docs.google.com/spreadsheets/d/11923uPwbBZFjjGgGUA6NLw09EwE0CqkOc4q9oUmW1yo/edit?usp=sharing"",""เพชรบูรณ์!L332"")"),139000)</f>
        <v>139000</v>
      </c>
      <c r="M437" s="173"/>
      <c r="N437" s="178">
        <f ca="1">IFERROR(__xludf.DUMMYFUNCTION("IMPORTRANGE(""https://docs.google.com/spreadsheets/d/11923uPwbBZFjjGgGUA6NLw09EwE0CqkOc4q9oUmW1yo/edit?usp=sharing"",""เพชรบูรณ์!M332"")"),27060)</f>
        <v>27060</v>
      </c>
      <c r="O437" s="178">
        <f t="shared" ca="1" si="114"/>
        <v>19.467625899280577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IFERROR(__xludf.DUMMYFUNCTION("IMPORTRANGE(""https://docs.google.com/spreadsheets/d/11923uPwbBZFjjGgGUA6NLw09EwE0CqkOc4q9oUmW1yo/edit?usp=sharing"",""เพชรบูรณ์!L333"")"),0)</f>
        <v>0</v>
      </c>
      <c r="M438" s="178"/>
      <c r="N438" s="178">
        <f ca="1">IFERROR(__xludf.DUMMYFUNCTION("IMPORTRANGE(""https://docs.google.com/spreadsheets/d/11923uPwbBZFjjGgGUA6NLw09EwE0CqkOc4q9oUmW1yo/edit?usp=sharing"",""เพชรบูรณ์!M333"")"),0)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IFERROR(__xludf.DUMMYFUNCTION("IMPORTRANGE(""https://docs.google.com/spreadsheets/d/11923uPwbBZFjjGgGUA6NLw09EwE0CqkOc4q9oUmW1yo/edit?usp=sharing"",""เพชรบูรณ์!L334"")"),139000)</f>
        <v>139000</v>
      </c>
      <c r="M439" s="178"/>
      <c r="N439" s="178">
        <f ca="1">IFERROR(__xludf.DUMMYFUNCTION("IMPORTRANGE(""https://docs.google.com/spreadsheets/d/11923uPwbBZFjjGgGUA6NLw09EwE0CqkOc4q9oUmW1yo/edit?usp=sharing"",""เพชรบูรณ์!M334"")"),27060)</f>
        <v>27060</v>
      </c>
      <c r="O439" s="178">
        <f t="shared" ca="1" si="114"/>
        <v>19.467625899280577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IFERROR(__xludf.DUMMYFUNCTION("IMPORTRANGE(""https://docs.google.com/spreadsheets/d/11923uPwbBZFjjGgGUA6NLw09EwE0CqkOc4q9oUmW1yo/edit?usp=sharing"",""เพชรบูรณ์!M335"")"),25140)</f>
        <v>25140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IFERROR(__xludf.DUMMYFUNCTION("IMPORTRANGE(""https://docs.google.com/spreadsheets/d/11923uPwbBZFjjGgGUA6NLw09EwE0CqkOc4q9oUmW1yo/edit?usp=sharing"",""เพชรบูรณ์!M336"")"),0)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IFERROR(__xludf.DUMMYFUNCTION("IMPORTRANGE(""https://docs.google.com/spreadsheets/d/11923uPwbBZFjjGgGUA6NLw09EwE0CqkOc4q9oUmW1yo/edit?usp=sharing"",""เพชรบูรณ์!M337"")"),0)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IFERROR(__xludf.DUMMYFUNCTION("IMPORTRANGE(""https://docs.google.com/spreadsheets/d/11923uPwbBZFjjGgGUA6NLw09EwE0CqkOc4q9oUmW1yo/edit?usp=sharing"",""เพชรบูรณ์!M338"")"),1920)</f>
        <v>1920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IFERROR(__xludf.DUMMYFUNCTION("IMPORTRANGE(""https://docs.google.com/spreadsheets/d/11923uPwbBZFjjGgGUA6NLw09EwE0CqkOc4q9oUmW1yo/edit?usp=sharing"",""เพชรบูรณ์!J340"")"),0)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IFERROR(__xludf.DUMMYFUNCTION("IMPORTRANGE(""https://docs.google.com/spreadsheets/d/11923uPwbBZFjjGgGUA6NLw09EwE0CqkOc4q9oUmW1yo/edit?usp=sharing"",""เพชรบูรณ์!J341"")"),1)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IFERROR(__xludf.DUMMYFUNCTION("IMPORTRANGE(""https://docs.google.com/spreadsheets/d/11923uPwbBZFjjGgGUA6NLw09EwE0CqkOc4q9oUmW1yo/edit?usp=sharing"",""เพชรบูรณ์!J342"")"),1)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IFERROR(__xludf.DUMMYFUNCTION("IMPORTRANGE(""https://docs.google.com/spreadsheets/d/11923uPwbBZFjjGgGUA6NLw09EwE0CqkOc4q9oUmW1yo/edit?usp=sharing"",""เพชรบูรณ์!J343"")"),1)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IFERROR(__xludf.DUMMYFUNCTION("IMPORTRANGE(""https://docs.google.com/spreadsheets/d/11923uPwbBZFjjGgGUA6NLw09EwE0CqkOc4q9oUmW1yo/edit?usp=sharing"",""เพชรบูรณ์!I344"")"),40)</f>
        <v>40</v>
      </c>
      <c r="J449" s="210">
        <f ca="1">IFERROR(__xludf.DUMMYFUNCTION("IMPORTRANGE(""https://docs.google.com/spreadsheets/d/11923uPwbBZFjjGgGUA6NLw09EwE0CqkOc4q9oUmW1yo/edit?usp=sharing"",""เพชรบูรณ์!J344"")"),20)</f>
        <v>20</v>
      </c>
      <c r="K449" s="171">
        <f t="shared" ref="K449:K452" ca="1" si="115">IF(I449&gt;0,J449*100/I449,0)</f>
        <v>50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IFERROR(__xludf.DUMMYFUNCTION("IMPORTRANGE(""https://docs.google.com/spreadsheets/d/11923uPwbBZFjjGgGUA6NLw09EwE0CqkOc4q9oUmW1yo/edit?usp=sharing"",""เพชรบูรณ์!I345"")"),40)</f>
        <v>40</v>
      </c>
      <c r="J450" s="198">
        <f ca="1">IFERROR(__xludf.DUMMYFUNCTION("IMPORTRANGE(""https://docs.google.com/spreadsheets/d/11923uPwbBZFjjGgGUA6NLw09EwE0CqkOc4q9oUmW1yo/edit?usp=sharing"",""เพชรบูรณ์!J345"")"),20)</f>
        <v>20</v>
      </c>
      <c r="K450" s="171">
        <f t="shared" ca="1" si="115"/>
        <v>50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IFERROR(__xludf.DUMMYFUNCTION("IMPORTRANGE(""https://docs.google.com/spreadsheets/d/11923uPwbBZFjjGgGUA6NLw09EwE0CqkOc4q9oUmW1yo/edit?usp=sharing"",""เพชรบูรณ์!I346"")"),0)</f>
        <v>0</v>
      </c>
      <c r="J451" s="197">
        <f ca="1">IFERROR(__xludf.DUMMYFUNCTION("IMPORTRANGE(""https://docs.google.com/spreadsheets/d/11923uPwbBZFjjGgGUA6NLw09EwE0CqkOc4q9oUmW1yo/edit?usp=sharing"",""เพชรบูรณ์!J346"")"),0)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IFERROR(__xludf.DUMMYFUNCTION("IMPORTRANGE(""https://docs.google.com/spreadsheets/d/11923uPwbBZFjjGgGUA6NLw09EwE0CqkOc4q9oUmW1yo/edit?usp=sharing"",""เพชรบูรณ์!I347"")"),0)</f>
        <v>0</v>
      </c>
      <c r="J452" s="197">
        <f ca="1">IFERROR(__xludf.DUMMYFUNCTION("IMPORTRANGE(""https://docs.google.com/spreadsheets/d/11923uPwbBZFjjGgGUA6NLw09EwE0CqkOc4q9oUmW1yo/edit?usp=sharing"",""เพชรบูรณ์!J347"")"),0)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IFERROR(__xludf.DUMMYFUNCTION("IMPORTRANGE(""https://docs.google.com/spreadsheets/d/11923uPwbBZFjjGgGUA6NLw09EwE0CqkOc4q9oUmW1yo/edit?usp=sharing"",""เพชรบูรณ์!J348"")"),0)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IFERROR(__xludf.DUMMYFUNCTION("IMPORTRANGE(""https://docs.google.com/spreadsheets/d/11923uPwbBZFjjGgGUA6NLw09EwE0CqkOc4q9oUmW1yo/edit?usp=sharing"",""เพชรบูรณ์!J349"")"),0)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IFERROR(__xludf.DUMMYFUNCTION("IMPORTRANGE(""https://docs.google.com/spreadsheets/d/11923uPwbBZFjjGgGUA6NLw09EwE0CqkOc4q9oUmW1yo/edit?usp=sharing"",""เพชรบูรณ์!I350"")"),54417)</f>
        <v>54417</v>
      </c>
      <c r="J455" s="379">
        <f ca="1">IFERROR(__xludf.DUMMYFUNCTION("IMPORTRANGE(""https://docs.google.com/spreadsheets/d/11923uPwbBZFjjGgGUA6NLw09EwE0CqkOc4q9oUmW1yo/edit?usp=sharing"",""เพชรบูรณ์!J350"")"),0)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IFERROR(__xludf.DUMMYFUNCTION("IMPORTRANGE(""https://docs.google.com/spreadsheets/d/11923uPwbBZFjjGgGUA6NLw09EwE0CqkOc4q9oUmW1yo/edit?usp=sharing"",""เพชรบูรณ์!L350"")"),527976)</f>
        <v>527976</v>
      </c>
      <c r="M455" s="381"/>
      <c r="N455" s="381">
        <f ca="1">IFERROR(__xludf.DUMMYFUNCTION("IMPORTRANGE(""https://docs.google.com/spreadsheets/d/11923uPwbBZFjjGgGUA6NLw09EwE0CqkOc4q9oUmW1yo/edit?usp=sharing"",""เพชรบูรณ์!M350"")"),11940)</f>
        <v>11940</v>
      </c>
      <c r="O455" s="381">
        <f t="shared" ref="O455:O459" ca="1" si="116">+IF(L455&gt;0,N455*100/L455,0)</f>
        <v>2.2614664302922862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IFERROR(__xludf.DUMMYFUNCTION("IMPORTRANGE(""https://docs.google.com/spreadsheets/d/11923uPwbBZFjjGgGUA6NLw09EwE0CqkOc4q9oUmW1yo/edit?usp=sharing"",""เพชรบูรณ์!L351"")"),0)</f>
        <v>0</v>
      </c>
      <c r="M456" s="172"/>
      <c r="N456" s="178">
        <f ca="1">IFERROR(__xludf.DUMMYFUNCTION("IMPORTRANGE(""https://docs.google.com/spreadsheets/d/11923uPwbBZFjjGgGUA6NLw09EwE0CqkOc4q9oUmW1yo/edit?usp=sharing"",""เพชรบูรณ์!M351"")"),0)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IFERROR(__xludf.DUMMYFUNCTION("IMPORTRANGE(""https://docs.google.com/spreadsheets/d/11923uPwbBZFjjGgGUA6NLw09EwE0CqkOc4q9oUmW1yo/edit?usp=sharing"",""เพชรบูรณ์!L352"")"),527976)</f>
        <v>527976</v>
      </c>
      <c r="M457" s="173"/>
      <c r="N457" s="178">
        <f ca="1">IFERROR(__xludf.DUMMYFUNCTION("IMPORTRANGE(""https://docs.google.com/spreadsheets/d/11923uPwbBZFjjGgGUA6NLw09EwE0CqkOc4q9oUmW1yo/edit?usp=sharing"",""เพชรบูรณ์!M352"")"),11940)</f>
        <v>11940</v>
      </c>
      <c r="O457" s="178">
        <f t="shared" ca="1" si="116"/>
        <v>2.2614664302922862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IFERROR(__xludf.DUMMYFUNCTION("IMPORTRANGE(""https://docs.google.com/spreadsheets/d/11923uPwbBZFjjGgGUA6NLw09EwE0CqkOc4q9oUmW1yo/edit?usp=sharing"",""เพชรบูรณ์!L353"")"),0)</f>
        <v>0</v>
      </c>
      <c r="M458" s="178"/>
      <c r="N458" s="178">
        <f ca="1">IFERROR(__xludf.DUMMYFUNCTION("IMPORTRANGE(""https://docs.google.com/spreadsheets/d/11923uPwbBZFjjGgGUA6NLw09EwE0CqkOc4q9oUmW1yo/edit?usp=sharing"",""เพชรบูรณ์!M353"")"),0)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IFERROR(__xludf.DUMMYFUNCTION("IMPORTRANGE(""https://docs.google.com/spreadsheets/d/11923uPwbBZFjjGgGUA6NLw09EwE0CqkOc4q9oUmW1yo/edit?usp=sharing"",""เพชรบูรณ์!L354"")"),527976)</f>
        <v>527976</v>
      </c>
      <c r="M459" s="178"/>
      <c r="N459" s="178">
        <f ca="1">IFERROR(__xludf.DUMMYFUNCTION("IMPORTRANGE(""https://docs.google.com/spreadsheets/d/11923uPwbBZFjjGgGUA6NLw09EwE0CqkOc4q9oUmW1yo/edit?usp=sharing"",""เพชรบูรณ์!M354"")"),11940)</f>
        <v>11940</v>
      </c>
      <c r="O459" s="178">
        <f t="shared" ca="1" si="116"/>
        <v>2.2614664302922862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IFERROR(__xludf.DUMMYFUNCTION("IMPORTRANGE(""https://docs.google.com/spreadsheets/d/11923uPwbBZFjjGgGUA6NLw09EwE0CqkOc4q9oUmW1yo/edit?usp=sharing"",""เพชรบูรณ์!M355"")"),0)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IFERROR(__xludf.DUMMYFUNCTION("IMPORTRANGE(""https://docs.google.com/spreadsheets/d/11923uPwbBZFjjGgGUA6NLw09EwE0CqkOc4q9oUmW1yo/edit?usp=sharing"",""เพชรบูรณ์!M356"")"),0)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IFERROR(__xludf.DUMMYFUNCTION("IMPORTRANGE(""https://docs.google.com/spreadsheets/d/11923uPwbBZFjjGgGUA6NLw09EwE0CqkOc4q9oUmW1yo/edit?usp=sharing"",""เพชรบูรณ์!M357"")"),0)</f>
        <v>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IFERROR(__xludf.DUMMYFUNCTION("IMPORTRANGE(""https://docs.google.com/spreadsheets/d/11923uPwbBZFjjGgGUA6NLw09EwE0CqkOc4q9oUmW1yo/edit?usp=sharing"",""เพชรบูรณ์!M358"")"),11940)</f>
        <v>11940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IFERROR(__xludf.DUMMYFUNCTION("IMPORTRANGE(""https://docs.google.com/spreadsheets/d/11923uPwbBZFjjGgGUA6NLw09EwE0CqkOc4q9oUmW1yo/edit?usp=sharing"",""เพชรบูรณ์!I359"")"),54417)</f>
        <v>54417</v>
      </c>
      <c r="J464" s="276">
        <f ca="1">IFERROR(__xludf.DUMMYFUNCTION("IMPORTRANGE(""https://docs.google.com/spreadsheets/d/11923uPwbBZFjjGgGUA6NLw09EwE0CqkOc4q9oUmW1yo/edit?usp=sharing"",""เพชรบูรณ์!J359"")"),0)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IFERROR(__xludf.DUMMYFUNCTION("IMPORTRANGE(""https://docs.google.com/spreadsheets/d/11923uPwbBZFjjGgGUA6NLw09EwE0CqkOc4q9oUmW1yo/edit?usp=sharing"",""เพชรบูรณ์!I360"")"),54417)</f>
        <v>54417</v>
      </c>
      <c r="J465" s="428">
        <f ca="1">IFERROR(__xludf.DUMMYFUNCTION("IMPORTRANGE(""https://docs.google.com/spreadsheets/d/11923uPwbBZFjjGgGUA6NLw09EwE0CqkOc4q9oUmW1yo/edit?usp=sharing"",""เพชรบูรณ์!J360"")"),55710)</f>
        <v>55710</v>
      </c>
      <c r="K465" s="211">
        <f t="shared" ca="1" si="117"/>
        <v>102.37609570538619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IFERROR(__xludf.DUMMYFUNCTION("IMPORTRANGE(""https://docs.google.com/spreadsheets/d/11923uPwbBZFjjGgGUA6NLw09EwE0CqkOc4q9oUmW1yo/edit?usp=sharing"",""เพชรบูรณ์!I361"")"),3219)</f>
        <v>3219</v>
      </c>
      <c r="J466" s="428">
        <f ca="1">IFERROR(__xludf.DUMMYFUNCTION("IMPORTRANGE(""https://docs.google.com/spreadsheets/d/11923uPwbBZFjjGgGUA6NLw09EwE0CqkOc4q9oUmW1yo/edit?usp=sharing"",""เพชรบูรณ์!J361"")"),3219)</f>
        <v>3219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IFERROR(__xludf.DUMMYFUNCTION("IMPORTRANGE(""https://docs.google.com/spreadsheets/d/11923uPwbBZFjjGgGUA6NLw09EwE0CqkOc4q9oUmW1yo/edit?usp=sharing"",""เพชรบูรณ์!I362"")"),0)</f>
        <v>0</v>
      </c>
      <c r="J467" s="198">
        <f ca="1">IFERROR(__xludf.DUMMYFUNCTION("IMPORTRANGE(""https://docs.google.com/spreadsheets/d/11923uPwbBZFjjGgGUA6NLw09EwE0CqkOc4q9oUmW1yo/edit?usp=sharing"",""เพชรบูรณ์!J362"")"),34722)</f>
        <v>34722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IFERROR(__xludf.DUMMYFUNCTION("IMPORTRANGE(""https://docs.google.com/spreadsheets/d/11923uPwbBZFjjGgGUA6NLw09EwE0CqkOc4q9oUmW1yo/edit?usp=sharing"",""เพชรบูรณ์!I363"")"),0)</f>
        <v>0</v>
      </c>
      <c r="J468" s="198">
        <f ca="1">IFERROR(__xludf.DUMMYFUNCTION("IMPORTRANGE(""https://docs.google.com/spreadsheets/d/11923uPwbBZFjjGgGUA6NLw09EwE0CqkOc4q9oUmW1yo/edit?usp=sharing"",""เพชรบูรณ์!J363"")"),2238)</f>
        <v>2238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IFERROR(__xludf.DUMMYFUNCTION("IMPORTRANGE(""https://docs.google.com/spreadsheets/d/11923uPwbBZFjjGgGUA6NLw09EwE0CqkOc4q9oUmW1yo/edit?usp=sharing"",""เพชรบูรณ์!I364"")"),0)</f>
        <v>0</v>
      </c>
      <c r="J469" s="198">
        <f ca="1">IFERROR(__xludf.DUMMYFUNCTION("IMPORTRANGE(""https://docs.google.com/spreadsheets/d/11923uPwbBZFjjGgGUA6NLw09EwE0CqkOc4q9oUmW1yo/edit?usp=sharing"",""เพชรบูรณ์!J364"")"),19289)</f>
        <v>19289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IFERROR(__xludf.DUMMYFUNCTION("IMPORTRANGE(""https://docs.google.com/spreadsheets/d/11923uPwbBZFjjGgGUA6NLw09EwE0CqkOc4q9oUmW1yo/edit?usp=sharing"",""เพชรบูรณ์!I365"")"),0)</f>
        <v>0</v>
      </c>
      <c r="J470" s="198">
        <f ca="1">IFERROR(__xludf.DUMMYFUNCTION("IMPORTRANGE(""https://docs.google.com/spreadsheets/d/11923uPwbBZFjjGgGUA6NLw09EwE0CqkOc4q9oUmW1yo/edit?usp=sharing"",""เพชรบูรณ์!J365"")"),896)</f>
        <v>896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IFERROR(__xludf.DUMMYFUNCTION("IMPORTRANGE(""https://docs.google.com/spreadsheets/d/11923uPwbBZFjjGgGUA6NLw09EwE0CqkOc4q9oUmW1yo/edit?usp=sharing"",""เพชรบูรณ์!I366"")"),0)</f>
        <v>0</v>
      </c>
      <c r="J471" s="198">
        <f ca="1">IFERROR(__xludf.DUMMYFUNCTION("IMPORTRANGE(""https://docs.google.com/spreadsheets/d/11923uPwbBZFjjGgGUA6NLw09EwE0CqkOc4q9oUmW1yo/edit?usp=sharing"",""เพชรบูรณ์!J366"")"),1699)</f>
        <v>1699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IFERROR(__xludf.DUMMYFUNCTION("IMPORTRANGE(""https://docs.google.com/spreadsheets/d/11923uPwbBZFjjGgGUA6NLw09EwE0CqkOc4q9oUmW1yo/edit?usp=sharing"",""เพชรบูรณ์!I367"")"),0)</f>
        <v>0</v>
      </c>
      <c r="J472" s="198">
        <f ca="1">IFERROR(__xludf.DUMMYFUNCTION("IMPORTRANGE(""https://docs.google.com/spreadsheets/d/11923uPwbBZFjjGgGUA6NLw09EwE0CqkOc4q9oUmW1yo/edit?usp=sharing"",""เพชรบูรณ์!J367"")"),85)</f>
        <v>85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IFERROR(__xludf.DUMMYFUNCTION("IMPORTRANGE(""https://docs.google.com/spreadsheets/d/11923uPwbBZFjjGgGUA6NLw09EwE0CqkOc4q9oUmW1yo/edit?usp=sharing"",""เพชรบูรณ์!I368"")"),54417)</f>
        <v>54417</v>
      </c>
      <c r="J473" s="428">
        <f ca="1">IFERROR(__xludf.DUMMYFUNCTION("IMPORTRANGE(""https://docs.google.com/spreadsheets/d/11923uPwbBZFjjGgGUA6NLw09EwE0CqkOc4q9oUmW1yo/edit?usp=sharing"",""เพชรบูรณ์!J368"")"),0)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IFERROR(__xludf.DUMMYFUNCTION("IMPORTRANGE(""https://docs.google.com/spreadsheets/d/11923uPwbBZFjjGgGUA6NLw09EwE0CqkOc4q9oUmW1yo/edit?usp=sharing"",""เพชรบูรณ์!I369"")"),3219)</f>
        <v>3219</v>
      </c>
      <c r="J474" s="428">
        <f ca="1">IFERROR(__xludf.DUMMYFUNCTION("IMPORTRANGE(""https://docs.google.com/spreadsheets/d/11923uPwbBZFjjGgGUA6NLw09EwE0CqkOc4q9oUmW1yo/edit?usp=sharing"",""เพชรบูรณ์!J369"")"),0)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IFERROR(__xludf.DUMMYFUNCTION("IMPORTRANGE(""https://docs.google.com/spreadsheets/d/11923uPwbBZFjjGgGUA6NLw09EwE0CqkOc4q9oUmW1yo/edit?usp=sharing"",""เพชรบูรณ์!I370"")"),0)</f>
        <v>0</v>
      </c>
      <c r="J475" s="198">
        <f ca="1">IFERROR(__xludf.DUMMYFUNCTION("IMPORTRANGE(""https://docs.google.com/spreadsheets/d/11923uPwbBZFjjGgGUA6NLw09EwE0CqkOc4q9oUmW1yo/edit?usp=sharing"",""เพชรบูรณ์!J370"")"),0)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IFERROR(__xludf.DUMMYFUNCTION("IMPORTRANGE(""https://docs.google.com/spreadsheets/d/11923uPwbBZFjjGgGUA6NLw09EwE0CqkOc4q9oUmW1yo/edit?usp=sharing"",""เพชรบูรณ์!I371"")"),0)</f>
        <v>0</v>
      </c>
      <c r="J476" s="198">
        <f ca="1">IFERROR(__xludf.DUMMYFUNCTION("IMPORTRANGE(""https://docs.google.com/spreadsheets/d/11923uPwbBZFjjGgGUA6NLw09EwE0CqkOc4q9oUmW1yo/edit?usp=sharing"",""เพชรบูรณ์!J371"")"),0)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IFERROR(__xludf.DUMMYFUNCTION("IMPORTRANGE(""https://docs.google.com/spreadsheets/d/11923uPwbBZFjjGgGUA6NLw09EwE0CqkOc4q9oUmW1yo/edit?usp=sharing"",""เพชรบูรณ์!I372"")"),0)</f>
        <v>0</v>
      </c>
      <c r="J477" s="198">
        <f ca="1">IFERROR(__xludf.DUMMYFUNCTION("IMPORTRANGE(""https://docs.google.com/spreadsheets/d/11923uPwbBZFjjGgGUA6NLw09EwE0CqkOc4q9oUmW1yo/edit?usp=sharing"",""เพชรบูรณ์!J372"")"),0)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IFERROR(__xludf.DUMMYFUNCTION("IMPORTRANGE(""https://docs.google.com/spreadsheets/d/11923uPwbBZFjjGgGUA6NLw09EwE0CqkOc4q9oUmW1yo/edit?usp=sharing"",""เพชรบูรณ์!I373"")"),0)</f>
        <v>0</v>
      </c>
      <c r="J478" s="198">
        <f ca="1">IFERROR(__xludf.DUMMYFUNCTION("IMPORTRANGE(""https://docs.google.com/spreadsheets/d/11923uPwbBZFjjGgGUA6NLw09EwE0CqkOc4q9oUmW1yo/edit?usp=sharing"",""เพชรบูรณ์!J373"")"),0)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IFERROR(__xludf.DUMMYFUNCTION("IMPORTRANGE(""https://docs.google.com/spreadsheets/d/11923uPwbBZFjjGgGUA6NLw09EwE0CqkOc4q9oUmW1yo/edit?usp=sharing"",""เพชรบูรณ์!I374"")"),0)</f>
        <v>0</v>
      </c>
      <c r="J479" s="198">
        <f ca="1">IFERROR(__xludf.DUMMYFUNCTION("IMPORTRANGE(""https://docs.google.com/spreadsheets/d/11923uPwbBZFjjGgGUA6NLw09EwE0CqkOc4q9oUmW1yo/edit?usp=sharing"",""เพชรบูรณ์!J374"")"),0)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IFERROR(__xludf.DUMMYFUNCTION("IMPORTRANGE(""https://docs.google.com/spreadsheets/d/11923uPwbBZFjjGgGUA6NLw09EwE0CqkOc4q9oUmW1yo/edit?usp=sharing"",""เพชรบูรณ์!I375"")"),0)</f>
        <v>0</v>
      </c>
      <c r="J480" s="198">
        <f ca="1">IFERROR(__xludf.DUMMYFUNCTION("IMPORTRANGE(""https://docs.google.com/spreadsheets/d/11923uPwbBZFjjGgGUA6NLw09EwE0CqkOc4q9oUmW1yo/edit?usp=sharing"",""เพชรบูรณ์!J375"")"),0)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IFERROR(__xludf.DUMMYFUNCTION("IMPORTRANGE(""https://docs.google.com/spreadsheets/d/11923uPwbBZFjjGgGUA6NLw09EwE0CqkOc4q9oUmW1yo/edit?usp=sharing"",""เพชรบูรณ์!I376"")"),54417)</f>
        <v>54417</v>
      </c>
      <c r="J481" s="428">
        <f ca="1">IFERROR(__xludf.DUMMYFUNCTION("IMPORTRANGE(""https://docs.google.com/spreadsheets/d/11923uPwbBZFjjGgGUA6NLw09EwE0CqkOc4q9oUmW1yo/edit?usp=sharing"",""เพชรบูรณ์!J376"")"),0)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IFERROR(__xludf.DUMMYFUNCTION("IMPORTRANGE(""https://docs.google.com/spreadsheets/d/11923uPwbBZFjjGgGUA6NLw09EwE0CqkOc4q9oUmW1yo/edit?usp=sharing"",""เพชรบูรณ์!I377"")"),3219)</f>
        <v>3219</v>
      </c>
      <c r="J482" s="428">
        <f ca="1">IFERROR(__xludf.DUMMYFUNCTION("IMPORTRANGE(""https://docs.google.com/spreadsheets/d/11923uPwbBZFjjGgGUA6NLw09EwE0CqkOc4q9oUmW1yo/edit?usp=sharing"",""เพชรบูรณ์!J377"")"),0)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IFERROR(__xludf.DUMMYFUNCTION("IMPORTRANGE(""https://docs.google.com/spreadsheets/d/11923uPwbBZFjjGgGUA6NLw09EwE0CqkOc4q9oUmW1yo/edit?usp=sharing"",""เพชรบูรณ์!I378"")"),0)</f>
        <v>0</v>
      </c>
      <c r="J483" s="198">
        <f ca="1">IFERROR(__xludf.DUMMYFUNCTION("IMPORTRANGE(""https://docs.google.com/spreadsheets/d/11923uPwbBZFjjGgGUA6NLw09EwE0CqkOc4q9oUmW1yo/edit?usp=sharing"",""เพชรบูรณ์!J378"")"),0)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IFERROR(__xludf.DUMMYFUNCTION("IMPORTRANGE(""https://docs.google.com/spreadsheets/d/11923uPwbBZFjjGgGUA6NLw09EwE0CqkOc4q9oUmW1yo/edit?usp=sharing"",""เพชรบูรณ์!I379"")"),0)</f>
        <v>0</v>
      </c>
      <c r="J484" s="198">
        <f ca="1">IFERROR(__xludf.DUMMYFUNCTION("IMPORTRANGE(""https://docs.google.com/spreadsheets/d/11923uPwbBZFjjGgGUA6NLw09EwE0CqkOc4q9oUmW1yo/edit?usp=sharing"",""เพชรบูรณ์!J379"")"),0)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IFERROR(__xludf.DUMMYFUNCTION("IMPORTRANGE(""https://docs.google.com/spreadsheets/d/11923uPwbBZFjjGgGUA6NLw09EwE0CqkOc4q9oUmW1yo/edit?usp=sharing"",""เพชรบูรณ์!I380"")"),0)</f>
        <v>0</v>
      </c>
      <c r="J485" s="198">
        <f ca="1">IFERROR(__xludf.DUMMYFUNCTION("IMPORTRANGE(""https://docs.google.com/spreadsheets/d/11923uPwbBZFjjGgGUA6NLw09EwE0CqkOc4q9oUmW1yo/edit?usp=sharing"",""เพชรบูรณ์!J380"")"),0)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IFERROR(__xludf.DUMMYFUNCTION("IMPORTRANGE(""https://docs.google.com/spreadsheets/d/11923uPwbBZFjjGgGUA6NLw09EwE0CqkOc4q9oUmW1yo/edit?usp=sharing"",""เพชรบูรณ์!I381"")"),0)</f>
        <v>0</v>
      </c>
      <c r="J486" s="198">
        <f ca="1">IFERROR(__xludf.DUMMYFUNCTION("IMPORTRANGE(""https://docs.google.com/spreadsheets/d/11923uPwbBZFjjGgGUA6NLw09EwE0CqkOc4q9oUmW1yo/edit?usp=sharing"",""เพชรบูรณ์!J381"")"),0)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IFERROR(__xludf.DUMMYFUNCTION("IMPORTRANGE(""https://docs.google.com/spreadsheets/d/11923uPwbBZFjjGgGUA6NLw09EwE0CqkOc4q9oUmW1yo/edit?usp=sharing"",""เพชรบูรณ์!I382"")"),0)</f>
        <v>0</v>
      </c>
      <c r="J487" s="428">
        <f ca="1">IFERROR(__xludf.DUMMYFUNCTION("IMPORTRANGE(""https://docs.google.com/spreadsheets/d/11923uPwbBZFjjGgGUA6NLw09EwE0CqkOc4q9oUmW1yo/edit?usp=sharing"",""เพชรบูรณ์!J382"")"),0)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IFERROR(__xludf.DUMMYFUNCTION("IMPORTRANGE(""https://docs.google.com/spreadsheets/d/11923uPwbBZFjjGgGUA6NLw09EwE0CqkOc4q9oUmW1yo/edit?usp=sharing"",""เพชรบูรณ์!I383"")"),0)</f>
        <v>0</v>
      </c>
      <c r="J488" s="428">
        <f ca="1">IFERROR(__xludf.DUMMYFUNCTION("IMPORTRANGE(""https://docs.google.com/spreadsheets/d/11923uPwbBZFjjGgGUA6NLw09EwE0CqkOc4q9oUmW1yo/edit?usp=sharing"",""เพชรบูรณ์!J383"")"),0)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IFERROR(__xludf.DUMMYFUNCTION("IMPORTRANGE(""https://docs.google.com/spreadsheets/d/11923uPwbBZFjjGgGUA6NLw09EwE0CqkOc4q9oUmW1yo/edit?usp=sharing"",""เพชรบูรณ์!I384"")"),0)</f>
        <v>0</v>
      </c>
      <c r="J489" s="198">
        <f ca="1">IFERROR(__xludf.DUMMYFUNCTION("IMPORTRANGE(""https://docs.google.com/spreadsheets/d/11923uPwbBZFjjGgGUA6NLw09EwE0CqkOc4q9oUmW1yo/edit?usp=sharing"",""เพชรบูรณ์!J384"")"),0)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IFERROR(__xludf.DUMMYFUNCTION("IMPORTRANGE(""https://docs.google.com/spreadsheets/d/11923uPwbBZFjjGgGUA6NLw09EwE0CqkOc4q9oUmW1yo/edit?usp=sharing"",""เพชรบูรณ์!I385"")"),0)</f>
        <v>0</v>
      </c>
      <c r="J490" s="198">
        <f ca="1">IFERROR(__xludf.DUMMYFUNCTION("IMPORTRANGE(""https://docs.google.com/spreadsheets/d/11923uPwbBZFjjGgGUA6NLw09EwE0CqkOc4q9oUmW1yo/edit?usp=sharing"",""เพชรบูรณ์!J385"")"),0)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IFERROR(__xludf.DUMMYFUNCTION("IMPORTRANGE(""https://docs.google.com/spreadsheets/d/11923uPwbBZFjjGgGUA6NLw09EwE0CqkOc4q9oUmW1yo/edit?usp=sharing"",""เพชรบูรณ์!I386"")"),0)</f>
        <v>0</v>
      </c>
      <c r="J491" s="198">
        <f ca="1">IFERROR(__xludf.DUMMYFUNCTION("IMPORTRANGE(""https://docs.google.com/spreadsheets/d/11923uPwbBZFjjGgGUA6NLw09EwE0CqkOc4q9oUmW1yo/edit?usp=sharing"",""เพชรบูรณ์!J386"")"),0)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IFERROR(__xludf.DUMMYFUNCTION("IMPORTRANGE(""https://docs.google.com/spreadsheets/d/11923uPwbBZFjjGgGUA6NLw09EwE0CqkOc4q9oUmW1yo/edit?usp=sharing"",""เพชรบูรณ์!I387"")"),0)</f>
        <v>0</v>
      </c>
      <c r="J492" s="198">
        <f ca="1">IFERROR(__xludf.DUMMYFUNCTION("IMPORTRANGE(""https://docs.google.com/spreadsheets/d/11923uPwbBZFjjGgGUA6NLw09EwE0CqkOc4q9oUmW1yo/edit?usp=sharing"",""เพชรบูรณ์!J387"")"),0)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IFERROR(__xludf.DUMMYFUNCTION("IMPORTRANGE(""https://docs.google.com/spreadsheets/d/11923uPwbBZFjjGgGUA6NLw09EwE0CqkOc4q9oUmW1yo/edit?usp=sharing"",""เพชรบูรณ์!I388"")"),0)</f>
        <v>0</v>
      </c>
      <c r="J493" s="198">
        <f ca="1">IFERROR(__xludf.DUMMYFUNCTION("IMPORTRANGE(""https://docs.google.com/spreadsheets/d/11923uPwbBZFjjGgGUA6NLw09EwE0CqkOc4q9oUmW1yo/edit?usp=sharing"",""เพชรบูรณ์!J388"")"),0)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IFERROR(__xludf.DUMMYFUNCTION("IMPORTRANGE(""https://docs.google.com/spreadsheets/d/11923uPwbBZFjjGgGUA6NLw09EwE0CqkOc4q9oUmW1yo/edit?usp=sharing"",""เพชรบูรณ์!I389"")"),0)</f>
        <v>0</v>
      </c>
      <c r="J494" s="444">
        <f ca="1">IFERROR(__xludf.DUMMYFUNCTION("IMPORTRANGE(""https://docs.google.com/spreadsheets/d/11923uPwbBZFjjGgGUA6NLw09EwE0CqkOc4q9oUmW1yo/edit?usp=sharing"",""เพชรบูรณ์!J389"")"),0)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IFERROR(__xludf.DUMMYFUNCTION("IMPORTRANGE(""https://docs.google.com/spreadsheets/d/11923uPwbBZFjjGgGUA6NLw09EwE0CqkOc4q9oUmW1yo/edit?usp=sharing"",""เพชรบูรณ์!I390"")"),0)</f>
        <v>0</v>
      </c>
      <c r="J495" s="444">
        <f ca="1">IFERROR(__xludf.DUMMYFUNCTION("IMPORTRANGE(""https://docs.google.com/spreadsheets/d/11923uPwbBZFjjGgGUA6NLw09EwE0CqkOc4q9oUmW1yo/edit?usp=sharing"",""เพชรบูรณ์!J390"")"),0)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IFERROR(__xludf.DUMMYFUNCTION("IMPORTRANGE(""https://docs.google.com/spreadsheets/d/11923uPwbBZFjjGgGUA6NLw09EwE0CqkOc4q9oUmW1yo/edit?usp=sharing"",""เพชรบูรณ์!I391"")"),0)</f>
        <v>0</v>
      </c>
      <c r="J496" s="444">
        <f ca="1">IFERROR(__xludf.DUMMYFUNCTION("IMPORTRANGE(""https://docs.google.com/spreadsheets/d/11923uPwbBZFjjGgGUA6NLw09EwE0CqkOc4q9oUmW1yo/edit?usp=sharing"",""เพชรบูรณ์!J391"")"),0)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IFERROR(__xludf.DUMMYFUNCTION("IMPORTRANGE(""https://docs.google.com/spreadsheets/d/11923uPwbBZFjjGgGUA6NLw09EwE0CqkOc4q9oUmW1yo/edit?usp=sharing"",""เพชรบูรณ์!I392"")"),15939)</f>
        <v>15939</v>
      </c>
      <c r="J497" s="451">
        <f ca="1">IFERROR(__xludf.DUMMYFUNCTION("IMPORTRANGE(""https://docs.google.com/spreadsheets/d/11923uPwbBZFjjGgGUA6NLw09EwE0CqkOc4q9oUmW1yo/edit?usp=sharing"",""เพชรบูรณ์!J392"")"),226.22)</f>
        <v>226.22</v>
      </c>
      <c r="K497" s="452">
        <f t="shared" ca="1" si="117"/>
        <v>1.4192860279816801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IFERROR(__xludf.DUMMYFUNCTION("IMPORTRANGE(""https://docs.google.com/spreadsheets/d/11923uPwbBZFjjGgGUA6NLw09EwE0CqkOc4q9oUmW1yo/edit?usp=sharing"",""เพชรบูรณ์!I393"")"),15939)</f>
        <v>15939</v>
      </c>
      <c r="J498" s="428">
        <f ca="1">IFERROR(__xludf.DUMMYFUNCTION("IMPORTRANGE(""https://docs.google.com/spreadsheets/d/11923uPwbBZFjjGgGUA6NLw09EwE0CqkOc4q9oUmW1yo/edit?usp=sharing"",""เพชรบูรณ์!J393"")"),226.22)</f>
        <v>226.22</v>
      </c>
      <c r="K498" s="171">
        <f t="shared" ca="1" si="117"/>
        <v>1.4192860279816801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IFERROR(__xludf.DUMMYFUNCTION("IMPORTRANGE(""https://docs.google.com/spreadsheets/d/11923uPwbBZFjjGgGUA6NLw09EwE0CqkOc4q9oUmW1yo/edit?usp=sharing"",""เพชรบูรณ์!I394"")"),647)</f>
        <v>647</v>
      </c>
      <c r="J499" s="428">
        <f ca="1">IFERROR(__xludf.DUMMYFUNCTION("IMPORTRANGE(""https://docs.google.com/spreadsheets/d/11923uPwbBZFjjGgGUA6NLw09EwE0CqkOc4q9oUmW1yo/edit?usp=sharing"",""เพชรบูรณ์!J394"")"),27)</f>
        <v>27</v>
      </c>
      <c r="K499" s="211">
        <f t="shared" ca="1" si="117"/>
        <v>4.1731066460587325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IFERROR(__xludf.DUMMYFUNCTION("IMPORTRANGE(""https://docs.google.com/spreadsheets/d/11923uPwbBZFjjGgGUA6NLw09EwE0CqkOc4q9oUmW1yo/edit?usp=sharing"",""เพชรบูรณ์!I395"")"),0)</f>
        <v>0</v>
      </c>
      <c r="J500" s="170">
        <f ca="1">IFERROR(__xludf.DUMMYFUNCTION("IMPORTRANGE(""https://docs.google.com/spreadsheets/d/11923uPwbBZFjjGgGUA6NLw09EwE0CqkOc4q9oUmW1yo/edit?usp=sharing"",""เพชรบูรณ์!J395"")"),212.39)</f>
        <v>212.39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IFERROR(__xludf.DUMMYFUNCTION("IMPORTRANGE(""https://docs.google.com/spreadsheets/d/11923uPwbBZFjjGgGUA6NLw09EwE0CqkOc4q9oUmW1yo/edit?usp=sharing"",""เพชรบูรณ์!I396"")"),0)</f>
        <v>0</v>
      </c>
      <c r="J501" s="170">
        <f ca="1">IFERROR(__xludf.DUMMYFUNCTION("IMPORTRANGE(""https://docs.google.com/spreadsheets/d/11923uPwbBZFjjGgGUA6NLw09EwE0CqkOc4q9oUmW1yo/edit?usp=sharing"",""เพชรบูรณ์!J396"")"),25)</f>
        <v>25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IFERROR(__xludf.DUMMYFUNCTION("IMPORTRANGE(""https://docs.google.com/spreadsheets/d/11923uPwbBZFjjGgGUA6NLw09EwE0CqkOc4q9oUmW1yo/edit?usp=sharing"",""เพชรบูรณ์!I397"")"),0)</f>
        <v>0</v>
      </c>
      <c r="J502" s="198">
        <f ca="1">IFERROR(__xludf.DUMMYFUNCTION("IMPORTRANGE(""https://docs.google.com/spreadsheets/d/11923uPwbBZFjjGgGUA6NLw09EwE0CqkOc4q9oUmW1yo/edit?usp=sharing"",""เพชรบูรณ์!J397"")"),212.39)</f>
        <v>212.39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IFERROR(__xludf.DUMMYFUNCTION("IMPORTRANGE(""https://docs.google.com/spreadsheets/d/11923uPwbBZFjjGgGUA6NLw09EwE0CqkOc4q9oUmW1yo/edit?usp=sharing"",""เพชรบูรณ์!I398"")"),0)</f>
        <v>0</v>
      </c>
      <c r="J503" s="207">
        <f ca="1">IFERROR(__xludf.DUMMYFUNCTION("IMPORTRANGE(""https://docs.google.com/spreadsheets/d/11923uPwbBZFjjGgGUA6NLw09EwE0CqkOc4q9oUmW1yo/edit?usp=sharing"",""เพชรบูรณ์!J398"")"),25)</f>
        <v>25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IFERROR(__xludf.DUMMYFUNCTION("IMPORTRANGE(""https://docs.google.com/spreadsheets/d/11923uPwbBZFjjGgGUA6NLw09EwE0CqkOc4q9oUmW1yo/edit?usp=sharing"",""เพชรบูรณ์!I399"")"),0)</f>
        <v>0</v>
      </c>
      <c r="J504" s="198">
        <f ca="1">IFERROR(__xludf.DUMMYFUNCTION("IMPORTRANGE(""https://docs.google.com/spreadsheets/d/11923uPwbBZFjjGgGUA6NLw09EwE0CqkOc4q9oUmW1yo/edit?usp=sharing"",""เพชรบูรณ์!J399"")"),0)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IFERROR(__xludf.DUMMYFUNCTION("IMPORTRANGE(""https://docs.google.com/spreadsheets/d/11923uPwbBZFjjGgGUA6NLw09EwE0CqkOc4q9oUmW1yo/edit?usp=sharing"",""เพชรบูรณ์!I400"")"),0)</f>
        <v>0</v>
      </c>
      <c r="J505" s="207">
        <f ca="1">IFERROR(__xludf.DUMMYFUNCTION("IMPORTRANGE(""https://docs.google.com/spreadsheets/d/11923uPwbBZFjjGgGUA6NLw09EwE0CqkOc4q9oUmW1yo/edit?usp=sharing"",""เพชรบูรณ์!J400"")"),0)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IFERROR(__xludf.DUMMYFUNCTION("IMPORTRANGE(""https://docs.google.com/spreadsheets/d/11923uPwbBZFjjGgGUA6NLw09EwE0CqkOc4q9oUmW1yo/edit?usp=sharing"",""เพชรบูรณ์!I401"")"),0)</f>
        <v>0</v>
      </c>
      <c r="J506" s="198">
        <f ca="1">IFERROR(__xludf.DUMMYFUNCTION("IMPORTRANGE(""https://docs.google.com/spreadsheets/d/11923uPwbBZFjjGgGUA6NLw09EwE0CqkOc4q9oUmW1yo/edit?usp=sharing"",""เพชรบูรณ์!J401"")"),0)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IFERROR(__xludf.DUMMYFUNCTION("IMPORTRANGE(""https://docs.google.com/spreadsheets/d/11923uPwbBZFjjGgGUA6NLw09EwE0CqkOc4q9oUmW1yo/edit?usp=sharing"",""เพชรบูรณ์!I402"")"),0)</f>
        <v>0</v>
      </c>
      <c r="J507" s="207">
        <f ca="1">IFERROR(__xludf.DUMMYFUNCTION("IMPORTRANGE(""https://docs.google.com/spreadsheets/d/11923uPwbBZFjjGgGUA6NLw09EwE0CqkOc4q9oUmW1yo/edit?usp=sharing"",""เพชรบูรณ์!J402"")"),0)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IFERROR(__xludf.DUMMYFUNCTION("IMPORTRANGE(""https://docs.google.com/spreadsheets/d/11923uPwbBZFjjGgGUA6NLw09EwE0CqkOc4q9oUmW1yo/edit?usp=sharing"",""เพชรบูรณ์!I403"")"),0)</f>
        <v>0</v>
      </c>
      <c r="J508" s="170">
        <f ca="1">IFERROR(__xludf.DUMMYFUNCTION("IMPORTRANGE(""https://docs.google.com/spreadsheets/d/11923uPwbBZFjjGgGUA6NLw09EwE0CqkOc4q9oUmW1yo/edit?usp=sharing"",""เพชรบูรณ์!J403"")"),13.83)</f>
        <v>13.83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IFERROR(__xludf.DUMMYFUNCTION("IMPORTRANGE(""https://docs.google.com/spreadsheets/d/11923uPwbBZFjjGgGUA6NLw09EwE0CqkOc4q9oUmW1yo/edit?usp=sharing"",""เพชรบูรณ์!I404"")"),0)</f>
        <v>0</v>
      </c>
      <c r="J509" s="170">
        <f ca="1">IFERROR(__xludf.DUMMYFUNCTION("IMPORTRANGE(""https://docs.google.com/spreadsheets/d/11923uPwbBZFjjGgGUA6NLw09EwE0CqkOc4q9oUmW1yo/edit?usp=sharing"",""เพชรบูรณ์!J404"")"),2)</f>
        <v>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IFERROR(__xludf.DUMMYFUNCTION("IMPORTRANGE(""https://docs.google.com/spreadsheets/d/11923uPwbBZFjjGgGUA6NLw09EwE0CqkOc4q9oUmW1yo/edit?usp=sharing"",""เพชรบูรณ์!I405"")"),0)</f>
        <v>0</v>
      </c>
      <c r="J510" s="207">
        <f ca="1">IFERROR(__xludf.DUMMYFUNCTION("IMPORTRANGE(""https://docs.google.com/spreadsheets/d/11923uPwbBZFjjGgGUA6NLw09EwE0CqkOc4q9oUmW1yo/edit?usp=sharing"",""เพชรบูรณ์!J405"")"),13.83)</f>
        <v>13.83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IFERROR(__xludf.DUMMYFUNCTION("IMPORTRANGE(""https://docs.google.com/spreadsheets/d/11923uPwbBZFjjGgGUA6NLw09EwE0CqkOc4q9oUmW1yo/edit?usp=sharing"",""เพชรบูรณ์!I406"")"),0)</f>
        <v>0</v>
      </c>
      <c r="J511" s="207">
        <f ca="1">IFERROR(__xludf.DUMMYFUNCTION("IMPORTRANGE(""https://docs.google.com/spreadsheets/d/11923uPwbBZFjjGgGUA6NLw09EwE0CqkOc4q9oUmW1yo/edit?usp=sharing"",""เพชรบูรณ์!J406"")"),2)</f>
        <v>2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IFERROR(__xludf.DUMMYFUNCTION("IMPORTRANGE(""https://docs.google.com/spreadsheets/d/11923uPwbBZFjjGgGUA6NLw09EwE0CqkOc4q9oUmW1yo/edit?usp=sharing"",""เพชรบูรณ์!I407"")"),0)</f>
        <v>0</v>
      </c>
      <c r="J512" s="207">
        <f ca="1">IFERROR(__xludf.DUMMYFUNCTION("IMPORTRANGE(""https://docs.google.com/spreadsheets/d/11923uPwbBZFjjGgGUA6NLw09EwE0CqkOc4q9oUmW1yo/edit?usp=sharing"",""เพชรบูรณ์!J407"")"),0)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IFERROR(__xludf.DUMMYFUNCTION("IMPORTRANGE(""https://docs.google.com/spreadsheets/d/11923uPwbBZFjjGgGUA6NLw09EwE0CqkOc4q9oUmW1yo/edit?usp=sharing"",""เพชรบูรณ์!I408"")"),0)</f>
        <v>0</v>
      </c>
      <c r="J513" s="207">
        <f ca="1">IFERROR(__xludf.DUMMYFUNCTION("IMPORTRANGE(""https://docs.google.com/spreadsheets/d/11923uPwbBZFjjGgGUA6NLw09EwE0CqkOc4q9oUmW1yo/edit?usp=sharing"",""เพชรบูรณ์!J408"")"),0)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IFERROR(__xludf.DUMMYFUNCTION("IMPORTRANGE(""https://docs.google.com/spreadsheets/d/11923uPwbBZFjjGgGUA6NLw09EwE0CqkOc4q9oUmW1yo/edit?usp=sharing"",""เพชรบูรณ์!I409"")"),0)</f>
        <v>0</v>
      </c>
      <c r="J514" s="207">
        <f ca="1">IFERROR(__xludf.DUMMYFUNCTION("IMPORTRANGE(""https://docs.google.com/spreadsheets/d/11923uPwbBZFjjGgGUA6NLw09EwE0CqkOc4q9oUmW1yo/edit?usp=sharing"",""เพชรบูรณ์!J409"")"),0)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IFERROR(__xludf.DUMMYFUNCTION("IMPORTRANGE(""https://docs.google.com/spreadsheets/d/11923uPwbBZFjjGgGUA6NLw09EwE0CqkOc4q9oUmW1yo/edit?usp=sharing"",""เพชรบูรณ์!I410"")"),0)</f>
        <v>0</v>
      </c>
      <c r="J515" s="207">
        <f ca="1">IFERROR(__xludf.DUMMYFUNCTION("IMPORTRANGE(""https://docs.google.com/spreadsheets/d/11923uPwbBZFjjGgGUA6NLw09EwE0CqkOc4q9oUmW1yo/edit?usp=sharing"",""เพชรบูรณ์!J410"")"),0)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IFERROR(__xludf.DUMMYFUNCTION("IMPORTRANGE(""https://docs.google.com/spreadsheets/d/11923uPwbBZFjjGgGUA6NLw09EwE0CqkOc4q9oUmW1yo/edit?usp=sharing"",""เพชรบูรณ์!I411"")"),0)</f>
        <v>0</v>
      </c>
      <c r="J516" s="276">
        <f ca="1">IFERROR(__xludf.DUMMYFUNCTION("IMPORTRANGE(""https://docs.google.com/spreadsheets/d/11923uPwbBZFjjGgGUA6NLw09EwE0CqkOc4q9oUmW1yo/edit?usp=sharing"",""เพชรบูรณ์!J411"")"),0)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IFERROR(__xludf.DUMMYFUNCTION("IMPORTRANGE(""https://docs.google.com/spreadsheets/d/11923uPwbBZFjjGgGUA6NLw09EwE0CqkOc4q9oUmW1yo/edit?usp=sharing"",""เพชรบูรณ์!I412"")"),0)</f>
        <v>0</v>
      </c>
      <c r="J517" s="292">
        <f ca="1">IFERROR(__xludf.DUMMYFUNCTION("IMPORTRANGE(""https://docs.google.com/spreadsheets/d/11923uPwbBZFjjGgGUA6NLw09EwE0CqkOc4q9oUmW1yo/edit?usp=sharing"",""เพชรบูรณ์!J412"")"),0)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IFERROR(__xludf.DUMMYFUNCTION("IMPORTRANGE(""https://docs.google.com/spreadsheets/d/11923uPwbBZFjjGgGUA6NLw09EwE0CqkOc4q9oUmW1yo/edit?usp=sharing"",""เพชรบูรณ์!I413"")"),0)</f>
        <v>0</v>
      </c>
      <c r="J518" s="292">
        <f ca="1">IFERROR(__xludf.DUMMYFUNCTION("IMPORTRANGE(""https://docs.google.com/spreadsheets/d/11923uPwbBZFjjGgGUA6NLw09EwE0CqkOc4q9oUmW1yo/edit?usp=sharing"",""เพชรบูรณ์!J413"")"),0)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IFERROR(__xludf.DUMMYFUNCTION("IMPORTRANGE(""https://docs.google.com/spreadsheets/d/11923uPwbBZFjjGgGUA6NLw09EwE0CqkOc4q9oUmW1yo/edit?usp=sharing"",""เพชรบูรณ์!I414"")"),0)</f>
        <v>0</v>
      </c>
      <c r="J519" s="197">
        <f ca="1">IFERROR(__xludf.DUMMYFUNCTION("IMPORTRANGE(""https://docs.google.com/spreadsheets/d/11923uPwbBZFjjGgGUA6NLw09EwE0CqkOc4q9oUmW1yo/edit?usp=sharing"",""เพชรบูรณ์!J414"")"),0)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IFERROR(__xludf.DUMMYFUNCTION("IMPORTRANGE(""https://docs.google.com/spreadsheets/d/11923uPwbBZFjjGgGUA6NLw09EwE0CqkOc4q9oUmW1yo/edit?usp=sharing"",""เพชรบูรณ์!I415"")"),0)</f>
        <v>0</v>
      </c>
      <c r="J520" s="197">
        <f ca="1">IFERROR(__xludf.DUMMYFUNCTION("IMPORTRANGE(""https://docs.google.com/spreadsheets/d/11923uPwbBZFjjGgGUA6NLw09EwE0CqkOc4q9oUmW1yo/edit?usp=sharing"",""เพชรบูรณ์!J415"")"),0)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IFERROR(__xludf.DUMMYFUNCTION("IMPORTRANGE(""https://docs.google.com/spreadsheets/d/11923uPwbBZFjjGgGUA6NLw09EwE0CqkOc4q9oUmW1yo/edit?usp=sharing"",""เพชรบูรณ์!I416"")"),0)</f>
        <v>0</v>
      </c>
      <c r="J521" s="197">
        <f ca="1">IFERROR(__xludf.DUMMYFUNCTION("IMPORTRANGE(""https://docs.google.com/spreadsheets/d/11923uPwbBZFjjGgGUA6NLw09EwE0CqkOc4q9oUmW1yo/edit?usp=sharing"",""เพชรบูรณ์!J416"")"),0)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IFERROR(__xludf.DUMMYFUNCTION("IMPORTRANGE(""https://docs.google.com/spreadsheets/d/11923uPwbBZFjjGgGUA6NLw09EwE0CqkOc4q9oUmW1yo/edit?usp=sharing"",""เพชรบูรณ์!I417"")"),0)</f>
        <v>0</v>
      </c>
      <c r="J522" s="197">
        <f ca="1">IFERROR(__xludf.DUMMYFUNCTION("IMPORTRANGE(""https://docs.google.com/spreadsheets/d/11923uPwbBZFjjGgGUA6NLw09EwE0CqkOc4q9oUmW1yo/edit?usp=sharing"",""เพชรบูรณ์!J417"")"),0)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IFERROR(__xludf.DUMMYFUNCTION("IMPORTRANGE(""https://docs.google.com/spreadsheets/d/11923uPwbBZFjjGgGUA6NLw09EwE0CqkOc4q9oUmW1yo/edit?usp=sharing"",""เพชรบูรณ์!I418"")"),0)</f>
        <v>0</v>
      </c>
      <c r="J523" s="197">
        <f ca="1">IFERROR(__xludf.DUMMYFUNCTION("IMPORTRANGE(""https://docs.google.com/spreadsheets/d/11923uPwbBZFjjGgGUA6NLw09EwE0CqkOc4q9oUmW1yo/edit?usp=sharing"",""เพชรบูรณ์!J418"")"),0)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IFERROR(__xludf.DUMMYFUNCTION("IMPORTRANGE(""https://docs.google.com/spreadsheets/d/11923uPwbBZFjjGgGUA6NLw09EwE0CqkOc4q9oUmW1yo/edit?usp=sharing"",""เพชรบูรณ์!I419"")"),0)</f>
        <v>0</v>
      </c>
      <c r="J524" s="197">
        <f ca="1">IFERROR(__xludf.DUMMYFUNCTION("IMPORTRANGE(""https://docs.google.com/spreadsheets/d/11923uPwbBZFjjGgGUA6NLw09EwE0CqkOc4q9oUmW1yo/edit?usp=sharing"",""เพชรบูรณ์!J419"")"),0)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IFERROR(__xludf.DUMMYFUNCTION("IMPORTRANGE(""https://docs.google.com/spreadsheets/d/11923uPwbBZFjjGgGUA6NLw09EwE0CqkOc4q9oUmW1yo/edit?usp=sharing"",""เพชรบูรณ์!I420"")"),0)</f>
        <v>0</v>
      </c>
      <c r="J525" s="292">
        <f ca="1">IFERROR(__xludf.DUMMYFUNCTION("IMPORTRANGE(""https://docs.google.com/spreadsheets/d/11923uPwbBZFjjGgGUA6NLw09EwE0CqkOc4q9oUmW1yo/edit?usp=sharing"",""เพชรบูรณ์!J420"")"),0)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IFERROR(__xludf.DUMMYFUNCTION("IMPORTRANGE(""https://docs.google.com/spreadsheets/d/11923uPwbBZFjjGgGUA6NLw09EwE0CqkOc4q9oUmW1yo/edit?usp=sharing"",""เพชรบูรณ์!I421"")"),0)</f>
        <v>0</v>
      </c>
      <c r="J526" s="292">
        <f ca="1">IFERROR(__xludf.DUMMYFUNCTION("IMPORTRANGE(""https://docs.google.com/spreadsheets/d/11923uPwbBZFjjGgGUA6NLw09EwE0CqkOc4q9oUmW1yo/edit?usp=sharing"",""เพชรบูรณ์!J421"")"),0)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IFERROR(__xludf.DUMMYFUNCTION("IMPORTRANGE(""https://docs.google.com/spreadsheets/d/11923uPwbBZFjjGgGUA6NLw09EwE0CqkOc4q9oUmW1yo/edit?usp=sharing"",""เพชรบูรณ์!I422"")"),0)</f>
        <v>0</v>
      </c>
      <c r="J527" s="207">
        <f ca="1">IFERROR(__xludf.DUMMYFUNCTION("IMPORTRANGE(""https://docs.google.com/spreadsheets/d/11923uPwbBZFjjGgGUA6NLw09EwE0CqkOc4q9oUmW1yo/edit?usp=sharing"",""เพชรบูรณ์!J422"")"),0)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IFERROR(__xludf.DUMMYFUNCTION("IMPORTRANGE(""https://docs.google.com/spreadsheets/d/11923uPwbBZFjjGgGUA6NLw09EwE0CqkOc4q9oUmW1yo/edit?usp=sharing"",""เพชรบูรณ์!I423"")"),0)</f>
        <v>0</v>
      </c>
      <c r="J528" s="207">
        <f ca="1">IFERROR(__xludf.DUMMYFUNCTION("IMPORTRANGE(""https://docs.google.com/spreadsheets/d/11923uPwbBZFjjGgGUA6NLw09EwE0CqkOc4q9oUmW1yo/edit?usp=sharing"",""เพชรบูรณ์!J423"")"),0)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IFERROR(__xludf.DUMMYFUNCTION("IMPORTRANGE(""https://docs.google.com/spreadsheets/d/11923uPwbBZFjjGgGUA6NLw09EwE0CqkOc4q9oUmW1yo/edit?usp=sharing"",""เพชรบูรณ์!I424"")"),0)</f>
        <v>0</v>
      </c>
      <c r="J529" s="207">
        <f ca="1">IFERROR(__xludf.DUMMYFUNCTION("IMPORTRANGE(""https://docs.google.com/spreadsheets/d/11923uPwbBZFjjGgGUA6NLw09EwE0CqkOc4q9oUmW1yo/edit?usp=sharing"",""เพชรบูรณ์!J424"")"),0)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IFERROR(__xludf.DUMMYFUNCTION("IMPORTRANGE(""https://docs.google.com/spreadsheets/d/11923uPwbBZFjjGgGUA6NLw09EwE0CqkOc4q9oUmW1yo/edit?usp=sharing"",""เพชรบูรณ์!I425"")"),0)</f>
        <v>0</v>
      </c>
      <c r="J530" s="207">
        <f ca="1">IFERROR(__xludf.DUMMYFUNCTION("IMPORTRANGE(""https://docs.google.com/spreadsheets/d/11923uPwbBZFjjGgGUA6NLw09EwE0CqkOc4q9oUmW1yo/edit?usp=sharing"",""เพชรบูรณ์!J425"")"),0)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IFERROR(__xludf.DUMMYFUNCTION("IMPORTRANGE(""https://docs.google.com/spreadsheets/d/11923uPwbBZFjjGgGUA6NLw09EwE0CqkOc4q9oUmW1yo/edit?usp=sharing"",""เพชรบูรณ์!I426"")"),0)</f>
        <v>0</v>
      </c>
      <c r="J531" s="207">
        <f ca="1">IFERROR(__xludf.DUMMYFUNCTION("IMPORTRANGE(""https://docs.google.com/spreadsheets/d/11923uPwbBZFjjGgGUA6NLw09EwE0CqkOc4q9oUmW1yo/edit?usp=sharing"",""เพชรบูรณ์!J426"")"),0)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IFERROR(__xludf.DUMMYFUNCTION("IMPORTRANGE(""https://docs.google.com/spreadsheets/d/11923uPwbBZFjjGgGUA6NLw09EwE0CqkOc4q9oUmW1yo/edit?usp=sharing"",""เพชรบูรณ์!I427"")"),0)</f>
        <v>0</v>
      </c>
      <c r="J532" s="474">
        <f ca="1">IFERROR(__xludf.DUMMYFUNCTION("IMPORTRANGE(""https://docs.google.com/spreadsheets/d/11923uPwbBZFjjGgGUA6NLw09EwE0CqkOc4q9oUmW1yo/edit?usp=sharing"",""เพชรบูรณ์!J427"")"),0)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IFERROR(__xludf.DUMMYFUNCTION("IMPORTRANGE(""https://docs.google.com/spreadsheets/d/11923uPwbBZFjjGgGUA6NLw09EwE0CqkOc4q9oUmW1yo/edit?usp=sharing"",""เพชรบูรณ์!I428"")"),22)</f>
        <v>22</v>
      </c>
      <c r="J533" s="418">
        <f ca="1">IFERROR(__xludf.DUMMYFUNCTION("IMPORTRANGE(""https://docs.google.com/spreadsheets/d/11923uPwbBZFjjGgGUA6NLw09EwE0CqkOc4q9oUmW1yo/edit?usp=sharing"",""เพชรบูรณ์!J428"")"),22)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IFERROR(__xludf.DUMMYFUNCTION("IMPORTRANGE(""https://docs.google.com/spreadsheets/d/11923uPwbBZFjjGgGUA6NLw09EwE0CqkOc4q9oUmW1yo/edit?usp=sharing"",""เพชรบูรณ์!L428"")"),34340)</f>
        <v>34340</v>
      </c>
      <c r="M533" s="420"/>
      <c r="N533" s="420">
        <f ca="1">IFERROR(__xludf.DUMMYFUNCTION("IMPORTRANGE(""https://docs.google.com/spreadsheets/d/11923uPwbBZFjjGgGUA6NLw09EwE0CqkOc4q9oUmW1yo/edit?usp=sharing"",""เพชรบูรณ์!M428"")"),17161)</f>
        <v>17161</v>
      </c>
      <c r="O533" s="420">
        <f t="shared" ref="O533:O537" ca="1" si="118">+IF(L533&gt;0,N533*100/L533,0)</f>
        <v>49.973791496796736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IFERROR(__xludf.DUMMYFUNCTION("IMPORTRANGE(""https://docs.google.com/spreadsheets/d/11923uPwbBZFjjGgGUA6NLw09EwE0CqkOc4q9oUmW1yo/edit?usp=sharing"",""เพชรบูรณ์!L429"")"),0)</f>
        <v>0</v>
      </c>
      <c r="M534" s="172"/>
      <c r="N534" s="178">
        <f ca="1">IFERROR(__xludf.DUMMYFUNCTION("IMPORTRANGE(""https://docs.google.com/spreadsheets/d/11923uPwbBZFjjGgGUA6NLw09EwE0CqkOc4q9oUmW1yo/edit?usp=sharing"",""เพชรบูรณ์!M429"")"),0)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IFERROR(__xludf.DUMMYFUNCTION("IMPORTRANGE(""https://docs.google.com/spreadsheets/d/11923uPwbBZFjjGgGUA6NLw09EwE0CqkOc4q9oUmW1yo/edit?usp=sharing"",""เพชรบูรณ์!L430"")"),34340)</f>
        <v>34340</v>
      </c>
      <c r="M535" s="173"/>
      <c r="N535" s="178">
        <f ca="1">IFERROR(__xludf.DUMMYFUNCTION("IMPORTRANGE(""https://docs.google.com/spreadsheets/d/11923uPwbBZFjjGgGUA6NLw09EwE0CqkOc4q9oUmW1yo/edit?usp=sharing"",""เพชรบูรณ์!M430"")"),17161)</f>
        <v>17161</v>
      </c>
      <c r="O535" s="178">
        <f t="shared" ca="1" si="118"/>
        <v>49.973791496796736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IFERROR(__xludf.DUMMYFUNCTION("IMPORTRANGE(""https://docs.google.com/spreadsheets/d/11923uPwbBZFjjGgGUA6NLw09EwE0CqkOc4q9oUmW1yo/edit?usp=sharing"",""เพชรบูรณ์!L431"")"),0)</f>
        <v>0</v>
      </c>
      <c r="M536" s="178"/>
      <c r="N536" s="178">
        <f ca="1">IFERROR(__xludf.DUMMYFUNCTION("IMPORTRANGE(""https://docs.google.com/spreadsheets/d/11923uPwbBZFjjGgGUA6NLw09EwE0CqkOc4q9oUmW1yo/edit?usp=sharing"",""เพชรบูรณ์!M431"")"),0)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IFERROR(__xludf.DUMMYFUNCTION("IMPORTRANGE(""https://docs.google.com/spreadsheets/d/11923uPwbBZFjjGgGUA6NLw09EwE0CqkOc4q9oUmW1yo/edit?usp=sharing"",""เพชรบูรณ์!L432"")"),34340)</f>
        <v>34340</v>
      </c>
      <c r="M537" s="178"/>
      <c r="N537" s="178">
        <f ca="1">IFERROR(__xludf.DUMMYFUNCTION("IMPORTRANGE(""https://docs.google.com/spreadsheets/d/11923uPwbBZFjjGgGUA6NLw09EwE0CqkOc4q9oUmW1yo/edit?usp=sharing"",""เพชรบูรณ์!M432"")"),17161)</f>
        <v>17161</v>
      </c>
      <c r="O537" s="178">
        <f t="shared" ca="1" si="118"/>
        <v>49.973791496796736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IFERROR(__xludf.DUMMYFUNCTION("IMPORTRANGE(""https://docs.google.com/spreadsheets/d/11923uPwbBZFjjGgGUA6NLw09EwE0CqkOc4q9oUmW1yo/edit?usp=sharing"",""เพชรบูรณ์!M433"")"),17161)</f>
        <v>17161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IFERROR(__xludf.DUMMYFUNCTION("IMPORTRANGE(""https://docs.google.com/spreadsheets/d/11923uPwbBZFjjGgGUA6NLw09EwE0CqkOc4q9oUmW1yo/edit?usp=sharing"",""เพชรบูรณ์!M434"")"),0)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IFERROR(__xludf.DUMMYFUNCTION("IMPORTRANGE(""https://docs.google.com/spreadsheets/d/11923uPwbBZFjjGgGUA6NLw09EwE0CqkOc4q9oUmW1yo/edit?usp=sharing"",""เพชรบูรณ์!M435"")"),0)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IFERROR(__xludf.DUMMYFUNCTION("IMPORTRANGE(""https://docs.google.com/spreadsheets/d/11923uPwbBZFjjGgGUA6NLw09EwE0CqkOc4q9oUmW1yo/edit?usp=sharing"",""เพชรบูรณ์!M436"")"),0)</f>
        <v>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IFERROR(__xludf.DUMMYFUNCTION("IMPORTRANGE(""https://docs.google.com/spreadsheets/d/11923uPwbBZFjjGgGUA6NLw09EwE0CqkOc4q9oUmW1yo/edit?usp=sharing"",""เพชรบูรณ์!J438"")"),0)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IFERROR(__xludf.DUMMYFUNCTION("IMPORTRANGE(""https://docs.google.com/spreadsheets/d/11923uPwbBZFjjGgGUA6NLw09EwE0CqkOc4q9oUmW1yo/edit?usp=sharing"",""เพชรบูรณ์!J439"")"),1)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IFERROR(__xludf.DUMMYFUNCTION("IMPORTRANGE(""https://docs.google.com/spreadsheets/d/11923uPwbBZFjjGgGUA6NLw09EwE0CqkOc4q9oUmW1yo/edit?usp=sharing"",""เพชรบูรณ์!J440"")"),1)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IFERROR(__xludf.DUMMYFUNCTION("IMPORTRANGE(""https://docs.google.com/spreadsheets/d/11923uPwbBZFjjGgGUA6NLw09EwE0CqkOc4q9oUmW1yo/edit?usp=sharing"",""เพชรบูรณ์!J441"")"),1)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IFERROR(__xludf.DUMMYFUNCTION("IMPORTRANGE(""https://docs.google.com/spreadsheets/d/11923uPwbBZFjjGgGUA6NLw09EwE0CqkOc4q9oUmW1yo/edit?usp=sharing"",""เพชรบูรณ์!I442"")"),22)</f>
        <v>22</v>
      </c>
      <c r="J547" s="198">
        <f ca="1">IFERROR(__xludf.DUMMYFUNCTION("IMPORTRANGE(""https://docs.google.com/spreadsheets/d/11923uPwbBZFjjGgGUA6NLw09EwE0CqkOc4q9oUmW1yo/edit?usp=sharing"",""เพชรบูรณ์!J442"")"),22)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IFERROR(__xludf.DUMMYFUNCTION("IMPORTRANGE(""https://docs.google.com/spreadsheets/d/11923uPwbBZFjjGgGUA6NLw09EwE0CqkOc4q9oUmW1yo/edit?usp=sharing"",""เพชรบูรณ์!J166"")"),0)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IFERROR(__xludf.DUMMYFUNCTION("IMPORTRANGE(""https://docs.google.com/spreadsheets/d/11923uPwbBZFjjGgGUA6NLw09EwE0CqkOc4q9oUmW1yo/edit?usp=sharing"",""เพชรบูรณ์!J444"")"),0)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IFERROR(__xludf.DUMMYFUNCTION("IMPORTRANGE(""https://docs.google.com/spreadsheets/d/11923uPwbBZFjjGgGUA6NLw09EwE0CqkOc4q9oUmW1yo/edit?usp=sharing"",""เพชรบูรณ์!J445"")"),0)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IFERROR(__xludf.DUMMYFUNCTION("IMPORTRANGE(""https://docs.google.com/spreadsheets/d/11923uPwbBZFjjGgGUA6NLw09EwE0CqkOc4q9oUmW1yo/edit?usp=sharing"",""เพชรบูรณ์!I446"")"),0)</f>
        <v>0</v>
      </c>
      <c r="J551" s="418">
        <f ca="1">IFERROR(__xludf.DUMMYFUNCTION("IMPORTRANGE(""https://docs.google.com/spreadsheets/d/11923uPwbBZFjjGgGUA6NLw09EwE0CqkOc4q9oUmW1yo/edit?usp=sharing"",""เพชรบูรณ์!J446"")"),0)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IFERROR(__xludf.DUMMYFUNCTION("IMPORTRANGE(""https://docs.google.com/spreadsheets/d/11923uPwbBZFjjGgGUA6NLw09EwE0CqkOc4q9oUmW1yo/edit?usp=sharing"",""เพชรบูรณ์!L446"")"),0)</f>
        <v>0</v>
      </c>
      <c r="M551" s="420"/>
      <c r="N551" s="420">
        <f ca="1">IFERROR(__xludf.DUMMYFUNCTION("IMPORTRANGE(""https://docs.google.com/spreadsheets/d/11923uPwbBZFjjGgGUA6NLw09EwE0CqkOc4q9oUmW1yo/edit?usp=sharing"",""เพชรบูรณ์!M446"")"),0)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IFERROR(__xludf.DUMMYFUNCTION("IMPORTRANGE(""https://docs.google.com/spreadsheets/d/11923uPwbBZFjjGgGUA6NLw09EwE0CqkOc4q9oUmW1yo/edit?usp=sharing"",""เพชรบูรณ์!L447"")"),0)</f>
        <v>0</v>
      </c>
      <c r="M552" s="172"/>
      <c r="N552" s="178">
        <f ca="1">IFERROR(__xludf.DUMMYFUNCTION("IMPORTRANGE(""https://docs.google.com/spreadsheets/d/11923uPwbBZFjjGgGUA6NLw09EwE0CqkOc4q9oUmW1yo/edit?usp=sharing"",""เพชรบูรณ์!M447"")"),0)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IFERROR(__xludf.DUMMYFUNCTION("IMPORTRANGE(""https://docs.google.com/spreadsheets/d/11923uPwbBZFjjGgGUA6NLw09EwE0CqkOc4q9oUmW1yo/edit?usp=sharing"",""เพชรบูรณ์!L448"")"),0)</f>
        <v>0</v>
      </c>
      <c r="M553" s="173"/>
      <c r="N553" s="178">
        <f ca="1">IFERROR(__xludf.DUMMYFUNCTION("IMPORTRANGE(""https://docs.google.com/spreadsheets/d/11923uPwbBZFjjGgGUA6NLw09EwE0CqkOc4q9oUmW1yo/edit?usp=sharing"",""เพชรบูรณ์!M448"")"),0)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IFERROR(__xludf.DUMMYFUNCTION("IMPORTRANGE(""https://docs.google.com/spreadsheets/d/11923uPwbBZFjjGgGUA6NLw09EwE0CqkOc4q9oUmW1yo/edit?usp=sharing"",""เพชรบูรณ์!L449"")"),0)</f>
        <v>0</v>
      </c>
      <c r="M554" s="178"/>
      <c r="N554" s="178">
        <f ca="1">IFERROR(__xludf.DUMMYFUNCTION("IMPORTRANGE(""https://docs.google.com/spreadsheets/d/11923uPwbBZFjjGgGUA6NLw09EwE0CqkOc4q9oUmW1yo/edit?usp=sharing"",""เพชรบูรณ์!M449"")"),0)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IFERROR(__xludf.DUMMYFUNCTION("IMPORTRANGE(""https://docs.google.com/spreadsheets/d/11923uPwbBZFjjGgGUA6NLw09EwE0CqkOc4q9oUmW1yo/edit?usp=sharing"",""เพชรบูรณ์!L450"")"),0)</f>
        <v>0</v>
      </c>
      <c r="M555" s="178"/>
      <c r="N555" s="178">
        <f ca="1">IFERROR(__xludf.DUMMYFUNCTION("IMPORTRANGE(""https://docs.google.com/spreadsheets/d/11923uPwbBZFjjGgGUA6NLw09EwE0CqkOc4q9oUmW1yo/edit?usp=sharing"",""เพชรบูรณ์!M450"")"),0)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IFERROR(__xludf.DUMMYFUNCTION("IMPORTRANGE(""https://docs.google.com/spreadsheets/d/11923uPwbBZFjjGgGUA6NLw09EwE0CqkOc4q9oUmW1yo/edit?usp=sharing"",""เพชรบูรณ์!M451"")"),0)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IFERROR(__xludf.DUMMYFUNCTION("IMPORTRANGE(""https://docs.google.com/spreadsheets/d/11923uPwbBZFjjGgGUA6NLw09EwE0CqkOc4q9oUmW1yo/edit?usp=sharing"",""เพชรบูรณ์!M452"")"),0)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IFERROR(__xludf.DUMMYFUNCTION("IMPORTRANGE(""https://docs.google.com/spreadsheets/d/11923uPwbBZFjjGgGUA6NLw09EwE0CqkOc4q9oUmW1yo/edit?usp=sharing"",""เพชรบูรณ์!M453"")"),0)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IFERROR(__xludf.DUMMYFUNCTION("IMPORTRANGE(""https://docs.google.com/spreadsheets/d/11923uPwbBZFjjGgGUA6NLw09EwE0CqkOc4q9oUmW1yo/edit?usp=sharing"",""เพชรบูรณ์!M454"")"),0)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IFERROR(__xludf.DUMMYFUNCTION("IMPORTRANGE(""https://docs.google.com/spreadsheets/d/11923uPwbBZFjjGgGUA6NLw09EwE0CqkOc4q9oUmW1yo/edit?usp=sharing"",""เพชรบูรณ์!I455"")"),0)</f>
        <v>0</v>
      </c>
      <c r="J560" s="170">
        <f ca="1">IFERROR(__xludf.DUMMYFUNCTION("IMPORTRANGE(""https://docs.google.com/spreadsheets/d/11923uPwbBZFjjGgGUA6NLw09EwE0CqkOc4q9oUmW1yo/edit?usp=sharing"",""เพชรบูรณ์!J455"")"),0)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IFERROR(__xludf.DUMMYFUNCTION("IMPORTRANGE(""https://docs.google.com/spreadsheets/d/11923uPwbBZFjjGgGUA6NLw09EwE0CqkOc4q9oUmW1yo/edit?usp=sharing"",""เพชรบูรณ์!I456"")"),0)</f>
        <v>0</v>
      </c>
      <c r="J561" s="213">
        <f ca="1">IFERROR(__xludf.DUMMYFUNCTION("IMPORTRANGE(""https://docs.google.com/spreadsheets/d/11923uPwbBZFjjGgGUA6NLw09EwE0CqkOc4q9oUmW1yo/edit?usp=sharing"",""เพชรบูรณ์!J456"")"),0)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IFERROR(__xludf.DUMMYFUNCTION("IMPORTRANGE(""https://docs.google.com/spreadsheets/d/11923uPwbBZFjjGgGUA6NLw09EwE0CqkOc4q9oUmW1yo/edit?usp=sharing"",""เพชรบูรณ์!I457"")"),"")</f>
        <v/>
      </c>
      <c r="J562" s="213" t="str">
        <f ca="1">IFERROR(__xludf.DUMMYFUNCTION("IMPORTRANGE(""https://docs.google.com/spreadsheets/d/11923uPwbBZFjjGgGUA6NLw09EwE0CqkOc4q9oUmW1yo/edit?usp=sharing"",""เพชรบูรณ์!J457"")"),"")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IFERROR(__xludf.DUMMYFUNCTION("IMPORTRANGE(""https://docs.google.com/spreadsheets/d/11923uPwbBZFjjGgGUA6NLw09EwE0CqkOc4q9oUmW1yo/edit?usp=sharing"",""เพชรบูรณ์!I458"")"),"")</f>
        <v/>
      </c>
      <c r="J563" s="197" t="str">
        <f ca="1">IFERROR(__xludf.DUMMYFUNCTION("IMPORTRANGE(""https://docs.google.com/spreadsheets/d/11923uPwbBZFjjGgGUA6NLw09EwE0CqkOc4q9oUmW1yo/edit?usp=sharing"",""เพชรบูรณ์!J458"")"),"")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IFERROR(__xludf.DUMMYFUNCTION("IMPORTRANGE(""https://docs.google.com/spreadsheets/d/11923uPwbBZFjjGgGUA6NLw09EwE0CqkOc4q9oUmW1yo/edit?usp=sharing"",""เพชรบูรณ์!I459"")"),3850)</f>
        <v>3850</v>
      </c>
      <c r="J564" s="379">
        <f ca="1">IFERROR(__xludf.DUMMYFUNCTION("IMPORTRANGE(""https://docs.google.com/spreadsheets/d/11923uPwbBZFjjGgGUA6NLw09EwE0CqkOc4q9oUmW1yo/edit?usp=sharing"",""เพชรบูรณ์!J459"")"),3240)</f>
        <v>3240</v>
      </c>
      <c r="K564" s="380">
        <f t="shared" ca="1" si="121"/>
        <v>84.15584415584415</v>
      </c>
      <c r="L564" s="381">
        <f ca="1">IFERROR(__xludf.DUMMYFUNCTION("IMPORTRANGE(""https://docs.google.com/spreadsheets/d/11923uPwbBZFjjGgGUA6NLw09EwE0CqkOc4q9oUmW1yo/edit?usp=sharing"",""เพชรบูรณ์!L459"")"),157200)</f>
        <v>157200</v>
      </c>
      <c r="M564" s="381"/>
      <c r="N564" s="381">
        <f ca="1">IFERROR(__xludf.DUMMYFUNCTION("IMPORTRANGE(""https://docs.google.com/spreadsheets/d/11923uPwbBZFjjGgGUA6NLw09EwE0CqkOc4q9oUmW1yo/edit?usp=sharing"",""เพชรบูรณ์!M459"")"),46681.46)</f>
        <v>46681.46</v>
      </c>
      <c r="O564" s="381">
        <f t="shared" ref="O564:O568" ca="1" si="122">+IF(L564&gt;0,N564*100/L564,0)</f>
        <v>29.695585241730281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IFERROR(__xludf.DUMMYFUNCTION("IMPORTRANGE(""https://docs.google.com/spreadsheets/d/11923uPwbBZFjjGgGUA6NLw09EwE0CqkOc4q9oUmW1yo/edit?usp=sharing"",""เพชรบูรณ์!L460"")"),0)</f>
        <v>0</v>
      </c>
      <c r="M565" s="172"/>
      <c r="N565" s="178">
        <f ca="1">IFERROR(__xludf.DUMMYFUNCTION("IMPORTRANGE(""https://docs.google.com/spreadsheets/d/11923uPwbBZFjjGgGUA6NLw09EwE0CqkOc4q9oUmW1yo/edit?usp=sharing"",""เพชรบูรณ์!M460"")"),0)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IFERROR(__xludf.DUMMYFUNCTION("IMPORTRANGE(""https://docs.google.com/spreadsheets/d/11923uPwbBZFjjGgGUA6NLw09EwE0CqkOc4q9oUmW1yo/edit?usp=sharing"",""เพชรบูรณ์!L461"")"),157200)</f>
        <v>157200</v>
      </c>
      <c r="M566" s="173"/>
      <c r="N566" s="178">
        <f ca="1">IFERROR(__xludf.DUMMYFUNCTION("IMPORTRANGE(""https://docs.google.com/spreadsheets/d/11923uPwbBZFjjGgGUA6NLw09EwE0CqkOc4q9oUmW1yo/edit?usp=sharing"",""เพชรบูรณ์!M461"")"),46681.46)</f>
        <v>46681.46</v>
      </c>
      <c r="O566" s="178">
        <f t="shared" ca="1" si="122"/>
        <v>29.695585241730281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IFERROR(__xludf.DUMMYFUNCTION("IMPORTRANGE(""https://docs.google.com/spreadsheets/d/11923uPwbBZFjjGgGUA6NLw09EwE0CqkOc4q9oUmW1yo/edit?usp=sharing"",""เพชรบูรณ์!L462"")"),0)</f>
        <v>0</v>
      </c>
      <c r="M567" s="178"/>
      <c r="N567" s="178">
        <f ca="1">IFERROR(__xludf.DUMMYFUNCTION("IMPORTRANGE(""https://docs.google.com/spreadsheets/d/11923uPwbBZFjjGgGUA6NLw09EwE0CqkOc4q9oUmW1yo/edit?usp=sharing"",""เพชรบูรณ์!M462"")"),0)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IFERROR(__xludf.DUMMYFUNCTION("IMPORTRANGE(""https://docs.google.com/spreadsheets/d/11923uPwbBZFjjGgGUA6NLw09EwE0CqkOc4q9oUmW1yo/edit?usp=sharing"",""เพชรบูรณ์!L463"")"),157200)</f>
        <v>157200</v>
      </c>
      <c r="M568" s="178"/>
      <c r="N568" s="178">
        <f ca="1">IFERROR(__xludf.DUMMYFUNCTION("IMPORTRANGE(""https://docs.google.com/spreadsheets/d/11923uPwbBZFjjGgGUA6NLw09EwE0CqkOc4q9oUmW1yo/edit?usp=sharing"",""เพชรบูรณ์!M463"")"),46681.46)</f>
        <v>46681.46</v>
      </c>
      <c r="O568" s="178">
        <f t="shared" ca="1" si="122"/>
        <v>29.695585241730281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IFERROR(__xludf.DUMMYFUNCTION("IMPORTRANGE(""https://docs.google.com/spreadsheets/d/11923uPwbBZFjjGgGUA6NLw09EwE0CqkOc4q9oUmW1yo/edit?usp=sharing"",""เพชรบูรณ์!M464"")"),0)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IFERROR(__xludf.DUMMYFUNCTION("IMPORTRANGE(""https://docs.google.com/spreadsheets/d/11923uPwbBZFjjGgGUA6NLw09EwE0CqkOc4q9oUmW1yo/edit?usp=sharing"",""เพชรบูรณ์!M465"")"),0)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IFERROR(__xludf.DUMMYFUNCTION("IMPORTRANGE(""https://docs.google.com/spreadsheets/d/11923uPwbBZFjjGgGUA6NLw09EwE0CqkOc4q9oUmW1yo/edit?usp=sharing"",""เพชรบูรณ์!M466"")"),32248)</f>
        <v>32248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IFERROR(__xludf.DUMMYFUNCTION("IMPORTRANGE(""https://docs.google.com/spreadsheets/d/11923uPwbBZFjjGgGUA6NLw09EwE0CqkOc4q9oUmW1yo/edit?usp=sharing"",""เพชรบูรณ์!M467"")"),14433.46)</f>
        <v>14433.46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IFERROR(__xludf.DUMMYFUNCTION("IMPORTRANGE(""https://docs.google.com/spreadsheets/d/11923uPwbBZFjjGgGUA6NLw09EwE0CqkOc4q9oUmW1yo/edit?usp=sharing"",""เพชรบูรณ์!I468"")"),3850)</f>
        <v>3850</v>
      </c>
      <c r="J573" s="428">
        <f ca="1">IFERROR(__xludf.DUMMYFUNCTION("IMPORTRANGE(""https://docs.google.com/spreadsheets/d/11923uPwbBZFjjGgGUA6NLw09EwE0CqkOc4q9oUmW1yo/edit?usp=sharing"",""เพชรบูรณ์!J468"")"),3240)</f>
        <v>3240</v>
      </c>
      <c r="K573" s="211">
        <f ca="1">IF(I573&gt;0,J573*100/I573,0)</f>
        <v>84.15584415584415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IFERROR(__xludf.DUMMYFUNCTION("IMPORTRANGE(""https://docs.google.com/spreadsheets/d/11923uPwbBZFjjGgGUA6NLw09EwE0CqkOc4q9oUmW1yo/edit?usp=sharing"",""เพชรบูรณ์!I470"")"),0)</f>
        <v>0</v>
      </c>
      <c r="J575" s="207">
        <f ca="1">IFERROR(__xludf.DUMMYFUNCTION("IMPORTRANGE(""https://docs.google.com/spreadsheets/d/11923uPwbBZFjjGgGUA6NLw09EwE0CqkOc4q9oUmW1yo/edit?usp=sharing"",""เพชรบูรณ์!J470"")"),3)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IFERROR(__xludf.DUMMYFUNCTION("IMPORTRANGE(""https://docs.google.com/spreadsheets/d/11923uPwbBZFjjGgGUA6NLw09EwE0CqkOc4q9oUmW1yo/edit?usp=sharing"",""เพชรบูรณ์!I471"")"),0)</f>
        <v>0</v>
      </c>
      <c r="J576" s="207">
        <f ca="1">IFERROR(__xludf.DUMMYFUNCTION("IMPORTRANGE(""https://docs.google.com/spreadsheets/d/11923uPwbBZFjjGgGUA6NLw09EwE0CqkOc4q9oUmW1yo/edit?usp=sharing"",""เพชรบูรณ์!J471"")"),377)</f>
        <v>377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IFERROR(__xludf.DUMMYFUNCTION("IMPORTRANGE(""https://docs.google.com/spreadsheets/d/11923uPwbBZFjjGgGUA6NLw09EwE0CqkOc4q9oUmW1yo/edit?usp=sharing"",""เพชรบูรณ์!I472"")"),0)</f>
        <v>0</v>
      </c>
      <c r="J577" s="198">
        <f ca="1">IFERROR(__xludf.DUMMYFUNCTION("IMPORTRANGE(""https://docs.google.com/spreadsheets/d/11923uPwbBZFjjGgGUA6NLw09EwE0CqkOc4q9oUmW1yo/edit?usp=sharing"",""เพชรบูรณ์!J472"")"),2831)</f>
        <v>2831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IFERROR(__xludf.DUMMYFUNCTION("IMPORTRANGE(""https://docs.google.com/spreadsheets/d/11923uPwbBZFjjGgGUA6NLw09EwE0CqkOc4q9oUmW1yo/edit?usp=sharing"",""เพชรบูรณ์!I473"")"),0)</f>
        <v>0</v>
      </c>
      <c r="J578" s="207">
        <f ca="1">IFERROR(__xludf.DUMMYFUNCTION("IMPORTRANGE(""https://docs.google.com/spreadsheets/d/11923uPwbBZFjjGgGUA6NLw09EwE0CqkOc4q9oUmW1yo/edit?usp=sharing"",""เพชรบูรณ์!J473"")"),2)</f>
        <v>2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IFERROR(__xludf.DUMMYFUNCTION("IMPORTRANGE(""https://docs.google.com/spreadsheets/d/11923uPwbBZFjjGgGUA6NLw09EwE0CqkOc4q9oUmW1yo/edit?usp=sharing"",""เพชรบูรณ์!I474"")"),0)</f>
        <v>0</v>
      </c>
      <c r="J579" s="207">
        <f ca="1">IFERROR(__xludf.DUMMYFUNCTION("IMPORTRANGE(""https://docs.google.com/spreadsheets/d/11923uPwbBZFjjGgGUA6NLw09EwE0CqkOc4q9oUmW1yo/edit?usp=sharing"",""เพชรบูรณ์!J474"")"),30)</f>
        <v>30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IFERROR(__xludf.DUMMYFUNCTION("IMPORTRANGE(""https://docs.google.com/spreadsheets/d/11923uPwbBZFjjGgGUA6NLw09EwE0CqkOc4q9oUmW1yo/edit?usp=sharing"",""เพชรบูรณ์!I475"")"),300)</f>
        <v>300</v>
      </c>
      <c r="J580" s="379">
        <f ca="1">IFERROR(__xludf.DUMMYFUNCTION("IMPORTRANGE(""https://docs.google.com/spreadsheets/d/11923uPwbBZFjjGgGUA6NLw09EwE0CqkOc4q9oUmW1yo/edit?usp=sharing"",""เพชรบูรณ์!J475"")"),14)</f>
        <v>14</v>
      </c>
      <c r="K580" s="380">
        <f ca="1">IF(I580&gt;0,J580*100/I580,0)</f>
        <v>4.666666666666667</v>
      </c>
      <c r="L580" s="381">
        <f ca="1">IFERROR(__xludf.DUMMYFUNCTION("IMPORTRANGE(""https://docs.google.com/spreadsheets/d/11923uPwbBZFjjGgGUA6NLw09EwE0CqkOc4q9oUmW1yo/edit?usp=sharing"",""เพชรบูรณ์!L475"")"),346950)</f>
        <v>346950</v>
      </c>
      <c r="M580" s="381"/>
      <c r="N580" s="381">
        <f ca="1">IFERROR(__xludf.DUMMYFUNCTION("IMPORTRANGE(""https://docs.google.com/spreadsheets/d/11923uPwbBZFjjGgGUA6NLw09EwE0CqkOc4q9oUmW1yo/edit?usp=sharing"",""เพชรบูรณ์!M475"")"),89936)</f>
        <v>89936</v>
      </c>
      <c r="O580" s="381">
        <f t="shared" ref="O580:O584" ca="1" si="124">+IF(L580&gt;0,N580*100/L580,0)</f>
        <v>25.921890762357688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IFERROR(__xludf.DUMMYFUNCTION("IMPORTRANGE(""https://docs.google.com/spreadsheets/d/11923uPwbBZFjjGgGUA6NLw09EwE0CqkOc4q9oUmW1yo/edit?usp=sharing"",""เพชรบูรณ์!L476"")"),0)</f>
        <v>0</v>
      </c>
      <c r="M581" s="172"/>
      <c r="N581" s="178">
        <f ca="1">IFERROR(__xludf.DUMMYFUNCTION("IMPORTRANGE(""https://docs.google.com/spreadsheets/d/11923uPwbBZFjjGgGUA6NLw09EwE0CqkOc4q9oUmW1yo/edit?usp=sharing"",""เพชรบูรณ์!M476"")"),0)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IFERROR(__xludf.DUMMYFUNCTION("IMPORTRANGE(""https://docs.google.com/spreadsheets/d/11923uPwbBZFjjGgGUA6NLw09EwE0CqkOc4q9oUmW1yo/edit?usp=sharing"",""เพชรบูรณ์!L477"")"),346950)</f>
        <v>346950</v>
      </c>
      <c r="M582" s="173"/>
      <c r="N582" s="178">
        <f ca="1">IFERROR(__xludf.DUMMYFUNCTION("IMPORTRANGE(""https://docs.google.com/spreadsheets/d/11923uPwbBZFjjGgGUA6NLw09EwE0CqkOc4q9oUmW1yo/edit?usp=sharing"",""เพชรบูรณ์!M477"")"),89936)</f>
        <v>89936</v>
      </c>
      <c r="O582" s="178">
        <f t="shared" ca="1" si="124"/>
        <v>25.921890762357688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IFERROR(__xludf.DUMMYFUNCTION("IMPORTRANGE(""https://docs.google.com/spreadsheets/d/11923uPwbBZFjjGgGUA6NLw09EwE0CqkOc4q9oUmW1yo/edit?usp=sharing"",""เพชรบูรณ์!L478"")"),0)</f>
        <v>0</v>
      </c>
      <c r="M583" s="178"/>
      <c r="N583" s="178">
        <f ca="1">IFERROR(__xludf.DUMMYFUNCTION("IMPORTRANGE(""https://docs.google.com/spreadsheets/d/11923uPwbBZFjjGgGUA6NLw09EwE0CqkOc4q9oUmW1yo/edit?usp=sharing"",""เพชรบูรณ์!M478"")"),0)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IFERROR(__xludf.DUMMYFUNCTION("IMPORTRANGE(""https://docs.google.com/spreadsheets/d/11923uPwbBZFjjGgGUA6NLw09EwE0CqkOc4q9oUmW1yo/edit?usp=sharing"",""เพชรบูรณ์!L479"")"),346950)</f>
        <v>346950</v>
      </c>
      <c r="M584" s="178"/>
      <c r="N584" s="178">
        <f ca="1">IFERROR(__xludf.DUMMYFUNCTION("IMPORTRANGE(""https://docs.google.com/spreadsheets/d/11923uPwbBZFjjGgGUA6NLw09EwE0CqkOc4q9oUmW1yo/edit?usp=sharing"",""เพชรบูรณ์!M479"")"),89936)</f>
        <v>89936</v>
      </c>
      <c r="O584" s="178">
        <f t="shared" ca="1" si="124"/>
        <v>25.921890762357688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IFERROR(__xludf.DUMMYFUNCTION("IMPORTRANGE(""https://docs.google.com/spreadsheets/d/11923uPwbBZFjjGgGUA6NLw09EwE0CqkOc4q9oUmW1yo/edit?usp=sharing"",""เพชรบูรณ์!M480"")"),0)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IFERROR(__xludf.DUMMYFUNCTION("IMPORTRANGE(""https://docs.google.com/spreadsheets/d/11923uPwbBZFjjGgGUA6NLw09EwE0CqkOc4q9oUmW1yo/edit?usp=sharing"",""เพชรบูรณ์!M481"")"),0)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IFERROR(__xludf.DUMMYFUNCTION("IMPORTRANGE(""https://docs.google.com/spreadsheets/d/11923uPwbBZFjjGgGUA6NLw09EwE0CqkOc4q9oUmW1yo/edit?usp=sharing"",""เพชรบูรณ์!M482"")"),26026)</f>
        <v>26026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IFERROR(__xludf.DUMMYFUNCTION("IMPORTRANGE(""https://docs.google.com/spreadsheets/d/11923uPwbBZFjjGgGUA6NLw09EwE0CqkOc4q9oUmW1yo/edit?usp=sharing"",""เพชรบูรณ์!M483"")"),63910)</f>
        <v>63910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IFERROR(__xludf.DUMMYFUNCTION("IMPORTRANGE(""https://docs.google.com/spreadsheets/d/11923uPwbBZFjjGgGUA6NLw09EwE0CqkOc4q9oUmW1yo/edit?usp=sharing"",""เพชรบูรณ์!I484"")"),300)</f>
        <v>300</v>
      </c>
      <c r="J589" s="197">
        <f ca="1">IFERROR(__xludf.DUMMYFUNCTION("IMPORTRANGE(""https://docs.google.com/spreadsheets/d/11923uPwbBZFjjGgGUA6NLw09EwE0CqkOc4q9oUmW1yo/edit?usp=sharing"",""เพชรบูรณ์!J484"")"),93)</f>
        <v>93</v>
      </c>
      <c r="K589" s="171">
        <f t="shared" ref="K589:K596" ca="1" si="125">IF(I589&gt;0,J589*100/I589,0)</f>
        <v>31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IFERROR(__xludf.DUMMYFUNCTION("IMPORTRANGE(""https://docs.google.com/spreadsheets/d/11923uPwbBZFjjGgGUA6NLw09EwE0CqkOc4q9oUmW1yo/edit?usp=sharing"",""เพชรบูรณ์!I485"")"),0)</f>
        <v>0</v>
      </c>
      <c r="J590" s="197">
        <f ca="1">IFERROR(__xludf.DUMMYFUNCTION("IMPORTRANGE(""https://docs.google.com/spreadsheets/d/11923uPwbBZFjjGgGUA6NLw09EwE0CqkOc4q9oUmW1yo/edit?usp=sharing"",""เพชรบูรณ์!J485"")"),55.24)</f>
        <v>55.24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IFERROR(__xludf.DUMMYFUNCTION("IMPORTRANGE(""https://docs.google.com/spreadsheets/d/11923uPwbBZFjjGgGUA6NLw09EwE0CqkOc4q9oUmW1yo/edit?usp=sharing"",""เพชรบูรณ์!I486"")"),300)</f>
        <v>300</v>
      </c>
      <c r="J591" s="197">
        <f ca="1">IFERROR(__xludf.DUMMYFUNCTION("IMPORTRANGE(""https://docs.google.com/spreadsheets/d/11923uPwbBZFjjGgGUA6NLw09EwE0CqkOc4q9oUmW1yo/edit?usp=sharing"",""เพชรบูรณ์!J486"")"),14)</f>
        <v>14</v>
      </c>
      <c r="K591" s="171">
        <f t="shared" ca="1" si="125"/>
        <v>4.666666666666667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IFERROR(__xludf.DUMMYFUNCTION("IMPORTRANGE(""https://docs.google.com/spreadsheets/d/11923uPwbBZFjjGgGUA6NLw09EwE0CqkOc4q9oUmW1yo/edit?usp=sharing"",""เพชรบูรณ์!I487"")"),0)</f>
        <v>0</v>
      </c>
      <c r="J592" s="197">
        <f ca="1">IFERROR(__xludf.DUMMYFUNCTION("IMPORTRANGE(""https://docs.google.com/spreadsheets/d/11923uPwbBZFjjGgGUA6NLw09EwE0CqkOc4q9oUmW1yo/edit?usp=sharing"",""เพชรบูรณ์!J487"")"),7.91)</f>
        <v>7.91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IFERROR(__xludf.DUMMYFUNCTION("IMPORTRANGE(""https://docs.google.com/spreadsheets/d/11923uPwbBZFjjGgGUA6NLw09EwE0CqkOc4q9oUmW1yo/edit?usp=sharing"",""เพชรบูรณ์!I488"")"),300)</f>
        <v>300</v>
      </c>
      <c r="J593" s="197">
        <f ca="1">IFERROR(__xludf.DUMMYFUNCTION("IMPORTRANGE(""https://docs.google.com/spreadsheets/d/11923uPwbBZFjjGgGUA6NLw09EwE0CqkOc4q9oUmW1yo/edit?usp=sharing"",""เพชรบูรณ์!J488"")"),0)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IFERROR(__xludf.DUMMYFUNCTION("IMPORTRANGE(""https://docs.google.com/spreadsheets/d/11923uPwbBZFjjGgGUA6NLw09EwE0CqkOc4q9oUmW1yo/edit?usp=sharing"",""เพชรบูรณ์!I489"")"),0)</f>
        <v>0</v>
      </c>
      <c r="J594" s="197">
        <f ca="1">IFERROR(__xludf.DUMMYFUNCTION("IMPORTRANGE(""https://docs.google.com/spreadsheets/d/11923uPwbBZFjjGgGUA6NLw09EwE0CqkOc4q9oUmW1yo/edit?usp=sharing"",""เพชรบูรณ์!J489"")"),0)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IFERROR(__xludf.DUMMYFUNCTION("IMPORTRANGE(""https://docs.google.com/spreadsheets/d/11923uPwbBZFjjGgGUA6NLw09EwE0CqkOc4q9oUmW1yo/edit?usp=sharing"",""เพชรบูรณ์!I490"")"),300)</f>
        <v>300</v>
      </c>
      <c r="J595" s="197">
        <f ca="1">IFERROR(__xludf.DUMMYFUNCTION("IMPORTRANGE(""https://docs.google.com/spreadsheets/d/11923uPwbBZFjjGgGUA6NLw09EwE0CqkOc4q9oUmW1yo/edit?usp=sharing"",""เพชรบูรณ์!J490"")"),14)</f>
        <v>14</v>
      </c>
      <c r="K595" s="171">
        <f t="shared" ca="1" si="125"/>
        <v>4.666666666666667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IFERROR(__xludf.DUMMYFUNCTION("IMPORTRANGE(""https://docs.google.com/spreadsheets/d/11923uPwbBZFjjGgGUA6NLw09EwE0CqkOc4q9oUmW1yo/edit?usp=sharing"",""เพชรบูรณ์!I491"")"),0)</f>
        <v>0</v>
      </c>
      <c r="J596" s="250">
        <f ca="1">IFERROR(__xludf.DUMMYFUNCTION("IMPORTRANGE(""https://docs.google.com/spreadsheets/d/11923uPwbBZFjjGgGUA6NLw09EwE0CqkOc4q9oUmW1yo/edit?usp=sharing"",""เพชรบูรณ์!J491"")"),7.91)</f>
        <v>7.91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IFERROR(__xludf.DUMMYFUNCTION("IMPORTRANGE(""https://docs.google.com/spreadsheets/d/11923uPwbBZFjjGgGUA6NLw09EwE0CqkOc4q9oUmW1yo/edit?usp=sharing"",""เพชรบูรณ์!I492"")"),100)</f>
        <v>100</v>
      </c>
      <c r="J597" s="495">
        <f ca="1">IFERROR(__xludf.DUMMYFUNCTION("IMPORTRANGE(""https://docs.google.com/spreadsheets/d/11923uPwbBZFjjGgGUA6NLw09EwE0CqkOc4q9oUmW1yo/edit?usp=sharing"",""เพชรบูรณ์!J492"")"),0)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IFERROR(__xludf.DUMMYFUNCTION("IMPORTRANGE(""https://docs.google.com/spreadsheets/d/11923uPwbBZFjjGgGUA6NLw09EwE0CqkOc4q9oUmW1yo/edit?usp=sharing"",""เพชรบูรณ์!L492"")"),7300)</f>
        <v>7300</v>
      </c>
      <c r="M597" s="420"/>
      <c r="N597" s="420">
        <f ca="1">IFERROR(__xludf.DUMMYFUNCTION("IMPORTRANGE(""https://docs.google.com/spreadsheets/d/11923uPwbBZFjjGgGUA6NLw09EwE0CqkOc4q9oUmW1yo/edit?usp=sharing"",""เพชรบูรณ์!M492"")"),450)</f>
        <v>450</v>
      </c>
      <c r="O597" s="420">
        <f t="shared" ref="O597:O601" ca="1" si="126">+IF(L597&gt;0,N597*100/L597,0)</f>
        <v>6.1643835616438354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IFERROR(__xludf.DUMMYFUNCTION("IMPORTRANGE(""https://docs.google.com/spreadsheets/d/11923uPwbBZFjjGgGUA6NLw09EwE0CqkOc4q9oUmW1yo/edit?usp=sharing"",""เพชรบูรณ์!L493"")"),0)</f>
        <v>0</v>
      </c>
      <c r="M598" s="172"/>
      <c r="N598" s="178">
        <f ca="1">IFERROR(__xludf.DUMMYFUNCTION("IMPORTRANGE(""https://docs.google.com/spreadsheets/d/11923uPwbBZFjjGgGUA6NLw09EwE0CqkOc4q9oUmW1yo/edit?usp=sharing"",""เพชรบูรณ์!M493"")"),0)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IFERROR(__xludf.DUMMYFUNCTION("IMPORTRANGE(""https://docs.google.com/spreadsheets/d/11923uPwbBZFjjGgGUA6NLw09EwE0CqkOc4q9oUmW1yo/edit?usp=sharing"",""เพชรบูรณ์!L494"")"),7300)</f>
        <v>7300</v>
      </c>
      <c r="M599" s="173"/>
      <c r="N599" s="178">
        <f ca="1">IFERROR(__xludf.DUMMYFUNCTION("IMPORTRANGE(""https://docs.google.com/spreadsheets/d/11923uPwbBZFjjGgGUA6NLw09EwE0CqkOc4q9oUmW1yo/edit?usp=sharing"",""เพชรบูรณ์!M494"")"),450)</f>
        <v>450</v>
      </c>
      <c r="O599" s="178">
        <f t="shared" ca="1" si="126"/>
        <v>6.1643835616438354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IFERROR(__xludf.DUMMYFUNCTION("IMPORTRANGE(""https://docs.google.com/spreadsheets/d/11923uPwbBZFjjGgGUA6NLw09EwE0CqkOc4q9oUmW1yo/edit?usp=sharing"",""เพชรบูรณ์!L495"")"),0)</f>
        <v>0</v>
      </c>
      <c r="M600" s="178"/>
      <c r="N600" s="178">
        <f ca="1">IFERROR(__xludf.DUMMYFUNCTION("IMPORTRANGE(""https://docs.google.com/spreadsheets/d/11923uPwbBZFjjGgGUA6NLw09EwE0CqkOc4q9oUmW1yo/edit?usp=sharing"",""เพชรบูรณ์!M495"")"),0)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IFERROR(__xludf.DUMMYFUNCTION("IMPORTRANGE(""https://docs.google.com/spreadsheets/d/11923uPwbBZFjjGgGUA6NLw09EwE0CqkOc4q9oUmW1yo/edit?usp=sharing"",""เพชรบูรณ์!L496"")"),7300)</f>
        <v>7300</v>
      </c>
      <c r="M601" s="178"/>
      <c r="N601" s="178">
        <f ca="1">IFERROR(__xludf.DUMMYFUNCTION("IMPORTRANGE(""https://docs.google.com/spreadsheets/d/11923uPwbBZFjjGgGUA6NLw09EwE0CqkOc4q9oUmW1yo/edit?usp=sharing"",""เพชรบูรณ์!M496"")"),450)</f>
        <v>450</v>
      </c>
      <c r="O601" s="178">
        <f t="shared" ca="1" si="126"/>
        <v>6.1643835616438354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IFERROR(__xludf.DUMMYFUNCTION("IMPORTRANGE(""https://docs.google.com/spreadsheets/d/11923uPwbBZFjjGgGUA6NLw09EwE0CqkOc4q9oUmW1yo/edit?usp=sharing"",""เพชรบูรณ์!M497"")"),0)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IFERROR(__xludf.DUMMYFUNCTION("IMPORTRANGE(""https://docs.google.com/spreadsheets/d/11923uPwbBZFjjGgGUA6NLw09EwE0CqkOc4q9oUmW1yo/edit?usp=sharing"",""เพชรบูรณ์!M498"")"),0)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IFERROR(__xludf.DUMMYFUNCTION("IMPORTRANGE(""https://docs.google.com/spreadsheets/d/11923uPwbBZFjjGgGUA6NLw09EwE0CqkOc4q9oUmW1yo/edit?usp=sharing"",""เพชรบูรณ์!M499"")"),0)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IFERROR(__xludf.DUMMYFUNCTION("IMPORTRANGE(""https://docs.google.com/spreadsheets/d/11923uPwbBZFjjGgGUA6NLw09EwE0CqkOc4q9oUmW1yo/edit?usp=sharing"",""เพชรบูรณ์!M500"")"),450)</f>
        <v>450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IFERROR(__xludf.DUMMYFUNCTION("IMPORTRANGE(""https://docs.google.com/spreadsheets/d/11923uPwbBZFjjGgGUA6NLw09EwE0CqkOc4q9oUmW1yo/edit?usp=sharing"",""เพชรบูรณ์!J502"")"),0)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IFERROR(__xludf.DUMMYFUNCTION("IMPORTRANGE(""https://docs.google.com/spreadsheets/d/11923uPwbBZFjjGgGUA6NLw09EwE0CqkOc4q9oUmW1yo/edit?usp=sharing"",""เพชรบูรณ์!J503"")"),1)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IFERROR(__xludf.DUMMYFUNCTION("IMPORTRANGE(""https://docs.google.com/spreadsheets/d/11923uPwbBZFjjGgGUA6NLw09EwE0CqkOc4q9oUmW1yo/edit?usp=sharing"",""เพชรบูรณ์!J166"")"),0)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IFERROR(__xludf.DUMMYFUNCTION("IMPORTRANGE(""https://docs.google.com/spreadsheets/d/11923uPwbBZFjjGgGUA6NLw09EwE0CqkOc4q9oUmW1yo/edit?usp=sharing"",""เพชรบูรณ์!J166"")"),0)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IFERROR(__xludf.DUMMYFUNCTION("IMPORTRANGE(""https://docs.google.com/spreadsheets/d/11923uPwbBZFjjGgGUA6NLw09EwE0CqkOc4q9oUmW1yo/edit?usp=sharing"",""เพชรบูรณ์!I506"")"),100)</f>
        <v>100</v>
      </c>
      <c r="J611" s="170">
        <f ca="1">IFERROR(__xludf.DUMMYFUNCTION("IMPORTRANGE(""https://docs.google.com/spreadsheets/d/11923uPwbBZFjjGgGUA6NLw09EwE0CqkOc4q9oUmW1yo/edit?usp=sharing"",""เพชรบูรณ์!J506"")"),0)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IFERROR(__xludf.DUMMYFUNCTION("IMPORTRANGE(""https://docs.google.com/spreadsheets/d/11923uPwbBZFjjGgGUA6NLw09EwE0CqkOc4q9oUmW1yo/edit?usp=sharing"",""เพชรบูรณ์!I507"")"),0)</f>
        <v>0</v>
      </c>
      <c r="J612" s="207">
        <f ca="1">IFERROR(__xludf.DUMMYFUNCTION("IMPORTRANGE(""https://docs.google.com/spreadsheets/d/11923uPwbBZFjjGgGUA6NLw09EwE0CqkOc4q9oUmW1yo/edit?usp=sharing"",""เพชรบูรณ์!J507"")"),0)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IFERROR(__xludf.DUMMYFUNCTION("IMPORTRANGE(""https://docs.google.com/spreadsheets/d/11923uPwbBZFjjGgGUA6NLw09EwE0CqkOc4q9oUmW1yo/edit?usp=sharing"",""เพชรบูรณ์!I508"")"),0)</f>
        <v>0</v>
      </c>
      <c r="J613" s="207">
        <f ca="1">IFERROR(__xludf.DUMMYFUNCTION("IMPORTRANGE(""https://docs.google.com/spreadsheets/d/11923uPwbBZFjjGgGUA6NLw09EwE0CqkOc4q9oUmW1yo/edit?usp=sharing"",""เพชรบูรณ์!J508"")"),0)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IFERROR(__xludf.DUMMYFUNCTION("IMPORTRANGE(""https://docs.google.com/spreadsheets/d/11923uPwbBZFjjGgGUA6NLw09EwE0CqkOc4q9oUmW1yo/edit?usp=sharing"",""เพชรบูรณ์!I509"")"),0)</f>
        <v>0</v>
      </c>
      <c r="J614" s="207">
        <f ca="1">IFERROR(__xludf.DUMMYFUNCTION("IMPORTRANGE(""https://docs.google.com/spreadsheets/d/11923uPwbBZFjjGgGUA6NLw09EwE0CqkOc4q9oUmW1yo/edit?usp=sharing"",""เพชรบูรณ์!J509"")"),0)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IFERROR(__xludf.DUMMYFUNCTION("IMPORTRANGE(""https://docs.google.com/spreadsheets/d/11923uPwbBZFjjGgGUA6NLw09EwE0CqkOc4q9oUmW1yo/edit?usp=sharing"",""เพชรบูรณ์!I510"")"),0)</f>
        <v>0</v>
      </c>
      <c r="J615" s="207">
        <f ca="1">IFERROR(__xludf.DUMMYFUNCTION("IMPORTRANGE(""https://docs.google.com/spreadsheets/d/11923uPwbBZFjjGgGUA6NLw09EwE0CqkOc4q9oUmW1yo/edit?usp=sharing"",""เพชรบูรณ์!J510"")"),0)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IFERROR(__xludf.DUMMYFUNCTION("IMPORTRANGE(""https://docs.google.com/spreadsheets/d/11923uPwbBZFjjGgGUA6NLw09EwE0CqkOc4q9oUmW1yo/edit?usp=sharing"",""เพชรบูรณ์!I511"")"),0)</f>
        <v>0</v>
      </c>
      <c r="J616" s="207">
        <f ca="1">IFERROR(__xludf.DUMMYFUNCTION("IMPORTRANGE(""https://docs.google.com/spreadsheets/d/11923uPwbBZFjjGgGUA6NLw09EwE0CqkOc4q9oUmW1yo/edit?usp=sharing"",""เพชรบูรณ์!J511"")"),0)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IFERROR(__xludf.DUMMYFUNCTION("IMPORTRANGE(""https://docs.google.com/spreadsheets/d/11923uPwbBZFjjGgGUA6NLw09EwE0CqkOc4q9oUmW1yo/edit?usp=sharing"",""เพชรบูรณ์!I512"")"),0)</f>
        <v>0</v>
      </c>
      <c r="J617" s="197">
        <f ca="1">IFERROR(__xludf.DUMMYFUNCTION("IMPORTRANGE(""https://docs.google.com/spreadsheets/d/11923uPwbBZFjjGgGUA6NLw09EwE0CqkOc4q9oUmW1yo/edit?usp=sharing"",""เพชรบูรณ์!J512"")"),0)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IFERROR(__xludf.DUMMYFUNCTION("IMPORTRANGE(""https://docs.google.com/spreadsheets/d/11923uPwbBZFjjGgGUA6NLw09EwE0CqkOc4q9oUmW1yo/edit?usp=sharing"",""เพชรบูรณ์!I513"")"),0)</f>
        <v>0</v>
      </c>
      <c r="J618" s="198">
        <f ca="1">IFERROR(__xludf.DUMMYFUNCTION("IMPORTRANGE(""https://docs.google.com/spreadsheets/d/11923uPwbBZFjjGgGUA6NLw09EwE0CqkOc4q9oUmW1yo/edit?usp=sharing"",""เพชรบูรณ์!J513"")"),0)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IFERROR(__xludf.DUMMYFUNCTION("IMPORTRANGE(""https://docs.google.com/spreadsheets/d/11923uPwbBZFjjGgGUA6NLw09EwE0CqkOc4q9oUmW1yo/edit?usp=sharing"",""เพชรบูรณ์!I514"")"),0)</f>
        <v>0</v>
      </c>
      <c r="J619" s="198">
        <f ca="1">IFERROR(__xludf.DUMMYFUNCTION("IMPORTRANGE(""https://docs.google.com/spreadsheets/d/11923uPwbBZFjjGgGUA6NLw09EwE0CqkOc4q9oUmW1yo/edit?usp=sharing"",""เพชรบูรณ์!J514"")"),0)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IFERROR(__xludf.DUMMYFUNCTION("IMPORTRANGE(""https://docs.google.com/spreadsheets/d/11923uPwbBZFjjGgGUA6NLw09EwE0CqkOc4q9oUmW1yo/edit?usp=sharing"",""เพชรบูรณ์!I515"")"),0)</f>
        <v>0</v>
      </c>
      <c r="J620" s="212">
        <f ca="1">IFERROR(__xludf.DUMMYFUNCTION("IMPORTRANGE(""https://docs.google.com/spreadsheets/d/11923uPwbBZFjjGgGUA6NLw09EwE0CqkOc4q9oUmW1yo/edit?usp=sharing"",""เพชรบูรณ์!J515"")"),0)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IFERROR(__xludf.DUMMYFUNCTION("IMPORTRANGE(""https://docs.google.com/spreadsheets/d/11923uPwbBZFjjGgGUA6NLw09EwE0CqkOc4q9oUmW1yo/edit?usp=sharing"",""เพชรบูรณ์!I516"")"),0)</f>
        <v>0</v>
      </c>
      <c r="J621" s="212">
        <f ca="1">IFERROR(__xludf.DUMMYFUNCTION("IMPORTRANGE(""https://docs.google.com/spreadsheets/d/11923uPwbBZFjjGgGUA6NLw09EwE0CqkOc4q9oUmW1yo/edit?usp=sharing"",""เพชรบูรณ์!J516"")"),0)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IFERROR(__xludf.DUMMYFUNCTION("IMPORTRANGE(""https://docs.google.com/spreadsheets/d/11923uPwbBZFjjGgGUA6NLw09EwE0CqkOc4q9oUmW1yo/edit?usp=sharing"",""เพชรบูรณ์!I517"")"),0)</f>
        <v>0</v>
      </c>
      <c r="J622" s="198">
        <f ca="1">IFERROR(__xludf.DUMMYFUNCTION("IMPORTRANGE(""https://docs.google.com/spreadsheets/d/11923uPwbBZFjjGgGUA6NLw09EwE0CqkOc4q9oUmW1yo/edit?usp=sharing"",""เพชรบูรณ์!J517"")"),0)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IFERROR(__xludf.DUMMYFUNCTION("IMPORTRANGE(""https://docs.google.com/spreadsheets/d/11923uPwbBZFjjGgGUA6NLw09EwE0CqkOc4q9oUmW1yo/edit?usp=sharing"",""เพชรบูรณ์!I518"")"),0)</f>
        <v>0</v>
      </c>
      <c r="J623" s="198">
        <f ca="1">IFERROR(__xludf.DUMMYFUNCTION("IMPORTRANGE(""https://docs.google.com/spreadsheets/d/11923uPwbBZFjjGgGUA6NLw09EwE0CqkOc4q9oUmW1yo/edit?usp=sharing"",""เพชรบูรณ์!J518"")"),0)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IFERROR(__xludf.DUMMYFUNCTION("IMPORTRANGE(""https://docs.google.com/spreadsheets/d/11923uPwbBZFjjGgGUA6NLw09EwE0CqkOc4q9oUmW1yo/edit?usp=sharing"",""เพชรบูรณ์!I519"")"),0)</f>
        <v>0</v>
      </c>
      <c r="J624" s="197">
        <f ca="1">IFERROR(__xludf.DUMMYFUNCTION("IMPORTRANGE(""https://docs.google.com/spreadsheets/d/11923uPwbBZFjjGgGUA6NLw09EwE0CqkOc4q9oUmW1yo/edit?usp=sharing"",""เพชรบูรณ์!J519"")"),0)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IFERROR(__xludf.DUMMYFUNCTION("IMPORTRANGE(""https://docs.google.com/spreadsheets/d/11923uPwbBZFjjGgGUA6NLw09EwE0CqkOc4q9oUmW1yo/edit?usp=sharing"",""เพชรบูรณ์!I520"")"),0)</f>
        <v>0</v>
      </c>
      <c r="J625" s="198">
        <f ca="1">IFERROR(__xludf.DUMMYFUNCTION("IMPORTRANGE(""https://docs.google.com/spreadsheets/d/11923uPwbBZFjjGgGUA6NLw09EwE0CqkOc4q9oUmW1yo/edit?usp=sharing"",""เพชรบูรณ์!J520"")"),0)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IFERROR(__xludf.DUMMYFUNCTION("IMPORTRANGE(""https://docs.google.com/spreadsheets/d/11923uPwbBZFjjGgGUA6NLw09EwE0CqkOc4q9oUmW1yo/edit?usp=sharing"",""เพชรบูรณ์!I521"")"),0)</f>
        <v>0</v>
      </c>
      <c r="J626" s="198">
        <f ca="1">IFERROR(__xludf.DUMMYFUNCTION("IMPORTRANGE(""https://docs.google.com/spreadsheets/d/11923uPwbBZFjjGgGUA6NLw09EwE0CqkOc4q9oUmW1yo/edit?usp=sharing"",""เพชรบูรณ์!J521"")"),0)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IFERROR(__xludf.DUMMYFUNCTION("IMPORTRANGE(""https://docs.google.com/spreadsheets/d/11923uPwbBZFjjGgGUA6NLw09EwE0CqkOc4q9oUmW1yo/edit?usp=sharing"",""เพชรบูรณ์!I523"")"),20013464.24)</f>
        <v>20013464.239999998</v>
      </c>
      <c r="J628" s="349">
        <f ca="1">IFERROR(__xludf.DUMMYFUNCTION("IMPORTRANGE(""https://docs.google.com/spreadsheets/d/11923uPwbBZFjjGgGUA6NLw09EwE0CqkOc4q9oUmW1yo/edit?usp=sharing"",""เพชรบูรณ์!J523"")"),1477731.96)</f>
        <v>1477731.96</v>
      </c>
      <c r="K628" s="350">
        <f t="shared" ref="K628:K635" ca="1" si="129">IF(I628&gt;0,J628*100/I628,0)</f>
        <v>7.3836890119528862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IFERROR(__xludf.DUMMYFUNCTION("IMPORTRANGE(""https://docs.google.com/spreadsheets/d/11923uPwbBZFjjGgGUA6NLw09EwE0CqkOc4q9oUmW1yo/edit?usp=sharing"",""เพชรบูรณ์!I524"")"),654)</f>
        <v>654</v>
      </c>
      <c r="J629" s="349">
        <f ca="1">IFERROR(__xludf.DUMMYFUNCTION("IMPORTRANGE(""https://docs.google.com/spreadsheets/d/11923uPwbBZFjjGgGUA6NLw09EwE0CqkOc4q9oUmW1yo/edit?usp=sharing"",""เพชรบูรณ์!J524"")"),48)</f>
        <v>48</v>
      </c>
      <c r="K629" s="350">
        <f t="shared" ca="1" si="129"/>
        <v>7.3394495412844041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9">
        <f ca="1">IFERROR(__xludf.DUMMYFUNCTION("IMPORTRANGE(""https://docs.google.com/spreadsheets/d/11923uPwbBZFjjGgGUA6NLw09EwE0CqkOc4q9oUmW1yo/edit?usp=sharing"",""เพชรบูรณ์!J525"")"),371300.21)</f>
        <v>371300.21</v>
      </c>
      <c r="K630" s="350">
        <f t="shared" ca="1" si="129"/>
        <v>1.3248431584796521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IFERROR(__xludf.DUMMYFUNCTION("IMPORTRANGE(""https://docs.google.com/spreadsheets/d/11923uPwbBZFjjGgGUA6NLw09EwE0CqkOc4q9oUmW1yo/edit?usp=sharing"",""เพชรบูรณ์!I526"")"),1029)</f>
        <v>1029</v>
      </c>
      <c r="J631" s="349">
        <f ca="1">IFERROR(__xludf.DUMMYFUNCTION("IMPORTRANGE(""https://docs.google.com/spreadsheets/d/11923uPwbBZFjjGgGUA6NLw09EwE0CqkOc4q9oUmW1yo/edit?usp=sharing"",""เพชรบูรณ์!J526"")"),77)</f>
        <v>77</v>
      </c>
      <c r="K631" s="350">
        <f t="shared" ca="1" si="129"/>
        <v>7.4829931972789119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9">
        <f ca="1">IFERROR(__xludf.DUMMYFUNCTION("IMPORTRANGE(""https://docs.google.com/spreadsheets/d/11923uPwbBZFjjGgGUA6NLw09EwE0CqkOc4q9oUmW1yo/edit?usp=sharing"",""เพชรบูรณ์!J527"")"),157261)</f>
        <v>157261</v>
      </c>
      <c r="K632" s="350">
        <f t="shared" ca="1" si="129"/>
        <v>5.9516306190987134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IFERROR(__xludf.DUMMYFUNCTION("IMPORTRANGE(""https://docs.google.com/spreadsheets/d/11923uPwbBZFjjGgGUA6NLw09EwE0CqkOc4q9oUmW1yo/edit?usp=sharing"",""เพชรบูรณ์!I528"")"),133)</f>
        <v>133</v>
      </c>
      <c r="J633" s="349">
        <f ca="1">IFERROR(__xludf.DUMMYFUNCTION("IMPORTRANGE(""https://docs.google.com/spreadsheets/d/11923uPwbBZFjjGgGUA6NLw09EwE0CqkOc4q9oUmW1yo/edit?usp=sharing"",""เพชรบูรณ์!J528"")"),32)</f>
        <v>32</v>
      </c>
      <c r="K633" s="350">
        <f t="shared" ca="1" si="129"/>
        <v>24.060150375939848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9">
        <f ca="1">IFERROR(__xludf.DUMMYFUNCTION("IMPORTRANGE(""https://docs.google.com/spreadsheets/d/11923uPwbBZFjjGgGUA6NLw09EwE0CqkOc4q9oUmW1yo/edit?usp=sharing"",""เพชรบูรณ์!J529"")"),0)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IFERROR(__xludf.DUMMYFUNCTION("IMPORTRANGE(""https://docs.google.com/spreadsheets/d/11923uPwbBZFjjGgGUA6NLw09EwE0CqkOc4q9oUmW1yo/edit?usp=sharing"",""เพชรบูรณ์!I530"")"),300)</f>
        <v>300</v>
      </c>
      <c r="J635" s="519">
        <f ca="1">IFERROR(__xludf.DUMMYFUNCTION("IMPORTRANGE(""https://docs.google.com/spreadsheets/d/11923uPwbBZFjjGgGUA6NLw09EwE0CqkOc4q9oUmW1yo/edit?usp=sharing"",""เพชรบูรณ์!J530"")"),0)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259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15192765</v>
      </c>
      <c r="M8" s="25">
        <f t="shared" ca="1" si="0"/>
        <v>1487105</v>
      </c>
      <c r="N8" s="25">
        <f t="shared" ca="1" si="0"/>
        <v>11824627</v>
      </c>
      <c r="O8" s="24">
        <f t="shared" ref="O8:O16" ca="1" si="1">IF(L8&gt;0,N8*100/L8,0)</f>
        <v>77.830645047165547</v>
      </c>
      <c r="P8" s="24">
        <f t="shared" ref="P8:P16" ca="1" si="2">IF(M8&gt;0,N8*100/M8,0)</f>
        <v>795.14405505999912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15192765</v>
      </c>
      <c r="M10" s="32">
        <f t="shared" ca="1" si="4"/>
        <v>1487105</v>
      </c>
      <c r="N10" s="32">
        <f t="shared" ca="1" si="4"/>
        <v>11824627</v>
      </c>
      <c r="O10" s="31">
        <f t="shared" ca="1" si="1"/>
        <v>77.830645047165547</v>
      </c>
      <c r="P10" s="31">
        <f t="shared" ca="1" si="2"/>
        <v>795.14405505999912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4659465</v>
      </c>
      <c r="M12" s="40">
        <f t="shared" ca="1" si="6"/>
        <v>1487105</v>
      </c>
      <c r="N12" s="40">
        <f t="shared" ca="1" si="6"/>
        <v>1343827</v>
      </c>
      <c r="O12" s="40">
        <f t="shared" ca="1" si="1"/>
        <v>28.840800392319718</v>
      </c>
      <c r="P12" s="40">
        <f t="shared" ca="1" si="2"/>
        <v>90.365307089949937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1871100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2788365</v>
      </c>
      <c r="M14" s="40">
        <f t="shared" si="8"/>
        <v>0</v>
      </c>
      <c r="N14" s="40">
        <f t="shared" ca="1" si="8"/>
        <v>282079</v>
      </c>
      <c r="O14" s="43">
        <f t="shared" ca="1" si="1"/>
        <v>10.116286784549368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10533300</v>
      </c>
      <c r="M16" s="40">
        <f t="shared" si="10"/>
        <v>0</v>
      </c>
      <c r="N16" s="40">
        <f t="shared" ca="1" si="10"/>
        <v>10480800</v>
      </c>
      <c r="O16" s="52">
        <f t="shared" ca="1" si="1"/>
        <v>99.501580701204745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13333805</v>
      </c>
      <c r="M18" s="25">
        <f t="shared" ca="1" si="11"/>
        <v>1487105</v>
      </c>
      <c r="N18" s="25">
        <f t="shared" ca="1" si="11"/>
        <v>11542548</v>
      </c>
      <c r="O18" s="24">
        <f t="shared" ref="O18:O20" ca="1" si="12">IF(L18&gt;0,N18*100/L18,0)</f>
        <v>86.566047726061697</v>
      </c>
      <c r="P18" s="24">
        <f t="shared" ref="P18:P26" ca="1" si="13">IF(M18&gt;0,N18*100/M18,0)</f>
        <v>776.17572397376114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13333805</v>
      </c>
      <c r="M20" s="32">
        <f t="shared" ca="1" si="15"/>
        <v>1487105</v>
      </c>
      <c r="N20" s="32">
        <f t="shared" ca="1" si="15"/>
        <v>11542548</v>
      </c>
      <c r="O20" s="31">
        <f t="shared" ca="1" si="12"/>
        <v>86.566047726061697</v>
      </c>
      <c r="P20" s="31">
        <f t="shared" ca="1" si="13"/>
        <v>776.17572397376114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2800505</v>
      </c>
      <c r="M22" s="44">
        <f t="shared" ca="1" si="18"/>
        <v>1487105</v>
      </c>
      <c r="N22" s="43">
        <f t="shared" ca="1" si="18"/>
        <v>1061748</v>
      </c>
      <c r="O22" s="43">
        <f t="shared" ca="1" si="17"/>
        <v>37.9127335962621</v>
      </c>
      <c r="P22" s="43">
        <f t="shared" ca="1" si="13"/>
        <v>71.396976003711913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1871100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929405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10533300</v>
      </c>
      <c r="M26" s="52">
        <f t="shared" si="22"/>
        <v>0</v>
      </c>
      <c r="N26" s="52">
        <f t="shared" ca="1" si="22"/>
        <v>10480800</v>
      </c>
      <c r="O26" s="52">
        <f t="shared" ca="1" si="17"/>
        <v>99.501580701204745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1858960</v>
      </c>
      <c r="M28" s="25">
        <f t="shared" si="23"/>
        <v>0</v>
      </c>
      <c r="N28" s="25">
        <f t="shared" ca="1" si="23"/>
        <v>282079</v>
      </c>
      <c r="O28" s="24">
        <f t="shared" ref="O28:O30" ca="1" si="24">IF(L28&gt;0,N28*100/L28,0)</f>
        <v>15.174022033825365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1858960</v>
      </c>
      <c r="M30" s="32">
        <f t="shared" si="27"/>
        <v>0</v>
      </c>
      <c r="N30" s="32">
        <f t="shared" ca="1" si="27"/>
        <v>282079</v>
      </c>
      <c r="O30" s="31">
        <f t="shared" ca="1" si="24"/>
        <v>15.174022033825365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1858960</v>
      </c>
      <c r="M32" s="43">
        <f t="shared" si="30"/>
        <v>0</v>
      </c>
      <c r="N32" s="43">
        <f t="shared" ca="1" si="30"/>
        <v>282079</v>
      </c>
      <c r="O32" s="43">
        <f t="shared" ca="1" si="29"/>
        <v>15.174022033825365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1858960</v>
      </c>
      <c r="M34" s="43">
        <f t="shared" si="32"/>
        <v>0</v>
      </c>
      <c r="N34" s="43">
        <f t="shared" ca="1" si="32"/>
        <v>282079</v>
      </c>
      <c r="O34" s="43">
        <f t="shared" ca="1" si="29"/>
        <v>15.174022033825365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13333805</v>
      </c>
      <c r="M37" s="57">
        <f t="shared" ca="1" si="33"/>
        <v>1487105</v>
      </c>
      <c r="N37" s="57">
        <f t="shared" ca="1" si="33"/>
        <v>11542548</v>
      </c>
      <c r="O37" s="58">
        <f t="shared" ca="1" si="29"/>
        <v>86.566047726061697</v>
      </c>
      <c r="P37" s="58">
        <f t="shared" ca="1" si="25"/>
        <v>776.17572397376114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7769200</v>
      </c>
      <c r="M41" s="81">
        <f t="shared" ca="1" si="34"/>
        <v>305400</v>
      </c>
      <c r="N41" s="81">
        <f t="shared" ca="1" si="34"/>
        <v>7386208</v>
      </c>
      <c r="O41" s="80">
        <f t="shared" ref="O41:O43" ca="1" si="35">IF(L41&gt;0,N41*100/L41,0)</f>
        <v>95.070380476754366</v>
      </c>
      <c r="P41" s="80">
        <f t="shared" ref="P41:P43" ca="1" si="36">IF(M41&gt;0,N41*100/M41,0)</f>
        <v>2418.5356908971839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7769200</v>
      </c>
      <c r="M43" s="81">
        <f t="shared" ca="1" si="38"/>
        <v>305400</v>
      </c>
      <c r="N43" s="81">
        <f t="shared" ca="1" si="38"/>
        <v>7386208</v>
      </c>
      <c r="O43" s="80">
        <f t="shared" ca="1" si="35"/>
        <v>95.070380476754366</v>
      </c>
      <c r="P43" s="80">
        <f t="shared" ca="1" si="36"/>
        <v>2418.5356908971839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610700</v>
      </c>
      <c r="M45" s="93">
        <f ca="1">IFERROR(__xludf.DUMMYFUNCTION("IMPORTRANGE(""https://docs.google.com/spreadsheets/d/1Yj_ptqi66GCucihVvJfMjLAmec39IyEx_6qawtMGysU/edit?usp=sharing"",""สบก!Q30"")"),305400)</f>
        <v>305400</v>
      </c>
      <c r="N45" s="93">
        <f ca="1">IFERROR(__xludf.DUMMYFUNCTION("IMPORTRANGE(""https://docs.google.com/spreadsheets/d/1Yj_ptqi66GCucihVvJfMjLAmec39IyEx_6qawtMGysU/edit?usp=sharing"",""สบก!R30"")"),231208)</f>
        <v>231208</v>
      </c>
      <c r="O45" s="94">
        <f ca="1">IF(L45&gt;0,N45*100/L45,0)</f>
        <v>37.859505485508436</v>
      </c>
      <c r="P45" s="94">
        <f ca="1">IF(M45&gt;0,N45*100/M45,0)</f>
        <v>75.706614276358877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IFERROR(__xludf.DUMMYFUNCTION("IMPORTRANGE(""https://docs.google.com/spreadsheets/d/1Yj_ptqi66GCucihVvJfMjLAmec39IyEx_6qawtMGysU/edit?usp=sharing"",""สบก!M30"")"),610700)</f>
        <v>610700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IFERROR(__xludf.DUMMYFUNCTION("IMPORTRANGE(""https://docs.google.com/spreadsheets/d/1Yj_ptqi66GCucihVvJfMjLAmec39IyEx_6qawtMGysU/edit?usp=sharing"",""สบก!N30"")"),0)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IFERROR(__xludf.DUMMYFUNCTION("IMPORTRANGE(""https://docs.google.com/spreadsheets/d/1Yj_ptqi66GCucihVvJfMjLAmec39IyEx_6qawtMGysU/edit?usp=sharing"",""สบก!O30"")"),7158500)</f>
        <v>7158500</v>
      </c>
      <c r="M49" s="103"/>
      <c r="N49" s="93">
        <f ca="1">IFERROR(__xludf.DUMMYFUNCTION("IMPORTRANGE(""https://docs.google.com/spreadsheets/d/1Yj_ptqi66GCucihVvJfMjLAmec39IyEx_6qawtMGysU/edit?usp=sharing"",""สบก!S30"")"),7155000)</f>
        <v>7155000</v>
      </c>
      <c r="O49" s="103">
        <f ca="1">IF(L49&gt;0,N49*100/L49,0)</f>
        <v>99.951107075504652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637200</v>
      </c>
      <c r="M53" s="127">
        <f t="shared" ca="1" si="39"/>
        <v>318600</v>
      </c>
      <c r="N53" s="127">
        <f t="shared" ca="1" si="39"/>
        <v>231200</v>
      </c>
      <c r="O53" s="126">
        <f t="shared" ref="O53:O55" ca="1" si="40">IF(L53&gt;0,N53*100/L53,0)</f>
        <v>36.283741368487128</v>
      </c>
      <c r="P53" s="126">
        <f t="shared" ref="P53:P55" ca="1" si="41">IF(M53&gt;0,N53*100/M53,0)</f>
        <v>72.567482736974256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637200</v>
      </c>
      <c r="M55" s="127">
        <f t="shared" ca="1" si="43"/>
        <v>318600</v>
      </c>
      <c r="N55" s="127">
        <f t="shared" ca="1" si="43"/>
        <v>231200</v>
      </c>
      <c r="O55" s="126">
        <f t="shared" ca="1" si="40"/>
        <v>36.283741368487128</v>
      </c>
      <c r="P55" s="126">
        <f t="shared" ca="1" si="41"/>
        <v>72.567482736974256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637200</v>
      </c>
      <c r="M57" s="93">
        <f ca="1">IFERROR(__xludf.DUMMYFUNCTION("IMPORTRANGE(""https://docs.google.com/spreadsheets/d/1Yj_ptqi66GCucihVvJfMjLAmec39IyEx_6qawtMGysU/edit?usp=sharing"",""สบก!Z30"")"),318600)</f>
        <v>318600</v>
      </c>
      <c r="N57" s="93">
        <f ca="1">IFERROR(__xludf.DUMMYFUNCTION("IMPORTRANGE(""https://docs.google.com/spreadsheets/d/1Yj_ptqi66GCucihVvJfMjLAmec39IyEx_6qawtMGysU/edit?usp=sharing"",""สบก!AA30"")"),231200)</f>
        <v>231200</v>
      </c>
      <c r="O57" s="94">
        <f ca="1">IF(L57&gt;0,N57*100/L57,0)</f>
        <v>36.283741368487128</v>
      </c>
      <c r="P57" s="94">
        <f ca="1">IF(M57&gt;0,N57*100/M57,0)</f>
        <v>72.567482736974256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IFERROR(__xludf.DUMMYFUNCTION("IMPORTRANGE(""https://docs.google.com/spreadsheets/d/1Yj_ptqi66GCucihVvJfMjLAmec39IyEx_6qawtMGysU/edit?usp=sharing"",""สบก!V30"")"),637200)</f>
        <v>637200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IFERROR(__xludf.DUMMYFUNCTION("IMPORTRANGE(""https://docs.google.com/spreadsheets/d/1Yj_ptqi66GCucihVvJfMjLAmec39IyEx_6qawtMGysU/edit?usp=sharing"",""สบก!W30"")"),0)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IFERROR(__xludf.DUMMYFUNCTION("IMPORTRANGE(""https://docs.google.com/spreadsheets/d/1Yj_ptqi66GCucihVvJfMjLAmec39IyEx_6qawtMGysU/edit?usp=sharing"",""สบก!X30"")"),0)</f>
        <v>0</v>
      </c>
      <c r="M61" s="103"/>
      <c r="N61" s="93">
        <f ca="1">IFERROR(__xludf.DUMMYFUNCTION("IMPORTRANGE(""https://docs.google.com/spreadsheets/d/1Yj_ptqi66GCucihVvJfMjLAmec39IyEx_6qawtMGysU/edit?usp=sharing"",""สบก!AB30"")"),0)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IFERROR(__xludf.DUMMYFUNCTION("IMPORTRANGE(""https://docs.google.com/spreadsheets/d/11923uPwbBZFjjGgGUA6NLw09EwE0CqkOc4q9oUmW1yo/edit?usp=sharing"",""แพร่!I9"")"),0)</f>
        <v>0</v>
      </c>
      <c r="J64" s="148">
        <f ca="1">IFERROR(__xludf.DUMMYFUNCTION("IMPORTRANGE(""https://docs.google.com/spreadsheets/d/11923uPwbBZFjjGgGUA6NLw09EwE0CqkOc4q9oUmW1yo/edit?usp=sharing"",""แพร่!J9"")"),0)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IFERROR(__xludf.DUMMYFUNCTION("IMPORTRANGE(""https://docs.google.com/spreadsheets/d/11923uPwbBZFjjGgGUA6NLw09EwE0CqkOc4q9oUmW1yo/edit?usp=sharing"",""แพร่!I10"")"),0)</f>
        <v>0</v>
      </c>
      <c r="J65" s="148">
        <f ca="1">IFERROR(__xludf.DUMMYFUNCTION("IMPORTRANGE(""https://docs.google.com/spreadsheets/d/11923uPwbBZFjjGgGUA6NLw09EwE0CqkOc4q9oUmW1yo/edit?usp=sharing"",""แพร่!J10"")"),0)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3180000</v>
      </c>
      <c r="M66" s="158">
        <f t="shared" ca="1" si="45"/>
        <v>0</v>
      </c>
      <c r="N66" s="158">
        <f t="shared" ca="1" si="45"/>
        <v>3131000</v>
      </c>
      <c r="O66" s="157">
        <f t="shared" ref="O66:O68" ca="1" si="46">IF(L66&gt;0,N66*100/L66,0)</f>
        <v>98.459119496855351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3180000</v>
      </c>
      <c r="M68" s="163">
        <f t="shared" ca="1" si="49"/>
        <v>0</v>
      </c>
      <c r="N68" s="163">
        <f t="shared" ca="1" si="49"/>
        <v>3131000</v>
      </c>
      <c r="O68" s="162">
        <f t="shared" ca="1" si="46"/>
        <v>98.459119496855351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IFERROR(__xludf.DUMMYFUNCTION("IMPORTRANGE(""https://docs.google.com/spreadsheets/d/1Yj_ptqi66GCucihVvJfMjLAmec39IyEx_6qawtMGysU/edit?usp=sharing"",""สบก!AI30"")"),0)</f>
        <v>0</v>
      </c>
      <c r="N70" s="177">
        <f ca="1">IFERROR(__xludf.DUMMYFUNCTION("IMPORTRANGE(""https://docs.google.com/spreadsheets/d/1Yj_ptqi66GCucihVvJfMjLAmec39IyEx_6qawtMGysU/edit?usp=sharing"",""สบก!AJ30"")"),0)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IFERROR(__xludf.DUMMYFUNCTION("IMPORTRANGE(""https://docs.google.com/spreadsheets/d/1Yj_ptqi66GCucihVvJfMjLAmec39IyEx_6qawtMGysU/edit?usp=sharing"",""สบก!AE30"")"),0)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IFERROR(__xludf.DUMMYFUNCTION("IMPORTRANGE(""https://docs.google.com/spreadsheets/d/1Yj_ptqi66GCucihVvJfMjLAmec39IyEx_6qawtMGysU/edit?usp=sharing"",""สบก!AF30"")"),0)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IFERROR(__xludf.DUMMYFUNCTION("IMPORTRANGE(""https://docs.google.com/spreadsheets/d/1Yj_ptqi66GCucihVvJfMjLAmec39IyEx_6qawtMGysU/edit?usp=sharing"",""สบก!AG30"")"),3180000)</f>
        <v>3180000</v>
      </c>
      <c r="M74" s="103"/>
      <c r="N74" s="93">
        <f ca="1">IFERROR(__xludf.DUMMYFUNCTION("IMPORTRANGE(""https://docs.google.com/spreadsheets/d/1Yj_ptqi66GCucihVvJfMjLAmec39IyEx_6qawtMGysU/edit?usp=sharing"",""สบก!AK30"")"),3131000)</f>
        <v>3131000</v>
      </c>
      <c r="O74" s="103">
        <f ca="1">IF(L74&gt;0,N74*100/L74,0)</f>
        <v>98.459119496855351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IFERROR(__xludf.DUMMYFUNCTION("IMPORTRANGE(""https://docs.google.com/spreadsheets/d/11923uPwbBZFjjGgGUA6NLw09EwE0CqkOc4q9oUmW1yo/edit?usp=sharing"",""แพร่!J16"")"),0)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IFERROR(__xludf.DUMMYFUNCTION("IMPORTRANGE(""https://docs.google.com/spreadsheets/d/11923uPwbBZFjjGgGUA6NLw09EwE0CqkOc4q9oUmW1yo/edit?usp=sharing"",""แพร่!J17"")"),0)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IFERROR(__xludf.DUMMYFUNCTION("IMPORTRANGE(""https://docs.google.com/spreadsheets/d/11923uPwbBZFjjGgGUA6NLw09EwE0CqkOc4q9oUmW1yo/edit?usp=sharing"",""แพร่!J18"")"),0)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IFERROR(__xludf.DUMMYFUNCTION("IMPORTRANGE(""https://docs.google.com/spreadsheets/d/11923uPwbBZFjjGgGUA6NLw09EwE0CqkOc4q9oUmW1yo/edit?usp=sharing"",""แพร่!J19"")"),0)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IFERROR(__xludf.DUMMYFUNCTION("IMPORTRANGE(""https://docs.google.com/spreadsheets/d/11923uPwbBZFjjGgGUA6NLw09EwE0CqkOc4q9oUmW1yo/edit?usp=sharing"",""แพร่!I20"")"),0)</f>
        <v>0</v>
      </c>
      <c r="J80" s="210">
        <f ca="1">IFERROR(__xludf.DUMMYFUNCTION("IMPORTRANGE(""https://docs.google.com/spreadsheets/d/11923uPwbBZFjjGgGUA6NLw09EwE0CqkOc4q9oUmW1yo/edit?usp=sharing"",""แพร่!J20"")"),0)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IFERROR(__xludf.DUMMYFUNCTION("IMPORTRANGE(""https://docs.google.com/spreadsheets/d/11923uPwbBZFjjGgGUA6NLw09EwE0CqkOc4q9oUmW1yo/edit?usp=sharing"",""แพร่!I21"")"),0)</f>
        <v>0</v>
      </c>
      <c r="J81" s="210">
        <f ca="1">IFERROR(__xludf.DUMMYFUNCTION("IMPORTRANGE(""https://docs.google.com/spreadsheets/d/11923uPwbBZFjjGgGUA6NLw09EwE0CqkOc4q9oUmW1yo/edit?usp=sharing"",""แพร่!J21"")"),0)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IFERROR(__xludf.DUMMYFUNCTION("IMPORTRANGE(""https://docs.google.com/spreadsheets/d/11923uPwbBZFjjGgGUA6NLw09EwE0CqkOc4q9oUmW1yo/edit?usp=sharing"",""แพร่!I22"")"),0)</f>
        <v>0</v>
      </c>
      <c r="J82" s="213">
        <f ca="1">IFERROR(__xludf.DUMMYFUNCTION("IMPORTRANGE(""https://docs.google.com/spreadsheets/d/11923uPwbBZFjjGgGUA6NLw09EwE0CqkOc4q9oUmW1yo/edit?usp=sharing"",""แพร่!J22"")"),0)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IFERROR(__xludf.DUMMYFUNCTION("IMPORTRANGE(""https://docs.google.com/spreadsheets/d/11923uPwbBZFjjGgGUA6NLw09EwE0CqkOc4q9oUmW1yo/edit?usp=sharing"",""แพร่!I23"")"),0)</f>
        <v>0</v>
      </c>
      <c r="J83" s="213">
        <f ca="1">IFERROR(__xludf.DUMMYFUNCTION("IMPORTRANGE(""https://docs.google.com/spreadsheets/d/11923uPwbBZFjjGgGUA6NLw09EwE0CqkOc4q9oUmW1yo/edit?usp=sharing"",""แพร่!J23"")"),0)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IFERROR(__xludf.DUMMYFUNCTION("IMPORTRANGE(""https://docs.google.com/spreadsheets/d/11923uPwbBZFjjGgGUA6NLw09EwE0CqkOc4q9oUmW1yo/edit?usp=sharing"",""แพร่!I24"")"),0)</f>
        <v>0</v>
      </c>
      <c r="J84" s="198">
        <f ca="1">IFERROR(__xludf.DUMMYFUNCTION("IMPORTRANGE(""https://docs.google.com/spreadsheets/d/11923uPwbBZFjjGgGUA6NLw09EwE0CqkOc4q9oUmW1yo/edit?usp=sharing"",""แพร่!J24"")"),0)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IFERROR(__xludf.DUMMYFUNCTION("IMPORTRANGE(""https://docs.google.com/spreadsheets/d/11923uPwbBZFjjGgGUA6NLw09EwE0CqkOc4q9oUmW1yo/edit?usp=sharing"",""แพร่!I25"")"),0)</f>
        <v>0</v>
      </c>
      <c r="J85" s="198">
        <f ca="1">IFERROR(__xludf.DUMMYFUNCTION("IMPORTRANGE(""https://docs.google.com/spreadsheets/d/11923uPwbBZFjjGgGUA6NLw09EwE0CqkOc4q9oUmW1yo/edit?usp=sharing"",""แพร่!J25"")"),0)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IFERROR(__xludf.DUMMYFUNCTION("IMPORTRANGE(""https://docs.google.com/spreadsheets/d/11923uPwbBZFjjGgGUA6NLw09EwE0CqkOc4q9oUmW1yo/edit?usp=sharing"",""แพร่!I26"")"),0)</f>
        <v>0</v>
      </c>
      <c r="J86" s="213">
        <f ca="1">IFERROR(__xludf.DUMMYFUNCTION("IMPORTRANGE(""https://docs.google.com/spreadsheets/d/11923uPwbBZFjjGgGUA6NLw09EwE0CqkOc4q9oUmW1yo/edit?usp=sharing"",""แพร่!J26"")"),0)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IFERROR(__xludf.DUMMYFUNCTION("IMPORTRANGE(""https://docs.google.com/spreadsheets/d/11923uPwbBZFjjGgGUA6NLw09EwE0CqkOc4q9oUmW1yo/edit?usp=sharing"",""แพร่!I27"")"),0)</f>
        <v>0</v>
      </c>
      <c r="J87" s="213">
        <f ca="1">IFERROR(__xludf.DUMMYFUNCTION("IMPORTRANGE(""https://docs.google.com/spreadsheets/d/11923uPwbBZFjjGgGUA6NLw09EwE0CqkOc4q9oUmW1yo/edit?usp=sharing"",""แพร่!J27"")"),0)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IFERROR(__xludf.DUMMYFUNCTION("IMPORTRANGE(""https://docs.google.com/spreadsheets/d/11923uPwbBZFjjGgGUA6NLw09EwE0CqkOc4q9oUmW1yo/edit?usp=sharing"",""แพร่!I28"")"),0)</f>
        <v>0</v>
      </c>
      <c r="J88" s="213">
        <f ca="1">IFERROR(__xludf.DUMMYFUNCTION("IMPORTRANGE(""https://docs.google.com/spreadsheets/d/11923uPwbBZFjjGgGUA6NLw09EwE0CqkOc4q9oUmW1yo/edit?usp=sharing"",""แพร่!J28"")"),0)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IFERROR(__xludf.DUMMYFUNCTION("IMPORTRANGE(""https://docs.google.com/spreadsheets/d/11923uPwbBZFjjGgGUA6NLw09EwE0CqkOc4q9oUmW1yo/edit?usp=sharing"",""แพร่!J29"")"),0)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IFERROR(__xludf.DUMMYFUNCTION("IMPORTRANGE(""https://docs.google.com/spreadsheets/d/11923uPwbBZFjjGgGUA6NLw09EwE0CqkOc4q9oUmW1yo/edit?usp=sharing"",""แพร่!J30"")"),0)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IFERROR(__xludf.DUMMYFUNCTION("IMPORTRANGE(""https://docs.google.com/spreadsheets/d/11923uPwbBZFjjGgGUA6NLw09EwE0CqkOc4q9oUmW1yo/edit?usp=sharing"",""แพร่!I32"")"),7)</f>
        <v>7</v>
      </c>
      <c r="J92" s="148">
        <f ca="1">IFERROR(__xludf.DUMMYFUNCTION("IMPORTRANGE(""https://docs.google.com/spreadsheets/d/11923uPwbBZFjjGgGUA6NLw09EwE0CqkOc4q9oUmW1yo/edit?usp=sharing"",""แพร่!J32"")"),0)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IFERROR(__xludf.DUMMYFUNCTION("IMPORTRANGE(""https://docs.google.com/spreadsheets/d/11923uPwbBZFjjGgGUA6NLw09EwE0CqkOc4q9oUmW1yo/edit?usp=sharing"",""แพร่!I33"")"),2)</f>
        <v>2</v>
      </c>
      <c r="J93" s="148">
        <f ca="1">IFERROR(__xludf.DUMMYFUNCTION("IMPORTRANGE(""https://docs.google.com/spreadsheets/d/11923uPwbBZFjjGgGUA6NLw09EwE0CqkOc4q9oUmW1yo/edit?usp=sharing"",""แพร่!J33"")"),0)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318960</v>
      </c>
      <c r="M94" s="158">
        <f t="shared" ca="1" si="52"/>
        <v>80790</v>
      </c>
      <c r="N94" s="158">
        <f t="shared" ca="1" si="52"/>
        <v>242525</v>
      </c>
      <c r="O94" s="157">
        <f t="shared" ref="O94:O96" ca="1" si="53">IF(L94&gt;0,N94*100/L94,0)</f>
        <v>76.036180085277152</v>
      </c>
      <c r="P94" s="157">
        <f t="shared" ref="P94:P96" ca="1" si="54">IF(M94&gt;0,N94*100/M94,0)</f>
        <v>300.19185542765194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318960</v>
      </c>
      <c r="M96" s="163">
        <f t="shared" ca="1" si="56"/>
        <v>80790</v>
      </c>
      <c r="N96" s="163">
        <f t="shared" ca="1" si="56"/>
        <v>242525</v>
      </c>
      <c r="O96" s="162">
        <f t="shared" ca="1" si="53"/>
        <v>76.036180085277152</v>
      </c>
      <c r="P96" s="162">
        <f t="shared" ca="1" si="54"/>
        <v>300.19185542765194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134160</v>
      </c>
      <c r="M98" s="176">
        <f ca="1">IFERROR(__xludf.DUMMYFUNCTION("IMPORTRANGE(""https://docs.google.com/spreadsheets/d/1Yj_ptqi66GCucihVvJfMjLAmec39IyEx_6qawtMGysU/edit?usp=sharing"",""สบก!AR30"")"),80790)</f>
        <v>80790</v>
      </c>
      <c r="N98" s="177">
        <f ca="1">IFERROR(__xludf.DUMMYFUNCTION("IMPORTRANGE(""https://docs.google.com/spreadsheets/d/1Yj_ptqi66GCucihVvJfMjLAmec39IyEx_6qawtMGysU/edit?usp=sharing"",""สบก!AS30"")"),57725)</f>
        <v>57725</v>
      </c>
      <c r="O98" s="178">
        <f ca="1">IF(L98&gt;0,N98*100/L98,0)</f>
        <v>43.026982707215268</v>
      </c>
      <c r="P98" s="178">
        <f ca="1">IF(M98&gt;0,N98*100/M98,0)</f>
        <v>71.450674588439156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IFERROR(__xludf.DUMMYFUNCTION("IMPORTRANGE(""https://docs.google.com/spreadsheets/d/1Yj_ptqi66GCucihVvJfMjLAmec39IyEx_6qawtMGysU/edit?usp=sharing"",""สบก!AN30"")"),0)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IFERROR(__xludf.DUMMYFUNCTION("IMPORTRANGE(""https://docs.google.com/spreadsheets/d/1Yj_ptqi66GCucihVvJfMjLAmec39IyEx_6qawtMGysU/edit?usp=sharing"",""สบก!AO30"")"),134160)</f>
        <v>134160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IFERROR(__xludf.DUMMYFUNCTION("IMPORTRANGE(""https://docs.google.com/spreadsheets/d/1Yj_ptqi66GCucihVvJfMjLAmec39IyEx_6qawtMGysU/edit?usp=sharing"",""สบก!AP30"")"),184800)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IFERROR(__xludf.DUMMYFUNCTION("IMPORTRANGE(""https://docs.google.com/spreadsheets/d/1Yj_ptqi66GCucihVvJfMjLAmec39IyEx_6qawtMGysU/edit?usp=sharing"",""สบก!AT30"")"),184800)</f>
        <v>184800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IFERROR(__xludf.DUMMYFUNCTION("IMPORTRANGE(""https://docs.google.com/spreadsheets/d/11923uPwbBZFjjGgGUA6NLw09EwE0CqkOc4q9oUmW1yo/edit?usp=sharing"",""แพร่!J39"")"),0)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IFERROR(__xludf.DUMMYFUNCTION("IMPORTRANGE(""https://docs.google.com/spreadsheets/d/11923uPwbBZFjjGgGUA6NLw09EwE0CqkOc4q9oUmW1yo/edit?usp=sharing"",""แพร่!J40"")"),1)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IFERROR(__xludf.DUMMYFUNCTION("IMPORTRANGE(""https://docs.google.com/spreadsheets/d/11923uPwbBZFjjGgGUA6NLw09EwE0CqkOc4q9oUmW1yo/edit?usp=sharing"",""แพร่!J41"")"),1)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IFERROR(__xludf.DUMMYFUNCTION("IMPORTRANGE(""https://docs.google.com/spreadsheets/d/11923uPwbBZFjjGgGUA6NLw09EwE0CqkOc4q9oUmW1yo/edit?usp=sharing"",""แพร่!J42"")"),1)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IFERROR(__xludf.DUMMYFUNCTION("IMPORTRANGE(""https://docs.google.com/spreadsheets/d/11923uPwbBZFjjGgGUA6NLw09EwE0CqkOc4q9oUmW1yo/edit?usp=sharing"",""แพร่!I43"")"),1)</f>
        <v>1</v>
      </c>
      <c r="J108" s="213">
        <f ca="1">IFERROR(__xludf.DUMMYFUNCTION("IMPORTRANGE(""https://docs.google.com/spreadsheets/d/11923uPwbBZFjjGgGUA6NLw09EwE0CqkOc4q9oUmW1yo/edit?usp=sharing"",""แพร่!J43"")"),1)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IFERROR(__xludf.DUMMYFUNCTION("IMPORTRANGE(""https://docs.google.com/spreadsheets/d/11923uPwbBZFjjGgGUA6NLw09EwE0CqkOc4q9oUmW1yo/edit?usp=sharing"",""แพร่!I44"")"),7)</f>
        <v>7</v>
      </c>
      <c r="J109" s="213">
        <f ca="1">IFERROR(__xludf.DUMMYFUNCTION("IMPORTRANGE(""https://docs.google.com/spreadsheets/d/11923uPwbBZFjjGgGUA6NLw09EwE0CqkOc4q9oUmW1yo/edit?usp=sharing"",""แพร่!J44"")"),0)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IFERROR(__xludf.DUMMYFUNCTION("IMPORTRANGE(""https://docs.google.com/spreadsheets/d/11923uPwbBZFjjGgGUA6NLw09EwE0CqkOc4q9oUmW1yo/edit?usp=sharing"",""แพร่!I45"")"),7)</f>
        <v>7</v>
      </c>
      <c r="J110" s="213">
        <f ca="1">IFERROR(__xludf.DUMMYFUNCTION("IMPORTRANGE(""https://docs.google.com/spreadsheets/d/11923uPwbBZFjjGgGUA6NLw09EwE0CqkOc4q9oUmW1yo/edit?usp=sharing"",""แพร่!J45"")"),0)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IFERROR(__xludf.DUMMYFUNCTION("IMPORTRANGE(""https://docs.google.com/spreadsheets/d/11923uPwbBZFjjGgGUA6NLw09EwE0CqkOc4q9oUmW1yo/edit?usp=sharing"",""แพร่!I46"")"),7)</f>
        <v>7</v>
      </c>
      <c r="J111" s="213">
        <f ca="1">IFERROR(__xludf.DUMMYFUNCTION("IMPORTRANGE(""https://docs.google.com/spreadsheets/d/11923uPwbBZFjjGgGUA6NLw09EwE0CqkOc4q9oUmW1yo/edit?usp=sharing"",""แพร่!J46"")"),0)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IFERROR(__xludf.DUMMYFUNCTION("IMPORTRANGE(""https://docs.google.com/spreadsheets/d/11923uPwbBZFjjGgGUA6NLw09EwE0CqkOc4q9oUmW1yo/edit?usp=sharing"",""แพร่!I47"")"),7)</f>
        <v>7</v>
      </c>
      <c r="J112" s="213">
        <f ca="1">IFERROR(__xludf.DUMMYFUNCTION("IMPORTRANGE(""https://docs.google.com/spreadsheets/d/11923uPwbBZFjjGgGUA6NLw09EwE0CqkOc4q9oUmW1yo/edit?usp=sharing"",""แพร่!J47"")"),0)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IFERROR(__xludf.DUMMYFUNCTION("IMPORTRANGE(""https://docs.google.com/spreadsheets/d/11923uPwbBZFjjGgGUA6NLw09EwE0CqkOc4q9oUmW1yo/edit?usp=sharing"",""แพร่!I48"")"),2)</f>
        <v>2</v>
      </c>
      <c r="J113" s="213">
        <f ca="1">IFERROR(__xludf.DUMMYFUNCTION("IMPORTRANGE(""https://docs.google.com/spreadsheets/d/11923uPwbBZFjjGgGUA6NLw09EwE0CqkOc4q9oUmW1yo/edit?usp=sharing"",""แพร่!J48"")"),0)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IFERROR(__xludf.DUMMYFUNCTION("IMPORTRANGE(""https://docs.google.com/spreadsheets/d/11923uPwbBZFjjGgGUA6NLw09EwE0CqkOc4q9oUmW1yo/edit?usp=sharing"",""แพร่!J49"")"),0)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IFERROR(__xludf.DUMMYFUNCTION("IMPORTRANGE(""https://docs.google.com/spreadsheets/d/11923uPwbBZFjjGgGUA6NLw09EwE0CqkOc4q9oUmW1yo/edit?usp=sharing"",""แพร่!J50"")"),0)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IFERROR(__xludf.DUMMYFUNCTION("IMPORTRANGE(""https://docs.google.com/spreadsheets/d/11923uPwbBZFjjGgGUA6NLw09EwE0CqkOc4q9oUmW1yo/edit?usp=sharing"",""แพร่!I52"")"),20)</f>
        <v>20</v>
      </c>
      <c r="J117" s="148">
        <f ca="1">IFERROR(__xludf.DUMMYFUNCTION("IMPORTRANGE(""https://docs.google.com/spreadsheets/d/11923uPwbBZFjjGgGUA6NLw09EwE0CqkOc4q9oUmW1yo/edit?usp=sharing"",""แพร่!J52"")"),30)</f>
        <v>30</v>
      </c>
      <c r="K117" s="149">
        <f ca="1">IF(I117&gt;0,J117*100/I117,0)</f>
        <v>150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66440</v>
      </c>
      <c r="O118" s="157">
        <f t="shared" ref="O118:O120" ca="1" si="59">IF(L118&gt;0,N118*100/L118,0)</f>
        <v>80.591945657447837</v>
      </c>
      <c r="P118" s="157">
        <f t="shared" ref="P118:P120" ca="1" si="60">IF(M118&gt;0,N118*100/M118,0)</f>
        <v>100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66440</v>
      </c>
      <c r="O120" s="162">
        <f t="shared" ca="1" si="59"/>
        <v>80.591945657447837</v>
      </c>
      <c r="P120" s="162">
        <f t="shared" ca="1" si="60"/>
        <v>100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IFERROR(__xludf.DUMMYFUNCTION("IMPORTRANGE(""https://docs.google.com/spreadsheets/d/1Yj_ptqi66GCucihVvJfMjLAmec39IyEx_6qawtMGysU/edit?usp=sharing"",""สบก!BA30"")"),66440)</f>
        <v>66440</v>
      </c>
      <c r="N122" s="177">
        <f ca="1">IFERROR(__xludf.DUMMYFUNCTION("IMPORTRANGE(""https://docs.google.com/spreadsheets/d/1Yj_ptqi66GCucihVvJfMjLAmec39IyEx_6qawtMGysU/edit?usp=sharing"",""สบก!BB30"")"),66440)</f>
        <v>66440</v>
      </c>
      <c r="O122" s="178">
        <f ca="1">IF(L122&gt;0,N122*100/L122,0)</f>
        <v>80.591945657447837</v>
      </c>
      <c r="P122" s="178">
        <f ca="1">IF(M122&gt;0,N122*100/M122,0)</f>
        <v>100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IFERROR(__xludf.DUMMYFUNCTION("IMPORTRANGE(""https://docs.google.com/spreadsheets/d/1Yj_ptqi66GCucihVvJfMjLAmec39IyEx_6qawtMGysU/edit?usp=sharing"",""สบก!AW30"")"),0)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IFERROR(__xludf.DUMMYFUNCTION("IMPORTRANGE(""https://docs.google.com/spreadsheets/d/1Yj_ptqi66GCucihVvJfMjLAmec39IyEx_6qawtMGysU/edit?usp=sharing"",""สบก!AX30"")"),82440)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IFERROR(__xludf.DUMMYFUNCTION("IMPORTRANGE(""https://docs.google.com/spreadsheets/d/1Yj_ptqi66GCucihVvJfMjLAmec39IyEx_6qawtMGysU/edit?usp=sharing"",""สบก!AY30"")"),0)</f>
        <v>0</v>
      </c>
      <c r="M126" s="103"/>
      <c r="N126" s="93">
        <f ca="1">IFERROR(__xludf.DUMMYFUNCTION("IMPORTRANGE(""https://docs.google.com/spreadsheets/d/1Yj_ptqi66GCucihVvJfMjLAmec39IyEx_6qawtMGysU/edit?usp=sharing"",""สบก!BC30"")"),0)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260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IFERROR(__xludf.DUMMYFUNCTION("IMPORTRANGE(""https://docs.google.com/spreadsheets/d/11923uPwbBZFjjGgGUA6NLw09EwE0CqkOc4q9oUmW1yo/edit?usp=sharing"",""แพร่!J58"")"),0)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IFERROR(__xludf.DUMMYFUNCTION("IMPORTRANGE(""https://docs.google.com/spreadsheets/d/11923uPwbBZFjjGgGUA6NLw09EwE0CqkOc4q9oUmW1yo/edit?usp=sharing"",""แพร่!J59"")"),1)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IFERROR(__xludf.DUMMYFUNCTION("IMPORTRANGE(""https://docs.google.com/spreadsheets/d/11923uPwbBZFjjGgGUA6NLw09EwE0CqkOc4q9oUmW1yo/edit?usp=sharing"",""แพร่!J60"")"),1)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IFERROR(__xludf.DUMMYFUNCTION("IMPORTRANGE(""https://docs.google.com/spreadsheets/d/11923uPwbBZFjjGgGUA6NLw09EwE0CqkOc4q9oUmW1yo/edit?usp=sharing"",""แพร่!J61"")"),1)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IFERROR(__xludf.DUMMYFUNCTION("IMPORTRANGE(""https://docs.google.com/spreadsheets/d/11923uPwbBZFjjGgGUA6NLw09EwE0CqkOc4q9oUmW1yo/edit?usp=sharing"",""แพร่!I62"")"),20)</f>
        <v>20</v>
      </c>
      <c r="J132" s="213">
        <f ca="1">IFERROR(__xludf.DUMMYFUNCTION("IMPORTRANGE(""https://docs.google.com/spreadsheets/d/11923uPwbBZFjjGgGUA6NLw09EwE0CqkOc4q9oUmW1yo/edit?usp=sharing"",""แพร่!J62"")"),30)</f>
        <v>30</v>
      </c>
      <c r="K132" s="233">
        <f t="shared" ref="K132:K133" ca="1" si="63">IF(I132&gt;0,J132*100/I132,0)</f>
        <v>150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IFERROR(__xludf.DUMMYFUNCTION("IMPORTRANGE(""https://docs.google.com/spreadsheets/d/11923uPwbBZFjjGgGUA6NLw09EwE0CqkOc4q9oUmW1yo/edit?usp=sharing"",""แพร่!I63"")"),20)</f>
        <v>20</v>
      </c>
      <c r="J133" s="213">
        <f ca="1">IFERROR(__xludf.DUMMYFUNCTION("IMPORTRANGE(""https://docs.google.com/spreadsheets/d/11923uPwbBZFjjGgGUA6NLw09EwE0CqkOc4q9oUmW1yo/edit?usp=sharing"",""แพร่!J63"")"),0)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IFERROR(__xludf.DUMMYFUNCTION("IMPORTRANGE(""https://docs.google.com/spreadsheets/d/11923uPwbBZFjjGgGUA6NLw09EwE0CqkOc4q9oUmW1yo/edit?usp=sharing"",""แพร่!J64"")"),0)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IFERROR(__xludf.DUMMYFUNCTION("IMPORTRANGE(""https://docs.google.com/spreadsheets/d/11923uPwbBZFjjGgGUA6NLw09EwE0CqkOc4q9oUmW1yo/edit?usp=sharing"",""แพร่!J65"")"),0)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IFERROR(__xludf.DUMMYFUNCTION("IMPORTRANGE(""https://docs.google.com/spreadsheets/d/11923uPwbBZFjjGgGUA6NLw09EwE0CqkOc4q9oUmW1yo/edit?usp=sharing"",""แพร่!I68"")"),0)</f>
        <v>0</v>
      </c>
      <c r="J138" s="276">
        <f ca="1">IFERROR(__xludf.DUMMYFUNCTION("IMPORTRANGE(""https://docs.google.com/spreadsheets/d/11923uPwbBZFjjGgGUA6NLw09EwE0CqkOc4q9oUmW1yo/edit?usp=sharing"",""แพร่!J68"")"),0)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480</v>
      </c>
      <c r="O140" s="157">
        <f t="shared" ref="O140:O142" ca="1" si="65">IF(L140&gt;0,N140*100/L140,0)</f>
        <v>0.69565217391304346</v>
      </c>
      <c r="P140" s="157">
        <f t="shared" ref="P140:P142" ca="1" si="66">IF(M140&gt;0,N140*100/M140,0)</f>
        <v>1.0491803278688525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480</v>
      </c>
      <c r="O142" s="162">
        <f t="shared" ca="1" si="65"/>
        <v>0.69565217391304346</v>
      </c>
      <c r="P142" s="162">
        <f t="shared" ca="1" si="66"/>
        <v>1.0491803278688525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IFERROR(__xludf.DUMMYFUNCTION("IMPORTRANGE(""https://docs.google.com/spreadsheets/d/1Yj_ptqi66GCucihVvJfMjLAmec39IyEx_6qawtMGysU/edit?usp=sharing"",""สบก!BJ30"")"),45750)</f>
        <v>45750</v>
      </c>
      <c r="N144" s="177">
        <f ca="1">IFERROR(__xludf.DUMMYFUNCTION("IMPORTRANGE(""https://docs.google.com/spreadsheets/d/1Yj_ptqi66GCucihVvJfMjLAmec39IyEx_6qawtMGysU/edit?usp=sharing"",""สบก!BK30"")"),480)</f>
        <v>480</v>
      </c>
      <c r="O144" s="178">
        <f ca="1">IF(L144&gt;0,N144*100/L144,0)</f>
        <v>0.69565217391304346</v>
      </c>
      <c r="P144" s="178">
        <f ca="1">IF(M144&gt;0,N144*100/M144,0)</f>
        <v>1.0491803278688525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IFERROR(__xludf.DUMMYFUNCTION("IMPORTRANGE(""https://docs.google.com/spreadsheets/d/1Yj_ptqi66GCucihVvJfMjLAmec39IyEx_6qawtMGysU/edit?usp=sharing"",""สบก!BF30"")"),0)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IFERROR(__xludf.DUMMYFUNCTION("IMPORTRANGE(""https://docs.google.com/spreadsheets/d/1Yj_ptqi66GCucihVvJfMjLAmec39IyEx_6qawtMGysU/edit?usp=sharing"",""สบก!BG30"")"),69000)</f>
        <v>69000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IFERROR(__xludf.DUMMYFUNCTION("IMPORTRANGE(""https://docs.google.com/spreadsheets/d/1Yj_ptqi66GCucihVvJfMjLAmec39IyEx_6qawtMGysU/edit?usp=sharing"",""สบก!BH30"")"),0)</f>
        <v>0</v>
      </c>
      <c r="M148" s="103"/>
      <c r="N148" s="93">
        <f ca="1">IFERROR(__xludf.DUMMYFUNCTION("IMPORTRANGE(""https://docs.google.com/spreadsheets/d/1Yj_ptqi66GCucihVvJfMjLAmec39IyEx_6qawtMGysU/edit?usp=sharing"",""สบก!BL30"")"),0)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IFERROR(__xludf.DUMMYFUNCTION("IMPORTRANGE(""https://docs.google.com/spreadsheets/d/11923uPwbBZFjjGgGUA6NLw09EwE0CqkOc4q9oUmW1yo/edit?usp=sharing"",""แพร่!I74"")"),4)</f>
        <v>4</v>
      </c>
      <c r="J149" s="284">
        <f ca="1">IFERROR(__xludf.DUMMYFUNCTION("IMPORTRANGE(""https://docs.google.com/spreadsheets/d/11923uPwbBZFjjGgGUA6NLw09EwE0CqkOc4q9oUmW1yo/edit?usp=sharing"",""แพร่!J74"")"),1)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IFERROR(__xludf.DUMMYFUNCTION("IMPORTRANGE(""https://docs.google.com/spreadsheets/d/11923uPwbBZFjjGgGUA6NLw09EwE0CqkOc4q9oUmW1yo/edit?usp=sharing"",""แพร่!J79"")"),0)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IFERROR(__xludf.DUMMYFUNCTION("IMPORTRANGE(""https://docs.google.com/spreadsheets/d/11923uPwbBZFjjGgGUA6NLw09EwE0CqkOc4q9oUmW1yo/edit?usp=sharing"",""แพร่!J80"")"),1)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IFERROR(__xludf.DUMMYFUNCTION("IMPORTRANGE(""https://docs.google.com/spreadsheets/d/11923uPwbBZFjjGgGUA6NLw09EwE0CqkOc4q9oUmW1yo/edit?usp=sharing"",""แพร่!J81"")"),1)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IFERROR(__xludf.DUMMYFUNCTION("IMPORTRANGE(""https://docs.google.com/spreadsheets/d/11923uPwbBZFjjGgGUA6NLw09EwE0CqkOc4q9oUmW1yo/edit?usp=sharing"",""แพร่!J82"")"),1)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IFERROR(__xludf.DUMMYFUNCTION("IMPORTRANGE(""https://docs.google.com/spreadsheets/d/11923uPwbBZFjjGgGUA6NLw09EwE0CqkOc4q9oUmW1yo/edit?usp=sharing"",""แพร่!I83"")"),4)</f>
        <v>4</v>
      </c>
      <c r="J158" s="198">
        <f ca="1">IFERROR(__xludf.DUMMYFUNCTION("IMPORTRANGE(""https://docs.google.com/spreadsheets/d/11923uPwbBZFjjGgGUA6NLw09EwE0CqkOc4q9oUmW1yo/edit?usp=sharing"",""แพร่!J83"")"),1)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IFERROR(__xludf.DUMMYFUNCTION("IMPORTRANGE(""https://docs.google.com/spreadsheets/d/11923uPwbBZFjjGgGUA6NLw09EwE0CqkOc4q9oUmW1yo/edit?usp=sharing"",""แพร่!J84"")"),52)</f>
        <v>52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IFERROR(__xludf.DUMMYFUNCTION("IMPORTRANGE(""https://docs.google.com/spreadsheets/d/11923uPwbBZFjjGgGUA6NLw09EwE0CqkOc4q9oUmW1yo/edit?usp=sharing"",""แพร่!J85"")"),52)</f>
        <v>52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IFERROR(__xludf.DUMMYFUNCTION("IMPORTRANGE(""https://docs.google.com/spreadsheets/d/11923uPwbBZFjjGgGUA6NLw09EwE0CqkOc4q9oUmW1yo/edit?usp=sharing"",""แพร่!J86"")"),0)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IFERROR(__xludf.DUMMYFUNCTION("IMPORTRANGE(""https://docs.google.com/spreadsheets/d/11923uPwbBZFjjGgGUA6NLw09EwE0CqkOc4q9oUmW1yo/edit?usp=sharing"",""แพร่!J87"")"),0)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IFERROR(__xludf.DUMMYFUNCTION("IMPORTRANGE(""https://docs.google.com/spreadsheets/d/11923uPwbBZFjjGgGUA6NLw09EwE0CqkOc4q9oUmW1yo/edit?usp=sharing"",""แพร่!J88"")"),0)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IFERROR(__xludf.DUMMYFUNCTION("IMPORTRANGE(""https://docs.google.com/spreadsheets/d/11923uPwbBZFjjGgGUA6NLw09EwE0CqkOc4q9oUmW1yo/edit?usp=sharing"",""แพร่!I89"")"),3)</f>
        <v>3</v>
      </c>
      <c r="J164" s="292">
        <f ca="1">IFERROR(__xludf.DUMMYFUNCTION("IMPORTRANGE(""https://docs.google.com/spreadsheets/d/11923uPwbBZFjjGgGUA6NLw09EwE0CqkOc4q9oUmW1yo/edit?usp=sharing"",""แพร่!J89"")"),0)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IFERROR(__xludf.DUMMYFUNCTION("IMPORTRANGE(""https://docs.google.com/spreadsheets/d/11923uPwbBZFjjGgGUA6NLw09EwE0CqkOc4q9oUmW1yo/edit?usp=sharing"",""แพร่!J94"")"),0)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IFERROR(__xludf.DUMMYFUNCTION("IMPORTRANGE(""https://docs.google.com/spreadsheets/d/11923uPwbBZFjjGgGUA6NLw09EwE0CqkOc4q9oUmW1yo/edit?usp=sharing"",""แพร่!J95"")"),1)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IFERROR(__xludf.DUMMYFUNCTION("IMPORTRANGE(""https://docs.google.com/spreadsheets/d/11923uPwbBZFjjGgGUA6NLw09EwE0CqkOc4q9oUmW1yo/edit?usp=sharing"",""แพร่!J96"")"),1)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IFERROR(__xludf.DUMMYFUNCTION("IMPORTRANGE(""https://docs.google.com/spreadsheets/d/11923uPwbBZFjjGgGUA6NLw09EwE0CqkOc4q9oUmW1yo/edit?usp=sharing"",""แพร่!J97"")"),1)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IFERROR(__xludf.DUMMYFUNCTION("IMPORTRANGE(""https://docs.google.com/spreadsheets/d/11923uPwbBZFjjGgGUA6NLw09EwE0CqkOc4q9oUmW1yo/edit?usp=sharing"",""แพร่!I98"")"),3)</f>
        <v>3</v>
      </c>
      <c r="J173" s="198">
        <f ca="1">IFERROR(__xludf.DUMMYFUNCTION("IMPORTRANGE(""https://docs.google.com/spreadsheets/d/11923uPwbBZFjjGgGUA6NLw09EwE0CqkOc4q9oUmW1yo/edit?usp=sharing"",""แพร่!J98"")"),0)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IFERROR(__xludf.DUMMYFUNCTION("IMPORTRANGE(""https://docs.google.com/spreadsheets/d/11923uPwbBZFjjGgGUA6NLw09EwE0CqkOc4q9oUmW1yo/edit?usp=sharing"",""แพร่!J99"")"),0)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IFERROR(__xludf.DUMMYFUNCTION("IMPORTRANGE(""https://docs.google.com/spreadsheets/d/11923uPwbBZFjjGgGUA6NLw09EwE0CqkOc4q9oUmW1yo/edit?usp=sharing"",""แพร่!J100"")"),0)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IFERROR(__xludf.DUMMYFUNCTION("IMPORTRANGE(""https://docs.google.com/spreadsheets/d/11923uPwbBZFjjGgGUA6NLw09EwE0CqkOc4q9oUmW1yo/edit?usp=sharing"",""แพร่!I101"")"),0)</f>
        <v>0</v>
      </c>
      <c r="J176" s="292">
        <f ca="1">IFERROR(__xludf.DUMMYFUNCTION("IMPORTRANGE(""https://docs.google.com/spreadsheets/d/11923uPwbBZFjjGgGUA6NLw09EwE0CqkOc4q9oUmW1yo/edit?usp=sharing"",""แพร่!J101"")"),0)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IFERROR(__xludf.DUMMYFUNCTION("IMPORTRANGE(""https://docs.google.com/spreadsheets/d/11923uPwbBZFjjGgGUA6NLw09EwE0CqkOc4q9oUmW1yo/edit?usp=sharing"",""แพร่!J106"")"),0)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IFERROR(__xludf.DUMMYFUNCTION("IMPORTRANGE(""https://docs.google.com/spreadsheets/d/11923uPwbBZFjjGgGUA6NLw09EwE0CqkOc4q9oUmW1yo/edit?usp=sharing"",""แพร่!J107"")"),0)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IFERROR(__xludf.DUMMYFUNCTION("IMPORTRANGE(""https://docs.google.com/spreadsheets/d/11923uPwbBZFjjGgGUA6NLw09EwE0CqkOc4q9oUmW1yo/edit?usp=sharing"",""แพร่!J108"")"),0)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IFERROR(__xludf.DUMMYFUNCTION("IMPORTRANGE(""https://docs.google.com/spreadsheets/d/11923uPwbBZFjjGgGUA6NLw09EwE0CqkOc4q9oUmW1yo/edit?usp=sharing"",""แพร่!J109"")"),0)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IFERROR(__xludf.DUMMYFUNCTION("IMPORTRANGE(""https://docs.google.com/spreadsheets/d/11923uPwbBZFjjGgGUA6NLw09EwE0CqkOc4q9oUmW1yo/edit?usp=sharing"",""แพร่!I110"")"),0)</f>
        <v>0</v>
      </c>
      <c r="J185" s="213">
        <f ca="1">IFERROR(__xludf.DUMMYFUNCTION("IMPORTRANGE(""https://docs.google.com/spreadsheets/d/11923uPwbBZFjjGgGUA6NLw09EwE0CqkOc4q9oUmW1yo/edit?usp=sharing"",""แพร่!J110"")"),0)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IFERROR(__xludf.DUMMYFUNCTION("IMPORTRANGE(""https://docs.google.com/spreadsheets/d/11923uPwbBZFjjGgGUA6NLw09EwE0CqkOc4q9oUmW1yo/edit?usp=sharing"",""แพร่!I111"")"),0)</f>
        <v>0</v>
      </c>
      <c r="J186" s="213">
        <f ca="1">IFERROR(__xludf.DUMMYFUNCTION("IMPORTRANGE(""https://docs.google.com/spreadsheets/d/11923uPwbBZFjjGgGUA6NLw09EwE0CqkOc4q9oUmW1yo/edit?usp=sharing"",""แพร่!J111"")"),0)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IFERROR(__xludf.DUMMYFUNCTION("IMPORTRANGE(""https://docs.google.com/spreadsheets/d/11923uPwbBZFjjGgGUA6NLw09EwE0CqkOc4q9oUmW1yo/edit?usp=sharing"",""แพร่!J112"")"),0)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IFERROR(__xludf.DUMMYFUNCTION("IMPORTRANGE(""https://docs.google.com/spreadsheets/d/11923uPwbBZFjjGgGUA6NLw09EwE0CqkOc4q9oUmW1yo/edit?usp=sharing"",""แพร่!J113"")"),0)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IFERROR(__xludf.DUMMYFUNCTION("IMPORTRANGE(""https://docs.google.com/spreadsheets/d/11923uPwbBZFjjGgGUA6NLw09EwE0CqkOc4q9oUmW1yo/edit?usp=sharing"",""แพร่!I114"")"),50000)</f>
        <v>50000</v>
      </c>
      <c r="J189" s="292">
        <f ca="1">IFERROR(__xludf.DUMMYFUNCTION("IMPORTRANGE(""https://docs.google.com/spreadsheets/d/11923uPwbBZFjjGgGUA6NLw09EwE0CqkOc4q9oUmW1yo/edit?usp=sharing"",""แพร่!J114"")"),0)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IFERROR(__xludf.DUMMYFUNCTION("IMPORTRANGE(""https://docs.google.com/spreadsheets/d/11923uPwbBZFjjGgGUA6NLw09EwE0CqkOc4q9oUmW1yo/edit?usp=sharing"",""แพร่!J119"")"),1)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IFERROR(__xludf.DUMMYFUNCTION("IMPORTRANGE(""https://docs.google.com/spreadsheets/d/11923uPwbBZFjjGgGUA6NLw09EwE0CqkOc4q9oUmW1yo/edit?usp=sharing"",""แพร่!J120"")"),0)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IFERROR(__xludf.DUMMYFUNCTION("IMPORTRANGE(""https://docs.google.com/spreadsheets/d/11923uPwbBZFjjGgGUA6NLw09EwE0CqkOc4q9oUmW1yo/edit?usp=sharing"",""แพร่!J121"")"),0)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IFERROR(__xludf.DUMMYFUNCTION("IMPORTRANGE(""https://docs.google.com/spreadsheets/d/11923uPwbBZFjjGgGUA6NLw09EwE0CqkOc4q9oUmW1yo/edit?usp=sharing"",""แพร่!J122"")"),0)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IFERROR(__xludf.DUMMYFUNCTION("IMPORTRANGE(""https://docs.google.com/spreadsheets/d/11923uPwbBZFjjGgGUA6NLw09EwE0CqkOc4q9oUmW1yo/edit?usp=sharing"",""แพร่!I124"")"),50000)</f>
        <v>50000</v>
      </c>
      <c r="J199" s="198">
        <f ca="1">IFERROR(__xludf.DUMMYFUNCTION("IMPORTRANGE(""https://docs.google.com/spreadsheets/d/11923uPwbBZFjjGgGUA6NLw09EwE0CqkOc4q9oUmW1yo/edit?usp=sharing"",""แพร่!J124"")"),0)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IFERROR(__xludf.DUMMYFUNCTION("IMPORTRANGE(""https://docs.google.com/spreadsheets/d/11923uPwbBZFjjGgGUA6NLw09EwE0CqkOc4q9oUmW1yo/edit?usp=sharing"",""แพร่!I125"")"),50000)</f>
        <v>50000</v>
      </c>
      <c r="J200" s="198">
        <f ca="1">IFERROR(__xludf.DUMMYFUNCTION("IMPORTRANGE(""https://docs.google.com/spreadsheets/d/11923uPwbBZFjjGgGUA6NLw09EwE0CqkOc4q9oUmW1yo/edit?usp=sharing"",""แพร่!J125"")"),0)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IFERROR(__xludf.DUMMYFUNCTION("IMPORTRANGE(""https://docs.google.com/spreadsheets/d/11923uPwbBZFjjGgGUA6NLw09EwE0CqkOc4q9oUmW1yo/edit?usp=sharing"",""แพร่!I126"")"),0)</f>
        <v>0</v>
      </c>
      <c r="J201" s="198">
        <f ca="1">IFERROR(__xludf.DUMMYFUNCTION("IMPORTRANGE(""https://docs.google.com/spreadsheets/d/11923uPwbBZFjjGgGUA6NLw09EwE0CqkOc4q9oUmW1yo/edit?usp=sharing"",""แพร่!J126"")"),0)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IFERROR(__xludf.DUMMYFUNCTION("IMPORTRANGE(""https://docs.google.com/spreadsheets/d/11923uPwbBZFjjGgGUA6NLw09EwE0CqkOc4q9oUmW1yo/edit?usp=sharing"",""แพร่!J127"")"),0)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IFERROR(__xludf.DUMMYFUNCTION("IMPORTRANGE(""https://docs.google.com/spreadsheets/d/11923uPwbBZFjjGgGUA6NLw09EwE0CqkOc4q9oUmW1yo/edit?usp=sharing"",""แพร่!J128"")"),0)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IFERROR(__xludf.DUMMYFUNCTION("IMPORTRANGE(""https://docs.google.com/spreadsheets/d/11923uPwbBZFjjGgGUA6NLw09EwE0CqkOc4q9oUmW1yo/edit?usp=sharing"",""แพร่!I129"")"),0)</f>
        <v>0</v>
      </c>
      <c r="J204" s="292">
        <f ca="1">IFERROR(__xludf.DUMMYFUNCTION("IMPORTRANGE(""https://docs.google.com/spreadsheets/d/11923uPwbBZFjjGgGUA6NLw09EwE0CqkOc4q9oUmW1yo/edit?usp=sharing"",""แพร่!J129"")"),0)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IFERROR(__xludf.DUMMYFUNCTION("IMPORTRANGE(""https://docs.google.com/spreadsheets/d/11923uPwbBZFjjGgGUA6NLw09EwE0CqkOc4q9oUmW1yo/edit?usp=sharing"",""แพร่!J134"")"),0)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IFERROR(__xludf.DUMMYFUNCTION("IMPORTRANGE(""https://docs.google.com/spreadsheets/d/11923uPwbBZFjjGgGUA6NLw09EwE0CqkOc4q9oUmW1yo/edit?usp=sharing"",""แพร่!J135"")"),0)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IFERROR(__xludf.DUMMYFUNCTION("IMPORTRANGE(""https://docs.google.com/spreadsheets/d/11923uPwbBZFjjGgGUA6NLw09EwE0CqkOc4q9oUmW1yo/edit?usp=sharing"",""แพร่!J136"")"),0)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IFERROR(__xludf.DUMMYFUNCTION("IMPORTRANGE(""https://docs.google.com/spreadsheets/d/11923uPwbBZFjjGgGUA6NLw09EwE0CqkOc4q9oUmW1yo/edit?usp=sharing"",""แพร่!J137"")"),0)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IFERROR(__xludf.DUMMYFUNCTION("IMPORTRANGE(""https://docs.google.com/spreadsheets/d/11923uPwbBZFjjGgGUA6NLw09EwE0CqkOc4q9oUmW1yo/edit?usp=sharing"",""แพร่!I138"")"),0)</f>
        <v>0</v>
      </c>
      <c r="J213" s="213">
        <f ca="1">IFERROR(__xludf.DUMMYFUNCTION("IMPORTRANGE(""https://docs.google.com/spreadsheets/d/11923uPwbBZFjjGgGUA6NLw09EwE0CqkOc4q9oUmW1yo/edit?usp=sharing"",""แพร่!J138"")"),0)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IFERROR(__xludf.DUMMYFUNCTION("IMPORTRANGE(""https://docs.google.com/spreadsheets/d/11923uPwbBZFjjGgGUA6NLw09EwE0CqkOc4q9oUmW1yo/edit?usp=sharing"",""แพร่!I140"")"),0)</f>
        <v>0</v>
      </c>
      <c r="J215" s="213">
        <f ca="1">IFERROR(__xludf.DUMMYFUNCTION("IMPORTRANGE(""https://docs.google.com/spreadsheets/d/11923uPwbBZFjjGgGUA6NLw09EwE0CqkOc4q9oUmW1yo/edit?usp=sharing"",""แพร่!J140"")"),0)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IFERROR(__xludf.DUMMYFUNCTION("IMPORTRANGE(""https://docs.google.com/spreadsheets/d/11923uPwbBZFjjGgGUA6NLw09EwE0CqkOc4q9oUmW1yo/edit?usp=sharing"",""แพร่!I141"")"),0)</f>
        <v>0</v>
      </c>
      <c r="J216" s="213">
        <f ca="1">IFERROR(__xludf.DUMMYFUNCTION("IMPORTRANGE(""https://docs.google.com/spreadsheets/d/11923uPwbBZFjjGgGUA6NLw09EwE0CqkOc4q9oUmW1yo/edit?usp=sharing"",""แพร่!J141"")"),0)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IFERROR(__xludf.DUMMYFUNCTION("IMPORTRANGE(""https://docs.google.com/spreadsheets/d/11923uPwbBZFjjGgGUA6NLw09EwE0CqkOc4q9oUmW1yo/edit?usp=sharing"",""แพร่!J142"")"),0)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IFERROR(__xludf.DUMMYFUNCTION("IMPORTRANGE(""https://docs.google.com/spreadsheets/d/11923uPwbBZFjjGgGUA6NLw09EwE0CqkOc4q9oUmW1yo/edit?usp=sharing"",""แพร่!J143"")"),0)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IFERROR(__xludf.DUMMYFUNCTION("IMPORTRANGE(""https://docs.google.com/spreadsheets/d/11923uPwbBZFjjGgGUA6NLw09EwE0CqkOc4q9oUmW1yo/edit?usp=sharing"",""แพร่!I144"")"),15)</f>
        <v>15</v>
      </c>
      <c r="J219" s="276">
        <f ca="1">IFERROR(__xludf.DUMMYFUNCTION("IMPORTRANGE(""https://docs.google.com/spreadsheets/d/11923uPwbBZFjjGgGUA6NLw09EwE0CqkOc4q9oUmW1yo/edit?usp=sharing"",""แพร่!J144"")"),15)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IFERROR(__xludf.DUMMYFUNCTION("IMPORTRANGE(""https://docs.google.com/spreadsheets/d/1Yj_ptqi66GCucihVvJfMjLAmec39IyEx_6qawtMGysU/edit?usp=sharing"",""สบก!BS30"")"),21125)</f>
        <v>21125</v>
      </c>
      <c r="N224" s="177">
        <f ca="1">IFERROR(__xludf.DUMMYFUNCTION("IMPORTRANGE(""https://docs.google.com/spreadsheets/d/1Yj_ptqi66GCucihVvJfMjLAmec39IyEx_6qawtMGysU/edit?usp=sharing"",""สบก!BT30"")"),21125)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IFERROR(__xludf.DUMMYFUNCTION("IMPORTRANGE(""https://docs.google.com/spreadsheets/d/1Yj_ptqi66GCucihVvJfMjLAmec39IyEx_6qawtMGysU/edit?usp=sharing"",""สบก!BO30"")"),0)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IFERROR(__xludf.DUMMYFUNCTION("IMPORTRANGE(""https://docs.google.com/spreadsheets/d/1Yj_ptqi66GCucihVvJfMjLAmec39IyEx_6qawtMGysU/edit?usp=sharing"",""สบก!BP30"")"),21125)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IFERROR(__xludf.DUMMYFUNCTION("IMPORTRANGE(""https://docs.google.com/spreadsheets/d/1Yj_ptqi66GCucihVvJfMjLAmec39IyEx_6qawtMGysU/edit?usp=sharing"",""สบก!BQ30"")"),0)</f>
        <v>0</v>
      </c>
      <c r="M228" s="103"/>
      <c r="N228" s="93">
        <f ca="1">IFERROR(__xludf.DUMMYFUNCTION("IMPORTRANGE(""https://docs.google.com/spreadsheets/d/1Yj_ptqi66GCucihVvJfMjLAmec39IyEx_6qawtMGysU/edit?usp=sharing"",""สบก!BU30"")"),0)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IFERROR(__xludf.DUMMYFUNCTION("IMPORTRANGE(""https://docs.google.com/spreadsheets/d/11923uPwbBZFjjGgGUA6NLw09EwE0CqkOc4q9oUmW1yo/edit?usp=sharing"",""แพร่!I149"")"),15)</f>
        <v>15</v>
      </c>
      <c r="J229" s="276">
        <f ca="1">IFERROR(__xludf.DUMMYFUNCTION("IMPORTRANGE(""https://docs.google.com/spreadsheets/d/11923uPwbBZFjjGgGUA6NLw09EwE0CqkOc4q9oUmW1yo/edit?usp=sharing"",""แพร่!J149"")"),15)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IFERROR(__xludf.DUMMYFUNCTION("IMPORTRANGE(""https://docs.google.com/spreadsheets/d/11923uPwbBZFjjGgGUA6NLw09EwE0CqkOc4q9oUmW1yo/edit?usp=sharing"",""แพร่!J151"")"),0)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IFERROR(__xludf.DUMMYFUNCTION("IMPORTRANGE(""https://docs.google.com/spreadsheets/d/11923uPwbBZFjjGgGUA6NLw09EwE0CqkOc4q9oUmW1yo/edit?usp=sharing"",""แพร่!J152"")"),1)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IFERROR(__xludf.DUMMYFUNCTION("IMPORTRANGE(""https://docs.google.com/spreadsheets/d/11923uPwbBZFjjGgGUA6NLw09EwE0CqkOc4q9oUmW1yo/edit?usp=sharing"",""แพร่!J153"")"),1)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IFERROR(__xludf.DUMMYFUNCTION("IMPORTRANGE(""https://docs.google.com/spreadsheets/d/11923uPwbBZFjjGgGUA6NLw09EwE0CqkOc4q9oUmW1yo/edit?usp=sharing"",""แพร่!J154"")"),1)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IFERROR(__xludf.DUMMYFUNCTION("IMPORTRANGE(""https://docs.google.com/spreadsheets/d/11923uPwbBZFjjGgGUA6NLw09EwE0CqkOc4q9oUmW1yo/edit?usp=sharing"",""แพร่!I155"")"),15)</f>
        <v>15</v>
      </c>
      <c r="J235" s="198">
        <f ca="1">IFERROR(__xludf.DUMMYFUNCTION("IMPORTRANGE(""https://docs.google.com/spreadsheets/d/11923uPwbBZFjjGgGUA6NLw09EwE0CqkOc4q9oUmW1yo/edit?usp=sharing"",""แพร่!J155"")"),15)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IFERROR(__xludf.DUMMYFUNCTION("IMPORTRANGE(""https://docs.google.com/spreadsheets/d/11923uPwbBZFjjGgGUA6NLw09EwE0CqkOc4q9oUmW1yo/edit?usp=sharing"",""แพร่!J156"")"),0)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IFERROR(__xludf.DUMMYFUNCTION("IMPORTRANGE(""https://docs.google.com/spreadsheets/d/11923uPwbBZFjjGgGUA6NLw09EwE0CqkOc4q9oUmW1yo/edit?usp=sharing"",""แพร่!J157"")"),0)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IFERROR(__xludf.DUMMYFUNCTION("IMPORTRANGE(""https://docs.google.com/spreadsheets/d/11923uPwbBZFjjGgGUA6NLw09EwE0CqkOc4q9oUmW1yo/edit?usp=sharing"",""แพร่!I158"")"),0)</f>
        <v>0</v>
      </c>
      <c r="J238" s="276">
        <f ca="1">IFERROR(__xludf.DUMMYFUNCTION("IMPORTRANGE(""https://docs.google.com/spreadsheets/d/11923uPwbBZFjjGgGUA6NLw09EwE0CqkOc4q9oUmW1yo/edit?usp=sharing"",""แพร่!J158"")"),0)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IFERROR(__xludf.DUMMYFUNCTION("IMPORTRANGE(""https://docs.google.com/spreadsheets/d/11923uPwbBZFjjGgGUA6NLw09EwE0CqkOc4q9oUmW1yo/edit?usp=sharing"",""แพร่!J159"")"),"")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IFERROR(__xludf.DUMMYFUNCTION("IMPORTRANGE(""https://docs.google.com/spreadsheets/d/11923uPwbBZFjjGgGUA6NLw09EwE0CqkOc4q9oUmW1yo/edit?usp=sharing"",""แพร่!J161"")"),0)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IFERROR(__xludf.DUMMYFUNCTION("IMPORTRANGE(""https://docs.google.com/spreadsheets/d/11923uPwbBZFjjGgGUA6NLw09EwE0CqkOc4q9oUmW1yo/edit?usp=sharing"",""แพร่!J162"")"),0)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IFERROR(__xludf.DUMMYFUNCTION("IMPORTRANGE(""https://docs.google.com/spreadsheets/d/11923uPwbBZFjjGgGUA6NLw09EwE0CqkOc4q9oUmW1yo/edit?usp=sharing"",""แพร่!J163"")"),0)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IFERROR(__xludf.DUMMYFUNCTION("IMPORTRANGE(""https://docs.google.com/spreadsheets/d/11923uPwbBZFjjGgGUA6NLw09EwE0CqkOc4q9oUmW1yo/edit?usp=sharing"",""แพร่!I164"")"),0)</f>
        <v>0</v>
      </c>
      <c r="J244" s="197">
        <f ca="1">IFERROR(__xludf.DUMMYFUNCTION("IMPORTRANGE(""https://docs.google.com/spreadsheets/d/11923uPwbBZFjjGgGUA6NLw09EwE0CqkOc4q9oUmW1yo/edit?usp=sharing"",""แพร่!J164"")"),0)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IFERROR(__xludf.DUMMYFUNCTION("IMPORTRANGE(""https://docs.google.com/spreadsheets/d/11923uPwbBZFjjGgGUA6NLw09EwE0CqkOc4q9oUmW1yo/edit?usp=sharing"",""แพร่!J165"")"),0)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IFERROR(__xludf.DUMMYFUNCTION("IMPORTRANGE(""https://docs.google.com/spreadsheets/d/11923uPwbBZFjjGgGUA6NLw09EwE0CqkOc4q9oUmW1yo/edit?usp=sharing"",""แพร่!J166"")"),0)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IFERROR(__xludf.DUMMYFUNCTION("IMPORTRANGE(""https://docs.google.com/spreadsheets/d/11923uPwbBZFjjGgGUA6NLw09EwE0CqkOc4q9oUmW1yo/edit?usp=sharing"",""แพร่!I169"")"),30)</f>
        <v>30</v>
      </c>
      <c r="J249" s="324">
        <f ca="1">IFERROR(__xludf.DUMMYFUNCTION("IMPORTRANGE(""https://docs.google.com/spreadsheets/d/11923uPwbBZFjjGgGUA6NLw09EwE0CqkOc4q9oUmW1yo/edit?usp=sharing"",""แพร่!J169"")"),0)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217000</v>
      </c>
      <c r="M250" s="158">
        <f t="shared" ca="1" si="77"/>
        <v>113000</v>
      </c>
      <c r="N250" s="158">
        <f t="shared" ca="1" si="77"/>
        <v>50440</v>
      </c>
      <c r="O250" s="157">
        <f t="shared" ref="O250:O252" ca="1" si="78">IF(L250&gt;0,N250*100/L250,0)</f>
        <v>23.244239631336406</v>
      </c>
      <c r="P250" s="157">
        <f t="shared" ref="P250:P252" ca="1" si="79">IF(M250&gt;0,N250*100/M250,0)</f>
        <v>44.637168141592923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217000</v>
      </c>
      <c r="M252" s="163">
        <f t="shared" ca="1" si="81"/>
        <v>113000</v>
      </c>
      <c r="N252" s="163">
        <f t="shared" ca="1" si="81"/>
        <v>50440</v>
      </c>
      <c r="O252" s="162">
        <f t="shared" ca="1" si="78"/>
        <v>23.244239631336406</v>
      </c>
      <c r="P252" s="162">
        <f t="shared" ca="1" si="79"/>
        <v>44.637168141592923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217000</v>
      </c>
      <c r="M254" s="176">
        <f ca="1">IFERROR(__xludf.DUMMYFUNCTION("IMPORTRANGE(""https://docs.google.com/spreadsheets/d/1Yj_ptqi66GCucihVvJfMjLAmec39IyEx_6qawtMGysU/edit?usp=sharing"",""สบก!CB30"")"),113000)</f>
        <v>113000</v>
      </c>
      <c r="N254" s="177">
        <f ca="1">IFERROR(__xludf.DUMMYFUNCTION("IMPORTRANGE(""https://docs.google.com/spreadsheets/d/1Yj_ptqi66GCucihVvJfMjLAmec39IyEx_6qawtMGysU/edit?usp=sharing"",""สบก!CC30"")"),50440)</f>
        <v>50440</v>
      </c>
      <c r="O254" s="178">
        <f ca="1">IF(L254&gt;0,N254*100/L254,0)</f>
        <v>23.244239631336406</v>
      </c>
      <c r="P254" s="178">
        <f ca="1">IF(M254&gt;0,N254*100/M254,0)</f>
        <v>44.637168141592923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IFERROR(__xludf.DUMMYFUNCTION("IMPORTRANGE(""https://docs.google.com/spreadsheets/d/1Yj_ptqi66GCucihVvJfMjLAmec39IyEx_6qawtMGysU/edit?usp=sharing"",""สบก!BX30"")"),0)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IFERROR(__xludf.DUMMYFUNCTION("IMPORTRANGE(""https://docs.google.com/spreadsheets/d/1Yj_ptqi66GCucihVvJfMjLAmec39IyEx_6qawtMGysU/edit?usp=sharing"",""สบก!BY30"")"),217000)</f>
        <v>217000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IFERROR(__xludf.DUMMYFUNCTION("IMPORTRANGE(""https://docs.google.com/spreadsheets/d/1Yj_ptqi66GCucihVvJfMjLAmec39IyEx_6qawtMGysU/edit?usp=sharing"",""สบก!BZ30"")"),0)</f>
        <v>0</v>
      </c>
      <c r="M258" s="103"/>
      <c r="N258" s="93">
        <f ca="1">IFERROR(__xludf.DUMMYFUNCTION("IMPORTRANGE(""https://docs.google.com/spreadsheets/d/1Yj_ptqi66GCucihVvJfMjLAmec39IyEx_6qawtMGysU/edit?usp=sharing"",""สบก!CD30"")"),0)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IFERROR(__xludf.DUMMYFUNCTION("IMPORTRANGE(""https://docs.google.com/spreadsheets/d/11923uPwbBZFjjGgGUA6NLw09EwE0CqkOc4q9oUmW1yo/edit?usp=sharing"",""แพร่!J175"")"),0)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IFERROR(__xludf.DUMMYFUNCTION("IMPORTRANGE(""https://docs.google.com/spreadsheets/d/11923uPwbBZFjjGgGUA6NLw09EwE0CqkOc4q9oUmW1yo/edit?usp=sharing"",""แพร่!J176"")"),1)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IFERROR(__xludf.DUMMYFUNCTION("IMPORTRANGE(""https://docs.google.com/spreadsheets/d/11923uPwbBZFjjGgGUA6NLw09EwE0CqkOc4q9oUmW1yo/edit?usp=sharing"",""แพร่!J177"")"),1)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IFERROR(__xludf.DUMMYFUNCTION("IMPORTRANGE(""https://docs.google.com/spreadsheets/d/11923uPwbBZFjjGgGUA6NLw09EwE0CqkOc4q9oUmW1yo/edit?usp=sharing"",""แพร่!J178"")"),1)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IFERROR(__xludf.DUMMYFUNCTION("IMPORTRANGE(""https://docs.google.com/spreadsheets/d/11923uPwbBZFjjGgGUA6NLw09EwE0CqkOc4q9oUmW1yo/edit?usp=sharing"",""แพร่!I179"")"),1)</f>
        <v>1</v>
      </c>
      <c r="J264" s="198">
        <f ca="1">IFERROR(__xludf.DUMMYFUNCTION("IMPORTRANGE(""https://docs.google.com/spreadsheets/d/11923uPwbBZFjjGgGUA6NLw09EwE0CqkOc4q9oUmW1yo/edit?usp=sharing"",""แพร่!J179"")"),0)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IFERROR(__xludf.DUMMYFUNCTION("IMPORTRANGE(""https://docs.google.com/spreadsheets/d/11923uPwbBZFjjGgGUA6NLw09EwE0CqkOc4q9oUmW1yo/edit?usp=sharing"",""แพร่!I180"")"),30)</f>
        <v>30</v>
      </c>
      <c r="J265" s="198">
        <f ca="1">IFERROR(__xludf.DUMMYFUNCTION("IMPORTRANGE(""https://docs.google.com/spreadsheets/d/11923uPwbBZFjjGgGUA6NLw09EwE0CqkOc4q9oUmW1yo/edit?usp=sharing"",""แพร่!J180"")"),0)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IFERROR(__xludf.DUMMYFUNCTION("IMPORTRANGE(""https://docs.google.com/spreadsheets/d/11923uPwbBZFjjGgGUA6NLw09EwE0CqkOc4q9oUmW1yo/edit?usp=sharing"",""แพร่!I181"")"),30)</f>
        <v>30</v>
      </c>
      <c r="J266" s="198">
        <f ca="1">IFERROR(__xludf.DUMMYFUNCTION("IMPORTRANGE(""https://docs.google.com/spreadsheets/d/11923uPwbBZFjjGgGUA6NLw09EwE0CqkOc4q9oUmW1yo/edit?usp=sharing"",""แพร่!J181"")"),0)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IFERROR(__xludf.DUMMYFUNCTION("IMPORTRANGE(""https://docs.google.com/spreadsheets/d/11923uPwbBZFjjGgGUA6NLw09EwE0CqkOc4q9oUmW1yo/edit?usp=sharing"",""แพร่!I182"")"),1)</f>
        <v>1</v>
      </c>
      <c r="J267" s="198">
        <f ca="1">IFERROR(__xludf.DUMMYFUNCTION("IMPORTRANGE(""https://docs.google.com/spreadsheets/d/11923uPwbBZFjjGgGUA6NLw09EwE0CqkOc4q9oUmW1yo/edit?usp=sharing"",""แพร่!J182"")"),0)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IFERROR(__xludf.DUMMYFUNCTION("IMPORTRANGE(""https://docs.google.com/spreadsheets/d/11923uPwbBZFjjGgGUA6NLw09EwE0CqkOc4q9oUmW1yo/edit?usp=sharing"",""แพร่!J183"")"),0)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IFERROR(__xludf.DUMMYFUNCTION("IMPORTRANGE(""https://docs.google.com/spreadsheets/d/11923uPwbBZFjjGgGUA6NLw09EwE0CqkOc4q9oUmW1yo/edit?usp=sharing"",""แพร่!J184"")"),0)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IFERROR(__xludf.DUMMYFUNCTION("IMPORTRANGE(""https://docs.google.com/spreadsheets/d/11923uPwbBZFjjGgGUA6NLw09EwE0CqkOc4q9oUmW1yo/edit?usp=sharing"",""แพร่!I185"")"),20)</f>
        <v>20</v>
      </c>
      <c r="J270" s="324">
        <f ca="1">IFERROR(__xludf.DUMMYFUNCTION("IMPORTRANGE(""https://docs.google.com/spreadsheets/d/11923uPwbBZFjjGgGUA6NLw09EwE0CqkOc4q9oUmW1yo/edit?usp=sharing"",""แพร่!J185"")"),20)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205700</v>
      </c>
      <c r="M271" s="158">
        <f t="shared" ca="1" si="83"/>
        <v>99000</v>
      </c>
      <c r="N271" s="158">
        <f t="shared" ca="1" si="83"/>
        <v>96150</v>
      </c>
      <c r="O271" s="157">
        <f t="shared" ref="O271:O273" ca="1" si="84">IF(L271&gt;0,N271*100/L271,0)</f>
        <v>46.742829363150221</v>
      </c>
      <c r="P271" s="157">
        <f t="shared" ref="P271:P273" ca="1" si="85">IF(M271&gt;0,N271*100/M271,0)</f>
        <v>97.121212121212125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205700</v>
      </c>
      <c r="M273" s="163">
        <f t="shared" ca="1" si="87"/>
        <v>99000</v>
      </c>
      <c r="N273" s="163">
        <f t="shared" ca="1" si="87"/>
        <v>96150</v>
      </c>
      <c r="O273" s="162">
        <f t="shared" ca="1" si="84"/>
        <v>46.742829363150221</v>
      </c>
      <c r="P273" s="162">
        <f t="shared" ca="1" si="85"/>
        <v>97.121212121212125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205700</v>
      </c>
      <c r="M275" s="176">
        <f ca="1">IFERROR(__xludf.DUMMYFUNCTION("IMPORTRANGE(""https://docs.google.com/spreadsheets/d/1Yj_ptqi66GCucihVvJfMjLAmec39IyEx_6qawtMGysU/edit?usp=sharing"",""สบก!CK30"")"),99000)</f>
        <v>99000</v>
      </c>
      <c r="N275" s="177">
        <f ca="1">IFERROR(__xludf.DUMMYFUNCTION("IMPORTRANGE(""https://docs.google.com/spreadsheets/d/1Yj_ptqi66GCucihVvJfMjLAmec39IyEx_6qawtMGysU/edit?usp=sharing"",""สบก!CL30"")"),96150)</f>
        <v>96150</v>
      </c>
      <c r="O275" s="178">
        <f ca="1">IF(L275&gt;0,N275*100/L275,0)</f>
        <v>46.742829363150221</v>
      </c>
      <c r="P275" s="178">
        <f ca="1">IF(M275&gt;0,N275*100/M275,0)</f>
        <v>97.121212121212125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IFERROR(__xludf.DUMMYFUNCTION("IMPORTRANGE(""https://docs.google.com/spreadsheets/d/1Yj_ptqi66GCucihVvJfMjLAmec39IyEx_6qawtMGysU/edit?usp=sharing"",""สบก!CG30"")"),132000)</f>
        <v>132000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IFERROR(__xludf.DUMMYFUNCTION("IMPORTRANGE(""https://docs.google.com/spreadsheets/d/1Yj_ptqi66GCucihVvJfMjLAmec39IyEx_6qawtMGysU/edit?usp=sharing"",""สบก!CH30"")"),73700)</f>
        <v>73700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IFERROR(__xludf.DUMMYFUNCTION("IMPORTRANGE(""https://docs.google.com/spreadsheets/d/1Yj_ptqi66GCucihVvJfMjLAmec39IyEx_6qawtMGysU/edit?usp=sharing"",""สบก!CI30"")"),0)</f>
        <v>0</v>
      </c>
      <c r="M279" s="103"/>
      <c r="N279" s="93">
        <f ca="1">IFERROR(__xludf.DUMMYFUNCTION("IMPORTRANGE(""https://docs.google.com/spreadsheets/d/1Yj_ptqi66GCucihVvJfMjLAmec39IyEx_6qawtMGysU/edit?usp=sharing"",""สบก!CM30"")"),0)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IFERROR(__xludf.DUMMYFUNCTION("IMPORTRANGE(""https://docs.google.com/spreadsheets/d/11923uPwbBZFjjGgGUA6NLw09EwE0CqkOc4q9oUmW1yo/edit?usp=sharing"",""แพร่!J191"")"),0)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IFERROR(__xludf.DUMMYFUNCTION("IMPORTRANGE(""https://docs.google.com/spreadsheets/d/11923uPwbBZFjjGgGUA6NLw09EwE0CqkOc4q9oUmW1yo/edit?usp=sharing"",""แพร่!J192"")"),1)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IFERROR(__xludf.DUMMYFUNCTION("IMPORTRANGE(""https://docs.google.com/spreadsheets/d/11923uPwbBZFjjGgGUA6NLw09EwE0CqkOc4q9oUmW1yo/edit?usp=sharing"",""แพร่!J193"")"),1)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IFERROR(__xludf.DUMMYFUNCTION("IMPORTRANGE(""https://docs.google.com/spreadsheets/d/11923uPwbBZFjjGgGUA6NLw09EwE0CqkOc4q9oUmW1yo/edit?usp=sharing"",""แพร่!J194"")"),1)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IFERROR(__xludf.DUMMYFUNCTION("IMPORTRANGE(""https://docs.google.com/spreadsheets/d/11923uPwbBZFjjGgGUA6NLw09EwE0CqkOc4q9oUmW1yo/edit?usp=sharing"",""แพร่!I195"")"),20)</f>
        <v>20</v>
      </c>
      <c r="J285" s="198">
        <f ca="1">IFERROR(__xludf.DUMMYFUNCTION("IMPORTRANGE(""https://docs.google.com/spreadsheets/d/11923uPwbBZFjjGgGUA6NLw09EwE0CqkOc4q9oUmW1yo/edit?usp=sharing"",""แพร่!J195"")"),20)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IFERROR(__xludf.DUMMYFUNCTION("IMPORTRANGE(""https://docs.google.com/spreadsheets/d/11923uPwbBZFjjGgGUA6NLw09EwE0CqkOc4q9oUmW1yo/edit?usp=sharing"",""แพร่!J196"")"),0)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IFERROR(__xludf.DUMMYFUNCTION("IMPORTRANGE(""https://docs.google.com/spreadsheets/d/11923uPwbBZFjjGgGUA6NLw09EwE0CqkOc4q9oUmW1yo/edit?usp=sharing"",""แพร่!J197"")"),0)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IFERROR(__xludf.DUMMYFUNCTION("IMPORTRANGE(""https://docs.google.com/spreadsheets/d/11923uPwbBZFjjGgGUA6NLw09EwE0CqkOc4q9oUmW1yo/edit?usp=sharing"",""แพร่!I199"")"),0)</f>
        <v>0</v>
      </c>
      <c r="J289" s="324">
        <f ca="1">IFERROR(__xludf.DUMMYFUNCTION("IMPORTRANGE(""https://docs.google.com/spreadsheets/d/11923uPwbBZFjjGgGUA6NLw09EwE0CqkOc4q9oUmW1yo/edit?usp=sharing"",""แพร่!J199"")"),0)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IFERROR(__xludf.DUMMYFUNCTION("IMPORTRANGE(""https://docs.google.com/spreadsheets/d/1Yj_ptqi66GCucihVvJfMjLAmec39IyEx_6qawtMGysU/edit?usp=sharing"",""สบก!CT30"")"),0)</f>
        <v>0</v>
      </c>
      <c r="N294" s="177">
        <f ca="1">IFERROR(__xludf.DUMMYFUNCTION("IMPORTRANGE(""https://docs.google.com/spreadsheets/d/1Yj_ptqi66GCucihVvJfMjLAmec39IyEx_6qawtMGysU/edit?usp=sharing"",""สบก!CU30"")"),0)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IFERROR(__xludf.DUMMYFUNCTION("IMPORTRANGE(""https://docs.google.com/spreadsheets/d/1Yj_ptqi66GCucihVvJfMjLAmec39IyEx_6qawtMGysU/edit?usp=sharing"",""สบก!CP30"")"),0)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IFERROR(__xludf.DUMMYFUNCTION("IMPORTRANGE(""https://docs.google.com/spreadsheets/d/1Yj_ptqi66GCucihVvJfMjLAmec39IyEx_6qawtMGysU/edit?usp=sharing"",""สบก!CQ30"")"),0)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IFERROR(__xludf.DUMMYFUNCTION("IMPORTRANGE(""https://docs.google.com/spreadsheets/d/1Yj_ptqi66GCucihVvJfMjLAmec39IyEx_6qawtMGysU/edit?usp=sharing"",""สบก!CR30"")"),0)</f>
        <v>0</v>
      </c>
      <c r="M298" s="103"/>
      <c r="N298" s="93">
        <f ca="1">IFERROR(__xludf.DUMMYFUNCTION("IMPORTRANGE(""https://docs.google.com/spreadsheets/d/1Yj_ptqi66GCucihVvJfMjLAmec39IyEx_6qawtMGysU/edit?usp=sharing"",""สบก!CV30"")"),0)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IFERROR(__xludf.DUMMYFUNCTION("IMPORTRANGE(""https://docs.google.com/spreadsheets/d/11923uPwbBZFjjGgGUA6NLw09EwE0CqkOc4q9oUmW1yo/edit?usp=sharing"",""แพร่!J205"")"),0)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IFERROR(__xludf.DUMMYFUNCTION("IMPORTRANGE(""https://docs.google.com/spreadsheets/d/11923uPwbBZFjjGgGUA6NLw09EwE0CqkOc4q9oUmW1yo/edit?usp=sharing"",""แพร่!J206"")"),0)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IFERROR(__xludf.DUMMYFUNCTION("IMPORTRANGE(""https://docs.google.com/spreadsheets/d/11923uPwbBZFjjGgGUA6NLw09EwE0CqkOc4q9oUmW1yo/edit?usp=sharing"",""แพร่!J207"")"),0)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IFERROR(__xludf.DUMMYFUNCTION("IMPORTRANGE(""https://docs.google.com/spreadsheets/d/11923uPwbBZFjjGgGUA6NLw09EwE0CqkOc4q9oUmW1yo/edit?usp=sharing"",""แพร่!J208"")"),0)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IFERROR(__xludf.DUMMYFUNCTION("IMPORTRANGE(""https://docs.google.com/spreadsheets/d/11923uPwbBZFjjGgGUA6NLw09EwE0CqkOc4q9oUmW1yo/edit?usp=sharing"",""แพร่!I209"")"),0)</f>
        <v>0</v>
      </c>
      <c r="J304" s="213">
        <f ca="1">IFERROR(__xludf.DUMMYFUNCTION("IMPORTRANGE(""https://docs.google.com/spreadsheets/d/11923uPwbBZFjjGgGUA6NLw09EwE0CqkOc4q9oUmW1yo/edit?usp=sharing"",""แพร่!J209"")"),0)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IFERROR(__xludf.DUMMYFUNCTION("IMPORTRANGE(""https://docs.google.com/spreadsheets/d/11923uPwbBZFjjGgGUA6NLw09EwE0CqkOc4q9oUmW1yo/edit?usp=sharing"",""แพร่!I211"")"),0)</f>
        <v>0</v>
      </c>
      <c r="J306" s="213">
        <f ca="1">IFERROR(__xludf.DUMMYFUNCTION("IMPORTRANGE(""https://docs.google.com/spreadsheets/d/11923uPwbBZFjjGgGUA6NLw09EwE0CqkOc4q9oUmW1yo/edit?usp=sharing"",""แพร่!J211"")"),0)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IFERROR(__xludf.DUMMYFUNCTION("IMPORTRANGE(""https://docs.google.com/spreadsheets/d/11923uPwbBZFjjGgGUA6NLw09EwE0CqkOc4q9oUmW1yo/edit?usp=sharing"",""แพร่!J212"")"),0)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IFERROR(__xludf.DUMMYFUNCTION("IMPORTRANGE(""https://docs.google.com/spreadsheets/d/11923uPwbBZFjjGgGUA6NLw09EwE0CqkOc4q9oUmW1yo/edit?usp=sharing"",""แพร่!J213"")"),0)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IFERROR(__xludf.DUMMYFUNCTION("IMPORTRANGE(""https://docs.google.com/spreadsheets/d/11923uPwbBZFjjGgGUA6NLw09EwE0CqkOc4q9oUmW1yo/edit?usp=sharing"",""แพร่!I214"")"),0)</f>
        <v>0</v>
      </c>
      <c r="J309" s="341">
        <f ca="1">IFERROR(__xludf.DUMMYFUNCTION("IMPORTRANGE(""https://docs.google.com/spreadsheets/d/11923uPwbBZFjjGgGUA6NLw09EwE0CqkOc4q9oUmW1yo/edit?usp=sharing"",""แพร่!J214"")"),0)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IFERROR(__xludf.DUMMYFUNCTION("IMPORTRANGE(""https://docs.google.com/spreadsheets/d/1Yj_ptqi66GCucihVvJfMjLAmec39IyEx_6qawtMGysU/edit?usp=sharing"",""สบก!DC30"")"),0)</f>
        <v>0</v>
      </c>
      <c r="N314" s="177">
        <f ca="1">IFERROR(__xludf.DUMMYFUNCTION("IMPORTRANGE(""https://docs.google.com/spreadsheets/d/1Yj_ptqi66GCucihVvJfMjLAmec39IyEx_6qawtMGysU/edit?usp=sharing"",""สบก!DD30"")"),0)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IFERROR(__xludf.DUMMYFUNCTION("IMPORTRANGE(""https://docs.google.com/spreadsheets/d/1Yj_ptqi66GCucihVvJfMjLAmec39IyEx_6qawtMGysU/edit?usp=sharing"",""สบก!CY30"")"),0)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IFERROR(__xludf.DUMMYFUNCTION("IMPORTRANGE(""https://docs.google.com/spreadsheets/d/1Yj_ptqi66GCucihVvJfMjLAmec39IyEx_6qawtMGysU/edit?usp=sharing"",""สบก!CZ30"")"),0)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IFERROR(__xludf.DUMMYFUNCTION("IMPORTRANGE(""https://docs.google.com/spreadsheets/d/1Yj_ptqi66GCucihVvJfMjLAmec39IyEx_6qawtMGysU/edit?usp=sharing"",""สบก!DA30"")"),0)</f>
        <v>0</v>
      </c>
      <c r="M318" s="103"/>
      <c r="N318" s="93">
        <f ca="1">IFERROR(__xludf.DUMMYFUNCTION("IMPORTRANGE(""https://docs.google.com/spreadsheets/d/1Yj_ptqi66GCucihVvJfMjLAmec39IyEx_6qawtMGysU/edit?usp=sharing"",""สบก!DE30"")"),0)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IFERROR(__xludf.DUMMYFUNCTION("IMPORTRANGE(""https://docs.google.com/spreadsheets/d/11923uPwbBZFjjGgGUA6NLw09EwE0CqkOc4q9oUmW1yo/edit?usp=sharing"",""แพร่!J220"")"),0)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IFERROR(__xludf.DUMMYFUNCTION("IMPORTRANGE(""https://docs.google.com/spreadsheets/d/11923uPwbBZFjjGgGUA6NLw09EwE0CqkOc4q9oUmW1yo/edit?usp=sharing"",""แพร่!J221"")"),0)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IFERROR(__xludf.DUMMYFUNCTION("IMPORTRANGE(""https://docs.google.com/spreadsheets/d/11923uPwbBZFjjGgGUA6NLw09EwE0CqkOc4q9oUmW1yo/edit?usp=sharing"",""แพร่!J222"")"),0)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IFERROR(__xludf.DUMMYFUNCTION("IMPORTRANGE(""https://docs.google.com/spreadsheets/d/11923uPwbBZFjjGgGUA6NLw09EwE0CqkOc4q9oUmW1yo/edit?usp=sharing"",""แพร่!J223"")"),0)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IFERROR(__xludf.DUMMYFUNCTION("IMPORTRANGE(""https://docs.google.com/spreadsheets/d/11923uPwbBZFjjGgGUA6NLw09EwE0CqkOc4q9oUmW1yo/edit?usp=sharing"",""แพร่!I224"")"),0)</f>
        <v>0</v>
      </c>
      <c r="J324" s="213">
        <f ca="1">IFERROR(__xludf.DUMMYFUNCTION("IMPORTRANGE(""https://docs.google.com/spreadsheets/d/11923uPwbBZFjjGgGUA6NLw09EwE0CqkOc4q9oUmW1yo/edit?usp=sharing"",""แพร่!J224"")"),0)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IFERROR(__xludf.DUMMYFUNCTION("IMPORTRANGE(""https://docs.google.com/spreadsheets/d/11923uPwbBZFjjGgGUA6NLw09EwE0CqkOc4q9oUmW1yo/edit?usp=sharing"",""แพร่!J225"")"),0)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IFERROR(__xludf.DUMMYFUNCTION("IMPORTRANGE(""https://docs.google.com/spreadsheets/d/11923uPwbBZFjjGgGUA6NLw09EwE0CqkOc4q9oUmW1yo/edit?usp=sharing"",""แพร่!J226"")"),0)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IFERROR(__xludf.DUMMYFUNCTION("IMPORTRANGE(""https://docs.google.com/spreadsheets/d/11923uPwbBZFjjGgGUA6NLw09EwE0CqkOc4q9oUmW1yo/edit?usp=sharing"",""แพร่!I228"")"),360)</f>
        <v>360</v>
      </c>
      <c r="J328" s="347">
        <f ca="1">IFERROR(__xludf.DUMMYFUNCTION("IMPORTRANGE(""https://docs.google.com/spreadsheets/d/11923uPwbBZFjjGgGUA6NLw09EwE0CqkOc4q9oUmW1yo/edit?usp=sharing"",""แพร่!J228"")"),190)</f>
        <v>190</v>
      </c>
      <c r="K328" s="325">
        <f ca="1">IF(I328&gt;0,J328*100/I328,0)</f>
        <v>52.777777777777779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833180</v>
      </c>
      <c r="M329" s="158">
        <f t="shared" ca="1" si="98"/>
        <v>437000</v>
      </c>
      <c r="N329" s="158">
        <f t="shared" ca="1" si="98"/>
        <v>316980</v>
      </c>
      <c r="O329" s="157">
        <f t="shared" ref="O329:O331" ca="1" si="99">IF(L329&gt;0,N329*100/L329,0)</f>
        <v>38.044600206437984</v>
      </c>
      <c r="P329" s="157">
        <f t="shared" ref="P329:P331" ca="1" si="100">IF(M329&gt;0,N329*100/M329,0)</f>
        <v>72.535469107551492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833180</v>
      </c>
      <c r="M331" s="163">
        <f t="shared" ca="1" si="102"/>
        <v>437000</v>
      </c>
      <c r="N331" s="163">
        <f t="shared" ca="1" si="102"/>
        <v>316980</v>
      </c>
      <c r="O331" s="162">
        <f t="shared" ca="1" si="99"/>
        <v>38.044600206437984</v>
      </c>
      <c r="P331" s="162">
        <f t="shared" ca="1" si="100"/>
        <v>72.535469107551492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823180</v>
      </c>
      <c r="M333" s="176">
        <f ca="1">IFERROR(__xludf.DUMMYFUNCTION("IMPORTRANGE(""https://docs.google.com/spreadsheets/d/1Yj_ptqi66GCucihVvJfMjLAmec39IyEx_6qawtMGysU/edit?usp=sharing"",""สบก!DL30"")"),437000)</f>
        <v>437000</v>
      </c>
      <c r="N333" s="177">
        <f ca="1">IFERROR(__xludf.DUMMYFUNCTION("IMPORTRANGE(""https://docs.google.com/spreadsheets/d/1Yj_ptqi66GCucihVvJfMjLAmec39IyEx_6qawtMGysU/edit?usp=sharing"",""สบก!DM30"")"),306980)</f>
        <v>306980</v>
      </c>
      <c r="O333" s="178">
        <f ca="1">IF(L333&gt;0,N333*100/L333,0)</f>
        <v>37.291965305279525</v>
      </c>
      <c r="P333" s="178">
        <f ca="1">IF(M333&gt;0,N333*100/M333,0)</f>
        <v>70.24713958810068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IFERROR(__xludf.DUMMYFUNCTION("IMPORTRANGE(""https://docs.google.com/spreadsheets/d/1Yj_ptqi66GCucihVvJfMjLAmec39IyEx_6qawtMGysU/edit?usp=sharing"",""สบก!DH30"")"),491200)</f>
        <v>491200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IFERROR(__xludf.DUMMYFUNCTION("IMPORTRANGE(""https://docs.google.com/spreadsheets/d/1Yj_ptqi66GCucihVvJfMjLAmec39IyEx_6qawtMGysU/edit?usp=sharing"",""สบก!DI30"")"),331980)</f>
        <v>331980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IFERROR(__xludf.DUMMYFUNCTION("IMPORTRANGE(""https://docs.google.com/spreadsheets/d/1Yj_ptqi66GCucihVvJfMjLAmec39IyEx_6qawtMGysU/edit?usp=sharing"",""สบก!DJ30"")"),10000)</f>
        <v>10000</v>
      </c>
      <c r="M337" s="103"/>
      <c r="N337" s="93">
        <f ca="1">IFERROR(__xludf.DUMMYFUNCTION("IMPORTRANGE(""https://docs.google.com/spreadsheets/d/1Yj_ptqi66GCucihVvJfMjLAmec39IyEx_6qawtMGysU/edit?usp=sharing"",""สบก!DN30"")"),10000)</f>
        <v>10000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IFERROR(__xludf.DUMMYFUNCTION("IMPORTRANGE(""https://docs.google.com/spreadsheets/d/11923uPwbBZFjjGgGUA6NLw09EwE0CqkOc4q9oUmW1yo/edit?usp=sharing"",""แพร่!I234"")"),0)</f>
        <v>0</v>
      </c>
      <c r="J339" s="197">
        <f ca="1">IFERROR(__xludf.DUMMYFUNCTION("IMPORTRANGE(""https://docs.google.com/spreadsheets/d/11923uPwbBZFjjGgGUA6NLw09EwE0CqkOc4q9oUmW1yo/edit?usp=sharing"",""แพร่!J234"")"),86)</f>
        <v>86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IFERROR(__xludf.DUMMYFUNCTION("IMPORTRANGE(""https://docs.google.com/spreadsheets/d/11923uPwbBZFjjGgGUA6NLw09EwE0CqkOc4q9oUmW1yo/edit?usp=sharing"",""แพร่!I235"")"),1300)</f>
        <v>1300</v>
      </c>
      <c r="J340" s="197">
        <f ca="1">IFERROR(__xludf.DUMMYFUNCTION("IMPORTRANGE(""https://docs.google.com/spreadsheets/d/11923uPwbBZFjjGgGUA6NLw09EwE0CqkOc4q9oUmW1yo/edit?usp=sharing"",""แพร่!J235"")"),550.11)</f>
        <v>550.11</v>
      </c>
      <c r="K340" s="350">
        <f t="shared" ca="1" si="103"/>
        <v>42.316153846153846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IFERROR(__xludf.DUMMYFUNCTION("IMPORTRANGE(""https://docs.google.com/spreadsheets/d/11923uPwbBZFjjGgGUA6NLw09EwE0CqkOc4q9oUmW1yo/edit?usp=sharing"",""แพร่!I236"")"),360)</f>
        <v>360</v>
      </c>
      <c r="J341" s="197">
        <f ca="1">IFERROR(__xludf.DUMMYFUNCTION("IMPORTRANGE(""https://docs.google.com/spreadsheets/d/11923uPwbBZFjjGgGUA6NLw09EwE0CqkOc4q9oUmW1yo/edit?usp=sharing"",""แพร่!J236"")"),224)</f>
        <v>224</v>
      </c>
      <c r="K341" s="350">
        <f t="shared" ca="1" si="103"/>
        <v>62.222222222222221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IFERROR(__xludf.DUMMYFUNCTION("IMPORTRANGE(""https://docs.google.com/spreadsheets/d/11923uPwbBZFjjGgGUA6NLw09EwE0CqkOc4q9oUmW1yo/edit?usp=sharing"",""แพร่!I237"")"),0)</f>
        <v>0</v>
      </c>
      <c r="J342" s="197">
        <f ca="1">IFERROR(__xludf.DUMMYFUNCTION("IMPORTRANGE(""https://docs.google.com/spreadsheets/d/11923uPwbBZFjjGgGUA6NLw09EwE0CqkOc4q9oUmW1yo/edit?usp=sharing"",""แพร่!J237"")"),1967.59)</f>
        <v>1967.59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IFERROR(__xludf.DUMMYFUNCTION("IMPORTRANGE(""https://docs.google.com/spreadsheets/d/11923uPwbBZFjjGgGUA6NLw09EwE0CqkOc4q9oUmW1yo/edit?usp=sharing"",""แพร่!I238"")"),360)</f>
        <v>360</v>
      </c>
      <c r="J343" s="197">
        <f ca="1">IFERROR(__xludf.DUMMYFUNCTION("IMPORTRANGE(""https://docs.google.com/spreadsheets/d/11923uPwbBZFjjGgGUA6NLw09EwE0CqkOc4q9oUmW1yo/edit?usp=sharing"",""แพร่!J238"")"),0)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IFERROR(__xludf.DUMMYFUNCTION("IMPORTRANGE(""https://docs.google.com/spreadsheets/d/11923uPwbBZFjjGgGUA6NLw09EwE0CqkOc4q9oUmW1yo/edit?usp=sharing"",""แพร่!I239"")"),0)</f>
        <v>0</v>
      </c>
      <c r="J344" s="197">
        <f ca="1">IFERROR(__xludf.DUMMYFUNCTION("IMPORTRANGE(""https://docs.google.com/spreadsheets/d/11923uPwbBZFjjGgGUA6NLw09EwE0CqkOc4q9oUmW1yo/edit?usp=sharing"",""แพร่!J239"")"),0)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IFERROR(__xludf.DUMMYFUNCTION("IMPORTRANGE(""https://docs.google.com/spreadsheets/d/11923uPwbBZFjjGgGUA6NLw09EwE0CqkOc4q9oUmW1yo/edit?usp=sharing"",""แพร่!I240"")"),360)</f>
        <v>360</v>
      </c>
      <c r="J345" s="197">
        <f ca="1">IFERROR(__xludf.DUMMYFUNCTION("IMPORTRANGE(""https://docs.google.com/spreadsheets/d/11923uPwbBZFjjGgGUA6NLw09EwE0CqkOc4q9oUmW1yo/edit?usp=sharing"",""แพร่!J240"")"),190)</f>
        <v>190</v>
      </c>
      <c r="K345" s="350">
        <f t="shared" ca="1" si="103"/>
        <v>52.777777777777779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IFERROR(__xludf.DUMMYFUNCTION("IMPORTRANGE(""https://docs.google.com/spreadsheets/d/11923uPwbBZFjjGgGUA6NLw09EwE0CqkOc4q9oUmW1yo/edit?usp=sharing"",""แพร่!I241"")"),0)</f>
        <v>0</v>
      </c>
      <c r="J346" s="197">
        <f ca="1">IFERROR(__xludf.DUMMYFUNCTION("IMPORTRANGE(""https://docs.google.com/spreadsheets/d/11923uPwbBZFjjGgGUA6NLw09EwE0CqkOc4q9oUmW1yo/edit?usp=sharing"",""แพร่!J241"")"),1702.19)</f>
        <v>1702.19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IFERROR(__xludf.DUMMYFUNCTION("IMPORTRANGE(""https://docs.google.com/spreadsheets/d/11923uPwbBZFjjGgGUA6NLw09EwE0CqkOc4q9oUmW1yo/edit?usp=sharing"",""แพร่!L242"")"),1858960)</f>
        <v>1858960</v>
      </c>
      <c r="M347" s="366"/>
      <c r="N347" s="366">
        <f ca="1">IFERROR(__xludf.DUMMYFUNCTION("IMPORTRANGE(""https://docs.google.com/spreadsheets/d/11923uPwbBZFjjGgGUA6NLw09EwE0CqkOc4q9oUmW1yo/edit?usp=sharing"",""แพร่!M242"")"),282079)</f>
        <v>282079</v>
      </c>
      <c r="O347" s="366">
        <f ca="1">+IF(L347&gt;0,N347*100/L347,0)</f>
        <v>15.174022033825365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IFERROR(__xludf.DUMMYFUNCTION("IMPORTRANGE(""https://docs.google.com/spreadsheets/d/11923uPwbBZFjjGgGUA6NLw09EwE0CqkOc4q9oUmW1yo/edit?usp=sharing"",""แพร่!I244"")"),90)</f>
        <v>90</v>
      </c>
      <c r="J349" s="379">
        <f ca="1">IFERROR(__xludf.DUMMYFUNCTION("IMPORTRANGE(""https://docs.google.com/spreadsheets/d/11923uPwbBZFjjGgGUA6NLw09EwE0CqkOc4q9oUmW1yo/edit?usp=sharing"",""แพร่!J244"")"),0)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IFERROR(__xludf.DUMMYFUNCTION("IMPORTRANGE(""https://docs.google.com/spreadsheets/d/11923uPwbBZFjjGgGUA6NLw09EwE0CqkOc4q9oUmW1yo/edit?usp=sharing"",""แพร่!L244"")"),348030)</f>
        <v>348030</v>
      </c>
      <c r="M349" s="381"/>
      <c r="N349" s="381">
        <f ca="1">IFERROR(__xludf.DUMMYFUNCTION("IMPORTRANGE(""https://docs.google.com/spreadsheets/d/11923uPwbBZFjjGgGUA6NLw09EwE0CqkOc4q9oUmW1yo/edit?usp=sharing"",""แพร่!M244"")"),67360)</f>
        <v>67360</v>
      </c>
      <c r="O349" s="381">
        <f ca="1">+IF(L349&gt;0,N349*100/L349,0)</f>
        <v>19.354653334482659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IFERROR(__xludf.DUMMYFUNCTION("IMPORTRANGE(""https://docs.google.com/spreadsheets/d/11923uPwbBZFjjGgGUA6NLw09EwE0CqkOc4q9oUmW1yo/edit?usp=sharing"",""แพร่!I245"")"),55)</f>
        <v>55</v>
      </c>
      <c r="J350" s="379">
        <f ca="1">IFERROR(__xludf.DUMMYFUNCTION("IMPORTRANGE(""https://docs.google.com/spreadsheets/d/11923uPwbBZFjjGgGUA6NLw09EwE0CqkOc4q9oUmW1yo/edit?usp=sharing"",""แพร่!J245"")"),0)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IFERROR(__xludf.DUMMYFUNCTION("IMPORTRANGE(""https://docs.google.com/spreadsheets/d/11923uPwbBZFjjGgGUA6NLw09EwE0CqkOc4q9oUmW1yo/edit?usp=sharing"",""แพร่!L246"")"),0)</f>
        <v>0</v>
      </c>
      <c r="M351" s="172"/>
      <c r="N351" s="172">
        <f ca="1">IFERROR(__xludf.DUMMYFUNCTION("IMPORTRANGE(""https://docs.google.com/spreadsheets/d/11923uPwbBZFjjGgGUA6NLw09EwE0CqkOc4q9oUmW1yo/edit?usp=sharing"",""แพร่!M246"")"),0)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IFERROR(__xludf.DUMMYFUNCTION("IMPORTRANGE(""https://docs.google.com/spreadsheets/d/11923uPwbBZFjjGgGUA6NLw09EwE0CqkOc4q9oUmW1yo/edit?usp=sharing"",""แพร่!L247"")"),348030)</f>
        <v>348030</v>
      </c>
      <c r="M352" s="173"/>
      <c r="N352" s="172">
        <f ca="1">IFERROR(__xludf.DUMMYFUNCTION("IMPORTRANGE(""https://docs.google.com/spreadsheets/d/11923uPwbBZFjjGgGUA6NLw09EwE0CqkOc4q9oUmW1yo/edit?usp=sharing"",""แพร่!M247"")"),67360)</f>
        <v>67360</v>
      </c>
      <c r="O352" s="173">
        <f t="shared" ca="1" si="105"/>
        <v>19.354653334482659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IFERROR(__xludf.DUMMYFUNCTION("IMPORTRANGE(""https://docs.google.com/spreadsheets/d/11923uPwbBZFjjGgGUA6NLw09EwE0CqkOc4q9oUmW1yo/edit?usp=sharing"",""แพร่!L248"")"),0)</f>
        <v>0</v>
      </c>
      <c r="M353" s="178"/>
      <c r="N353" s="178">
        <f ca="1">IFERROR(__xludf.DUMMYFUNCTION("IMPORTRANGE(""https://docs.google.com/spreadsheets/d/11923uPwbBZFjjGgGUA6NLw09EwE0CqkOc4q9oUmW1yo/edit?usp=sharing"",""แพร่!M248"")"),0)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IFERROR(__xludf.DUMMYFUNCTION("IMPORTRANGE(""https://docs.google.com/spreadsheets/d/11923uPwbBZFjjGgGUA6NLw09EwE0CqkOc4q9oUmW1yo/edit?usp=sharing"",""แพร่!L249"")"),348030)</f>
        <v>348030</v>
      </c>
      <c r="M354" s="178"/>
      <c r="N354" s="175">
        <f ca="1">IFERROR(__xludf.DUMMYFUNCTION("IMPORTRANGE(""https://docs.google.com/spreadsheets/d/11923uPwbBZFjjGgGUA6NLw09EwE0CqkOc4q9oUmW1yo/edit?usp=sharing"",""แพร่!M249"")"),67360)</f>
        <v>67360</v>
      </c>
      <c r="O354" s="178">
        <f t="shared" ca="1" si="105"/>
        <v>19.354653334482659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IFERROR(__xludf.DUMMYFUNCTION("IMPORTRANGE(""https://docs.google.com/spreadsheets/d/11923uPwbBZFjjGgGUA6NLw09EwE0CqkOc4q9oUmW1yo/edit?usp=sharing"",""แพร่!M250"")"),30655)</f>
        <v>30655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IFERROR(__xludf.DUMMYFUNCTION("IMPORTRANGE(""https://docs.google.com/spreadsheets/d/11923uPwbBZFjjGgGUA6NLw09EwE0CqkOc4q9oUmW1yo/edit?usp=sharing"",""แพร่!M251"")"),0)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IFERROR(__xludf.DUMMYFUNCTION("IMPORTRANGE(""https://docs.google.com/spreadsheets/d/11923uPwbBZFjjGgGUA6NLw09EwE0CqkOc4q9oUmW1yo/edit?usp=sharing"",""แพร่!M252"")"),33000)</f>
        <v>33000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IFERROR(__xludf.DUMMYFUNCTION("IMPORTRANGE(""https://docs.google.com/spreadsheets/d/11923uPwbBZFjjGgGUA6NLw09EwE0CqkOc4q9oUmW1yo/edit?usp=sharing"",""แพร่!M253"")"),3705)</f>
        <v>3705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IFERROR(__xludf.DUMMYFUNCTION("IMPORTRANGE(""https://docs.google.com/spreadsheets/d/11923uPwbBZFjjGgGUA6NLw09EwE0CqkOc4q9oUmW1yo/edit?usp=sharing"",""แพร่!J255"")"),0)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IFERROR(__xludf.DUMMYFUNCTION("IMPORTRANGE(""https://docs.google.com/spreadsheets/d/11923uPwbBZFjjGgGUA6NLw09EwE0CqkOc4q9oUmW1yo/edit?usp=sharing"",""แพร่!J256"")"),1)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IFERROR(__xludf.DUMMYFUNCTION("IMPORTRANGE(""https://docs.google.com/spreadsheets/d/11923uPwbBZFjjGgGUA6NLw09EwE0CqkOc4q9oUmW1yo/edit?usp=sharing"",""แพร่!J257"")"),1)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IFERROR(__xludf.DUMMYFUNCTION("IMPORTRANGE(""https://docs.google.com/spreadsheets/d/11923uPwbBZFjjGgGUA6NLw09EwE0CqkOc4q9oUmW1yo/edit?usp=sharing"",""แพร่!J258"")"),1)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IFERROR(__xludf.DUMMYFUNCTION("IMPORTRANGE(""https://docs.google.com/spreadsheets/d/11923uPwbBZFjjGgGUA6NLw09EwE0CqkOc4q9oUmW1yo/edit?usp=sharing"",""แพร่!J166"")"),0)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IFERROR(__xludf.DUMMYFUNCTION("IMPORTRANGE(""https://docs.google.com/spreadsheets/d/11923uPwbBZFjjGgGUA6NLw09EwE0CqkOc4q9oUmW1yo/edit?usp=sharing"",""แพร่!J166"")"),0)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IFERROR(__xludf.DUMMYFUNCTION("IMPORTRANGE(""https://docs.google.com/spreadsheets/d/11923uPwbBZFjjGgGUA6NLw09EwE0CqkOc4q9oUmW1yo/edit?usp=sharing"",""แพร่!J166"")"),0)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IFERROR(__xludf.DUMMYFUNCTION("IMPORTRANGE(""https://docs.google.com/spreadsheets/d/11923uPwbBZFjjGgGUA6NLw09EwE0CqkOc4q9oUmW1yo/edit?usp=sharing"",""แพร่!J166"")"),0)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IFERROR(__xludf.DUMMYFUNCTION("IMPORTRANGE(""https://docs.google.com/spreadsheets/d/11923uPwbBZFjjGgGUA6NLw09EwE0CqkOc4q9oUmW1yo/edit?usp=sharing"",""แพร่!I263"")"),55)</f>
        <v>55</v>
      </c>
      <c r="J368" s="197">
        <f ca="1">IFERROR(__xludf.DUMMYFUNCTION("IMPORTRANGE(""https://docs.google.com/spreadsheets/d/11923uPwbBZFjjGgGUA6NLw09EwE0CqkOc4q9oUmW1yo/edit?usp=sharing"",""แพร่!J263"")"),0)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IFERROR(__xludf.DUMMYFUNCTION("IMPORTRANGE(""https://docs.google.com/spreadsheets/d/11923uPwbBZFjjGgGUA6NLw09EwE0CqkOc4q9oUmW1yo/edit?usp=sharing"",""แพร่!I164"")"),0)</f>
        <v>0</v>
      </c>
      <c r="J369" s="213">
        <f ca="1">IFERROR(__xludf.DUMMYFUNCTION("IMPORTRANGE(""https://docs.google.com/spreadsheets/d/11923uPwbBZFjjGgGUA6NLw09EwE0CqkOc4q9oUmW1yo/edit?usp=sharing"",""แพร่!J164"")"),0)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IFERROR(__xludf.DUMMYFUNCTION("IMPORTRANGE(""https://docs.google.com/spreadsheets/d/11923uPwbBZFjjGgGUA6NLw09EwE0CqkOc4q9oUmW1yo/edit?usp=sharing"",""แพร่!I265"")"),55)</f>
        <v>55</v>
      </c>
      <c r="J370" s="213">
        <f ca="1">IFERROR(__xludf.DUMMYFUNCTION("IMPORTRANGE(""https://docs.google.com/spreadsheets/d/11923uPwbBZFjjGgGUA6NLw09EwE0CqkOc4q9oUmW1yo/edit?usp=sharing"",""แพร่!J265"")"),0)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IFERROR(__xludf.DUMMYFUNCTION("IMPORTRANGE(""https://docs.google.com/spreadsheets/d/11923uPwbBZFjjGgGUA6NLw09EwE0CqkOc4q9oUmW1yo/edit?usp=sharing"",""แพร่!I164"")"),0)</f>
        <v>0</v>
      </c>
      <c r="J371" s="198">
        <f ca="1">IFERROR(__xludf.DUMMYFUNCTION("IMPORTRANGE(""https://docs.google.com/spreadsheets/d/11923uPwbBZFjjGgGUA6NLw09EwE0CqkOc4q9oUmW1yo/edit?usp=sharing"",""แพร่!J164"")"),0)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IFERROR(__xludf.DUMMYFUNCTION("IMPORTRANGE(""https://docs.google.com/spreadsheets/d/11923uPwbBZFjjGgGUA6NLw09EwE0CqkOc4q9oUmW1yo/edit?usp=sharing"",""แพร่!I267"")"),55)</f>
        <v>55</v>
      </c>
      <c r="J372" s="198">
        <f ca="1">IFERROR(__xludf.DUMMYFUNCTION("IMPORTRANGE(""https://docs.google.com/spreadsheets/d/11923uPwbBZFjjGgGUA6NLw09EwE0CqkOc4q9oUmW1yo/edit?usp=sharing"",""แพร่!J267"")"),0)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IFERROR(__xludf.DUMMYFUNCTION("IMPORTRANGE(""https://docs.google.com/spreadsheets/d/11923uPwbBZFjjGgGUA6NLw09EwE0CqkOc4q9oUmW1yo/edit?usp=sharing"",""แพร่!I164"")"),0)</f>
        <v>0</v>
      </c>
      <c r="J373" s="213">
        <f ca="1">IFERROR(__xludf.DUMMYFUNCTION("IMPORTRANGE(""https://docs.google.com/spreadsheets/d/11923uPwbBZFjjGgGUA6NLw09EwE0CqkOc4q9oUmW1yo/edit?usp=sharing"",""แพร่!J164"")"),0)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IFERROR(__xludf.DUMMYFUNCTION("IMPORTRANGE(""https://docs.google.com/spreadsheets/d/11923uPwbBZFjjGgGUA6NLw09EwE0CqkOc4q9oUmW1yo/edit?usp=sharing"",""แพร่!I164"")"),0)</f>
        <v>0</v>
      </c>
      <c r="J374" s="197">
        <f ca="1">IFERROR(__xludf.DUMMYFUNCTION("IMPORTRANGE(""https://docs.google.com/spreadsheets/d/11923uPwbBZFjjGgGUA6NLw09EwE0CqkOc4q9oUmW1yo/edit?usp=sharing"",""แพร่!J164"")"),0)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IFERROR(__xludf.DUMMYFUNCTION("IMPORTRANGE(""https://docs.google.com/spreadsheets/d/11923uPwbBZFjjGgGUA6NLw09EwE0CqkOc4q9oUmW1yo/edit?usp=sharing"",""แพร่!I270"")"),90)</f>
        <v>90</v>
      </c>
      <c r="J375" s="197">
        <f ca="1">IFERROR(__xludf.DUMMYFUNCTION("IMPORTRANGE(""https://docs.google.com/spreadsheets/d/11923uPwbBZFjjGgGUA6NLw09EwE0CqkOc4q9oUmW1yo/edit?usp=sharing"",""แพร่!J270"")"),0)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IFERROR(__xludf.DUMMYFUNCTION("IMPORTRANGE(""https://docs.google.com/spreadsheets/d/11923uPwbBZFjjGgGUA6NLw09EwE0CqkOc4q9oUmW1yo/edit?usp=sharing"",""แพร่!I271"")"),50)</f>
        <v>50</v>
      </c>
      <c r="J376" s="198">
        <f ca="1">IFERROR(__xludf.DUMMYFUNCTION("IMPORTRANGE(""https://docs.google.com/spreadsheets/d/11923uPwbBZFjjGgGUA6NLw09EwE0CqkOc4q9oUmW1yo/edit?usp=sharing"",""แพร่!J271"")"),0)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IFERROR(__xludf.DUMMYFUNCTION("IMPORTRANGE(""https://docs.google.com/spreadsheets/d/11923uPwbBZFjjGgGUA6NLw09EwE0CqkOc4q9oUmW1yo/edit?usp=sharing"",""แพร่!I272"")"),40)</f>
        <v>40</v>
      </c>
      <c r="J377" s="213">
        <f ca="1">IFERROR(__xludf.DUMMYFUNCTION("IMPORTRANGE(""https://docs.google.com/spreadsheets/d/11923uPwbBZFjjGgGUA6NLw09EwE0CqkOc4q9oUmW1yo/edit?usp=sharing"",""แพร่!J272"")"),0)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IFERROR(__xludf.DUMMYFUNCTION("IMPORTRANGE(""https://docs.google.com/spreadsheets/d/11923uPwbBZFjjGgGUA6NLw09EwE0CqkOc4q9oUmW1yo/edit?usp=sharing"",""แพร่!J273"")"),0)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IFERROR(__xludf.DUMMYFUNCTION("IMPORTRANGE(""https://docs.google.com/spreadsheets/d/11923uPwbBZFjjGgGUA6NLw09EwE0CqkOc4q9oUmW1yo/edit?usp=sharing"",""แพร่!J274"")"),0)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IFERROR(__xludf.DUMMYFUNCTION("IMPORTRANGE(""https://docs.google.com/spreadsheets/d/11923uPwbBZFjjGgGUA6NLw09EwE0CqkOc4q9oUmW1yo/edit?usp=sharing"",""แพร่!I275"")"),1000)</f>
        <v>1000</v>
      </c>
      <c r="J380" s="379">
        <f ca="1">IFERROR(__xludf.DUMMYFUNCTION("IMPORTRANGE(""https://docs.google.com/spreadsheets/d/11923uPwbBZFjjGgGUA6NLw09EwE0CqkOc4q9oUmW1yo/edit?usp=sharing"",""แพร่!J275"")"),0)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IFERROR(__xludf.DUMMYFUNCTION("IMPORTRANGE(""https://docs.google.com/spreadsheets/d/11923uPwbBZFjjGgGUA6NLw09EwE0CqkOc4q9oUmW1yo/edit?usp=sharing"",""แพร่!L275"")"),1028520)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IFERROR(__xludf.DUMMYFUNCTION("IMPORTRANGE(""https://docs.google.com/spreadsheets/d/11923uPwbBZFjjGgGUA6NLw09EwE0CqkOc4q9oUmW1yo/edit?usp=sharing"",""แพร่!M275"")"),144964)</f>
        <v>144964</v>
      </c>
      <c r="O380" s="381">
        <f ca="1">+IF(L380&gt;0,N380*100/L380,0)</f>
        <v>14.094426943569401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IFERROR(__xludf.DUMMYFUNCTION("IMPORTRANGE(""https://docs.google.com/spreadsheets/d/11923uPwbBZFjjGgGUA6NLw09EwE0CqkOc4q9oUmW1yo/edit?usp=sharing"",""แพร่!I276"")"),100)</f>
        <v>100</v>
      </c>
      <c r="J381" s="379">
        <f ca="1">IFERROR(__xludf.DUMMYFUNCTION("IMPORTRANGE(""https://docs.google.com/spreadsheets/d/11923uPwbBZFjjGgGUA6NLw09EwE0CqkOc4q9oUmW1yo/edit?usp=sharing"",""แพร่!J276"")"),50)</f>
        <v>50</v>
      </c>
      <c r="K381" s="380">
        <f t="shared" ca="1" si="108"/>
        <v>50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IFERROR(__xludf.DUMMYFUNCTION("IMPORTRANGE(""https://docs.google.com/spreadsheets/d/11923uPwbBZFjjGgGUA6NLw09EwE0CqkOc4q9oUmW1yo/edit?usp=sharing"",""แพร่!L277"")"),0)</f>
        <v>0</v>
      </c>
      <c r="M382" s="172"/>
      <c r="N382" s="172">
        <f ca="1">IFERROR(__xludf.DUMMYFUNCTION("IMPORTRANGE(""https://docs.google.com/spreadsheets/d/11923uPwbBZFjjGgGUA6NLw09EwE0CqkOc4q9oUmW1yo/edit?usp=sharing"",""แพร่!M277"")"),0)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IFERROR(__xludf.DUMMYFUNCTION("IMPORTRANGE(""https://docs.google.com/spreadsheets/d/11923uPwbBZFjjGgGUA6NLw09EwE0CqkOc4q9oUmW1yo/edit?usp=sharing"",""แพร่!L278"")"),1028520)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IFERROR(__xludf.DUMMYFUNCTION("IMPORTRANGE(""https://docs.google.com/spreadsheets/d/11923uPwbBZFjjGgGUA6NLw09EwE0CqkOc4q9oUmW1yo/edit?usp=sharing"",""แพร่!M278"")"),144964)</f>
        <v>144964</v>
      </c>
      <c r="O383" s="173">
        <f t="shared" ca="1" si="109"/>
        <v>14.094426943569401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IFERROR(__xludf.DUMMYFUNCTION("IMPORTRANGE(""https://docs.google.com/spreadsheets/d/11923uPwbBZFjjGgGUA6NLw09EwE0CqkOc4q9oUmW1yo/edit?usp=sharing"",""แพร่!L279"")"),0)</f>
        <v>0</v>
      </c>
      <c r="M384" s="178"/>
      <c r="N384" s="178">
        <f ca="1">IFERROR(__xludf.DUMMYFUNCTION("IMPORTRANGE(""https://docs.google.com/spreadsheets/d/11923uPwbBZFjjGgGUA6NLw09EwE0CqkOc4q9oUmW1yo/edit?usp=sharing"",""แพร่!M279"")"),0)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IFERROR(__xludf.DUMMYFUNCTION("IMPORTRANGE(""https://docs.google.com/spreadsheets/d/11923uPwbBZFjjGgGUA6NLw09EwE0CqkOc4q9oUmW1yo/edit?usp=sharing"",""แพร่!L280"")"),1028520)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IFERROR(__xludf.DUMMYFUNCTION("IMPORTRANGE(""https://docs.google.com/spreadsheets/d/11923uPwbBZFjjGgGUA6NLw09EwE0CqkOc4q9oUmW1yo/edit?usp=sharing"",""แพร่!M280"")"),144964)</f>
        <v>144964</v>
      </c>
      <c r="O385" s="178">
        <f t="shared" ca="1" si="109"/>
        <v>14.094426943569401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IFERROR(__xludf.DUMMYFUNCTION("IMPORTRANGE(""https://docs.google.com/spreadsheets/d/11923uPwbBZFjjGgGUA6NLw09EwE0CqkOc4q9oUmW1yo/edit?usp=sharing"",""แพร่!M281"")"),104044)</f>
        <v>104044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IFERROR(__xludf.DUMMYFUNCTION("IMPORTRANGE(""https://docs.google.com/spreadsheets/d/11923uPwbBZFjjGgGUA6NLw09EwE0CqkOc4q9oUmW1yo/edit?usp=sharing"",""แพร่!M282"")"),0)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IFERROR(__xludf.DUMMYFUNCTION("IMPORTRANGE(""https://docs.google.com/spreadsheets/d/11923uPwbBZFjjGgGUA6NLw09EwE0CqkOc4q9oUmW1yo/edit?usp=sharing"",""แพร่!M283"")"),33000)</f>
        <v>33000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IFERROR(__xludf.DUMMYFUNCTION("IMPORTRANGE(""https://docs.google.com/spreadsheets/d/11923uPwbBZFjjGgGUA6NLw09EwE0CqkOc4q9oUmW1yo/edit?usp=sharing"",""แพร่!M284"")"),7920)</f>
        <v>7920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IFERROR(__xludf.DUMMYFUNCTION("IMPORTRANGE(""https://docs.google.com/spreadsheets/d/11923uPwbBZFjjGgGUA6NLw09EwE0CqkOc4q9oUmW1yo/edit?usp=sharing"",""แพร่!J286"")"),0)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IFERROR(__xludf.DUMMYFUNCTION("IMPORTRANGE(""https://docs.google.com/spreadsheets/d/11923uPwbBZFjjGgGUA6NLw09EwE0CqkOc4q9oUmW1yo/edit?usp=sharing"",""แพร่!J287"")"),1)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IFERROR(__xludf.DUMMYFUNCTION("IMPORTRANGE(""https://docs.google.com/spreadsheets/d/11923uPwbBZFjjGgGUA6NLw09EwE0CqkOc4q9oUmW1yo/edit?usp=sharing"",""แพร่!J288"")"),1)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IFERROR(__xludf.DUMMYFUNCTION("IMPORTRANGE(""https://docs.google.com/spreadsheets/d/11923uPwbBZFjjGgGUA6NLw09EwE0CqkOc4q9oUmW1yo/edit?usp=sharing"",""แพร่!J289"")"),1)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IFERROR(__xludf.DUMMYFUNCTION("IMPORTRANGE(""https://docs.google.com/spreadsheets/d/11923uPwbBZFjjGgGUA6NLw09EwE0CqkOc4q9oUmW1yo/edit?usp=sharing"",""แพร่!I291"")"),100)</f>
        <v>100</v>
      </c>
      <c r="J396" s="207">
        <f ca="1">IFERROR(__xludf.DUMMYFUNCTION("IMPORTRANGE(""https://docs.google.com/spreadsheets/d/11923uPwbBZFjjGgGUA6NLw09EwE0CqkOc4q9oUmW1yo/edit?usp=sharing"",""แพร่!J291"")"),50)</f>
        <v>50</v>
      </c>
      <c r="K396" s="171">
        <f t="shared" ref="K396:K398" ca="1" si="110">IF(I396&gt;0,J396*100/I396,0)</f>
        <v>50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IFERROR(__xludf.DUMMYFUNCTION("IMPORTRANGE(""https://docs.google.com/spreadsheets/d/11923uPwbBZFjjGgGUA6NLw09EwE0CqkOc4q9oUmW1yo/edit?usp=sharing"",""แพร่!I292"")"),1000)</f>
        <v>1000</v>
      </c>
      <c r="J397" s="207">
        <f ca="1">IFERROR(__xludf.DUMMYFUNCTION("IMPORTRANGE(""https://docs.google.com/spreadsheets/d/11923uPwbBZFjjGgGUA6NLw09EwE0CqkOc4q9oUmW1yo/edit?usp=sharing"",""แพร่!J292"")"),0)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IFERROR(__xludf.DUMMYFUNCTION("IMPORTRANGE(""https://docs.google.com/spreadsheets/d/11923uPwbBZFjjGgGUA6NLw09EwE0CqkOc4q9oUmW1yo/edit?usp=sharing"",""แพร่!I293"")"),100)</f>
        <v>100</v>
      </c>
      <c r="J398" s="207">
        <f ca="1">IFERROR(__xludf.DUMMYFUNCTION("IMPORTRANGE(""https://docs.google.com/spreadsheets/d/11923uPwbBZFjjGgGUA6NLw09EwE0CqkOc4q9oUmW1yo/edit?usp=sharing"",""แพร่!J293"")"),0)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IFERROR(__xludf.DUMMYFUNCTION("IMPORTRANGE(""https://docs.google.com/spreadsheets/d/11923uPwbBZFjjGgGUA6NLw09EwE0CqkOc4q9oUmW1yo/edit?usp=sharing"",""แพร่!J294"")"),0)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IFERROR(__xludf.DUMMYFUNCTION("IMPORTRANGE(""https://docs.google.com/spreadsheets/d/11923uPwbBZFjjGgGUA6NLw09EwE0CqkOc4q9oUmW1yo/edit?usp=sharing"",""แพร่!J295"")"),0)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IFERROR(__xludf.DUMMYFUNCTION("IMPORTRANGE(""https://docs.google.com/spreadsheets/d/11923uPwbBZFjjGgGUA6NLw09EwE0CqkOc4q9oUmW1yo/edit?usp=sharing"",""แพร่!I296"")"),120)</f>
        <v>120</v>
      </c>
      <c r="J401" s="379">
        <f ca="1">IFERROR(__xludf.DUMMYFUNCTION("IMPORTRANGE(""https://docs.google.com/spreadsheets/d/11923uPwbBZFjjGgGUA6NLw09EwE0CqkOc4q9oUmW1yo/edit?usp=sharing"",""แพร่!J296"")"),0)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IFERROR(__xludf.DUMMYFUNCTION("IMPORTRANGE(""https://docs.google.com/spreadsheets/d/11923uPwbBZFjjGgGUA6NLw09EwE0CqkOc4q9oUmW1yo/edit?usp=sharing"",""แพร่!L296"")"),135020)</f>
        <v>135020</v>
      </c>
      <c r="M401" s="381"/>
      <c r="N401" s="381">
        <f ca="1">IFERROR(__xludf.DUMMYFUNCTION("IMPORTRANGE(""https://docs.google.com/spreadsheets/d/11923uPwbBZFjjGgGUA6NLw09EwE0CqkOc4q9oUmW1yo/edit?usp=sharing"",""แพร่!M296"")"),26720)</f>
        <v>26720</v>
      </c>
      <c r="O401" s="381">
        <f ca="1">+IF(L401&gt;0,N401*100/L401,0)</f>
        <v>19.789660790993928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IFERROR(__xludf.DUMMYFUNCTION("IMPORTRANGE(""https://docs.google.com/spreadsheets/d/11923uPwbBZFjjGgGUA6NLw09EwE0CqkOc4q9oUmW1yo/edit?usp=sharing"",""แพร่!I297"")"),40)</f>
        <v>40</v>
      </c>
      <c r="J402" s="379">
        <f ca="1">IFERROR(__xludf.DUMMYFUNCTION("IMPORTRANGE(""https://docs.google.com/spreadsheets/d/11923uPwbBZFjjGgGUA6NLw09EwE0CqkOc4q9oUmW1yo/edit?usp=sharing"",""แพร่!J297"")"),0)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IFERROR(__xludf.DUMMYFUNCTION("IMPORTRANGE(""https://docs.google.com/spreadsheets/d/11923uPwbBZFjjGgGUA6NLw09EwE0CqkOc4q9oUmW1yo/edit?usp=sharing"",""แพร่!L298"")"),0)</f>
        <v>0</v>
      </c>
      <c r="M403" s="172"/>
      <c r="N403" s="178">
        <f ca="1">IFERROR(__xludf.DUMMYFUNCTION("IMPORTRANGE(""https://docs.google.com/spreadsheets/d/11923uPwbBZFjjGgGUA6NLw09EwE0CqkOc4q9oUmW1yo/edit?usp=sharing"",""แพร่!M298"")"),0)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IFERROR(__xludf.DUMMYFUNCTION("IMPORTRANGE(""https://docs.google.com/spreadsheets/d/11923uPwbBZFjjGgGUA6NLw09EwE0CqkOc4q9oUmW1yo/edit?usp=sharing"",""แพร่!L299"")"),135020)</f>
        <v>135020</v>
      </c>
      <c r="M404" s="173"/>
      <c r="N404" s="178">
        <f ca="1">IFERROR(__xludf.DUMMYFUNCTION("IMPORTRANGE(""https://docs.google.com/spreadsheets/d/11923uPwbBZFjjGgGUA6NLw09EwE0CqkOc4q9oUmW1yo/edit?usp=sharing"",""แพร่!M299"")"),26720)</f>
        <v>26720</v>
      </c>
      <c r="O404" s="178">
        <f t="shared" ca="1" si="112"/>
        <v>19.789660790993928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IFERROR(__xludf.DUMMYFUNCTION("IMPORTRANGE(""https://docs.google.com/spreadsheets/d/11923uPwbBZFjjGgGUA6NLw09EwE0CqkOc4q9oUmW1yo/edit?usp=sharing"",""แพร่!L300"")"),0)</f>
        <v>0</v>
      </c>
      <c r="M405" s="178"/>
      <c r="N405" s="178">
        <f ca="1">IFERROR(__xludf.DUMMYFUNCTION("IMPORTRANGE(""https://docs.google.com/spreadsheets/d/11923uPwbBZFjjGgGUA6NLw09EwE0CqkOc4q9oUmW1yo/edit?usp=sharing"",""แพร่!M300"")"),0)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IFERROR(__xludf.DUMMYFUNCTION("IMPORTRANGE(""https://docs.google.com/spreadsheets/d/11923uPwbBZFjjGgGUA6NLw09EwE0CqkOc4q9oUmW1yo/edit?usp=sharing"",""แพร่!L301"")"),135020)</f>
        <v>135020</v>
      </c>
      <c r="M406" s="178"/>
      <c r="N406" s="178">
        <f ca="1">IFERROR(__xludf.DUMMYFUNCTION("IMPORTRANGE(""https://docs.google.com/spreadsheets/d/11923uPwbBZFjjGgGUA6NLw09EwE0CqkOc4q9oUmW1yo/edit?usp=sharing"",""แพร่!M301"")"),26720)</f>
        <v>26720</v>
      </c>
      <c r="O406" s="178">
        <f t="shared" ca="1" si="112"/>
        <v>19.789660790993928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IFERROR(__xludf.DUMMYFUNCTION("IMPORTRANGE(""https://docs.google.com/spreadsheets/d/11923uPwbBZFjjGgGUA6NLw09EwE0CqkOc4q9oUmW1yo/edit?usp=sharing"",""แพร่!M302"")"),26720)</f>
        <v>26720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IFERROR(__xludf.DUMMYFUNCTION("IMPORTRANGE(""https://docs.google.com/spreadsheets/d/11923uPwbBZFjjGgGUA6NLw09EwE0CqkOc4q9oUmW1yo/edit?usp=sharing"",""แพร่!M303"")"),0)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IFERROR(__xludf.DUMMYFUNCTION("IMPORTRANGE(""https://docs.google.com/spreadsheets/d/11923uPwbBZFjjGgGUA6NLw09EwE0CqkOc4q9oUmW1yo/edit?usp=sharing"",""แพร่!M304"")"),0)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IFERROR(__xludf.DUMMYFUNCTION("IMPORTRANGE(""https://docs.google.com/spreadsheets/d/11923uPwbBZFjjGgGUA6NLw09EwE0CqkOc4q9oUmW1yo/edit?usp=sharing"",""แพร่!M305"")"),0)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IFERROR(__xludf.DUMMYFUNCTION("IMPORTRANGE(""https://docs.google.com/spreadsheets/d/11923uPwbBZFjjGgGUA6NLw09EwE0CqkOc4q9oUmW1yo/edit?usp=sharing"",""แพร่!J307"")"),0)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IFERROR(__xludf.DUMMYFUNCTION("IMPORTRANGE(""https://docs.google.com/spreadsheets/d/11923uPwbBZFjjGgGUA6NLw09EwE0CqkOc4q9oUmW1yo/edit?usp=sharing"",""แพร่!J308"")"),1)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IFERROR(__xludf.DUMMYFUNCTION("IMPORTRANGE(""https://docs.google.com/spreadsheets/d/11923uPwbBZFjjGgGUA6NLw09EwE0CqkOc4q9oUmW1yo/edit?usp=sharing"",""แพร่!J309"")"),1)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IFERROR(__xludf.DUMMYFUNCTION("IMPORTRANGE(""https://docs.google.com/spreadsheets/d/11923uPwbBZFjjGgGUA6NLw09EwE0CqkOc4q9oUmW1yo/edit?usp=sharing"",""แพร่!J310"")"),1)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IFERROR(__xludf.DUMMYFUNCTION("IMPORTRANGE(""https://docs.google.com/spreadsheets/d/11923uPwbBZFjjGgGUA6NLw09EwE0CqkOc4q9oUmW1yo/edit?usp=sharing"",""แพร่!I311"")"),40)</f>
        <v>40</v>
      </c>
      <c r="J416" s="210">
        <f ca="1">IFERROR(__xludf.DUMMYFUNCTION("IMPORTRANGE(""https://docs.google.com/spreadsheets/d/11923uPwbBZFjjGgGUA6NLw09EwE0CqkOc4q9oUmW1yo/edit?usp=sharing"",""แพร่!J311"")"),0)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IFERROR(__xludf.DUMMYFUNCTION("IMPORTRANGE(""https://docs.google.com/spreadsheets/d/11923uPwbBZFjjGgGUA6NLw09EwE0CqkOc4q9oUmW1yo/edit?usp=sharing"",""แพร่!I312"")"),10)</f>
        <v>10</v>
      </c>
      <c r="J417" s="400">
        <f ca="1">IFERROR(__xludf.DUMMYFUNCTION("IMPORTRANGE(""https://docs.google.com/spreadsheets/d/11923uPwbBZFjjGgGUA6NLw09EwE0CqkOc4q9oUmW1yo/edit?usp=sharing"",""แพร่!J312"")"),0)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IFERROR(__xludf.DUMMYFUNCTION("IMPORTRANGE(""https://docs.google.com/spreadsheets/d/11923uPwbBZFjjGgGUA6NLw09EwE0CqkOc4q9oUmW1yo/edit?usp=sharing"",""แพร่!I313"")"),30)</f>
        <v>30</v>
      </c>
      <c r="J418" s="401">
        <f ca="1">IFERROR(__xludf.DUMMYFUNCTION("IMPORTRANGE(""https://docs.google.com/spreadsheets/d/11923uPwbBZFjjGgGUA6NLw09EwE0CqkOc4q9oUmW1yo/edit?usp=sharing"",""แพร่!J313"")"),0)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IFERROR(__xludf.DUMMYFUNCTION("IMPORTRANGE(""https://docs.google.com/spreadsheets/d/11923uPwbBZFjjGgGUA6NLw09EwE0CqkOc4q9oUmW1yo/edit?usp=sharing"",""แพร่!I314"")"),10)</f>
        <v>10</v>
      </c>
      <c r="J419" s="402">
        <f ca="1">IFERROR(__xludf.DUMMYFUNCTION("IMPORTRANGE(""https://docs.google.com/spreadsheets/d/11923uPwbBZFjjGgGUA6NLw09EwE0CqkOc4q9oUmW1yo/edit?usp=sharing"",""แพร่!J314"")"),10)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IFERROR(__xludf.DUMMYFUNCTION("IMPORTRANGE(""https://docs.google.com/spreadsheets/d/11923uPwbBZFjjGgGUA6NLw09EwE0CqkOc4q9oUmW1yo/edit?usp=sharing"",""แพร่!I315"")"),10)</f>
        <v>10</v>
      </c>
      <c r="J420" s="402">
        <f ca="1">IFERROR(__xludf.DUMMYFUNCTION("IMPORTRANGE(""https://docs.google.com/spreadsheets/d/11923uPwbBZFjjGgGUA6NLw09EwE0CqkOc4q9oUmW1yo/edit?usp=sharing"",""แพร่!J315"")"),0)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IFERROR(__xludf.DUMMYFUNCTION("IMPORTRANGE(""https://docs.google.com/spreadsheets/d/11923uPwbBZFjjGgGUA6NLw09EwE0CqkOc4q9oUmW1yo/edit?usp=sharing"",""แพร่!I316"")"),14)</f>
        <v>14</v>
      </c>
      <c r="J421" s="400">
        <f ca="1">IFERROR(__xludf.DUMMYFUNCTION("IMPORTRANGE(""https://docs.google.com/spreadsheets/d/11923uPwbBZFjjGgGUA6NLw09EwE0CqkOc4q9oUmW1yo/edit?usp=sharing"",""แพร่!J316"")"),0)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IFERROR(__xludf.DUMMYFUNCTION("IMPORTRANGE(""https://docs.google.com/spreadsheets/d/11923uPwbBZFjjGgGUA6NLw09EwE0CqkOc4q9oUmW1yo/edit?usp=sharing"",""แพร่!I317"")"),42)</f>
        <v>42</v>
      </c>
      <c r="J422" s="401">
        <f ca="1">IFERROR(__xludf.DUMMYFUNCTION("IMPORTRANGE(""https://docs.google.com/spreadsheets/d/11923uPwbBZFjjGgGUA6NLw09EwE0CqkOc4q9oUmW1yo/edit?usp=sharing"",""แพร่!J317"")"),0)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IFERROR(__xludf.DUMMYFUNCTION("IMPORTRANGE(""https://docs.google.com/spreadsheets/d/11923uPwbBZFjjGgGUA6NLw09EwE0CqkOc4q9oUmW1yo/edit?usp=sharing"",""แพร่!I318"")"),14)</f>
        <v>14</v>
      </c>
      <c r="J423" s="402">
        <f ca="1">IFERROR(__xludf.DUMMYFUNCTION("IMPORTRANGE(""https://docs.google.com/spreadsheets/d/11923uPwbBZFjjGgGUA6NLw09EwE0CqkOc4q9oUmW1yo/edit?usp=sharing"",""แพร่!J318"")"),14)</f>
        <v>14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IFERROR(__xludf.DUMMYFUNCTION("IMPORTRANGE(""https://docs.google.com/spreadsheets/d/11923uPwbBZFjjGgGUA6NLw09EwE0CqkOc4q9oUmW1yo/edit?usp=sharing"",""แพร่!I319"")"),14)</f>
        <v>14</v>
      </c>
      <c r="J424" s="402">
        <f ca="1">IFERROR(__xludf.DUMMYFUNCTION("IMPORTRANGE(""https://docs.google.com/spreadsheets/d/11923uPwbBZFjjGgGUA6NLw09EwE0CqkOc4q9oUmW1yo/edit?usp=sharing"",""แพร่!J319"")"),0)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IFERROR(__xludf.DUMMYFUNCTION("IMPORTRANGE(""https://docs.google.com/spreadsheets/d/11923uPwbBZFjjGgGUA6NLw09EwE0CqkOc4q9oUmW1yo/edit?usp=sharing"",""แพร่!I320"")"),14)</f>
        <v>14</v>
      </c>
      <c r="J425" s="402">
        <f ca="1">IFERROR(__xludf.DUMMYFUNCTION("IMPORTRANGE(""https://docs.google.com/spreadsheets/d/11923uPwbBZFjjGgGUA6NLw09EwE0CqkOc4q9oUmW1yo/edit?usp=sharing"",""แพร่!J320"")"),0)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IFERROR(__xludf.DUMMYFUNCTION("IMPORTRANGE(""https://docs.google.com/spreadsheets/d/11923uPwbBZFjjGgGUA6NLw09EwE0CqkOc4q9oUmW1yo/edit?usp=sharing"",""แพร่!I321"")"),16)</f>
        <v>16</v>
      </c>
      <c r="J426" s="400">
        <f ca="1">IFERROR(__xludf.DUMMYFUNCTION("IMPORTRANGE(""https://docs.google.com/spreadsheets/d/11923uPwbBZFjjGgGUA6NLw09EwE0CqkOc4q9oUmW1yo/edit?usp=sharing"",""แพร่!J321"")"),0)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IFERROR(__xludf.DUMMYFUNCTION("IMPORTRANGE(""https://docs.google.com/spreadsheets/d/11923uPwbBZFjjGgGUA6NLw09EwE0CqkOc4q9oUmW1yo/edit?usp=sharing"",""แพร่!I322"")"),48)</f>
        <v>48</v>
      </c>
      <c r="J427" s="401">
        <f ca="1">IFERROR(__xludf.DUMMYFUNCTION("IMPORTRANGE(""https://docs.google.com/spreadsheets/d/11923uPwbBZFjjGgGUA6NLw09EwE0CqkOc4q9oUmW1yo/edit?usp=sharing"",""แพร่!J322"")"),0)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IFERROR(__xludf.DUMMYFUNCTION("IMPORTRANGE(""https://docs.google.com/spreadsheets/d/11923uPwbBZFjjGgGUA6NLw09EwE0CqkOc4q9oUmW1yo/edit?usp=sharing"",""แพร่!I323"")"),16)</f>
        <v>16</v>
      </c>
      <c r="J428" s="402">
        <f ca="1">IFERROR(__xludf.DUMMYFUNCTION("IMPORTRANGE(""https://docs.google.com/spreadsheets/d/11923uPwbBZFjjGgGUA6NLw09EwE0CqkOc4q9oUmW1yo/edit?usp=sharing"",""แพร่!J323"")"),0)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IFERROR(__xludf.DUMMYFUNCTION("IMPORTRANGE(""https://docs.google.com/spreadsheets/d/11923uPwbBZFjjGgGUA6NLw09EwE0CqkOc4q9oUmW1yo/edit?usp=sharing"",""แพร่!I324"")"),16)</f>
        <v>16</v>
      </c>
      <c r="J429" s="402">
        <f ca="1">IFERROR(__xludf.DUMMYFUNCTION("IMPORTRANGE(""https://docs.google.com/spreadsheets/d/11923uPwbBZFjjGgGUA6NLw09EwE0CqkOc4q9oUmW1yo/edit?usp=sharing"",""แพร่!J324"")"),16)</f>
        <v>16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IFERROR(__xludf.DUMMYFUNCTION("IMPORTRANGE(""https://docs.google.com/spreadsheets/d/11923uPwbBZFjjGgGUA6NLw09EwE0CqkOc4q9oUmW1yo/edit?usp=sharing"",""แพร่!I325"")"),24)</f>
        <v>24</v>
      </c>
      <c r="J430" s="400">
        <f ca="1">IFERROR(__xludf.DUMMYFUNCTION("IMPORTRANGE(""https://docs.google.com/spreadsheets/d/11923uPwbBZFjjGgGUA6NLw09EwE0CqkOc4q9oUmW1yo/edit?usp=sharing"",""แพร่!J325"")"),0)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IFERROR(__xludf.DUMMYFUNCTION("IMPORTRANGE(""https://docs.google.com/spreadsheets/d/11923uPwbBZFjjGgGUA6NLw09EwE0CqkOc4q9oUmW1yo/edit?usp=sharing"",""แพร่!I326"")"),10)</f>
        <v>10</v>
      </c>
      <c r="J431" s="402">
        <f ca="1">IFERROR(__xludf.DUMMYFUNCTION("IMPORTRANGE(""https://docs.google.com/spreadsheets/d/11923uPwbBZFjjGgGUA6NLw09EwE0CqkOc4q9oUmW1yo/edit?usp=sharing"",""แพร่!J326"")"),0)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IFERROR(__xludf.DUMMYFUNCTION("IMPORTRANGE(""https://docs.google.com/spreadsheets/d/11923uPwbBZFjjGgGUA6NLw09EwE0CqkOc4q9oUmW1yo/edit?usp=sharing"",""แพร่!I327"")"),14)</f>
        <v>14</v>
      </c>
      <c r="J432" s="402">
        <f ca="1">IFERROR(__xludf.DUMMYFUNCTION("IMPORTRANGE(""https://docs.google.com/spreadsheets/d/11923uPwbBZFjjGgGUA6NLw09EwE0CqkOc4q9oUmW1yo/edit?usp=sharing"",""แพร่!J327"")"),0)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IFERROR(__xludf.DUMMYFUNCTION("IMPORTRANGE(""https://docs.google.com/spreadsheets/d/11923uPwbBZFjjGgGUA6NLw09EwE0CqkOc4q9oUmW1yo/edit?usp=sharing"",""แพร่!J328"")"),0)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IFERROR(__xludf.DUMMYFUNCTION("IMPORTRANGE(""https://docs.google.com/spreadsheets/d/11923uPwbBZFjjGgGUA6NLw09EwE0CqkOc4q9oUmW1yo/edit?usp=sharing"",""แพร่!J329"")"),0)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IFERROR(__xludf.DUMMYFUNCTION("IMPORTRANGE(""https://docs.google.com/spreadsheets/d/11923uPwbBZFjjGgGUA6NLw09EwE0CqkOc4q9oUmW1yo/edit?usp=sharing"",""แพร่!I330"")"),20)</f>
        <v>20</v>
      </c>
      <c r="J435" s="418">
        <f ca="1">IFERROR(__xludf.DUMMYFUNCTION("IMPORTRANGE(""https://docs.google.com/spreadsheets/d/11923uPwbBZFjjGgGUA6NLw09EwE0CqkOc4q9oUmW1yo/edit?usp=sharing"",""แพร่!J330"")"),0)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IFERROR(__xludf.DUMMYFUNCTION("IMPORTRANGE(""https://docs.google.com/spreadsheets/d/11923uPwbBZFjjGgGUA6NLw09EwE0CqkOc4q9oUmW1yo/edit?usp=sharing"",""แพร่!L330"")"),95000)</f>
        <v>95000</v>
      </c>
      <c r="M435" s="420"/>
      <c r="N435" s="420">
        <f ca="1">IFERROR(__xludf.DUMMYFUNCTION("IMPORTRANGE(""https://docs.google.com/spreadsheets/d/11923uPwbBZFjjGgGUA6NLw09EwE0CqkOc4q9oUmW1yo/edit?usp=sharing"",""แพร่!M330"")"),0)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IFERROR(__xludf.DUMMYFUNCTION("IMPORTRANGE(""https://docs.google.com/spreadsheets/d/11923uPwbBZFjjGgGUA6NLw09EwE0CqkOc4q9oUmW1yo/edit?usp=sharing"",""แพร่!L331"")"),0)</f>
        <v>0</v>
      </c>
      <c r="M436" s="172"/>
      <c r="N436" s="178">
        <f ca="1">IFERROR(__xludf.DUMMYFUNCTION("IMPORTRANGE(""https://docs.google.com/spreadsheets/d/11923uPwbBZFjjGgGUA6NLw09EwE0CqkOc4q9oUmW1yo/edit?usp=sharing"",""แพร่!M331"")"),0)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IFERROR(__xludf.DUMMYFUNCTION("IMPORTRANGE(""https://docs.google.com/spreadsheets/d/11923uPwbBZFjjGgGUA6NLw09EwE0CqkOc4q9oUmW1yo/edit?usp=sharing"",""แพร่!L332"")"),95000)</f>
        <v>95000</v>
      </c>
      <c r="M437" s="173"/>
      <c r="N437" s="178">
        <f ca="1">IFERROR(__xludf.DUMMYFUNCTION("IMPORTRANGE(""https://docs.google.com/spreadsheets/d/11923uPwbBZFjjGgGUA6NLw09EwE0CqkOc4q9oUmW1yo/edit?usp=sharing"",""แพร่!M332"")"),0)</f>
        <v>0</v>
      </c>
      <c r="O437" s="178">
        <f t="shared" ca="1" si="114"/>
        <v>0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IFERROR(__xludf.DUMMYFUNCTION("IMPORTRANGE(""https://docs.google.com/spreadsheets/d/11923uPwbBZFjjGgGUA6NLw09EwE0CqkOc4q9oUmW1yo/edit?usp=sharing"",""แพร่!L333"")"),0)</f>
        <v>0</v>
      </c>
      <c r="M438" s="178"/>
      <c r="N438" s="178">
        <f ca="1">IFERROR(__xludf.DUMMYFUNCTION("IMPORTRANGE(""https://docs.google.com/spreadsheets/d/11923uPwbBZFjjGgGUA6NLw09EwE0CqkOc4q9oUmW1yo/edit?usp=sharing"",""แพร่!M333"")"),0)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IFERROR(__xludf.DUMMYFUNCTION("IMPORTRANGE(""https://docs.google.com/spreadsheets/d/11923uPwbBZFjjGgGUA6NLw09EwE0CqkOc4q9oUmW1yo/edit?usp=sharing"",""แพร่!L334"")"),95000)</f>
        <v>95000</v>
      </c>
      <c r="M439" s="178"/>
      <c r="N439" s="178">
        <f ca="1">IFERROR(__xludf.DUMMYFUNCTION("IMPORTRANGE(""https://docs.google.com/spreadsheets/d/11923uPwbBZFjjGgGUA6NLw09EwE0CqkOc4q9oUmW1yo/edit?usp=sharing"",""แพร่!M334"")"),0)</f>
        <v>0</v>
      </c>
      <c r="O439" s="178">
        <f t="shared" ca="1" si="114"/>
        <v>0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IFERROR(__xludf.DUMMYFUNCTION("IMPORTRANGE(""https://docs.google.com/spreadsheets/d/11923uPwbBZFjjGgGUA6NLw09EwE0CqkOc4q9oUmW1yo/edit?usp=sharing"",""แพร่!M335"")"),0)</f>
        <v>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IFERROR(__xludf.DUMMYFUNCTION("IMPORTRANGE(""https://docs.google.com/spreadsheets/d/11923uPwbBZFjjGgGUA6NLw09EwE0CqkOc4q9oUmW1yo/edit?usp=sharing"",""แพร่!M336"")"),0)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IFERROR(__xludf.DUMMYFUNCTION("IMPORTRANGE(""https://docs.google.com/spreadsheets/d/11923uPwbBZFjjGgGUA6NLw09EwE0CqkOc4q9oUmW1yo/edit?usp=sharing"",""แพร่!M337"")"),0)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IFERROR(__xludf.DUMMYFUNCTION("IMPORTRANGE(""https://docs.google.com/spreadsheets/d/11923uPwbBZFjjGgGUA6NLw09EwE0CqkOc4q9oUmW1yo/edit?usp=sharing"",""แพร่!M338"")"),0)</f>
        <v>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IFERROR(__xludf.DUMMYFUNCTION("IMPORTRANGE(""https://docs.google.com/spreadsheets/d/11923uPwbBZFjjGgGUA6NLw09EwE0CqkOc4q9oUmW1yo/edit?usp=sharing"",""แพร่!J340"")"),0)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IFERROR(__xludf.DUMMYFUNCTION("IMPORTRANGE(""https://docs.google.com/spreadsheets/d/11923uPwbBZFjjGgGUA6NLw09EwE0CqkOc4q9oUmW1yo/edit?usp=sharing"",""แพร่!J341"")"),1)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IFERROR(__xludf.DUMMYFUNCTION("IMPORTRANGE(""https://docs.google.com/spreadsheets/d/11923uPwbBZFjjGgGUA6NLw09EwE0CqkOc4q9oUmW1yo/edit?usp=sharing"",""แพร่!J342"")"),1)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IFERROR(__xludf.DUMMYFUNCTION("IMPORTRANGE(""https://docs.google.com/spreadsheets/d/11923uPwbBZFjjGgGUA6NLw09EwE0CqkOc4q9oUmW1yo/edit?usp=sharing"",""แพร่!J343"")"),1)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IFERROR(__xludf.DUMMYFUNCTION("IMPORTRANGE(""https://docs.google.com/spreadsheets/d/11923uPwbBZFjjGgGUA6NLw09EwE0CqkOc4q9oUmW1yo/edit?usp=sharing"",""แพร่!I344"")"),20)</f>
        <v>20</v>
      </c>
      <c r="J449" s="210">
        <f ca="1">IFERROR(__xludf.DUMMYFUNCTION("IMPORTRANGE(""https://docs.google.com/spreadsheets/d/11923uPwbBZFjjGgGUA6NLw09EwE0CqkOc4q9oUmW1yo/edit?usp=sharing"",""แพร่!J344"")"),0)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IFERROR(__xludf.DUMMYFUNCTION("IMPORTRANGE(""https://docs.google.com/spreadsheets/d/11923uPwbBZFjjGgGUA6NLw09EwE0CqkOc4q9oUmW1yo/edit?usp=sharing"",""แพร่!I345"")"),20)</f>
        <v>20</v>
      </c>
      <c r="J450" s="198">
        <f ca="1">IFERROR(__xludf.DUMMYFUNCTION("IMPORTRANGE(""https://docs.google.com/spreadsheets/d/11923uPwbBZFjjGgGUA6NLw09EwE0CqkOc4q9oUmW1yo/edit?usp=sharing"",""แพร่!J345"")"),0)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IFERROR(__xludf.DUMMYFUNCTION("IMPORTRANGE(""https://docs.google.com/spreadsheets/d/11923uPwbBZFjjGgGUA6NLw09EwE0CqkOc4q9oUmW1yo/edit?usp=sharing"",""แพร่!I346"")"),0)</f>
        <v>0</v>
      </c>
      <c r="J451" s="197">
        <f ca="1">IFERROR(__xludf.DUMMYFUNCTION("IMPORTRANGE(""https://docs.google.com/spreadsheets/d/11923uPwbBZFjjGgGUA6NLw09EwE0CqkOc4q9oUmW1yo/edit?usp=sharing"",""แพร่!J346"")"),0)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IFERROR(__xludf.DUMMYFUNCTION("IMPORTRANGE(""https://docs.google.com/spreadsheets/d/11923uPwbBZFjjGgGUA6NLw09EwE0CqkOc4q9oUmW1yo/edit?usp=sharing"",""แพร่!I347"")"),0)</f>
        <v>0</v>
      </c>
      <c r="J452" s="197">
        <f ca="1">IFERROR(__xludf.DUMMYFUNCTION("IMPORTRANGE(""https://docs.google.com/spreadsheets/d/11923uPwbBZFjjGgGUA6NLw09EwE0CqkOc4q9oUmW1yo/edit?usp=sharing"",""แพร่!J347"")"),0)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IFERROR(__xludf.DUMMYFUNCTION("IMPORTRANGE(""https://docs.google.com/spreadsheets/d/11923uPwbBZFjjGgGUA6NLw09EwE0CqkOc4q9oUmW1yo/edit?usp=sharing"",""แพร่!J348"")"),0)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IFERROR(__xludf.DUMMYFUNCTION("IMPORTRANGE(""https://docs.google.com/spreadsheets/d/11923uPwbBZFjjGgGUA6NLw09EwE0CqkOc4q9oUmW1yo/edit?usp=sharing"",""แพร่!J349"")"),0)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IFERROR(__xludf.DUMMYFUNCTION("IMPORTRANGE(""https://docs.google.com/spreadsheets/d/11923uPwbBZFjjGgGUA6NLw09EwE0CqkOc4q9oUmW1yo/edit?usp=sharing"",""แพร่!I350"")"),4494)</f>
        <v>4494</v>
      </c>
      <c r="J455" s="379">
        <f ca="1">IFERROR(__xludf.DUMMYFUNCTION("IMPORTRANGE(""https://docs.google.com/spreadsheets/d/11923uPwbBZFjjGgGUA6NLw09EwE0CqkOc4q9oUmW1yo/edit?usp=sharing"",""แพร่!J350"")"),0)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IFERROR(__xludf.DUMMYFUNCTION("IMPORTRANGE(""https://docs.google.com/spreadsheets/d/11923uPwbBZFjjGgGUA6NLw09EwE0CqkOc4q9oUmW1yo/edit?usp=sharing"",""แพร่!L350"")"),87020)</f>
        <v>87020</v>
      </c>
      <c r="M455" s="381"/>
      <c r="N455" s="381">
        <f ca="1">IFERROR(__xludf.DUMMYFUNCTION("IMPORTRANGE(""https://docs.google.com/spreadsheets/d/11923uPwbBZFjjGgGUA6NLw09EwE0CqkOc4q9oUmW1yo/edit?usp=sharing"",""แพร่!M350"")"),4560)</f>
        <v>4560</v>
      </c>
      <c r="O455" s="381">
        <f t="shared" ref="O455:O459" ca="1" si="116">+IF(L455&gt;0,N455*100/L455,0)</f>
        <v>5.2401746724890828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IFERROR(__xludf.DUMMYFUNCTION("IMPORTRANGE(""https://docs.google.com/spreadsheets/d/11923uPwbBZFjjGgGUA6NLw09EwE0CqkOc4q9oUmW1yo/edit?usp=sharing"",""แพร่!L351"")"),0)</f>
        <v>0</v>
      </c>
      <c r="M456" s="172"/>
      <c r="N456" s="178">
        <f ca="1">IFERROR(__xludf.DUMMYFUNCTION("IMPORTRANGE(""https://docs.google.com/spreadsheets/d/11923uPwbBZFjjGgGUA6NLw09EwE0CqkOc4q9oUmW1yo/edit?usp=sharing"",""แพร่!M351"")"),0)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IFERROR(__xludf.DUMMYFUNCTION("IMPORTRANGE(""https://docs.google.com/spreadsheets/d/11923uPwbBZFjjGgGUA6NLw09EwE0CqkOc4q9oUmW1yo/edit?usp=sharing"",""แพร่!L352"")"),87020)</f>
        <v>87020</v>
      </c>
      <c r="M457" s="173"/>
      <c r="N457" s="178">
        <f ca="1">IFERROR(__xludf.DUMMYFUNCTION("IMPORTRANGE(""https://docs.google.com/spreadsheets/d/11923uPwbBZFjjGgGUA6NLw09EwE0CqkOc4q9oUmW1yo/edit?usp=sharing"",""แพร่!M352"")"),4560)</f>
        <v>4560</v>
      </c>
      <c r="O457" s="178">
        <f t="shared" ca="1" si="116"/>
        <v>5.2401746724890828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IFERROR(__xludf.DUMMYFUNCTION("IMPORTRANGE(""https://docs.google.com/spreadsheets/d/11923uPwbBZFjjGgGUA6NLw09EwE0CqkOc4q9oUmW1yo/edit?usp=sharing"",""แพร่!L353"")"),0)</f>
        <v>0</v>
      </c>
      <c r="M458" s="178"/>
      <c r="N458" s="178">
        <f ca="1">IFERROR(__xludf.DUMMYFUNCTION("IMPORTRANGE(""https://docs.google.com/spreadsheets/d/11923uPwbBZFjjGgGUA6NLw09EwE0CqkOc4q9oUmW1yo/edit?usp=sharing"",""แพร่!M353"")"),0)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IFERROR(__xludf.DUMMYFUNCTION("IMPORTRANGE(""https://docs.google.com/spreadsheets/d/11923uPwbBZFjjGgGUA6NLw09EwE0CqkOc4q9oUmW1yo/edit?usp=sharing"",""แพร่!L354"")"),87020)</f>
        <v>87020</v>
      </c>
      <c r="M459" s="178"/>
      <c r="N459" s="178">
        <f ca="1">IFERROR(__xludf.DUMMYFUNCTION("IMPORTRANGE(""https://docs.google.com/spreadsheets/d/11923uPwbBZFjjGgGUA6NLw09EwE0CqkOc4q9oUmW1yo/edit?usp=sharing"",""แพร่!M354"")"),4560)</f>
        <v>4560</v>
      </c>
      <c r="O459" s="178">
        <f t="shared" ca="1" si="116"/>
        <v>5.2401746724890828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IFERROR(__xludf.DUMMYFUNCTION("IMPORTRANGE(""https://docs.google.com/spreadsheets/d/11923uPwbBZFjjGgGUA6NLw09EwE0CqkOc4q9oUmW1yo/edit?usp=sharing"",""แพร่!M355"")"),0)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IFERROR(__xludf.DUMMYFUNCTION("IMPORTRANGE(""https://docs.google.com/spreadsheets/d/11923uPwbBZFjjGgGUA6NLw09EwE0CqkOc4q9oUmW1yo/edit?usp=sharing"",""แพร่!M356"")"),0)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IFERROR(__xludf.DUMMYFUNCTION("IMPORTRANGE(""https://docs.google.com/spreadsheets/d/11923uPwbBZFjjGgGUA6NLw09EwE0CqkOc4q9oUmW1yo/edit?usp=sharing"",""แพร่!M357"")"),0)</f>
        <v>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IFERROR(__xludf.DUMMYFUNCTION("IMPORTRANGE(""https://docs.google.com/spreadsheets/d/11923uPwbBZFjjGgGUA6NLw09EwE0CqkOc4q9oUmW1yo/edit?usp=sharing"",""แพร่!M358"")"),4560)</f>
        <v>4560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IFERROR(__xludf.DUMMYFUNCTION("IMPORTRANGE(""https://docs.google.com/spreadsheets/d/11923uPwbBZFjjGgGUA6NLw09EwE0CqkOc4q9oUmW1yo/edit?usp=sharing"",""แพร่!I359"")"),4494)</f>
        <v>4494</v>
      </c>
      <c r="J464" s="276">
        <f ca="1">IFERROR(__xludf.DUMMYFUNCTION("IMPORTRANGE(""https://docs.google.com/spreadsheets/d/11923uPwbBZFjjGgGUA6NLw09EwE0CqkOc4q9oUmW1yo/edit?usp=sharing"",""แพร่!J359"")"),0)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IFERROR(__xludf.DUMMYFUNCTION("IMPORTRANGE(""https://docs.google.com/spreadsheets/d/11923uPwbBZFjjGgGUA6NLw09EwE0CqkOc4q9oUmW1yo/edit?usp=sharing"",""แพร่!I360"")"),4494)</f>
        <v>4494</v>
      </c>
      <c r="J465" s="428">
        <f ca="1">IFERROR(__xludf.DUMMYFUNCTION("IMPORTRANGE(""https://docs.google.com/spreadsheets/d/11923uPwbBZFjjGgGUA6NLw09EwE0CqkOc4q9oUmW1yo/edit?usp=sharing"",""แพร่!J360"")"),2262)</f>
        <v>2262</v>
      </c>
      <c r="K465" s="211">
        <f t="shared" ca="1" si="117"/>
        <v>50.33377837116155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IFERROR(__xludf.DUMMYFUNCTION("IMPORTRANGE(""https://docs.google.com/spreadsheets/d/11923uPwbBZFjjGgGUA6NLw09EwE0CqkOc4q9oUmW1yo/edit?usp=sharing"",""แพร่!I361"")"),1189)</f>
        <v>1189</v>
      </c>
      <c r="J466" s="428">
        <f ca="1">IFERROR(__xludf.DUMMYFUNCTION("IMPORTRANGE(""https://docs.google.com/spreadsheets/d/11923uPwbBZFjjGgGUA6NLw09EwE0CqkOc4q9oUmW1yo/edit?usp=sharing"",""แพร่!J361"")"),527)</f>
        <v>527</v>
      </c>
      <c r="K466" s="211">
        <f t="shared" ca="1" si="117"/>
        <v>44.322960470984022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IFERROR(__xludf.DUMMYFUNCTION("IMPORTRANGE(""https://docs.google.com/spreadsheets/d/11923uPwbBZFjjGgGUA6NLw09EwE0CqkOc4q9oUmW1yo/edit?usp=sharing"",""แพร่!I362"")"),0)</f>
        <v>0</v>
      </c>
      <c r="J467" s="198">
        <f ca="1">IFERROR(__xludf.DUMMYFUNCTION("IMPORTRANGE(""https://docs.google.com/spreadsheets/d/11923uPwbBZFjjGgGUA6NLw09EwE0CqkOc4q9oUmW1yo/edit?usp=sharing"",""แพร่!J362"")"),1880)</f>
        <v>1880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IFERROR(__xludf.DUMMYFUNCTION("IMPORTRANGE(""https://docs.google.com/spreadsheets/d/11923uPwbBZFjjGgGUA6NLw09EwE0CqkOc4q9oUmW1yo/edit?usp=sharing"",""แพร่!I363"")"),0)</f>
        <v>0</v>
      </c>
      <c r="J468" s="198">
        <f ca="1">IFERROR(__xludf.DUMMYFUNCTION("IMPORTRANGE(""https://docs.google.com/spreadsheets/d/11923uPwbBZFjjGgGUA6NLw09EwE0CqkOc4q9oUmW1yo/edit?usp=sharing"",""แพร่!J363"")"),439)</f>
        <v>439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IFERROR(__xludf.DUMMYFUNCTION("IMPORTRANGE(""https://docs.google.com/spreadsheets/d/11923uPwbBZFjjGgGUA6NLw09EwE0CqkOc4q9oUmW1yo/edit?usp=sharing"",""แพร่!I364"")"),0)</f>
        <v>0</v>
      </c>
      <c r="J469" s="198">
        <f ca="1">IFERROR(__xludf.DUMMYFUNCTION("IMPORTRANGE(""https://docs.google.com/spreadsheets/d/11923uPwbBZFjjGgGUA6NLw09EwE0CqkOc4q9oUmW1yo/edit?usp=sharing"",""แพร่!J364"")"),304)</f>
        <v>304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IFERROR(__xludf.DUMMYFUNCTION("IMPORTRANGE(""https://docs.google.com/spreadsheets/d/11923uPwbBZFjjGgGUA6NLw09EwE0CqkOc4q9oUmW1yo/edit?usp=sharing"",""แพร่!I365"")"),0)</f>
        <v>0</v>
      </c>
      <c r="J470" s="198">
        <f ca="1">IFERROR(__xludf.DUMMYFUNCTION("IMPORTRANGE(""https://docs.google.com/spreadsheets/d/11923uPwbBZFjjGgGUA6NLw09EwE0CqkOc4q9oUmW1yo/edit?usp=sharing"",""แพร่!J365"")"),70)</f>
        <v>70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IFERROR(__xludf.DUMMYFUNCTION("IMPORTRANGE(""https://docs.google.com/spreadsheets/d/11923uPwbBZFjjGgGUA6NLw09EwE0CqkOc4q9oUmW1yo/edit?usp=sharing"",""แพร่!I366"")"),0)</f>
        <v>0</v>
      </c>
      <c r="J471" s="198">
        <f ca="1">IFERROR(__xludf.DUMMYFUNCTION("IMPORTRANGE(""https://docs.google.com/spreadsheets/d/11923uPwbBZFjjGgGUA6NLw09EwE0CqkOc4q9oUmW1yo/edit?usp=sharing"",""แพร่!J366"")"),78)</f>
        <v>78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IFERROR(__xludf.DUMMYFUNCTION("IMPORTRANGE(""https://docs.google.com/spreadsheets/d/11923uPwbBZFjjGgGUA6NLw09EwE0CqkOc4q9oUmW1yo/edit?usp=sharing"",""แพร่!I367"")"),0)</f>
        <v>0</v>
      </c>
      <c r="J472" s="198">
        <f ca="1">IFERROR(__xludf.DUMMYFUNCTION("IMPORTRANGE(""https://docs.google.com/spreadsheets/d/11923uPwbBZFjjGgGUA6NLw09EwE0CqkOc4q9oUmW1yo/edit?usp=sharing"",""แพร่!J367"")"),18)</f>
        <v>18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IFERROR(__xludf.DUMMYFUNCTION("IMPORTRANGE(""https://docs.google.com/spreadsheets/d/11923uPwbBZFjjGgGUA6NLw09EwE0CqkOc4q9oUmW1yo/edit?usp=sharing"",""แพร่!I368"")"),4494)</f>
        <v>4494</v>
      </c>
      <c r="J473" s="428">
        <f ca="1">IFERROR(__xludf.DUMMYFUNCTION("IMPORTRANGE(""https://docs.google.com/spreadsheets/d/11923uPwbBZFjjGgGUA6NLw09EwE0CqkOc4q9oUmW1yo/edit?usp=sharing"",""แพร่!J368"")"),0)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IFERROR(__xludf.DUMMYFUNCTION("IMPORTRANGE(""https://docs.google.com/spreadsheets/d/11923uPwbBZFjjGgGUA6NLw09EwE0CqkOc4q9oUmW1yo/edit?usp=sharing"",""แพร่!I369"")"),1189)</f>
        <v>1189</v>
      </c>
      <c r="J474" s="428">
        <f ca="1">IFERROR(__xludf.DUMMYFUNCTION("IMPORTRANGE(""https://docs.google.com/spreadsheets/d/11923uPwbBZFjjGgGUA6NLw09EwE0CqkOc4q9oUmW1yo/edit?usp=sharing"",""แพร่!J369"")"),0)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IFERROR(__xludf.DUMMYFUNCTION("IMPORTRANGE(""https://docs.google.com/spreadsheets/d/11923uPwbBZFjjGgGUA6NLw09EwE0CqkOc4q9oUmW1yo/edit?usp=sharing"",""แพร่!I370"")"),0)</f>
        <v>0</v>
      </c>
      <c r="J475" s="198">
        <f ca="1">IFERROR(__xludf.DUMMYFUNCTION("IMPORTRANGE(""https://docs.google.com/spreadsheets/d/11923uPwbBZFjjGgGUA6NLw09EwE0CqkOc4q9oUmW1yo/edit?usp=sharing"",""แพร่!J370"")"),0)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IFERROR(__xludf.DUMMYFUNCTION("IMPORTRANGE(""https://docs.google.com/spreadsheets/d/11923uPwbBZFjjGgGUA6NLw09EwE0CqkOc4q9oUmW1yo/edit?usp=sharing"",""แพร่!I371"")"),0)</f>
        <v>0</v>
      </c>
      <c r="J476" s="198">
        <f ca="1">IFERROR(__xludf.DUMMYFUNCTION("IMPORTRANGE(""https://docs.google.com/spreadsheets/d/11923uPwbBZFjjGgGUA6NLw09EwE0CqkOc4q9oUmW1yo/edit?usp=sharing"",""แพร่!J371"")"),0)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IFERROR(__xludf.DUMMYFUNCTION("IMPORTRANGE(""https://docs.google.com/spreadsheets/d/11923uPwbBZFjjGgGUA6NLw09EwE0CqkOc4q9oUmW1yo/edit?usp=sharing"",""แพร่!I372"")"),0)</f>
        <v>0</v>
      </c>
      <c r="J477" s="198">
        <f ca="1">IFERROR(__xludf.DUMMYFUNCTION("IMPORTRANGE(""https://docs.google.com/spreadsheets/d/11923uPwbBZFjjGgGUA6NLw09EwE0CqkOc4q9oUmW1yo/edit?usp=sharing"",""แพร่!J372"")"),0)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IFERROR(__xludf.DUMMYFUNCTION("IMPORTRANGE(""https://docs.google.com/spreadsheets/d/11923uPwbBZFjjGgGUA6NLw09EwE0CqkOc4q9oUmW1yo/edit?usp=sharing"",""แพร่!I373"")"),0)</f>
        <v>0</v>
      </c>
      <c r="J478" s="198">
        <f ca="1">IFERROR(__xludf.DUMMYFUNCTION("IMPORTRANGE(""https://docs.google.com/spreadsheets/d/11923uPwbBZFjjGgGUA6NLw09EwE0CqkOc4q9oUmW1yo/edit?usp=sharing"",""แพร่!J373"")"),0)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IFERROR(__xludf.DUMMYFUNCTION("IMPORTRANGE(""https://docs.google.com/spreadsheets/d/11923uPwbBZFjjGgGUA6NLw09EwE0CqkOc4q9oUmW1yo/edit?usp=sharing"",""แพร่!I374"")"),0)</f>
        <v>0</v>
      </c>
      <c r="J479" s="198">
        <f ca="1">IFERROR(__xludf.DUMMYFUNCTION("IMPORTRANGE(""https://docs.google.com/spreadsheets/d/11923uPwbBZFjjGgGUA6NLw09EwE0CqkOc4q9oUmW1yo/edit?usp=sharing"",""แพร่!J374"")"),0)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IFERROR(__xludf.DUMMYFUNCTION("IMPORTRANGE(""https://docs.google.com/spreadsheets/d/11923uPwbBZFjjGgGUA6NLw09EwE0CqkOc4q9oUmW1yo/edit?usp=sharing"",""แพร่!I375"")"),0)</f>
        <v>0</v>
      </c>
      <c r="J480" s="198">
        <f ca="1">IFERROR(__xludf.DUMMYFUNCTION("IMPORTRANGE(""https://docs.google.com/spreadsheets/d/11923uPwbBZFjjGgGUA6NLw09EwE0CqkOc4q9oUmW1yo/edit?usp=sharing"",""แพร่!J375"")"),0)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IFERROR(__xludf.DUMMYFUNCTION("IMPORTRANGE(""https://docs.google.com/spreadsheets/d/11923uPwbBZFjjGgGUA6NLw09EwE0CqkOc4q9oUmW1yo/edit?usp=sharing"",""แพร่!I376"")"),4494)</f>
        <v>4494</v>
      </c>
      <c r="J481" s="428">
        <f ca="1">IFERROR(__xludf.DUMMYFUNCTION("IMPORTRANGE(""https://docs.google.com/spreadsheets/d/11923uPwbBZFjjGgGUA6NLw09EwE0CqkOc4q9oUmW1yo/edit?usp=sharing"",""แพร่!J376"")"),0)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IFERROR(__xludf.DUMMYFUNCTION("IMPORTRANGE(""https://docs.google.com/spreadsheets/d/11923uPwbBZFjjGgGUA6NLw09EwE0CqkOc4q9oUmW1yo/edit?usp=sharing"",""แพร่!I377"")"),1189)</f>
        <v>1189</v>
      </c>
      <c r="J482" s="428">
        <f ca="1">IFERROR(__xludf.DUMMYFUNCTION("IMPORTRANGE(""https://docs.google.com/spreadsheets/d/11923uPwbBZFjjGgGUA6NLw09EwE0CqkOc4q9oUmW1yo/edit?usp=sharing"",""แพร่!J377"")"),0)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IFERROR(__xludf.DUMMYFUNCTION("IMPORTRANGE(""https://docs.google.com/spreadsheets/d/11923uPwbBZFjjGgGUA6NLw09EwE0CqkOc4q9oUmW1yo/edit?usp=sharing"",""แพร่!I378"")"),0)</f>
        <v>0</v>
      </c>
      <c r="J483" s="198">
        <f ca="1">IFERROR(__xludf.DUMMYFUNCTION("IMPORTRANGE(""https://docs.google.com/spreadsheets/d/11923uPwbBZFjjGgGUA6NLw09EwE0CqkOc4q9oUmW1yo/edit?usp=sharing"",""แพร่!J378"")"),0)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IFERROR(__xludf.DUMMYFUNCTION("IMPORTRANGE(""https://docs.google.com/spreadsheets/d/11923uPwbBZFjjGgGUA6NLw09EwE0CqkOc4q9oUmW1yo/edit?usp=sharing"",""แพร่!I379"")"),0)</f>
        <v>0</v>
      </c>
      <c r="J484" s="198">
        <f ca="1">IFERROR(__xludf.DUMMYFUNCTION("IMPORTRANGE(""https://docs.google.com/spreadsheets/d/11923uPwbBZFjjGgGUA6NLw09EwE0CqkOc4q9oUmW1yo/edit?usp=sharing"",""แพร่!J379"")"),0)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IFERROR(__xludf.DUMMYFUNCTION("IMPORTRANGE(""https://docs.google.com/spreadsheets/d/11923uPwbBZFjjGgGUA6NLw09EwE0CqkOc4q9oUmW1yo/edit?usp=sharing"",""แพร่!I380"")"),0)</f>
        <v>0</v>
      </c>
      <c r="J485" s="198">
        <f ca="1">IFERROR(__xludf.DUMMYFUNCTION("IMPORTRANGE(""https://docs.google.com/spreadsheets/d/11923uPwbBZFjjGgGUA6NLw09EwE0CqkOc4q9oUmW1yo/edit?usp=sharing"",""แพร่!J380"")"),0)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IFERROR(__xludf.DUMMYFUNCTION("IMPORTRANGE(""https://docs.google.com/spreadsheets/d/11923uPwbBZFjjGgGUA6NLw09EwE0CqkOc4q9oUmW1yo/edit?usp=sharing"",""แพร่!I381"")"),0)</f>
        <v>0</v>
      </c>
      <c r="J486" s="198">
        <f ca="1">IFERROR(__xludf.DUMMYFUNCTION("IMPORTRANGE(""https://docs.google.com/spreadsheets/d/11923uPwbBZFjjGgGUA6NLw09EwE0CqkOc4q9oUmW1yo/edit?usp=sharing"",""แพร่!J381"")"),0)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IFERROR(__xludf.DUMMYFUNCTION("IMPORTRANGE(""https://docs.google.com/spreadsheets/d/11923uPwbBZFjjGgGUA6NLw09EwE0CqkOc4q9oUmW1yo/edit?usp=sharing"",""แพร่!I382"")"),0)</f>
        <v>0</v>
      </c>
      <c r="J487" s="428">
        <f ca="1">IFERROR(__xludf.DUMMYFUNCTION("IMPORTRANGE(""https://docs.google.com/spreadsheets/d/11923uPwbBZFjjGgGUA6NLw09EwE0CqkOc4q9oUmW1yo/edit?usp=sharing"",""แพร่!J382"")"),0)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IFERROR(__xludf.DUMMYFUNCTION("IMPORTRANGE(""https://docs.google.com/spreadsheets/d/11923uPwbBZFjjGgGUA6NLw09EwE0CqkOc4q9oUmW1yo/edit?usp=sharing"",""แพร่!I383"")"),0)</f>
        <v>0</v>
      </c>
      <c r="J488" s="428">
        <f ca="1">IFERROR(__xludf.DUMMYFUNCTION("IMPORTRANGE(""https://docs.google.com/spreadsheets/d/11923uPwbBZFjjGgGUA6NLw09EwE0CqkOc4q9oUmW1yo/edit?usp=sharing"",""แพร่!J383"")"),0)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IFERROR(__xludf.DUMMYFUNCTION("IMPORTRANGE(""https://docs.google.com/spreadsheets/d/11923uPwbBZFjjGgGUA6NLw09EwE0CqkOc4q9oUmW1yo/edit?usp=sharing"",""แพร่!I384"")"),0)</f>
        <v>0</v>
      </c>
      <c r="J489" s="198">
        <f ca="1">IFERROR(__xludf.DUMMYFUNCTION("IMPORTRANGE(""https://docs.google.com/spreadsheets/d/11923uPwbBZFjjGgGUA6NLw09EwE0CqkOc4q9oUmW1yo/edit?usp=sharing"",""แพร่!J384"")"),0)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IFERROR(__xludf.DUMMYFUNCTION("IMPORTRANGE(""https://docs.google.com/spreadsheets/d/11923uPwbBZFjjGgGUA6NLw09EwE0CqkOc4q9oUmW1yo/edit?usp=sharing"",""แพร่!I385"")"),0)</f>
        <v>0</v>
      </c>
      <c r="J490" s="198">
        <f ca="1">IFERROR(__xludf.DUMMYFUNCTION("IMPORTRANGE(""https://docs.google.com/spreadsheets/d/11923uPwbBZFjjGgGUA6NLw09EwE0CqkOc4q9oUmW1yo/edit?usp=sharing"",""แพร่!J385"")"),0)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IFERROR(__xludf.DUMMYFUNCTION("IMPORTRANGE(""https://docs.google.com/spreadsheets/d/11923uPwbBZFjjGgGUA6NLw09EwE0CqkOc4q9oUmW1yo/edit?usp=sharing"",""แพร่!I386"")"),0)</f>
        <v>0</v>
      </c>
      <c r="J491" s="198">
        <f ca="1">IFERROR(__xludf.DUMMYFUNCTION("IMPORTRANGE(""https://docs.google.com/spreadsheets/d/11923uPwbBZFjjGgGUA6NLw09EwE0CqkOc4q9oUmW1yo/edit?usp=sharing"",""แพร่!J386"")"),0)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IFERROR(__xludf.DUMMYFUNCTION("IMPORTRANGE(""https://docs.google.com/spreadsheets/d/11923uPwbBZFjjGgGUA6NLw09EwE0CqkOc4q9oUmW1yo/edit?usp=sharing"",""แพร่!I387"")"),0)</f>
        <v>0</v>
      </c>
      <c r="J492" s="198">
        <f ca="1">IFERROR(__xludf.DUMMYFUNCTION("IMPORTRANGE(""https://docs.google.com/spreadsheets/d/11923uPwbBZFjjGgGUA6NLw09EwE0CqkOc4q9oUmW1yo/edit?usp=sharing"",""แพร่!J387"")"),0)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IFERROR(__xludf.DUMMYFUNCTION("IMPORTRANGE(""https://docs.google.com/spreadsheets/d/11923uPwbBZFjjGgGUA6NLw09EwE0CqkOc4q9oUmW1yo/edit?usp=sharing"",""แพร่!I388"")"),0)</f>
        <v>0</v>
      </c>
      <c r="J493" s="198">
        <f ca="1">IFERROR(__xludf.DUMMYFUNCTION("IMPORTRANGE(""https://docs.google.com/spreadsheets/d/11923uPwbBZFjjGgGUA6NLw09EwE0CqkOc4q9oUmW1yo/edit?usp=sharing"",""แพร่!J388"")"),0)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IFERROR(__xludf.DUMMYFUNCTION("IMPORTRANGE(""https://docs.google.com/spreadsheets/d/11923uPwbBZFjjGgGUA6NLw09EwE0CqkOc4q9oUmW1yo/edit?usp=sharing"",""แพร่!I389"")"),0)</f>
        <v>0</v>
      </c>
      <c r="J494" s="444">
        <f ca="1">IFERROR(__xludf.DUMMYFUNCTION("IMPORTRANGE(""https://docs.google.com/spreadsheets/d/11923uPwbBZFjjGgGUA6NLw09EwE0CqkOc4q9oUmW1yo/edit?usp=sharing"",""แพร่!J389"")"),0)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IFERROR(__xludf.DUMMYFUNCTION("IMPORTRANGE(""https://docs.google.com/spreadsheets/d/11923uPwbBZFjjGgGUA6NLw09EwE0CqkOc4q9oUmW1yo/edit?usp=sharing"",""แพร่!I390"")"),0)</f>
        <v>0</v>
      </c>
      <c r="J495" s="444">
        <f ca="1">IFERROR(__xludf.DUMMYFUNCTION("IMPORTRANGE(""https://docs.google.com/spreadsheets/d/11923uPwbBZFjjGgGUA6NLw09EwE0CqkOc4q9oUmW1yo/edit?usp=sharing"",""แพร่!J390"")"),0)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IFERROR(__xludf.DUMMYFUNCTION("IMPORTRANGE(""https://docs.google.com/spreadsheets/d/11923uPwbBZFjjGgGUA6NLw09EwE0CqkOc4q9oUmW1yo/edit?usp=sharing"",""แพร่!I391"")"),0)</f>
        <v>0</v>
      </c>
      <c r="J496" s="444">
        <f ca="1">IFERROR(__xludf.DUMMYFUNCTION("IMPORTRANGE(""https://docs.google.com/spreadsheets/d/11923uPwbBZFjjGgGUA6NLw09EwE0CqkOc4q9oUmW1yo/edit?usp=sharing"",""แพร่!J391"")"),0)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IFERROR(__xludf.DUMMYFUNCTION("IMPORTRANGE(""https://docs.google.com/spreadsheets/d/11923uPwbBZFjjGgGUA6NLw09EwE0CqkOc4q9oUmW1yo/edit?usp=sharing"",""แพร่!I392"")"),140)</f>
        <v>140</v>
      </c>
      <c r="J497" s="451">
        <f ca="1">IFERROR(__xludf.DUMMYFUNCTION("IMPORTRANGE(""https://docs.google.com/spreadsheets/d/11923uPwbBZFjjGgGUA6NLw09EwE0CqkOc4q9oUmW1yo/edit?usp=sharing"",""แพร่!J392"")"),0)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IFERROR(__xludf.DUMMYFUNCTION("IMPORTRANGE(""https://docs.google.com/spreadsheets/d/11923uPwbBZFjjGgGUA6NLw09EwE0CqkOc4q9oUmW1yo/edit?usp=sharing"",""แพร่!I393"")"),140)</f>
        <v>140</v>
      </c>
      <c r="J498" s="428">
        <f ca="1">IFERROR(__xludf.DUMMYFUNCTION("IMPORTRANGE(""https://docs.google.com/spreadsheets/d/11923uPwbBZFjjGgGUA6NLw09EwE0CqkOc4q9oUmW1yo/edit?usp=sharing"",""แพร่!J393"")"),0)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IFERROR(__xludf.DUMMYFUNCTION("IMPORTRANGE(""https://docs.google.com/spreadsheets/d/11923uPwbBZFjjGgGUA6NLw09EwE0CqkOc4q9oUmW1yo/edit?usp=sharing"",""แพร่!I394"")"),32)</f>
        <v>32</v>
      </c>
      <c r="J499" s="428">
        <f ca="1">IFERROR(__xludf.DUMMYFUNCTION("IMPORTRANGE(""https://docs.google.com/spreadsheets/d/11923uPwbBZFjjGgGUA6NLw09EwE0CqkOc4q9oUmW1yo/edit?usp=sharing"",""แพร่!J394"")"),0)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IFERROR(__xludf.DUMMYFUNCTION("IMPORTRANGE(""https://docs.google.com/spreadsheets/d/11923uPwbBZFjjGgGUA6NLw09EwE0CqkOc4q9oUmW1yo/edit?usp=sharing"",""แพร่!I395"")"),0)</f>
        <v>0</v>
      </c>
      <c r="J500" s="170">
        <f ca="1">IFERROR(__xludf.DUMMYFUNCTION("IMPORTRANGE(""https://docs.google.com/spreadsheets/d/11923uPwbBZFjjGgGUA6NLw09EwE0CqkOc4q9oUmW1yo/edit?usp=sharing"",""แพร่!J395"")"),0)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IFERROR(__xludf.DUMMYFUNCTION("IMPORTRANGE(""https://docs.google.com/spreadsheets/d/11923uPwbBZFjjGgGUA6NLw09EwE0CqkOc4q9oUmW1yo/edit?usp=sharing"",""แพร่!I396"")"),0)</f>
        <v>0</v>
      </c>
      <c r="J501" s="170">
        <f ca="1">IFERROR(__xludf.DUMMYFUNCTION("IMPORTRANGE(""https://docs.google.com/spreadsheets/d/11923uPwbBZFjjGgGUA6NLw09EwE0CqkOc4q9oUmW1yo/edit?usp=sharing"",""แพร่!J396"")"),0)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IFERROR(__xludf.DUMMYFUNCTION("IMPORTRANGE(""https://docs.google.com/spreadsheets/d/11923uPwbBZFjjGgGUA6NLw09EwE0CqkOc4q9oUmW1yo/edit?usp=sharing"",""แพร่!I397"")"),0)</f>
        <v>0</v>
      </c>
      <c r="J502" s="198">
        <f ca="1">IFERROR(__xludf.DUMMYFUNCTION("IMPORTRANGE(""https://docs.google.com/spreadsheets/d/11923uPwbBZFjjGgGUA6NLw09EwE0CqkOc4q9oUmW1yo/edit?usp=sharing"",""แพร่!J397"")"),0)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IFERROR(__xludf.DUMMYFUNCTION("IMPORTRANGE(""https://docs.google.com/spreadsheets/d/11923uPwbBZFjjGgGUA6NLw09EwE0CqkOc4q9oUmW1yo/edit?usp=sharing"",""แพร่!I398"")"),0)</f>
        <v>0</v>
      </c>
      <c r="J503" s="207">
        <f ca="1">IFERROR(__xludf.DUMMYFUNCTION("IMPORTRANGE(""https://docs.google.com/spreadsheets/d/11923uPwbBZFjjGgGUA6NLw09EwE0CqkOc4q9oUmW1yo/edit?usp=sharing"",""แพร่!J398"")"),0)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IFERROR(__xludf.DUMMYFUNCTION("IMPORTRANGE(""https://docs.google.com/spreadsheets/d/11923uPwbBZFjjGgGUA6NLw09EwE0CqkOc4q9oUmW1yo/edit?usp=sharing"",""แพร่!I399"")"),0)</f>
        <v>0</v>
      </c>
      <c r="J504" s="198">
        <f ca="1">IFERROR(__xludf.DUMMYFUNCTION("IMPORTRANGE(""https://docs.google.com/spreadsheets/d/11923uPwbBZFjjGgGUA6NLw09EwE0CqkOc4q9oUmW1yo/edit?usp=sharing"",""แพร่!J399"")"),0)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IFERROR(__xludf.DUMMYFUNCTION("IMPORTRANGE(""https://docs.google.com/spreadsheets/d/11923uPwbBZFjjGgGUA6NLw09EwE0CqkOc4q9oUmW1yo/edit?usp=sharing"",""แพร่!I400"")"),0)</f>
        <v>0</v>
      </c>
      <c r="J505" s="207">
        <f ca="1">IFERROR(__xludf.DUMMYFUNCTION("IMPORTRANGE(""https://docs.google.com/spreadsheets/d/11923uPwbBZFjjGgGUA6NLw09EwE0CqkOc4q9oUmW1yo/edit?usp=sharing"",""แพร่!J400"")"),0)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IFERROR(__xludf.DUMMYFUNCTION("IMPORTRANGE(""https://docs.google.com/spreadsheets/d/11923uPwbBZFjjGgGUA6NLw09EwE0CqkOc4q9oUmW1yo/edit?usp=sharing"",""แพร่!I401"")"),0)</f>
        <v>0</v>
      </c>
      <c r="J506" s="198">
        <f ca="1">IFERROR(__xludf.DUMMYFUNCTION("IMPORTRANGE(""https://docs.google.com/spreadsheets/d/11923uPwbBZFjjGgGUA6NLw09EwE0CqkOc4q9oUmW1yo/edit?usp=sharing"",""แพร่!J401"")"),0)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IFERROR(__xludf.DUMMYFUNCTION("IMPORTRANGE(""https://docs.google.com/spreadsheets/d/11923uPwbBZFjjGgGUA6NLw09EwE0CqkOc4q9oUmW1yo/edit?usp=sharing"",""แพร่!I402"")"),0)</f>
        <v>0</v>
      </c>
      <c r="J507" s="207">
        <f ca="1">IFERROR(__xludf.DUMMYFUNCTION("IMPORTRANGE(""https://docs.google.com/spreadsheets/d/11923uPwbBZFjjGgGUA6NLw09EwE0CqkOc4q9oUmW1yo/edit?usp=sharing"",""แพร่!J402"")"),0)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IFERROR(__xludf.DUMMYFUNCTION("IMPORTRANGE(""https://docs.google.com/spreadsheets/d/11923uPwbBZFjjGgGUA6NLw09EwE0CqkOc4q9oUmW1yo/edit?usp=sharing"",""แพร่!I403"")"),0)</f>
        <v>0</v>
      </c>
      <c r="J508" s="170">
        <f ca="1">IFERROR(__xludf.DUMMYFUNCTION("IMPORTRANGE(""https://docs.google.com/spreadsheets/d/11923uPwbBZFjjGgGUA6NLw09EwE0CqkOc4q9oUmW1yo/edit?usp=sharing"",""แพร่!J403"")"),0)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IFERROR(__xludf.DUMMYFUNCTION("IMPORTRANGE(""https://docs.google.com/spreadsheets/d/11923uPwbBZFjjGgGUA6NLw09EwE0CqkOc4q9oUmW1yo/edit?usp=sharing"",""แพร่!I404"")"),0)</f>
        <v>0</v>
      </c>
      <c r="J509" s="170">
        <f ca="1">IFERROR(__xludf.DUMMYFUNCTION("IMPORTRANGE(""https://docs.google.com/spreadsheets/d/11923uPwbBZFjjGgGUA6NLw09EwE0CqkOc4q9oUmW1yo/edit?usp=sharing"",""แพร่!J404"")"),0)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IFERROR(__xludf.DUMMYFUNCTION("IMPORTRANGE(""https://docs.google.com/spreadsheets/d/11923uPwbBZFjjGgGUA6NLw09EwE0CqkOc4q9oUmW1yo/edit?usp=sharing"",""แพร่!I405"")"),0)</f>
        <v>0</v>
      </c>
      <c r="J510" s="207">
        <f ca="1">IFERROR(__xludf.DUMMYFUNCTION("IMPORTRANGE(""https://docs.google.com/spreadsheets/d/11923uPwbBZFjjGgGUA6NLw09EwE0CqkOc4q9oUmW1yo/edit?usp=sharing"",""แพร่!J405"")"),0)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IFERROR(__xludf.DUMMYFUNCTION("IMPORTRANGE(""https://docs.google.com/spreadsheets/d/11923uPwbBZFjjGgGUA6NLw09EwE0CqkOc4q9oUmW1yo/edit?usp=sharing"",""แพร่!I406"")"),0)</f>
        <v>0</v>
      </c>
      <c r="J511" s="207">
        <f ca="1">IFERROR(__xludf.DUMMYFUNCTION("IMPORTRANGE(""https://docs.google.com/spreadsheets/d/11923uPwbBZFjjGgGUA6NLw09EwE0CqkOc4q9oUmW1yo/edit?usp=sharing"",""แพร่!J406"")"),0)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IFERROR(__xludf.DUMMYFUNCTION("IMPORTRANGE(""https://docs.google.com/spreadsheets/d/11923uPwbBZFjjGgGUA6NLw09EwE0CqkOc4q9oUmW1yo/edit?usp=sharing"",""แพร่!I407"")"),0)</f>
        <v>0</v>
      </c>
      <c r="J512" s="207">
        <f ca="1">IFERROR(__xludf.DUMMYFUNCTION("IMPORTRANGE(""https://docs.google.com/spreadsheets/d/11923uPwbBZFjjGgGUA6NLw09EwE0CqkOc4q9oUmW1yo/edit?usp=sharing"",""แพร่!J407"")"),0)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IFERROR(__xludf.DUMMYFUNCTION("IMPORTRANGE(""https://docs.google.com/spreadsheets/d/11923uPwbBZFjjGgGUA6NLw09EwE0CqkOc4q9oUmW1yo/edit?usp=sharing"",""แพร่!I408"")"),0)</f>
        <v>0</v>
      </c>
      <c r="J513" s="207">
        <f ca="1">IFERROR(__xludf.DUMMYFUNCTION("IMPORTRANGE(""https://docs.google.com/spreadsheets/d/11923uPwbBZFjjGgGUA6NLw09EwE0CqkOc4q9oUmW1yo/edit?usp=sharing"",""แพร่!J408"")"),0)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IFERROR(__xludf.DUMMYFUNCTION("IMPORTRANGE(""https://docs.google.com/spreadsheets/d/11923uPwbBZFjjGgGUA6NLw09EwE0CqkOc4q9oUmW1yo/edit?usp=sharing"",""แพร่!I409"")"),0)</f>
        <v>0</v>
      </c>
      <c r="J514" s="207">
        <f ca="1">IFERROR(__xludf.DUMMYFUNCTION("IMPORTRANGE(""https://docs.google.com/spreadsheets/d/11923uPwbBZFjjGgGUA6NLw09EwE0CqkOc4q9oUmW1yo/edit?usp=sharing"",""แพร่!J409"")"),0)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IFERROR(__xludf.DUMMYFUNCTION("IMPORTRANGE(""https://docs.google.com/spreadsheets/d/11923uPwbBZFjjGgGUA6NLw09EwE0CqkOc4q9oUmW1yo/edit?usp=sharing"",""แพร่!I410"")"),0)</f>
        <v>0</v>
      </c>
      <c r="J515" s="207">
        <f ca="1">IFERROR(__xludf.DUMMYFUNCTION("IMPORTRANGE(""https://docs.google.com/spreadsheets/d/11923uPwbBZFjjGgGUA6NLw09EwE0CqkOc4q9oUmW1yo/edit?usp=sharing"",""แพร่!J410"")"),0)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IFERROR(__xludf.DUMMYFUNCTION("IMPORTRANGE(""https://docs.google.com/spreadsheets/d/11923uPwbBZFjjGgGUA6NLw09EwE0CqkOc4q9oUmW1yo/edit?usp=sharing"",""แพร่!I411"")"),0)</f>
        <v>0</v>
      </c>
      <c r="J516" s="276">
        <f ca="1">IFERROR(__xludf.DUMMYFUNCTION("IMPORTRANGE(""https://docs.google.com/spreadsheets/d/11923uPwbBZFjjGgGUA6NLw09EwE0CqkOc4q9oUmW1yo/edit?usp=sharing"",""แพร่!J411"")"),0)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IFERROR(__xludf.DUMMYFUNCTION("IMPORTRANGE(""https://docs.google.com/spreadsheets/d/11923uPwbBZFjjGgGUA6NLw09EwE0CqkOc4q9oUmW1yo/edit?usp=sharing"",""แพร่!I412"")"),0)</f>
        <v>0</v>
      </c>
      <c r="J517" s="292">
        <f ca="1">IFERROR(__xludf.DUMMYFUNCTION("IMPORTRANGE(""https://docs.google.com/spreadsheets/d/11923uPwbBZFjjGgGUA6NLw09EwE0CqkOc4q9oUmW1yo/edit?usp=sharing"",""แพร่!J412"")"),0)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IFERROR(__xludf.DUMMYFUNCTION("IMPORTRANGE(""https://docs.google.com/spreadsheets/d/11923uPwbBZFjjGgGUA6NLw09EwE0CqkOc4q9oUmW1yo/edit?usp=sharing"",""แพร่!I413"")"),0)</f>
        <v>0</v>
      </c>
      <c r="J518" s="292">
        <f ca="1">IFERROR(__xludf.DUMMYFUNCTION("IMPORTRANGE(""https://docs.google.com/spreadsheets/d/11923uPwbBZFjjGgGUA6NLw09EwE0CqkOc4q9oUmW1yo/edit?usp=sharing"",""แพร่!J413"")"),0)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IFERROR(__xludf.DUMMYFUNCTION("IMPORTRANGE(""https://docs.google.com/spreadsheets/d/11923uPwbBZFjjGgGUA6NLw09EwE0CqkOc4q9oUmW1yo/edit?usp=sharing"",""แพร่!I414"")"),0)</f>
        <v>0</v>
      </c>
      <c r="J519" s="197">
        <f ca="1">IFERROR(__xludf.DUMMYFUNCTION("IMPORTRANGE(""https://docs.google.com/spreadsheets/d/11923uPwbBZFjjGgGUA6NLw09EwE0CqkOc4q9oUmW1yo/edit?usp=sharing"",""แพร่!J414"")"),0)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IFERROR(__xludf.DUMMYFUNCTION("IMPORTRANGE(""https://docs.google.com/spreadsheets/d/11923uPwbBZFjjGgGUA6NLw09EwE0CqkOc4q9oUmW1yo/edit?usp=sharing"",""แพร่!I415"")"),0)</f>
        <v>0</v>
      </c>
      <c r="J520" s="197">
        <f ca="1">IFERROR(__xludf.DUMMYFUNCTION("IMPORTRANGE(""https://docs.google.com/spreadsheets/d/11923uPwbBZFjjGgGUA6NLw09EwE0CqkOc4q9oUmW1yo/edit?usp=sharing"",""แพร่!J415"")"),0)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IFERROR(__xludf.DUMMYFUNCTION("IMPORTRANGE(""https://docs.google.com/spreadsheets/d/11923uPwbBZFjjGgGUA6NLw09EwE0CqkOc4q9oUmW1yo/edit?usp=sharing"",""แพร่!I416"")"),0)</f>
        <v>0</v>
      </c>
      <c r="J521" s="197">
        <f ca="1">IFERROR(__xludf.DUMMYFUNCTION("IMPORTRANGE(""https://docs.google.com/spreadsheets/d/11923uPwbBZFjjGgGUA6NLw09EwE0CqkOc4q9oUmW1yo/edit?usp=sharing"",""แพร่!J416"")"),0)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IFERROR(__xludf.DUMMYFUNCTION("IMPORTRANGE(""https://docs.google.com/spreadsheets/d/11923uPwbBZFjjGgGUA6NLw09EwE0CqkOc4q9oUmW1yo/edit?usp=sharing"",""แพร่!I417"")"),0)</f>
        <v>0</v>
      </c>
      <c r="J522" s="197">
        <f ca="1">IFERROR(__xludf.DUMMYFUNCTION("IMPORTRANGE(""https://docs.google.com/spreadsheets/d/11923uPwbBZFjjGgGUA6NLw09EwE0CqkOc4q9oUmW1yo/edit?usp=sharing"",""แพร่!J417"")"),0)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IFERROR(__xludf.DUMMYFUNCTION("IMPORTRANGE(""https://docs.google.com/spreadsheets/d/11923uPwbBZFjjGgGUA6NLw09EwE0CqkOc4q9oUmW1yo/edit?usp=sharing"",""แพร่!I418"")"),0)</f>
        <v>0</v>
      </c>
      <c r="J523" s="197">
        <f ca="1">IFERROR(__xludf.DUMMYFUNCTION("IMPORTRANGE(""https://docs.google.com/spreadsheets/d/11923uPwbBZFjjGgGUA6NLw09EwE0CqkOc4q9oUmW1yo/edit?usp=sharing"",""แพร่!J418"")"),0)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IFERROR(__xludf.DUMMYFUNCTION("IMPORTRANGE(""https://docs.google.com/spreadsheets/d/11923uPwbBZFjjGgGUA6NLw09EwE0CqkOc4q9oUmW1yo/edit?usp=sharing"",""แพร่!I419"")"),0)</f>
        <v>0</v>
      </c>
      <c r="J524" s="197">
        <f ca="1">IFERROR(__xludf.DUMMYFUNCTION("IMPORTRANGE(""https://docs.google.com/spreadsheets/d/11923uPwbBZFjjGgGUA6NLw09EwE0CqkOc4q9oUmW1yo/edit?usp=sharing"",""แพร่!J419"")"),0)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IFERROR(__xludf.DUMMYFUNCTION("IMPORTRANGE(""https://docs.google.com/spreadsheets/d/11923uPwbBZFjjGgGUA6NLw09EwE0CqkOc4q9oUmW1yo/edit?usp=sharing"",""แพร่!I420"")"),0)</f>
        <v>0</v>
      </c>
      <c r="J525" s="292">
        <f ca="1">IFERROR(__xludf.DUMMYFUNCTION("IMPORTRANGE(""https://docs.google.com/spreadsheets/d/11923uPwbBZFjjGgGUA6NLw09EwE0CqkOc4q9oUmW1yo/edit?usp=sharing"",""แพร่!J420"")"),0)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IFERROR(__xludf.DUMMYFUNCTION("IMPORTRANGE(""https://docs.google.com/spreadsheets/d/11923uPwbBZFjjGgGUA6NLw09EwE0CqkOc4q9oUmW1yo/edit?usp=sharing"",""แพร่!I421"")"),0)</f>
        <v>0</v>
      </c>
      <c r="J526" s="292">
        <f ca="1">IFERROR(__xludf.DUMMYFUNCTION("IMPORTRANGE(""https://docs.google.com/spreadsheets/d/11923uPwbBZFjjGgGUA6NLw09EwE0CqkOc4q9oUmW1yo/edit?usp=sharing"",""แพร่!J421"")"),0)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IFERROR(__xludf.DUMMYFUNCTION("IMPORTRANGE(""https://docs.google.com/spreadsheets/d/11923uPwbBZFjjGgGUA6NLw09EwE0CqkOc4q9oUmW1yo/edit?usp=sharing"",""แพร่!I422"")"),0)</f>
        <v>0</v>
      </c>
      <c r="J527" s="207">
        <f ca="1">IFERROR(__xludf.DUMMYFUNCTION("IMPORTRANGE(""https://docs.google.com/spreadsheets/d/11923uPwbBZFjjGgGUA6NLw09EwE0CqkOc4q9oUmW1yo/edit?usp=sharing"",""แพร่!J422"")"),0)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IFERROR(__xludf.DUMMYFUNCTION("IMPORTRANGE(""https://docs.google.com/spreadsheets/d/11923uPwbBZFjjGgGUA6NLw09EwE0CqkOc4q9oUmW1yo/edit?usp=sharing"",""แพร่!I423"")"),0)</f>
        <v>0</v>
      </c>
      <c r="J528" s="207">
        <f ca="1">IFERROR(__xludf.DUMMYFUNCTION("IMPORTRANGE(""https://docs.google.com/spreadsheets/d/11923uPwbBZFjjGgGUA6NLw09EwE0CqkOc4q9oUmW1yo/edit?usp=sharing"",""แพร่!J423"")"),0)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IFERROR(__xludf.DUMMYFUNCTION("IMPORTRANGE(""https://docs.google.com/spreadsheets/d/11923uPwbBZFjjGgGUA6NLw09EwE0CqkOc4q9oUmW1yo/edit?usp=sharing"",""แพร่!I424"")"),0)</f>
        <v>0</v>
      </c>
      <c r="J529" s="207">
        <f ca="1">IFERROR(__xludf.DUMMYFUNCTION("IMPORTRANGE(""https://docs.google.com/spreadsheets/d/11923uPwbBZFjjGgGUA6NLw09EwE0CqkOc4q9oUmW1yo/edit?usp=sharing"",""แพร่!J424"")"),0)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IFERROR(__xludf.DUMMYFUNCTION("IMPORTRANGE(""https://docs.google.com/spreadsheets/d/11923uPwbBZFjjGgGUA6NLw09EwE0CqkOc4q9oUmW1yo/edit?usp=sharing"",""แพร่!I425"")"),0)</f>
        <v>0</v>
      </c>
      <c r="J530" s="207">
        <f ca="1">IFERROR(__xludf.DUMMYFUNCTION("IMPORTRANGE(""https://docs.google.com/spreadsheets/d/11923uPwbBZFjjGgGUA6NLw09EwE0CqkOc4q9oUmW1yo/edit?usp=sharing"",""แพร่!J425"")"),0)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IFERROR(__xludf.DUMMYFUNCTION("IMPORTRANGE(""https://docs.google.com/spreadsheets/d/11923uPwbBZFjjGgGUA6NLw09EwE0CqkOc4q9oUmW1yo/edit?usp=sharing"",""แพร่!I426"")"),0)</f>
        <v>0</v>
      </c>
      <c r="J531" s="207">
        <f ca="1">IFERROR(__xludf.DUMMYFUNCTION("IMPORTRANGE(""https://docs.google.com/spreadsheets/d/11923uPwbBZFjjGgGUA6NLw09EwE0CqkOc4q9oUmW1yo/edit?usp=sharing"",""แพร่!J426"")"),0)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IFERROR(__xludf.DUMMYFUNCTION("IMPORTRANGE(""https://docs.google.com/spreadsheets/d/11923uPwbBZFjjGgGUA6NLw09EwE0CqkOc4q9oUmW1yo/edit?usp=sharing"",""แพร่!I427"")"),0)</f>
        <v>0</v>
      </c>
      <c r="J532" s="474">
        <f ca="1">IFERROR(__xludf.DUMMYFUNCTION("IMPORTRANGE(""https://docs.google.com/spreadsheets/d/11923uPwbBZFjjGgGUA6NLw09EwE0CqkOc4q9oUmW1yo/edit?usp=sharing"",""แพร่!J427"")"),0)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IFERROR(__xludf.DUMMYFUNCTION("IMPORTRANGE(""https://docs.google.com/spreadsheets/d/11923uPwbBZFjjGgGUA6NLw09EwE0CqkOc4q9oUmW1yo/edit?usp=sharing"",""แพร่!I428"")"),22)</f>
        <v>22</v>
      </c>
      <c r="J533" s="418">
        <f ca="1">IFERROR(__xludf.DUMMYFUNCTION("IMPORTRANGE(""https://docs.google.com/spreadsheets/d/11923uPwbBZFjjGgGUA6NLw09EwE0CqkOc4q9oUmW1yo/edit?usp=sharing"",""แพร่!J428"")"),22)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IFERROR(__xludf.DUMMYFUNCTION("IMPORTRANGE(""https://docs.google.com/spreadsheets/d/11923uPwbBZFjjGgGUA6NLw09EwE0CqkOc4q9oUmW1yo/edit?usp=sharing"",""แพร่!L428"")"),34340)</f>
        <v>34340</v>
      </c>
      <c r="M533" s="420"/>
      <c r="N533" s="420">
        <f ca="1">IFERROR(__xludf.DUMMYFUNCTION("IMPORTRANGE(""https://docs.google.com/spreadsheets/d/11923uPwbBZFjjGgGUA6NLw09EwE0CqkOc4q9oUmW1yo/edit?usp=sharing"",""แพร่!M428"")"),21312)</f>
        <v>21312</v>
      </c>
      <c r="O533" s="420">
        <f t="shared" ref="O533:O537" ca="1" si="118">+IF(L533&gt;0,N533*100/L533,0)</f>
        <v>62.061735585323241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IFERROR(__xludf.DUMMYFUNCTION("IMPORTRANGE(""https://docs.google.com/spreadsheets/d/11923uPwbBZFjjGgGUA6NLw09EwE0CqkOc4q9oUmW1yo/edit?usp=sharing"",""แพร่!L429"")"),0)</f>
        <v>0</v>
      </c>
      <c r="M534" s="172"/>
      <c r="N534" s="178">
        <f ca="1">IFERROR(__xludf.DUMMYFUNCTION("IMPORTRANGE(""https://docs.google.com/spreadsheets/d/11923uPwbBZFjjGgGUA6NLw09EwE0CqkOc4q9oUmW1yo/edit?usp=sharing"",""แพร่!M429"")"),0)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IFERROR(__xludf.DUMMYFUNCTION("IMPORTRANGE(""https://docs.google.com/spreadsheets/d/11923uPwbBZFjjGgGUA6NLw09EwE0CqkOc4q9oUmW1yo/edit?usp=sharing"",""แพร่!L430"")"),34340)</f>
        <v>34340</v>
      </c>
      <c r="M535" s="173"/>
      <c r="N535" s="178">
        <f ca="1">IFERROR(__xludf.DUMMYFUNCTION("IMPORTRANGE(""https://docs.google.com/spreadsheets/d/11923uPwbBZFjjGgGUA6NLw09EwE0CqkOc4q9oUmW1yo/edit?usp=sharing"",""แพร่!M430"")"),21312)</f>
        <v>21312</v>
      </c>
      <c r="O535" s="178">
        <f t="shared" ca="1" si="118"/>
        <v>62.061735585323241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IFERROR(__xludf.DUMMYFUNCTION("IMPORTRANGE(""https://docs.google.com/spreadsheets/d/11923uPwbBZFjjGgGUA6NLw09EwE0CqkOc4q9oUmW1yo/edit?usp=sharing"",""แพร่!L431"")"),0)</f>
        <v>0</v>
      </c>
      <c r="M536" s="178"/>
      <c r="N536" s="178">
        <f ca="1">IFERROR(__xludf.DUMMYFUNCTION("IMPORTRANGE(""https://docs.google.com/spreadsheets/d/11923uPwbBZFjjGgGUA6NLw09EwE0CqkOc4q9oUmW1yo/edit?usp=sharing"",""แพร่!M431"")"),0)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IFERROR(__xludf.DUMMYFUNCTION("IMPORTRANGE(""https://docs.google.com/spreadsheets/d/11923uPwbBZFjjGgGUA6NLw09EwE0CqkOc4q9oUmW1yo/edit?usp=sharing"",""แพร่!L432"")"),34340)</f>
        <v>34340</v>
      </c>
      <c r="M537" s="178"/>
      <c r="N537" s="178">
        <f ca="1">IFERROR(__xludf.DUMMYFUNCTION("IMPORTRANGE(""https://docs.google.com/spreadsheets/d/11923uPwbBZFjjGgGUA6NLw09EwE0CqkOc4q9oUmW1yo/edit?usp=sharing"",""แพร่!M432"")"),21312)</f>
        <v>21312</v>
      </c>
      <c r="O537" s="178">
        <f t="shared" ca="1" si="118"/>
        <v>62.061735585323241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IFERROR(__xludf.DUMMYFUNCTION("IMPORTRANGE(""https://docs.google.com/spreadsheets/d/11923uPwbBZFjjGgGUA6NLw09EwE0CqkOc4q9oUmW1yo/edit?usp=sharing"",""แพร่!M433"")"),17860)</f>
        <v>17860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IFERROR(__xludf.DUMMYFUNCTION("IMPORTRANGE(""https://docs.google.com/spreadsheets/d/11923uPwbBZFjjGgGUA6NLw09EwE0CqkOc4q9oUmW1yo/edit?usp=sharing"",""แพร่!M434"")"),0)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IFERROR(__xludf.DUMMYFUNCTION("IMPORTRANGE(""https://docs.google.com/spreadsheets/d/11923uPwbBZFjjGgGUA6NLw09EwE0CqkOc4q9oUmW1yo/edit?usp=sharing"",""แพร่!M435"")"),0)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IFERROR(__xludf.DUMMYFUNCTION("IMPORTRANGE(""https://docs.google.com/spreadsheets/d/11923uPwbBZFjjGgGUA6NLw09EwE0CqkOc4q9oUmW1yo/edit?usp=sharing"",""แพร่!M436"")"),3452)</f>
        <v>3452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IFERROR(__xludf.DUMMYFUNCTION("IMPORTRANGE(""https://docs.google.com/spreadsheets/d/11923uPwbBZFjjGgGUA6NLw09EwE0CqkOc4q9oUmW1yo/edit?usp=sharing"",""แพร่!J438"")"),0)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IFERROR(__xludf.DUMMYFUNCTION("IMPORTRANGE(""https://docs.google.com/spreadsheets/d/11923uPwbBZFjjGgGUA6NLw09EwE0CqkOc4q9oUmW1yo/edit?usp=sharing"",""แพร่!J439"")"),1)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IFERROR(__xludf.DUMMYFUNCTION("IMPORTRANGE(""https://docs.google.com/spreadsheets/d/11923uPwbBZFjjGgGUA6NLw09EwE0CqkOc4q9oUmW1yo/edit?usp=sharing"",""แพร่!J440"")"),1)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IFERROR(__xludf.DUMMYFUNCTION("IMPORTRANGE(""https://docs.google.com/spreadsheets/d/11923uPwbBZFjjGgGUA6NLw09EwE0CqkOc4q9oUmW1yo/edit?usp=sharing"",""แพร่!J441"")"),1)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IFERROR(__xludf.DUMMYFUNCTION("IMPORTRANGE(""https://docs.google.com/spreadsheets/d/11923uPwbBZFjjGgGUA6NLw09EwE0CqkOc4q9oUmW1yo/edit?usp=sharing"",""แพร่!I442"")"),22)</f>
        <v>22</v>
      </c>
      <c r="J547" s="198">
        <f ca="1">IFERROR(__xludf.DUMMYFUNCTION("IMPORTRANGE(""https://docs.google.com/spreadsheets/d/11923uPwbBZFjjGgGUA6NLw09EwE0CqkOc4q9oUmW1yo/edit?usp=sharing"",""แพร่!J442"")"),22)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IFERROR(__xludf.DUMMYFUNCTION("IMPORTRANGE(""https://docs.google.com/spreadsheets/d/11923uPwbBZFjjGgGUA6NLw09EwE0CqkOc4q9oUmW1yo/edit?usp=sharing"",""แพร่!J166"")"),0)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IFERROR(__xludf.DUMMYFUNCTION("IMPORTRANGE(""https://docs.google.com/spreadsheets/d/11923uPwbBZFjjGgGUA6NLw09EwE0CqkOc4q9oUmW1yo/edit?usp=sharing"",""แพร่!J444"")"),0)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IFERROR(__xludf.DUMMYFUNCTION("IMPORTRANGE(""https://docs.google.com/spreadsheets/d/11923uPwbBZFjjGgGUA6NLw09EwE0CqkOc4q9oUmW1yo/edit?usp=sharing"",""แพร่!J445"")"),0)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IFERROR(__xludf.DUMMYFUNCTION("IMPORTRANGE(""https://docs.google.com/spreadsheets/d/11923uPwbBZFjjGgGUA6NLw09EwE0CqkOc4q9oUmW1yo/edit?usp=sharing"",""แพร่!I446"")"),0)</f>
        <v>0</v>
      </c>
      <c r="J551" s="418">
        <f ca="1">IFERROR(__xludf.DUMMYFUNCTION("IMPORTRANGE(""https://docs.google.com/spreadsheets/d/11923uPwbBZFjjGgGUA6NLw09EwE0CqkOc4q9oUmW1yo/edit?usp=sharing"",""แพร่!J446"")"),0)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IFERROR(__xludf.DUMMYFUNCTION("IMPORTRANGE(""https://docs.google.com/spreadsheets/d/11923uPwbBZFjjGgGUA6NLw09EwE0CqkOc4q9oUmW1yo/edit?usp=sharing"",""แพร่!L446"")"),0)</f>
        <v>0</v>
      </c>
      <c r="M551" s="420"/>
      <c r="N551" s="420">
        <f ca="1">IFERROR(__xludf.DUMMYFUNCTION("IMPORTRANGE(""https://docs.google.com/spreadsheets/d/11923uPwbBZFjjGgGUA6NLw09EwE0CqkOc4q9oUmW1yo/edit?usp=sharing"",""แพร่!M446"")"),0)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IFERROR(__xludf.DUMMYFUNCTION("IMPORTRANGE(""https://docs.google.com/spreadsheets/d/11923uPwbBZFjjGgGUA6NLw09EwE0CqkOc4q9oUmW1yo/edit?usp=sharing"",""แพร่!L447"")"),0)</f>
        <v>0</v>
      </c>
      <c r="M552" s="172"/>
      <c r="N552" s="178">
        <f ca="1">IFERROR(__xludf.DUMMYFUNCTION("IMPORTRANGE(""https://docs.google.com/spreadsheets/d/11923uPwbBZFjjGgGUA6NLw09EwE0CqkOc4q9oUmW1yo/edit?usp=sharing"",""แพร่!M447"")"),0)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IFERROR(__xludf.DUMMYFUNCTION("IMPORTRANGE(""https://docs.google.com/spreadsheets/d/11923uPwbBZFjjGgGUA6NLw09EwE0CqkOc4q9oUmW1yo/edit?usp=sharing"",""แพร่!L448"")"),0)</f>
        <v>0</v>
      </c>
      <c r="M553" s="173"/>
      <c r="N553" s="178">
        <f ca="1">IFERROR(__xludf.DUMMYFUNCTION("IMPORTRANGE(""https://docs.google.com/spreadsheets/d/11923uPwbBZFjjGgGUA6NLw09EwE0CqkOc4q9oUmW1yo/edit?usp=sharing"",""แพร่!M448"")"),0)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IFERROR(__xludf.DUMMYFUNCTION("IMPORTRANGE(""https://docs.google.com/spreadsheets/d/11923uPwbBZFjjGgGUA6NLw09EwE0CqkOc4q9oUmW1yo/edit?usp=sharing"",""แพร่!L449"")"),0)</f>
        <v>0</v>
      </c>
      <c r="M554" s="178"/>
      <c r="N554" s="178">
        <f ca="1">IFERROR(__xludf.DUMMYFUNCTION("IMPORTRANGE(""https://docs.google.com/spreadsheets/d/11923uPwbBZFjjGgGUA6NLw09EwE0CqkOc4q9oUmW1yo/edit?usp=sharing"",""แพร่!M449"")"),0)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IFERROR(__xludf.DUMMYFUNCTION("IMPORTRANGE(""https://docs.google.com/spreadsheets/d/11923uPwbBZFjjGgGUA6NLw09EwE0CqkOc4q9oUmW1yo/edit?usp=sharing"",""แพร่!L450"")"),0)</f>
        <v>0</v>
      </c>
      <c r="M555" s="178"/>
      <c r="N555" s="178">
        <f ca="1">IFERROR(__xludf.DUMMYFUNCTION("IMPORTRANGE(""https://docs.google.com/spreadsheets/d/11923uPwbBZFjjGgGUA6NLw09EwE0CqkOc4q9oUmW1yo/edit?usp=sharing"",""แพร่!M450"")"),0)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IFERROR(__xludf.DUMMYFUNCTION("IMPORTRANGE(""https://docs.google.com/spreadsheets/d/11923uPwbBZFjjGgGUA6NLw09EwE0CqkOc4q9oUmW1yo/edit?usp=sharing"",""แพร่!M451"")"),0)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IFERROR(__xludf.DUMMYFUNCTION("IMPORTRANGE(""https://docs.google.com/spreadsheets/d/11923uPwbBZFjjGgGUA6NLw09EwE0CqkOc4q9oUmW1yo/edit?usp=sharing"",""แพร่!M452"")"),0)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IFERROR(__xludf.DUMMYFUNCTION("IMPORTRANGE(""https://docs.google.com/spreadsheets/d/11923uPwbBZFjjGgGUA6NLw09EwE0CqkOc4q9oUmW1yo/edit?usp=sharing"",""แพร่!M453"")"),0)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IFERROR(__xludf.DUMMYFUNCTION("IMPORTRANGE(""https://docs.google.com/spreadsheets/d/11923uPwbBZFjjGgGUA6NLw09EwE0CqkOc4q9oUmW1yo/edit?usp=sharing"",""แพร่!M454"")"),0)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IFERROR(__xludf.DUMMYFUNCTION("IMPORTRANGE(""https://docs.google.com/spreadsheets/d/11923uPwbBZFjjGgGUA6NLw09EwE0CqkOc4q9oUmW1yo/edit?usp=sharing"",""แพร่!I455"")"),0)</f>
        <v>0</v>
      </c>
      <c r="J560" s="170">
        <f ca="1">IFERROR(__xludf.DUMMYFUNCTION("IMPORTRANGE(""https://docs.google.com/spreadsheets/d/11923uPwbBZFjjGgGUA6NLw09EwE0CqkOc4q9oUmW1yo/edit?usp=sharing"",""แพร่!J455"")"),0)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IFERROR(__xludf.DUMMYFUNCTION("IMPORTRANGE(""https://docs.google.com/spreadsheets/d/11923uPwbBZFjjGgGUA6NLw09EwE0CqkOc4q9oUmW1yo/edit?usp=sharing"",""แพร่!I456"")"),0)</f>
        <v>0</v>
      </c>
      <c r="J561" s="213">
        <f ca="1">IFERROR(__xludf.DUMMYFUNCTION("IMPORTRANGE(""https://docs.google.com/spreadsheets/d/11923uPwbBZFjjGgGUA6NLw09EwE0CqkOc4q9oUmW1yo/edit?usp=sharing"",""แพร่!J456"")"),0)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IFERROR(__xludf.DUMMYFUNCTION("IMPORTRANGE(""https://docs.google.com/spreadsheets/d/11923uPwbBZFjjGgGUA6NLw09EwE0CqkOc4q9oUmW1yo/edit?usp=sharing"",""แพร่!I457"")"),"")</f>
        <v/>
      </c>
      <c r="J562" s="213" t="str">
        <f ca="1">IFERROR(__xludf.DUMMYFUNCTION("IMPORTRANGE(""https://docs.google.com/spreadsheets/d/11923uPwbBZFjjGgGUA6NLw09EwE0CqkOc4q9oUmW1yo/edit?usp=sharing"",""แพร่!J457"")"),"")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IFERROR(__xludf.DUMMYFUNCTION("IMPORTRANGE(""https://docs.google.com/spreadsheets/d/11923uPwbBZFjjGgGUA6NLw09EwE0CqkOc4q9oUmW1yo/edit?usp=sharing"",""แพร่!I458"")"),"")</f>
        <v/>
      </c>
      <c r="J563" s="197" t="str">
        <f ca="1">IFERROR(__xludf.DUMMYFUNCTION("IMPORTRANGE(""https://docs.google.com/spreadsheets/d/11923uPwbBZFjjGgGUA6NLw09EwE0CqkOc4q9oUmW1yo/edit?usp=sharing"",""แพร่!J458"")"),"")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IFERROR(__xludf.DUMMYFUNCTION("IMPORTRANGE(""https://docs.google.com/spreadsheets/d/11923uPwbBZFjjGgGUA6NLw09EwE0CqkOc4q9oUmW1yo/edit?usp=sharing"",""แพร่!I459"")"),1200)</f>
        <v>1200</v>
      </c>
      <c r="J564" s="379">
        <f ca="1">IFERROR(__xludf.DUMMYFUNCTION("IMPORTRANGE(""https://docs.google.com/spreadsheets/d/11923uPwbBZFjjGgGUA6NLw09EwE0CqkOc4q9oUmW1yo/edit?usp=sharing"",""แพร่!J459"")"),780)</f>
        <v>780</v>
      </c>
      <c r="K564" s="380">
        <f t="shared" ca="1" si="121"/>
        <v>65</v>
      </c>
      <c r="L564" s="381">
        <f ca="1">IFERROR(__xludf.DUMMYFUNCTION("IMPORTRANGE(""https://docs.google.com/spreadsheets/d/11923uPwbBZFjjGgGUA6NLw09EwE0CqkOc4q9oUmW1yo/edit?usp=sharing"",""แพร่!L459"")"),126480)</f>
        <v>126480</v>
      </c>
      <c r="M564" s="381"/>
      <c r="N564" s="381">
        <f ca="1">IFERROR(__xludf.DUMMYFUNCTION("IMPORTRANGE(""https://docs.google.com/spreadsheets/d/11923uPwbBZFjjGgGUA6NLw09EwE0CqkOc4q9oUmW1yo/edit?usp=sharing"",""แพร่!M459"")"),16731)</f>
        <v>16731</v>
      </c>
      <c r="O564" s="381">
        <f t="shared" ref="O564:O568" ca="1" si="122">+IF(L564&gt;0,N564*100/L564,0)</f>
        <v>13.228178368121442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IFERROR(__xludf.DUMMYFUNCTION("IMPORTRANGE(""https://docs.google.com/spreadsheets/d/11923uPwbBZFjjGgGUA6NLw09EwE0CqkOc4q9oUmW1yo/edit?usp=sharing"",""แพร่!L460"")"),0)</f>
        <v>0</v>
      </c>
      <c r="M565" s="172"/>
      <c r="N565" s="178">
        <f ca="1">IFERROR(__xludf.DUMMYFUNCTION("IMPORTRANGE(""https://docs.google.com/spreadsheets/d/11923uPwbBZFjjGgGUA6NLw09EwE0CqkOc4q9oUmW1yo/edit?usp=sharing"",""แพร่!M460"")"),0)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IFERROR(__xludf.DUMMYFUNCTION("IMPORTRANGE(""https://docs.google.com/spreadsheets/d/11923uPwbBZFjjGgGUA6NLw09EwE0CqkOc4q9oUmW1yo/edit?usp=sharing"",""แพร่!L461"")"),126480)</f>
        <v>126480</v>
      </c>
      <c r="M566" s="173"/>
      <c r="N566" s="178">
        <f ca="1">IFERROR(__xludf.DUMMYFUNCTION("IMPORTRANGE(""https://docs.google.com/spreadsheets/d/11923uPwbBZFjjGgGUA6NLw09EwE0CqkOc4q9oUmW1yo/edit?usp=sharing"",""แพร่!M461"")"),16731)</f>
        <v>16731</v>
      </c>
      <c r="O566" s="178">
        <f t="shared" ca="1" si="122"/>
        <v>13.228178368121442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IFERROR(__xludf.DUMMYFUNCTION("IMPORTRANGE(""https://docs.google.com/spreadsheets/d/11923uPwbBZFjjGgGUA6NLw09EwE0CqkOc4q9oUmW1yo/edit?usp=sharing"",""แพร่!L462"")"),0)</f>
        <v>0</v>
      </c>
      <c r="M567" s="178"/>
      <c r="N567" s="178">
        <f ca="1">IFERROR(__xludf.DUMMYFUNCTION("IMPORTRANGE(""https://docs.google.com/spreadsheets/d/11923uPwbBZFjjGgGUA6NLw09EwE0CqkOc4q9oUmW1yo/edit?usp=sharing"",""แพร่!M462"")"),0)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IFERROR(__xludf.DUMMYFUNCTION("IMPORTRANGE(""https://docs.google.com/spreadsheets/d/11923uPwbBZFjjGgGUA6NLw09EwE0CqkOc4q9oUmW1yo/edit?usp=sharing"",""แพร่!L463"")"),126480)</f>
        <v>126480</v>
      </c>
      <c r="M568" s="178"/>
      <c r="N568" s="178">
        <f ca="1">IFERROR(__xludf.DUMMYFUNCTION("IMPORTRANGE(""https://docs.google.com/spreadsheets/d/11923uPwbBZFjjGgGUA6NLw09EwE0CqkOc4q9oUmW1yo/edit?usp=sharing"",""แพร่!M463"")"),16731)</f>
        <v>16731</v>
      </c>
      <c r="O568" s="178">
        <f t="shared" ca="1" si="122"/>
        <v>13.228178368121442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IFERROR(__xludf.DUMMYFUNCTION("IMPORTRANGE(""https://docs.google.com/spreadsheets/d/11923uPwbBZFjjGgGUA6NLw09EwE0CqkOc4q9oUmW1yo/edit?usp=sharing"",""แพร่!M464"")"),0)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IFERROR(__xludf.DUMMYFUNCTION("IMPORTRANGE(""https://docs.google.com/spreadsheets/d/11923uPwbBZFjjGgGUA6NLw09EwE0CqkOc4q9oUmW1yo/edit?usp=sharing"",""แพร่!M465"")"),0)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IFERROR(__xludf.DUMMYFUNCTION("IMPORTRANGE(""https://docs.google.com/spreadsheets/d/11923uPwbBZFjjGgGUA6NLw09EwE0CqkOc4q9oUmW1yo/edit?usp=sharing"",""แพร่!M466"")"),9899)</f>
        <v>9899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IFERROR(__xludf.DUMMYFUNCTION("IMPORTRANGE(""https://docs.google.com/spreadsheets/d/11923uPwbBZFjjGgGUA6NLw09EwE0CqkOc4q9oUmW1yo/edit?usp=sharing"",""แพร่!M467"")"),6832)</f>
        <v>6832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IFERROR(__xludf.DUMMYFUNCTION("IMPORTRANGE(""https://docs.google.com/spreadsheets/d/11923uPwbBZFjjGgGUA6NLw09EwE0CqkOc4q9oUmW1yo/edit?usp=sharing"",""แพร่!I468"")"),1200)</f>
        <v>1200</v>
      </c>
      <c r="J573" s="428">
        <f ca="1">IFERROR(__xludf.DUMMYFUNCTION("IMPORTRANGE(""https://docs.google.com/spreadsheets/d/11923uPwbBZFjjGgGUA6NLw09EwE0CqkOc4q9oUmW1yo/edit?usp=sharing"",""แพร่!J468"")"),780)</f>
        <v>780</v>
      </c>
      <c r="K573" s="211">
        <f ca="1">IF(I573&gt;0,J573*100/I573,0)</f>
        <v>65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IFERROR(__xludf.DUMMYFUNCTION("IMPORTRANGE(""https://docs.google.com/spreadsheets/d/11923uPwbBZFjjGgGUA6NLw09EwE0CqkOc4q9oUmW1yo/edit?usp=sharing"",""แพร่!I470"")"),0)</f>
        <v>0</v>
      </c>
      <c r="J575" s="207">
        <f ca="1">IFERROR(__xludf.DUMMYFUNCTION("IMPORTRANGE(""https://docs.google.com/spreadsheets/d/11923uPwbBZFjjGgGUA6NLw09EwE0CqkOc4q9oUmW1yo/edit?usp=sharing"",""แพร่!J470"")"),3)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IFERROR(__xludf.DUMMYFUNCTION("IMPORTRANGE(""https://docs.google.com/spreadsheets/d/11923uPwbBZFjjGgGUA6NLw09EwE0CqkOc4q9oUmW1yo/edit?usp=sharing"",""แพร่!I471"")"),0)</f>
        <v>0</v>
      </c>
      <c r="J576" s="207">
        <f ca="1">IFERROR(__xludf.DUMMYFUNCTION("IMPORTRANGE(""https://docs.google.com/spreadsheets/d/11923uPwbBZFjjGgGUA6NLw09EwE0CqkOc4q9oUmW1yo/edit?usp=sharing"",""แพร่!J471"")"),158)</f>
        <v>158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IFERROR(__xludf.DUMMYFUNCTION("IMPORTRANGE(""https://docs.google.com/spreadsheets/d/11923uPwbBZFjjGgGUA6NLw09EwE0CqkOc4q9oUmW1yo/edit?usp=sharing"",""แพร่!I472"")"),0)</f>
        <v>0</v>
      </c>
      <c r="J577" s="198">
        <f ca="1">IFERROR(__xludf.DUMMYFUNCTION("IMPORTRANGE(""https://docs.google.com/spreadsheets/d/11923uPwbBZFjjGgGUA6NLw09EwE0CqkOc4q9oUmW1yo/edit?usp=sharing"",""แพร่!J472"")"),622)</f>
        <v>622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IFERROR(__xludf.DUMMYFUNCTION("IMPORTRANGE(""https://docs.google.com/spreadsheets/d/11923uPwbBZFjjGgGUA6NLw09EwE0CqkOc4q9oUmW1yo/edit?usp=sharing"",""แพร่!I473"")"),0)</f>
        <v>0</v>
      </c>
      <c r="J578" s="207">
        <f ca="1">IFERROR(__xludf.DUMMYFUNCTION("IMPORTRANGE(""https://docs.google.com/spreadsheets/d/11923uPwbBZFjjGgGUA6NLw09EwE0CqkOc4q9oUmW1yo/edit?usp=sharing"",""แพร่!J473"")"),0)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IFERROR(__xludf.DUMMYFUNCTION("IMPORTRANGE(""https://docs.google.com/spreadsheets/d/11923uPwbBZFjjGgGUA6NLw09EwE0CqkOc4q9oUmW1yo/edit?usp=sharing"",""แพร่!I474"")"),0)</f>
        <v>0</v>
      </c>
      <c r="J579" s="207">
        <f ca="1">IFERROR(__xludf.DUMMYFUNCTION("IMPORTRANGE(""https://docs.google.com/spreadsheets/d/11923uPwbBZFjjGgGUA6NLw09EwE0CqkOc4q9oUmW1yo/edit?usp=sharing"",""แพร่!J474"")"),0)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IFERROR(__xludf.DUMMYFUNCTION("IMPORTRANGE(""https://docs.google.com/spreadsheets/d/11923uPwbBZFjjGgGUA6NLw09EwE0CqkOc4q9oUmW1yo/edit?usp=sharing"",""แพร่!I475"")"),0)</f>
        <v>0</v>
      </c>
      <c r="J580" s="379">
        <f ca="1">IFERROR(__xludf.DUMMYFUNCTION("IMPORTRANGE(""https://docs.google.com/spreadsheets/d/11923uPwbBZFjjGgGUA6NLw09EwE0CqkOc4q9oUmW1yo/edit?usp=sharing"",""แพร่!J475"")"),2)</f>
        <v>2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IFERROR(__xludf.DUMMYFUNCTION("IMPORTRANGE(""https://docs.google.com/spreadsheets/d/11923uPwbBZFjjGgGUA6NLw09EwE0CqkOc4q9oUmW1yo/edit?usp=sharing"",""แพร่!L475"")"),0)</f>
        <v>0</v>
      </c>
      <c r="M580" s="381"/>
      <c r="N580" s="381">
        <f ca="1">IFERROR(__xludf.DUMMYFUNCTION("IMPORTRANGE(""https://docs.google.com/spreadsheets/d/11923uPwbBZFjjGgGUA6NLw09EwE0CqkOc4q9oUmW1yo/edit?usp=sharing"",""แพร่!M475"")"),0)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IFERROR(__xludf.DUMMYFUNCTION("IMPORTRANGE(""https://docs.google.com/spreadsheets/d/11923uPwbBZFjjGgGUA6NLw09EwE0CqkOc4q9oUmW1yo/edit?usp=sharing"",""แพร่!L476"")"),0)</f>
        <v>0</v>
      </c>
      <c r="M581" s="172"/>
      <c r="N581" s="178">
        <f ca="1">IFERROR(__xludf.DUMMYFUNCTION("IMPORTRANGE(""https://docs.google.com/spreadsheets/d/11923uPwbBZFjjGgGUA6NLw09EwE0CqkOc4q9oUmW1yo/edit?usp=sharing"",""แพร่!M476"")"),0)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IFERROR(__xludf.DUMMYFUNCTION("IMPORTRANGE(""https://docs.google.com/spreadsheets/d/11923uPwbBZFjjGgGUA6NLw09EwE0CqkOc4q9oUmW1yo/edit?usp=sharing"",""แพร่!L477"")"),0)</f>
        <v>0</v>
      </c>
      <c r="M582" s="173"/>
      <c r="N582" s="178">
        <f ca="1">IFERROR(__xludf.DUMMYFUNCTION("IMPORTRANGE(""https://docs.google.com/spreadsheets/d/11923uPwbBZFjjGgGUA6NLw09EwE0CqkOc4q9oUmW1yo/edit?usp=sharing"",""แพร่!M477"")"),0)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IFERROR(__xludf.DUMMYFUNCTION("IMPORTRANGE(""https://docs.google.com/spreadsheets/d/11923uPwbBZFjjGgGUA6NLw09EwE0CqkOc4q9oUmW1yo/edit?usp=sharing"",""แพร่!L478"")"),0)</f>
        <v>0</v>
      </c>
      <c r="M583" s="178"/>
      <c r="N583" s="178">
        <f ca="1">IFERROR(__xludf.DUMMYFUNCTION("IMPORTRANGE(""https://docs.google.com/spreadsheets/d/11923uPwbBZFjjGgGUA6NLw09EwE0CqkOc4q9oUmW1yo/edit?usp=sharing"",""แพร่!M478"")"),0)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IFERROR(__xludf.DUMMYFUNCTION("IMPORTRANGE(""https://docs.google.com/spreadsheets/d/11923uPwbBZFjjGgGUA6NLw09EwE0CqkOc4q9oUmW1yo/edit?usp=sharing"",""แพร่!L479"")"),0)</f>
        <v>0</v>
      </c>
      <c r="M584" s="178"/>
      <c r="N584" s="178">
        <f ca="1">IFERROR(__xludf.DUMMYFUNCTION("IMPORTRANGE(""https://docs.google.com/spreadsheets/d/11923uPwbBZFjjGgGUA6NLw09EwE0CqkOc4q9oUmW1yo/edit?usp=sharing"",""แพร่!M479"")"),0)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IFERROR(__xludf.DUMMYFUNCTION("IMPORTRANGE(""https://docs.google.com/spreadsheets/d/11923uPwbBZFjjGgGUA6NLw09EwE0CqkOc4q9oUmW1yo/edit?usp=sharing"",""แพร่!M480"")"),0)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IFERROR(__xludf.DUMMYFUNCTION("IMPORTRANGE(""https://docs.google.com/spreadsheets/d/11923uPwbBZFjjGgGUA6NLw09EwE0CqkOc4q9oUmW1yo/edit?usp=sharing"",""แพร่!M481"")"),0)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IFERROR(__xludf.DUMMYFUNCTION("IMPORTRANGE(""https://docs.google.com/spreadsheets/d/11923uPwbBZFjjGgGUA6NLw09EwE0CqkOc4q9oUmW1yo/edit?usp=sharing"",""แพร่!M482"")"),0)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IFERROR(__xludf.DUMMYFUNCTION("IMPORTRANGE(""https://docs.google.com/spreadsheets/d/11923uPwbBZFjjGgGUA6NLw09EwE0CqkOc4q9oUmW1yo/edit?usp=sharing"",""แพร่!M483"")"),0)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IFERROR(__xludf.DUMMYFUNCTION("IMPORTRANGE(""https://docs.google.com/spreadsheets/d/11923uPwbBZFjjGgGUA6NLw09EwE0CqkOc4q9oUmW1yo/edit?usp=sharing"",""แพร่!I484"")"),0)</f>
        <v>0</v>
      </c>
      <c r="J589" s="197">
        <f ca="1">IFERROR(__xludf.DUMMYFUNCTION("IMPORTRANGE(""https://docs.google.com/spreadsheets/d/11923uPwbBZFjjGgGUA6NLw09EwE0CqkOc4q9oUmW1yo/edit?usp=sharing"",""แพร่!J484"")"),2)</f>
        <v>2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IFERROR(__xludf.DUMMYFUNCTION("IMPORTRANGE(""https://docs.google.com/spreadsheets/d/11923uPwbBZFjjGgGUA6NLw09EwE0CqkOc4q9oUmW1yo/edit?usp=sharing"",""แพร่!I485"")"),0)</f>
        <v>0</v>
      </c>
      <c r="J590" s="197">
        <f ca="1">IFERROR(__xludf.DUMMYFUNCTION("IMPORTRANGE(""https://docs.google.com/spreadsheets/d/11923uPwbBZFjjGgGUA6NLw09EwE0CqkOc4q9oUmW1yo/edit?usp=sharing"",""แพร่!J485"")"),1.65)</f>
        <v>1.65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IFERROR(__xludf.DUMMYFUNCTION("IMPORTRANGE(""https://docs.google.com/spreadsheets/d/11923uPwbBZFjjGgGUA6NLw09EwE0CqkOc4q9oUmW1yo/edit?usp=sharing"",""แพร่!I486"")"),0)</f>
        <v>0</v>
      </c>
      <c r="J591" s="197">
        <f ca="1">IFERROR(__xludf.DUMMYFUNCTION("IMPORTRANGE(""https://docs.google.com/spreadsheets/d/11923uPwbBZFjjGgGUA6NLw09EwE0CqkOc4q9oUmW1yo/edit?usp=sharing"",""แพร่!J486"")"),2)</f>
        <v>2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IFERROR(__xludf.DUMMYFUNCTION("IMPORTRANGE(""https://docs.google.com/spreadsheets/d/11923uPwbBZFjjGgGUA6NLw09EwE0CqkOc4q9oUmW1yo/edit?usp=sharing"",""แพร่!I487"")"),0)</f>
        <v>0</v>
      </c>
      <c r="J592" s="197">
        <f ca="1">IFERROR(__xludf.DUMMYFUNCTION("IMPORTRANGE(""https://docs.google.com/spreadsheets/d/11923uPwbBZFjjGgGUA6NLw09EwE0CqkOc4q9oUmW1yo/edit?usp=sharing"",""แพร่!J487"")"),1.65)</f>
        <v>1.65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IFERROR(__xludf.DUMMYFUNCTION("IMPORTRANGE(""https://docs.google.com/spreadsheets/d/11923uPwbBZFjjGgGUA6NLw09EwE0CqkOc4q9oUmW1yo/edit?usp=sharing"",""แพร่!I488"")"),0)</f>
        <v>0</v>
      </c>
      <c r="J593" s="197">
        <f ca="1">IFERROR(__xludf.DUMMYFUNCTION("IMPORTRANGE(""https://docs.google.com/spreadsheets/d/11923uPwbBZFjjGgGUA6NLw09EwE0CqkOc4q9oUmW1yo/edit?usp=sharing"",""แพร่!J488"")"),0)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IFERROR(__xludf.DUMMYFUNCTION("IMPORTRANGE(""https://docs.google.com/spreadsheets/d/11923uPwbBZFjjGgGUA6NLw09EwE0CqkOc4q9oUmW1yo/edit?usp=sharing"",""แพร่!I489"")"),0)</f>
        <v>0</v>
      </c>
      <c r="J594" s="197">
        <f ca="1">IFERROR(__xludf.DUMMYFUNCTION("IMPORTRANGE(""https://docs.google.com/spreadsheets/d/11923uPwbBZFjjGgGUA6NLw09EwE0CqkOc4q9oUmW1yo/edit?usp=sharing"",""แพร่!J489"")"),0)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IFERROR(__xludf.DUMMYFUNCTION("IMPORTRANGE(""https://docs.google.com/spreadsheets/d/11923uPwbBZFjjGgGUA6NLw09EwE0CqkOc4q9oUmW1yo/edit?usp=sharing"",""แพร่!I490"")"),0)</f>
        <v>0</v>
      </c>
      <c r="J595" s="197">
        <f ca="1">IFERROR(__xludf.DUMMYFUNCTION("IMPORTRANGE(""https://docs.google.com/spreadsheets/d/11923uPwbBZFjjGgGUA6NLw09EwE0CqkOc4q9oUmW1yo/edit?usp=sharing"",""แพร่!J490"")"),2)</f>
        <v>2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IFERROR(__xludf.DUMMYFUNCTION("IMPORTRANGE(""https://docs.google.com/spreadsheets/d/11923uPwbBZFjjGgGUA6NLw09EwE0CqkOc4q9oUmW1yo/edit?usp=sharing"",""แพร่!I491"")"),0)</f>
        <v>0</v>
      </c>
      <c r="J596" s="250">
        <f ca="1">IFERROR(__xludf.DUMMYFUNCTION("IMPORTRANGE(""https://docs.google.com/spreadsheets/d/11923uPwbBZFjjGgGUA6NLw09EwE0CqkOc4q9oUmW1yo/edit?usp=sharing"",""แพร่!J491"")"),1.65)</f>
        <v>1.65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IFERROR(__xludf.DUMMYFUNCTION("IMPORTRANGE(""https://docs.google.com/spreadsheets/d/11923uPwbBZFjjGgGUA6NLw09EwE0CqkOc4q9oUmW1yo/edit?usp=sharing"",""แพร่!I492"")"),50)</f>
        <v>50</v>
      </c>
      <c r="J597" s="495">
        <f ca="1">IFERROR(__xludf.DUMMYFUNCTION("IMPORTRANGE(""https://docs.google.com/spreadsheets/d/11923uPwbBZFjjGgGUA6NLw09EwE0CqkOc4q9oUmW1yo/edit?usp=sharing"",""แพร่!J492"")"),0)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IFERROR(__xludf.DUMMYFUNCTION("IMPORTRANGE(""https://docs.google.com/spreadsheets/d/11923uPwbBZFjjGgGUA6NLw09EwE0CqkOc4q9oUmW1yo/edit?usp=sharing"",""แพร่!L492"")"),4550)</f>
        <v>4550</v>
      </c>
      <c r="M597" s="420"/>
      <c r="N597" s="420">
        <f ca="1">IFERROR(__xludf.DUMMYFUNCTION("IMPORTRANGE(""https://docs.google.com/spreadsheets/d/11923uPwbBZFjjGgGUA6NLw09EwE0CqkOc4q9oUmW1yo/edit?usp=sharing"",""แพร่!M492"")"),432)</f>
        <v>432</v>
      </c>
      <c r="O597" s="420">
        <f t="shared" ref="O597:O601" ca="1" si="126">+IF(L597&gt;0,N597*100/L597,0)</f>
        <v>9.4945054945054945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IFERROR(__xludf.DUMMYFUNCTION("IMPORTRANGE(""https://docs.google.com/spreadsheets/d/11923uPwbBZFjjGgGUA6NLw09EwE0CqkOc4q9oUmW1yo/edit?usp=sharing"",""แพร่!L493"")"),0)</f>
        <v>0</v>
      </c>
      <c r="M598" s="172"/>
      <c r="N598" s="178">
        <f ca="1">IFERROR(__xludf.DUMMYFUNCTION("IMPORTRANGE(""https://docs.google.com/spreadsheets/d/11923uPwbBZFjjGgGUA6NLw09EwE0CqkOc4q9oUmW1yo/edit?usp=sharing"",""แพร่!M493"")"),0)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IFERROR(__xludf.DUMMYFUNCTION("IMPORTRANGE(""https://docs.google.com/spreadsheets/d/11923uPwbBZFjjGgGUA6NLw09EwE0CqkOc4q9oUmW1yo/edit?usp=sharing"",""แพร่!L494"")"),4550)</f>
        <v>4550</v>
      </c>
      <c r="M599" s="173"/>
      <c r="N599" s="178">
        <f ca="1">IFERROR(__xludf.DUMMYFUNCTION("IMPORTRANGE(""https://docs.google.com/spreadsheets/d/11923uPwbBZFjjGgGUA6NLw09EwE0CqkOc4q9oUmW1yo/edit?usp=sharing"",""แพร่!M494"")"),432)</f>
        <v>432</v>
      </c>
      <c r="O599" s="178">
        <f t="shared" ca="1" si="126"/>
        <v>9.4945054945054945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IFERROR(__xludf.DUMMYFUNCTION("IMPORTRANGE(""https://docs.google.com/spreadsheets/d/11923uPwbBZFjjGgGUA6NLw09EwE0CqkOc4q9oUmW1yo/edit?usp=sharing"",""แพร่!L495"")"),0)</f>
        <v>0</v>
      </c>
      <c r="M600" s="178"/>
      <c r="N600" s="178">
        <f ca="1">IFERROR(__xludf.DUMMYFUNCTION("IMPORTRANGE(""https://docs.google.com/spreadsheets/d/11923uPwbBZFjjGgGUA6NLw09EwE0CqkOc4q9oUmW1yo/edit?usp=sharing"",""แพร่!M495"")"),0)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IFERROR(__xludf.DUMMYFUNCTION("IMPORTRANGE(""https://docs.google.com/spreadsheets/d/11923uPwbBZFjjGgGUA6NLw09EwE0CqkOc4q9oUmW1yo/edit?usp=sharing"",""แพร่!L496"")"),4550)</f>
        <v>4550</v>
      </c>
      <c r="M601" s="178"/>
      <c r="N601" s="178">
        <f ca="1">IFERROR(__xludf.DUMMYFUNCTION("IMPORTRANGE(""https://docs.google.com/spreadsheets/d/11923uPwbBZFjjGgGUA6NLw09EwE0CqkOc4q9oUmW1yo/edit?usp=sharing"",""แพร่!M496"")"),432)</f>
        <v>432</v>
      </c>
      <c r="O601" s="178">
        <f t="shared" ca="1" si="126"/>
        <v>9.4945054945054945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IFERROR(__xludf.DUMMYFUNCTION("IMPORTRANGE(""https://docs.google.com/spreadsheets/d/11923uPwbBZFjjGgGUA6NLw09EwE0CqkOc4q9oUmW1yo/edit?usp=sharing"",""แพร่!M497"")"),0)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IFERROR(__xludf.DUMMYFUNCTION("IMPORTRANGE(""https://docs.google.com/spreadsheets/d/11923uPwbBZFjjGgGUA6NLw09EwE0CqkOc4q9oUmW1yo/edit?usp=sharing"",""แพร่!M498"")"),0)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IFERROR(__xludf.DUMMYFUNCTION("IMPORTRANGE(""https://docs.google.com/spreadsheets/d/11923uPwbBZFjjGgGUA6NLw09EwE0CqkOc4q9oUmW1yo/edit?usp=sharing"",""แพร่!M499"")"),0)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IFERROR(__xludf.DUMMYFUNCTION("IMPORTRANGE(""https://docs.google.com/spreadsheets/d/11923uPwbBZFjjGgGUA6NLw09EwE0CqkOc4q9oUmW1yo/edit?usp=sharing"",""แพร่!M500"")"),432)</f>
        <v>432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IFERROR(__xludf.DUMMYFUNCTION("IMPORTRANGE(""https://docs.google.com/spreadsheets/d/11923uPwbBZFjjGgGUA6NLw09EwE0CqkOc4q9oUmW1yo/edit?usp=sharing"",""แพร่!J502"")"),0)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IFERROR(__xludf.DUMMYFUNCTION("IMPORTRANGE(""https://docs.google.com/spreadsheets/d/11923uPwbBZFjjGgGUA6NLw09EwE0CqkOc4q9oUmW1yo/edit?usp=sharing"",""แพร่!J503"")"),1)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IFERROR(__xludf.DUMMYFUNCTION("IMPORTRANGE(""https://docs.google.com/spreadsheets/d/11923uPwbBZFjjGgGUA6NLw09EwE0CqkOc4q9oUmW1yo/edit?usp=sharing"",""แพร่!J166"")"),0)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IFERROR(__xludf.DUMMYFUNCTION("IMPORTRANGE(""https://docs.google.com/spreadsheets/d/11923uPwbBZFjjGgGUA6NLw09EwE0CqkOc4q9oUmW1yo/edit?usp=sharing"",""แพร่!J166"")"),0)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IFERROR(__xludf.DUMMYFUNCTION("IMPORTRANGE(""https://docs.google.com/spreadsheets/d/11923uPwbBZFjjGgGUA6NLw09EwE0CqkOc4q9oUmW1yo/edit?usp=sharing"",""แพร่!I506"")"),50)</f>
        <v>50</v>
      </c>
      <c r="J611" s="170">
        <f ca="1">IFERROR(__xludf.DUMMYFUNCTION("IMPORTRANGE(""https://docs.google.com/spreadsheets/d/11923uPwbBZFjjGgGUA6NLw09EwE0CqkOc4q9oUmW1yo/edit?usp=sharing"",""แพร่!J506"")"),0)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IFERROR(__xludf.DUMMYFUNCTION("IMPORTRANGE(""https://docs.google.com/spreadsheets/d/11923uPwbBZFjjGgGUA6NLw09EwE0CqkOc4q9oUmW1yo/edit?usp=sharing"",""แพร่!I507"")"),0)</f>
        <v>0</v>
      </c>
      <c r="J612" s="207">
        <f ca="1">IFERROR(__xludf.DUMMYFUNCTION("IMPORTRANGE(""https://docs.google.com/spreadsheets/d/11923uPwbBZFjjGgGUA6NLw09EwE0CqkOc4q9oUmW1yo/edit?usp=sharing"",""แพร่!J507"")"),0)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IFERROR(__xludf.DUMMYFUNCTION("IMPORTRANGE(""https://docs.google.com/spreadsheets/d/11923uPwbBZFjjGgGUA6NLw09EwE0CqkOc4q9oUmW1yo/edit?usp=sharing"",""แพร่!I508"")"),0)</f>
        <v>0</v>
      </c>
      <c r="J613" s="207">
        <f ca="1">IFERROR(__xludf.DUMMYFUNCTION("IMPORTRANGE(""https://docs.google.com/spreadsheets/d/11923uPwbBZFjjGgGUA6NLw09EwE0CqkOc4q9oUmW1yo/edit?usp=sharing"",""แพร่!J508"")"),0)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IFERROR(__xludf.DUMMYFUNCTION("IMPORTRANGE(""https://docs.google.com/spreadsheets/d/11923uPwbBZFjjGgGUA6NLw09EwE0CqkOc4q9oUmW1yo/edit?usp=sharing"",""แพร่!I509"")"),0)</f>
        <v>0</v>
      </c>
      <c r="J614" s="207">
        <f ca="1">IFERROR(__xludf.DUMMYFUNCTION("IMPORTRANGE(""https://docs.google.com/spreadsheets/d/11923uPwbBZFjjGgGUA6NLw09EwE0CqkOc4q9oUmW1yo/edit?usp=sharing"",""แพร่!J509"")"),0)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IFERROR(__xludf.DUMMYFUNCTION("IMPORTRANGE(""https://docs.google.com/spreadsheets/d/11923uPwbBZFjjGgGUA6NLw09EwE0CqkOc4q9oUmW1yo/edit?usp=sharing"",""แพร่!I510"")"),0)</f>
        <v>0</v>
      </c>
      <c r="J615" s="207">
        <f ca="1">IFERROR(__xludf.DUMMYFUNCTION("IMPORTRANGE(""https://docs.google.com/spreadsheets/d/11923uPwbBZFjjGgGUA6NLw09EwE0CqkOc4q9oUmW1yo/edit?usp=sharing"",""แพร่!J510"")"),0)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IFERROR(__xludf.DUMMYFUNCTION("IMPORTRANGE(""https://docs.google.com/spreadsheets/d/11923uPwbBZFjjGgGUA6NLw09EwE0CqkOc4q9oUmW1yo/edit?usp=sharing"",""แพร่!I511"")"),0)</f>
        <v>0</v>
      </c>
      <c r="J616" s="207">
        <f ca="1">IFERROR(__xludf.DUMMYFUNCTION("IMPORTRANGE(""https://docs.google.com/spreadsheets/d/11923uPwbBZFjjGgGUA6NLw09EwE0CqkOc4q9oUmW1yo/edit?usp=sharing"",""แพร่!J511"")"),0)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IFERROR(__xludf.DUMMYFUNCTION("IMPORTRANGE(""https://docs.google.com/spreadsheets/d/11923uPwbBZFjjGgGUA6NLw09EwE0CqkOc4q9oUmW1yo/edit?usp=sharing"",""แพร่!I512"")"),0)</f>
        <v>0</v>
      </c>
      <c r="J617" s="197">
        <f ca="1">IFERROR(__xludf.DUMMYFUNCTION("IMPORTRANGE(""https://docs.google.com/spreadsheets/d/11923uPwbBZFjjGgGUA6NLw09EwE0CqkOc4q9oUmW1yo/edit?usp=sharing"",""แพร่!J512"")"),0)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IFERROR(__xludf.DUMMYFUNCTION("IMPORTRANGE(""https://docs.google.com/spreadsheets/d/11923uPwbBZFjjGgGUA6NLw09EwE0CqkOc4q9oUmW1yo/edit?usp=sharing"",""แพร่!I513"")"),0)</f>
        <v>0</v>
      </c>
      <c r="J618" s="198">
        <f ca="1">IFERROR(__xludf.DUMMYFUNCTION("IMPORTRANGE(""https://docs.google.com/spreadsheets/d/11923uPwbBZFjjGgGUA6NLw09EwE0CqkOc4q9oUmW1yo/edit?usp=sharing"",""แพร่!J513"")"),0)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IFERROR(__xludf.DUMMYFUNCTION("IMPORTRANGE(""https://docs.google.com/spreadsheets/d/11923uPwbBZFjjGgGUA6NLw09EwE0CqkOc4q9oUmW1yo/edit?usp=sharing"",""แพร่!I514"")"),0)</f>
        <v>0</v>
      </c>
      <c r="J619" s="198">
        <f ca="1">IFERROR(__xludf.DUMMYFUNCTION("IMPORTRANGE(""https://docs.google.com/spreadsheets/d/11923uPwbBZFjjGgGUA6NLw09EwE0CqkOc4q9oUmW1yo/edit?usp=sharing"",""แพร่!J514"")"),0)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IFERROR(__xludf.DUMMYFUNCTION("IMPORTRANGE(""https://docs.google.com/spreadsheets/d/11923uPwbBZFjjGgGUA6NLw09EwE0CqkOc4q9oUmW1yo/edit?usp=sharing"",""แพร่!I515"")"),0)</f>
        <v>0</v>
      </c>
      <c r="J620" s="212">
        <f ca="1">IFERROR(__xludf.DUMMYFUNCTION("IMPORTRANGE(""https://docs.google.com/spreadsheets/d/11923uPwbBZFjjGgGUA6NLw09EwE0CqkOc4q9oUmW1yo/edit?usp=sharing"",""แพร่!J515"")"),0)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IFERROR(__xludf.DUMMYFUNCTION("IMPORTRANGE(""https://docs.google.com/spreadsheets/d/11923uPwbBZFjjGgGUA6NLw09EwE0CqkOc4q9oUmW1yo/edit?usp=sharing"",""แพร่!I516"")"),0)</f>
        <v>0</v>
      </c>
      <c r="J621" s="212">
        <f ca="1">IFERROR(__xludf.DUMMYFUNCTION("IMPORTRANGE(""https://docs.google.com/spreadsheets/d/11923uPwbBZFjjGgGUA6NLw09EwE0CqkOc4q9oUmW1yo/edit?usp=sharing"",""แพร่!J516"")"),0)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IFERROR(__xludf.DUMMYFUNCTION("IMPORTRANGE(""https://docs.google.com/spreadsheets/d/11923uPwbBZFjjGgGUA6NLw09EwE0CqkOc4q9oUmW1yo/edit?usp=sharing"",""แพร่!I517"")"),0)</f>
        <v>0</v>
      </c>
      <c r="J622" s="198">
        <f ca="1">IFERROR(__xludf.DUMMYFUNCTION("IMPORTRANGE(""https://docs.google.com/spreadsheets/d/11923uPwbBZFjjGgGUA6NLw09EwE0CqkOc4q9oUmW1yo/edit?usp=sharing"",""แพร่!J517"")"),0)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IFERROR(__xludf.DUMMYFUNCTION("IMPORTRANGE(""https://docs.google.com/spreadsheets/d/11923uPwbBZFjjGgGUA6NLw09EwE0CqkOc4q9oUmW1yo/edit?usp=sharing"",""แพร่!I518"")"),0)</f>
        <v>0</v>
      </c>
      <c r="J623" s="198">
        <f ca="1">IFERROR(__xludf.DUMMYFUNCTION("IMPORTRANGE(""https://docs.google.com/spreadsheets/d/11923uPwbBZFjjGgGUA6NLw09EwE0CqkOc4q9oUmW1yo/edit?usp=sharing"",""แพร่!J518"")"),0)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IFERROR(__xludf.DUMMYFUNCTION("IMPORTRANGE(""https://docs.google.com/spreadsheets/d/11923uPwbBZFjjGgGUA6NLw09EwE0CqkOc4q9oUmW1yo/edit?usp=sharing"",""แพร่!I519"")"),0)</f>
        <v>0</v>
      </c>
      <c r="J624" s="197">
        <f ca="1">IFERROR(__xludf.DUMMYFUNCTION("IMPORTRANGE(""https://docs.google.com/spreadsheets/d/11923uPwbBZFjjGgGUA6NLw09EwE0CqkOc4q9oUmW1yo/edit?usp=sharing"",""แพร่!J519"")"),0)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IFERROR(__xludf.DUMMYFUNCTION("IMPORTRANGE(""https://docs.google.com/spreadsheets/d/11923uPwbBZFjjGgGUA6NLw09EwE0CqkOc4q9oUmW1yo/edit?usp=sharing"",""แพร่!I520"")"),0)</f>
        <v>0</v>
      </c>
      <c r="J625" s="198">
        <f ca="1">IFERROR(__xludf.DUMMYFUNCTION("IMPORTRANGE(""https://docs.google.com/spreadsheets/d/11923uPwbBZFjjGgGUA6NLw09EwE0CqkOc4q9oUmW1yo/edit?usp=sharing"",""แพร่!J520"")"),0)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IFERROR(__xludf.DUMMYFUNCTION("IMPORTRANGE(""https://docs.google.com/spreadsheets/d/11923uPwbBZFjjGgGUA6NLw09EwE0CqkOc4q9oUmW1yo/edit?usp=sharing"",""แพร่!I521"")"),0)</f>
        <v>0</v>
      </c>
      <c r="J626" s="198">
        <f ca="1">IFERROR(__xludf.DUMMYFUNCTION("IMPORTRANGE(""https://docs.google.com/spreadsheets/d/11923uPwbBZFjjGgGUA6NLw09EwE0CqkOc4q9oUmW1yo/edit?usp=sharing"",""แพร่!J521"")"),0)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IFERROR(__xludf.DUMMYFUNCTION("IMPORTRANGE(""https://docs.google.com/spreadsheets/d/11923uPwbBZFjjGgGUA6NLw09EwE0CqkOc4q9oUmW1yo/edit?usp=sharing"",""แพร่!I523"")"),3480000)</f>
        <v>3480000</v>
      </c>
      <c r="J628" s="349">
        <f ca="1">IFERROR(__xludf.DUMMYFUNCTION("IMPORTRANGE(""https://docs.google.com/spreadsheets/d/11923uPwbBZFjjGgGUA6NLw09EwE0CqkOc4q9oUmW1yo/edit?usp=sharing"",""แพร่!J523"")"),590000)</f>
        <v>590000</v>
      </c>
      <c r="K628" s="350">
        <f t="shared" ref="K628:K635" ca="1" si="129">IF(I628&gt;0,J628*100/I628,0)</f>
        <v>16.954022988505749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IFERROR(__xludf.DUMMYFUNCTION("IMPORTRANGE(""https://docs.google.com/spreadsheets/d/11923uPwbBZFjjGgGUA6NLw09EwE0CqkOc4q9oUmW1yo/edit?usp=sharing"",""แพร่!I524"")"),160)</f>
        <v>160</v>
      </c>
      <c r="J629" s="349">
        <f ca="1">IFERROR(__xludf.DUMMYFUNCTION("IMPORTRANGE(""https://docs.google.com/spreadsheets/d/11923uPwbBZFjjGgGUA6NLw09EwE0CqkOc4q9oUmW1yo/edit?usp=sharing"",""แพร่!J524"")"),25)</f>
        <v>25</v>
      </c>
      <c r="K629" s="350">
        <f t="shared" ca="1" si="129"/>
        <v>15.625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IFERROR(__xludf.DUMMYFUNCTION("IMPORTRANGE(""https://docs.google.com/spreadsheets/d/11923uPwbBZFjjGgGUA6NLw09EwE0CqkOc4q9oUmW1yo/edit?usp=sharing"",""แพร่!I525"")"),664125.88)</f>
        <v>664125.88</v>
      </c>
      <c r="J630" s="349">
        <f ca="1">IFERROR(__xludf.DUMMYFUNCTION("IMPORTRANGE(""https://docs.google.com/spreadsheets/d/11923uPwbBZFjjGgGUA6NLw09EwE0CqkOc4q9oUmW1yo/edit?usp=sharing"",""แพร่!J525"")"),35504.03)</f>
        <v>35504.03</v>
      </c>
      <c r="K630" s="350">
        <f t="shared" ca="1" si="129"/>
        <v>5.3459789882002493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IFERROR(__xludf.DUMMYFUNCTION("IMPORTRANGE(""https://docs.google.com/spreadsheets/d/11923uPwbBZFjjGgGUA6NLw09EwE0CqkOc4q9oUmW1yo/edit?usp=sharing"",""แพร่!I526"")"),54)</f>
        <v>54</v>
      </c>
      <c r="J631" s="349">
        <f ca="1">IFERROR(__xludf.DUMMYFUNCTION("IMPORTRANGE(""https://docs.google.com/spreadsheets/d/11923uPwbBZFjjGgGUA6NLw09EwE0CqkOc4q9oUmW1yo/edit?usp=sharing"",""แพร่!J526"")"),42)</f>
        <v>42</v>
      </c>
      <c r="K631" s="350">
        <f t="shared" ca="1" si="129"/>
        <v>77.777777777777771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IFERROR(__xludf.DUMMYFUNCTION("IMPORTRANGE(""https://docs.google.com/spreadsheets/d/11923uPwbBZFjjGgGUA6NLw09EwE0CqkOc4q9oUmW1yo/edit?usp=sharing"",""แพร่!I527"")"),0)</f>
        <v>0</v>
      </c>
      <c r="J632" s="349">
        <f ca="1">IFERROR(__xludf.DUMMYFUNCTION("IMPORTRANGE(""https://docs.google.com/spreadsheets/d/11923uPwbBZFjjGgGUA6NLw09EwE0CqkOc4q9oUmW1yo/edit?usp=sharing"",""แพร่!J527"")"),0)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IFERROR(__xludf.DUMMYFUNCTION("IMPORTRANGE(""https://docs.google.com/spreadsheets/d/11923uPwbBZFjjGgGUA6NLw09EwE0CqkOc4q9oUmW1yo/edit?usp=sharing"",""แพร่!I528"")"),0)</f>
        <v>0</v>
      </c>
      <c r="J633" s="349">
        <f ca="1">IFERROR(__xludf.DUMMYFUNCTION("IMPORTRANGE(""https://docs.google.com/spreadsheets/d/11923uPwbBZFjjGgGUA6NLw09EwE0CqkOc4q9oUmW1yo/edit?usp=sharing"",""แพร่!J528"")"),0)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IFERROR(__xludf.DUMMYFUNCTION("IMPORTRANGE(""https://docs.google.com/spreadsheets/d/11923uPwbBZFjjGgGUA6NLw09EwE0CqkOc4q9oUmW1yo/edit?usp=sharing"",""แพร่!I529"")"),3500000)</f>
        <v>3500000</v>
      </c>
      <c r="J634" s="349">
        <f ca="1">IFERROR(__xludf.DUMMYFUNCTION("IMPORTRANGE(""https://docs.google.com/spreadsheets/d/11923uPwbBZFjjGgGUA6NLw09EwE0CqkOc4q9oUmW1yo/edit?usp=sharing"",""แพร่!J529"")"),0)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IFERROR(__xludf.DUMMYFUNCTION("IMPORTRANGE(""https://docs.google.com/spreadsheets/d/11923uPwbBZFjjGgGUA6NLw09EwE0CqkOc4q9oUmW1yo/edit?usp=sharing"",""แพร่!I530"")"),140)</f>
        <v>140</v>
      </c>
      <c r="J635" s="519">
        <f ca="1">IFERROR(__xludf.DUMMYFUNCTION("IMPORTRANGE(""https://docs.google.com/spreadsheets/d/11923uPwbBZFjjGgGUA6NLw09EwE0CqkOc4q9oUmW1yo/edit?usp=sharing"",""แพร่!J530"")"),0)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261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3160902</v>
      </c>
      <c r="M8" s="25">
        <f t="shared" ca="1" si="0"/>
        <v>1072255</v>
      </c>
      <c r="N8" s="25">
        <f t="shared" ca="1" si="0"/>
        <v>1126046</v>
      </c>
      <c r="O8" s="24">
        <f t="shared" ref="O8:O16" ca="1" si="1">IF(L8&gt;0,N8*100/L8,0)</f>
        <v>35.62419840918826</v>
      </c>
      <c r="P8" s="24">
        <f t="shared" ref="P8:P16" ca="1" si="2">IF(M8&gt;0,N8*100/M8,0)</f>
        <v>105.01662384414155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3160902</v>
      </c>
      <c r="M10" s="32">
        <f t="shared" ca="1" si="4"/>
        <v>1072255</v>
      </c>
      <c r="N10" s="32">
        <f t="shared" ca="1" si="4"/>
        <v>1126046</v>
      </c>
      <c r="O10" s="31">
        <f t="shared" ca="1" si="1"/>
        <v>35.62419840918826</v>
      </c>
      <c r="P10" s="31">
        <f t="shared" ca="1" si="2"/>
        <v>105.01662384414155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3113102</v>
      </c>
      <c r="M12" s="40">
        <f t="shared" ca="1" si="6"/>
        <v>1072255</v>
      </c>
      <c r="N12" s="40">
        <f t="shared" ca="1" si="6"/>
        <v>1078246</v>
      </c>
      <c r="O12" s="40">
        <f t="shared" ca="1" si="1"/>
        <v>34.635742741484215</v>
      </c>
      <c r="P12" s="40">
        <f t="shared" ca="1" si="2"/>
        <v>100.55872903367202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1558000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1555102</v>
      </c>
      <c r="M14" s="40">
        <f t="shared" si="8"/>
        <v>0</v>
      </c>
      <c r="N14" s="40">
        <f t="shared" ca="1" si="8"/>
        <v>386803</v>
      </c>
      <c r="O14" s="43">
        <f t="shared" ca="1" si="1"/>
        <v>24.873159445489748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47800</v>
      </c>
      <c r="M16" s="40">
        <f t="shared" si="10"/>
        <v>0</v>
      </c>
      <c r="N16" s="40">
        <f t="shared" ca="1" si="10"/>
        <v>47800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2083375</v>
      </c>
      <c r="M18" s="25">
        <f t="shared" ca="1" si="11"/>
        <v>1072255</v>
      </c>
      <c r="N18" s="25">
        <f t="shared" ca="1" si="11"/>
        <v>739243</v>
      </c>
      <c r="O18" s="24">
        <f t="shared" ref="O18:O20" ca="1" si="12">IF(L18&gt;0,N18*100/L18,0)</f>
        <v>35.482954340913182</v>
      </c>
      <c r="P18" s="24">
        <f t="shared" ref="P18:P26" ca="1" si="13">IF(M18&gt;0,N18*100/M18,0)</f>
        <v>68.942835426274527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2083375</v>
      </c>
      <c r="M20" s="32">
        <f t="shared" ca="1" si="15"/>
        <v>1072255</v>
      </c>
      <c r="N20" s="32">
        <f t="shared" ca="1" si="15"/>
        <v>739243</v>
      </c>
      <c r="O20" s="31">
        <f t="shared" ca="1" si="12"/>
        <v>35.482954340913182</v>
      </c>
      <c r="P20" s="31">
        <f t="shared" ca="1" si="13"/>
        <v>68.942835426274527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2035575</v>
      </c>
      <c r="M22" s="44">
        <f t="shared" ca="1" si="18"/>
        <v>1072255</v>
      </c>
      <c r="N22" s="43">
        <f t="shared" ca="1" si="18"/>
        <v>691443</v>
      </c>
      <c r="O22" s="43">
        <f t="shared" ca="1" si="17"/>
        <v>33.967945175196199</v>
      </c>
      <c r="P22" s="43">
        <f t="shared" ca="1" si="13"/>
        <v>64.484940615805016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1558000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477575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47800</v>
      </c>
      <c r="M26" s="52">
        <f t="shared" si="22"/>
        <v>0</v>
      </c>
      <c r="N26" s="52">
        <f t="shared" ca="1" si="22"/>
        <v>47800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1077527</v>
      </c>
      <c r="M28" s="25">
        <f t="shared" si="23"/>
        <v>0</v>
      </c>
      <c r="N28" s="25">
        <f t="shared" ca="1" si="23"/>
        <v>386803</v>
      </c>
      <c r="O28" s="24">
        <f t="shared" ref="O28:O30" ca="1" si="24">IF(L28&gt;0,N28*100/L28,0)</f>
        <v>35.897290740742463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1077527</v>
      </c>
      <c r="M30" s="32">
        <f t="shared" si="27"/>
        <v>0</v>
      </c>
      <c r="N30" s="32">
        <f t="shared" ca="1" si="27"/>
        <v>386803</v>
      </c>
      <c r="O30" s="31">
        <f t="shared" ca="1" si="24"/>
        <v>35.897290740742463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1077527</v>
      </c>
      <c r="M32" s="43">
        <f t="shared" si="30"/>
        <v>0</v>
      </c>
      <c r="N32" s="43">
        <f t="shared" ca="1" si="30"/>
        <v>386803</v>
      </c>
      <c r="O32" s="43">
        <f t="shared" ca="1" si="29"/>
        <v>35.897290740742463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1077527</v>
      </c>
      <c r="M34" s="43">
        <f t="shared" si="32"/>
        <v>0</v>
      </c>
      <c r="N34" s="43">
        <f t="shared" ca="1" si="32"/>
        <v>386803</v>
      </c>
      <c r="O34" s="43">
        <f t="shared" ca="1" si="29"/>
        <v>35.897290740742463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2083375</v>
      </c>
      <c r="M37" s="57">
        <f t="shared" ca="1" si="33"/>
        <v>1072255</v>
      </c>
      <c r="N37" s="57">
        <f t="shared" ca="1" si="33"/>
        <v>739243</v>
      </c>
      <c r="O37" s="58">
        <f t="shared" ca="1" si="29"/>
        <v>35.482954340913182</v>
      </c>
      <c r="P37" s="58">
        <f t="shared" ca="1" si="25"/>
        <v>68.942835426274527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669700</v>
      </c>
      <c r="M41" s="81">
        <f t="shared" ca="1" si="34"/>
        <v>334900</v>
      </c>
      <c r="N41" s="81">
        <f t="shared" ca="1" si="34"/>
        <v>197452</v>
      </c>
      <c r="O41" s="80">
        <f t="shared" ref="O41:O43" ca="1" si="35">IF(L41&gt;0,N41*100/L41,0)</f>
        <v>29.483649395251604</v>
      </c>
      <c r="P41" s="80">
        <f t="shared" ref="P41:P43" ca="1" si="36">IF(M41&gt;0,N41*100/M41,0)</f>
        <v>58.958495073156165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669700</v>
      </c>
      <c r="M43" s="81">
        <f t="shared" ca="1" si="38"/>
        <v>334900</v>
      </c>
      <c r="N43" s="81">
        <f t="shared" ca="1" si="38"/>
        <v>197452</v>
      </c>
      <c r="O43" s="80">
        <f t="shared" ca="1" si="35"/>
        <v>29.483649395251604</v>
      </c>
      <c r="P43" s="80">
        <f t="shared" ca="1" si="36"/>
        <v>58.958495073156165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669700</v>
      </c>
      <c r="M45" s="93">
        <f ca="1">IFERROR(__xludf.DUMMYFUNCTION("IMPORTRANGE(""https://docs.google.com/spreadsheets/d/1Yj_ptqi66GCucihVvJfMjLAmec39IyEx_6qawtMGysU/edit?usp=sharing"",""สบก!Q31"")"),334900)</f>
        <v>334900</v>
      </c>
      <c r="N45" s="93">
        <f ca="1">IFERROR(__xludf.DUMMYFUNCTION("IMPORTRANGE(""https://docs.google.com/spreadsheets/d/1Yj_ptqi66GCucihVvJfMjLAmec39IyEx_6qawtMGysU/edit?usp=sharing"",""สบก!R31"")"),197452)</f>
        <v>197452</v>
      </c>
      <c r="O45" s="94">
        <f ca="1">IF(L45&gt;0,N45*100/L45,0)</f>
        <v>29.483649395251604</v>
      </c>
      <c r="P45" s="94">
        <f ca="1">IF(M45&gt;0,N45*100/M45,0)</f>
        <v>58.958495073156165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IFERROR(__xludf.DUMMYFUNCTION("IMPORTRANGE(""https://docs.google.com/spreadsheets/d/1Yj_ptqi66GCucihVvJfMjLAmec39IyEx_6qawtMGysU/edit?usp=sharing"",""สบก!M31"")"),669700)</f>
        <v>669700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IFERROR(__xludf.DUMMYFUNCTION("IMPORTRANGE(""https://docs.google.com/spreadsheets/d/1Yj_ptqi66GCucihVvJfMjLAmec39IyEx_6qawtMGysU/edit?usp=sharing"",""สบก!N31"")"),0)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IFERROR(__xludf.DUMMYFUNCTION("IMPORTRANGE(""https://docs.google.com/spreadsheets/d/1Yj_ptqi66GCucihVvJfMjLAmec39IyEx_6qawtMGysU/edit?usp=sharing"",""สบก!O31"")"),0)</f>
        <v>0</v>
      </c>
      <c r="M49" s="103"/>
      <c r="N49" s="93">
        <f ca="1">IFERROR(__xludf.DUMMYFUNCTION("IMPORTRANGE(""https://docs.google.com/spreadsheets/d/1Yj_ptqi66GCucihVvJfMjLAmec39IyEx_6qawtMGysU/edit?usp=sharing"",""สบก!S31"")"),0)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181500</v>
      </c>
      <c r="M53" s="127">
        <f t="shared" ca="1" si="39"/>
        <v>104300</v>
      </c>
      <c r="N53" s="127">
        <f t="shared" ca="1" si="39"/>
        <v>71600</v>
      </c>
      <c r="O53" s="126">
        <f t="shared" ref="O53:O55" ca="1" si="40">IF(L53&gt;0,N53*100/L53,0)</f>
        <v>39.449035812672179</v>
      </c>
      <c r="P53" s="126">
        <f t="shared" ref="P53:P55" ca="1" si="41">IF(M53&gt;0,N53*100/M53,0)</f>
        <v>68.648130393096835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181500</v>
      </c>
      <c r="M55" s="127">
        <f t="shared" ca="1" si="43"/>
        <v>104300</v>
      </c>
      <c r="N55" s="127">
        <f t="shared" ca="1" si="43"/>
        <v>71600</v>
      </c>
      <c r="O55" s="126">
        <f t="shared" ca="1" si="40"/>
        <v>39.449035812672179</v>
      </c>
      <c r="P55" s="126">
        <f t="shared" ca="1" si="41"/>
        <v>68.648130393096835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181500</v>
      </c>
      <c r="M57" s="93">
        <f ca="1">IFERROR(__xludf.DUMMYFUNCTION("IMPORTRANGE(""https://docs.google.com/spreadsheets/d/1Yj_ptqi66GCucihVvJfMjLAmec39IyEx_6qawtMGysU/edit?usp=sharing"",""สบก!Z31"")"),104300)</f>
        <v>104300</v>
      </c>
      <c r="N57" s="93">
        <f ca="1">IFERROR(__xludf.DUMMYFUNCTION("IMPORTRANGE(""https://docs.google.com/spreadsheets/d/1Yj_ptqi66GCucihVvJfMjLAmec39IyEx_6qawtMGysU/edit?usp=sharing"",""สบก!AA31"")"),71600)</f>
        <v>71600</v>
      </c>
      <c r="O57" s="94">
        <f ca="1">IF(L57&gt;0,N57*100/L57,0)</f>
        <v>39.449035812672179</v>
      </c>
      <c r="P57" s="94">
        <f ca="1">IF(M57&gt;0,N57*100/M57,0)</f>
        <v>68.648130393096835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IFERROR(__xludf.DUMMYFUNCTION("IMPORTRANGE(""https://docs.google.com/spreadsheets/d/1Yj_ptqi66GCucihVvJfMjLAmec39IyEx_6qawtMGysU/edit?usp=sharing"",""สบก!V31"")"),181500)</f>
        <v>181500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IFERROR(__xludf.DUMMYFUNCTION("IMPORTRANGE(""https://docs.google.com/spreadsheets/d/1Yj_ptqi66GCucihVvJfMjLAmec39IyEx_6qawtMGysU/edit?usp=sharing"",""สบก!W31"")"),0)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IFERROR(__xludf.DUMMYFUNCTION("IMPORTRANGE(""https://docs.google.com/spreadsheets/d/1Yj_ptqi66GCucihVvJfMjLAmec39IyEx_6qawtMGysU/edit?usp=sharing"",""สบก!X31"")"),0)</f>
        <v>0</v>
      </c>
      <c r="M61" s="103"/>
      <c r="N61" s="93">
        <f ca="1">IFERROR(__xludf.DUMMYFUNCTION("IMPORTRANGE(""https://docs.google.com/spreadsheets/d/1Yj_ptqi66GCucihVvJfMjLAmec39IyEx_6qawtMGysU/edit?usp=sharing"",""สบก!AB31"")"),0)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IFERROR(__xludf.DUMMYFUNCTION("IMPORTRANGE(""https://docs.google.com/spreadsheets/d/11923uPwbBZFjjGgGUA6NLw09EwE0CqkOc4q9oUmW1yo/edit?usp=sharing"",""แม่ฮ่องสอน!I9"")"),0)</f>
        <v>0</v>
      </c>
      <c r="J64" s="148">
        <f ca="1">IFERROR(__xludf.DUMMYFUNCTION("IMPORTRANGE(""https://docs.google.com/spreadsheets/d/11923uPwbBZFjjGgGUA6NLw09EwE0CqkOc4q9oUmW1yo/edit?usp=sharing"",""แม่ฮ่องสอน!J9"")"),0)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IFERROR(__xludf.DUMMYFUNCTION("IMPORTRANGE(""https://docs.google.com/spreadsheets/d/11923uPwbBZFjjGgGUA6NLw09EwE0CqkOc4q9oUmW1yo/edit?usp=sharing"",""แม่ฮ่องสอน!I10"")"),0)</f>
        <v>0</v>
      </c>
      <c r="J65" s="148">
        <f ca="1">IFERROR(__xludf.DUMMYFUNCTION("IMPORTRANGE(""https://docs.google.com/spreadsheets/d/11923uPwbBZFjjGgGUA6NLw09EwE0CqkOc4q9oUmW1yo/edit?usp=sharing"",""แม่ฮ่องสอน!J10"")"),0)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IFERROR(__xludf.DUMMYFUNCTION("IMPORTRANGE(""https://docs.google.com/spreadsheets/d/1Yj_ptqi66GCucihVvJfMjLAmec39IyEx_6qawtMGysU/edit?usp=sharing"",""สบก!AI31"")"),0)</f>
        <v>0</v>
      </c>
      <c r="N70" s="177">
        <f ca="1">IFERROR(__xludf.DUMMYFUNCTION("IMPORTRANGE(""https://docs.google.com/spreadsheets/d/1Yj_ptqi66GCucihVvJfMjLAmec39IyEx_6qawtMGysU/edit?usp=sharing"",""สบก!AJ31"")"),0)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IFERROR(__xludf.DUMMYFUNCTION("IMPORTRANGE(""https://docs.google.com/spreadsheets/d/1Yj_ptqi66GCucihVvJfMjLAmec39IyEx_6qawtMGysU/edit?usp=sharing"",""สบก!AE31"")"),0)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IFERROR(__xludf.DUMMYFUNCTION("IMPORTRANGE(""https://docs.google.com/spreadsheets/d/1Yj_ptqi66GCucihVvJfMjLAmec39IyEx_6qawtMGysU/edit?usp=sharing"",""สบก!AF31"")"),0)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IFERROR(__xludf.DUMMYFUNCTION("IMPORTRANGE(""https://docs.google.com/spreadsheets/d/1Yj_ptqi66GCucihVvJfMjLAmec39IyEx_6qawtMGysU/edit?usp=sharing"",""สบก!AG31"")"),0)</f>
        <v>0</v>
      </c>
      <c r="M74" s="103"/>
      <c r="N74" s="93">
        <f ca="1">IFERROR(__xludf.DUMMYFUNCTION("IMPORTRANGE(""https://docs.google.com/spreadsheets/d/1Yj_ptqi66GCucihVvJfMjLAmec39IyEx_6qawtMGysU/edit?usp=sharing"",""สบก!AK31"")"),0)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IFERROR(__xludf.DUMMYFUNCTION("IMPORTRANGE(""https://docs.google.com/spreadsheets/d/11923uPwbBZFjjGgGUA6NLw09EwE0CqkOc4q9oUmW1yo/edit?usp=sharing"",""แม่ฮ่องสอน!J16"")"),0)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IFERROR(__xludf.DUMMYFUNCTION("IMPORTRANGE(""https://docs.google.com/spreadsheets/d/11923uPwbBZFjjGgGUA6NLw09EwE0CqkOc4q9oUmW1yo/edit?usp=sharing"",""แม่ฮ่องสอน!J17"")"),0)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IFERROR(__xludf.DUMMYFUNCTION("IMPORTRANGE(""https://docs.google.com/spreadsheets/d/11923uPwbBZFjjGgGUA6NLw09EwE0CqkOc4q9oUmW1yo/edit?usp=sharing"",""แม่ฮ่องสอน!J18"")"),0)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IFERROR(__xludf.DUMMYFUNCTION("IMPORTRANGE(""https://docs.google.com/spreadsheets/d/11923uPwbBZFjjGgGUA6NLw09EwE0CqkOc4q9oUmW1yo/edit?usp=sharing"",""แม่ฮ่องสอน!J19"")"),0)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IFERROR(__xludf.DUMMYFUNCTION("IMPORTRANGE(""https://docs.google.com/spreadsheets/d/11923uPwbBZFjjGgGUA6NLw09EwE0CqkOc4q9oUmW1yo/edit?usp=sharing"",""แม่ฮ่องสอน!I20"")"),0)</f>
        <v>0</v>
      </c>
      <c r="J80" s="210">
        <f ca="1">IFERROR(__xludf.DUMMYFUNCTION("IMPORTRANGE(""https://docs.google.com/spreadsheets/d/11923uPwbBZFjjGgGUA6NLw09EwE0CqkOc4q9oUmW1yo/edit?usp=sharing"",""แม่ฮ่องสอน!J20"")"),0)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IFERROR(__xludf.DUMMYFUNCTION("IMPORTRANGE(""https://docs.google.com/spreadsheets/d/11923uPwbBZFjjGgGUA6NLw09EwE0CqkOc4q9oUmW1yo/edit?usp=sharing"",""แม่ฮ่องสอน!I21"")"),0)</f>
        <v>0</v>
      </c>
      <c r="J81" s="210">
        <f ca="1">IFERROR(__xludf.DUMMYFUNCTION("IMPORTRANGE(""https://docs.google.com/spreadsheets/d/11923uPwbBZFjjGgGUA6NLw09EwE0CqkOc4q9oUmW1yo/edit?usp=sharing"",""แม่ฮ่องสอน!J21"")"),0)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IFERROR(__xludf.DUMMYFUNCTION("IMPORTRANGE(""https://docs.google.com/spreadsheets/d/11923uPwbBZFjjGgGUA6NLw09EwE0CqkOc4q9oUmW1yo/edit?usp=sharing"",""แม่ฮ่องสอน!I22"")"),0)</f>
        <v>0</v>
      </c>
      <c r="J82" s="213">
        <f ca="1">IFERROR(__xludf.DUMMYFUNCTION("IMPORTRANGE(""https://docs.google.com/spreadsheets/d/11923uPwbBZFjjGgGUA6NLw09EwE0CqkOc4q9oUmW1yo/edit?usp=sharing"",""แม่ฮ่องสอน!J22"")"),0)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IFERROR(__xludf.DUMMYFUNCTION("IMPORTRANGE(""https://docs.google.com/spreadsheets/d/11923uPwbBZFjjGgGUA6NLw09EwE0CqkOc4q9oUmW1yo/edit?usp=sharing"",""แม่ฮ่องสอน!I23"")"),0)</f>
        <v>0</v>
      </c>
      <c r="J83" s="213">
        <f ca="1">IFERROR(__xludf.DUMMYFUNCTION("IMPORTRANGE(""https://docs.google.com/spreadsheets/d/11923uPwbBZFjjGgGUA6NLw09EwE0CqkOc4q9oUmW1yo/edit?usp=sharing"",""แม่ฮ่องสอน!J23"")"),0)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IFERROR(__xludf.DUMMYFUNCTION("IMPORTRANGE(""https://docs.google.com/spreadsheets/d/11923uPwbBZFjjGgGUA6NLw09EwE0CqkOc4q9oUmW1yo/edit?usp=sharing"",""แม่ฮ่องสอน!I24"")"),0)</f>
        <v>0</v>
      </c>
      <c r="J84" s="198">
        <f ca="1">IFERROR(__xludf.DUMMYFUNCTION("IMPORTRANGE(""https://docs.google.com/spreadsheets/d/11923uPwbBZFjjGgGUA6NLw09EwE0CqkOc4q9oUmW1yo/edit?usp=sharing"",""แม่ฮ่องสอน!J24"")"),0)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IFERROR(__xludf.DUMMYFUNCTION("IMPORTRANGE(""https://docs.google.com/spreadsheets/d/11923uPwbBZFjjGgGUA6NLw09EwE0CqkOc4q9oUmW1yo/edit?usp=sharing"",""แม่ฮ่องสอน!I25"")"),0)</f>
        <v>0</v>
      </c>
      <c r="J85" s="198">
        <f ca="1">IFERROR(__xludf.DUMMYFUNCTION("IMPORTRANGE(""https://docs.google.com/spreadsheets/d/11923uPwbBZFjjGgGUA6NLw09EwE0CqkOc4q9oUmW1yo/edit?usp=sharing"",""แม่ฮ่องสอน!J25"")"),0)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IFERROR(__xludf.DUMMYFUNCTION("IMPORTRANGE(""https://docs.google.com/spreadsheets/d/11923uPwbBZFjjGgGUA6NLw09EwE0CqkOc4q9oUmW1yo/edit?usp=sharing"",""แม่ฮ่องสอน!I26"")"),0)</f>
        <v>0</v>
      </c>
      <c r="J86" s="213">
        <f ca="1">IFERROR(__xludf.DUMMYFUNCTION("IMPORTRANGE(""https://docs.google.com/spreadsheets/d/11923uPwbBZFjjGgGUA6NLw09EwE0CqkOc4q9oUmW1yo/edit?usp=sharing"",""แม่ฮ่องสอน!J26"")"),0)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IFERROR(__xludf.DUMMYFUNCTION("IMPORTRANGE(""https://docs.google.com/spreadsheets/d/11923uPwbBZFjjGgGUA6NLw09EwE0CqkOc4q9oUmW1yo/edit?usp=sharing"",""แม่ฮ่องสอน!I27"")"),0)</f>
        <v>0</v>
      </c>
      <c r="J87" s="213">
        <f ca="1">IFERROR(__xludf.DUMMYFUNCTION("IMPORTRANGE(""https://docs.google.com/spreadsheets/d/11923uPwbBZFjjGgGUA6NLw09EwE0CqkOc4q9oUmW1yo/edit?usp=sharing"",""แม่ฮ่องสอน!J27"")"),0)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IFERROR(__xludf.DUMMYFUNCTION("IMPORTRANGE(""https://docs.google.com/spreadsheets/d/11923uPwbBZFjjGgGUA6NLw09EwE0CqkOc4q9oUmW1yo/edit?usp=sharing"",""แม่ฮ่องสอน!I28"")"),0)</f>
        <v>0</v>
      </c>
      <c r="J88" s="213">
        <f ca="1">IFERROR(__xludf.DUMMYFUNCTION("IMPORTRANGE(""https://docs.google.com/spreadsheets/d/11923uPwbBZFjjGgGUA6NLw09EwE0CqkOc4q9oUmW1yo/edit?usp=sharing"",""แม่ฮ่องสอน!J28"")"),0)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IFERROR(__xludf.DUMMYFUNCTION("IMPORTRANGE(""https://docs.google.com/spreadsheets/d/11923uPwbBZFjjGgGUA6NLw09EwE0CqkOc4q9oUmW1yo/edit?usp=sharing"",""แม่ฮ่องสอน!J29"")"),0)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IFERROR(__xludf.DUMMYFUNCTION("IMPORTRANGE(""https://docs.google.com/spreadsheets/d/11923uPwbBZFjjGgGUA6NLw09EwE0CqkOc4q9oUmW1yo/edit?usp=sharing"",""แม่ฮ่องสอน!J30"")"),0)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IFERROR(__xludf.DUMMYFUNCTION("IMPORTRANGE(""https://docs.google.com/spreadsheets/d/11923uPwbBZFjjGgGUA6NLw09EwE0CqkOc4q9oUmW1yo/edit?usp=sharing"",""แม่ฮ่องสอน!I32"")"),0)</f>
        <v>0</v>
      </c>
      <c r="J92" s="148">
        <f ca="1">IFERROR(__xludf.DUMMYFUNCTION("IMPORTRANGE(""https://docs.google.com/spreadsheets/d/11923uPwbBZFjjGgGUA6NLw09EwE0CqkOc4q9oUmW1yo/edit?usp=sharing"",""แม่ฮ่องสอน!J32"")"),0)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IFERROR(__xludf.DUMMYFUNCTION("IMPORTRANGE(""https://docs.google.com/spreadsheets/d/11923uPwbBZFjjGgGUA6NLw09EwE0CqkOc4q9oUmW1yo/edit?usp=sharing"",""แม่ฮ่องสอน!I33"")"),0)</f>
        <v>0</v>
      </c>
      <c r="J93" s="148">
        <f ca="1">IFERROR(__xludf.DUMMYFUNCTION("IMPORTRANGE(""https://docs.google.com/spreadsheets/d/11923uPwbBZFjjGgGUA6NLw09EwE0CqkOc4q9oUmW1yo/edit?usp=sharing"",""แม่ฮ่องสอน!J33"")"),0)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IFERROR(__xludf.DUMMYFUNCTION("IMPORTRANGE(""https://docs.google.com/spreadsheets/d/1Yj_ptqi66GCucihVvJfMjLAmec39IyEx_6qawtMGysU/edit?usp=sharing"",""สบก!AR31"")"),0)</f>
        <v>0</v>
      </c>
      <c r="N98" s="177">
        <f ca="1">IFERROR(__xludf.DUMMYFUNCTION("IMPORTRANGE(""https://docs.google.com/spreadsheets/d/1Yj_ptqi66GCucihVvJfMjLAmec39IyEx_6qawtMGysU/edit?usp=sharing"",""สบก!AS31"")"),0)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IFERROR(__xludf.DUMMYFUNCTION("IMPORTRANGE(""https://docs.google.com/spreadsheets/d/1Yj_ptqi66GCucihVvJfMjLAmec39IyEx_6qawtMGysU/edit?usp=sharing"",""สบก!AN31"")"),0)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IFERROR(__xludf.DUMMYFUNCTION("IMPORTRANGE(""https://docs.google.com/spreadsheets/d/1Yj_ptqi66GCucihVvJfMjLAmec39IyEx_6qawtMGysU/edit?usp=sharing"",""สบก!AO31"")"),0)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IFERROR(__xludf.DUMMYFUNCTION("IMPORTRANGE(""https://docs.google.com/spreadsheets/d/1Yj_ptqi66GCucihVvJfMjLAmec39IyEx_6qawtMGysU/edit?usp=sharing"",""สบก!AP31"")"),0)</f>
        <v>0</v>
      </c>
      <c r="M102" s="103"/>
      <c r="N102" s="93">
        <f ca="1">IFERROR(__xludf.DUMMYFUNCTION("IMPORTRANGE(""https://docs.google.com/spreadsheets/d/1Yj_ptqi66GCucihVvJfMjLAmec39IyEx_6qawtMGysU/edit?usp=sharing"",""สบก!AT31"")"),0)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IFERROR(__xludf.DUMMYFUNCTION("IMPORTRANGE(""https://docs.google.com/spreadsheets/d/11923uPwbBZFjjGgGUA6NLw09EwE0CqkOc4q9oUmW1yo/edit?usp=sharing"",""แม่ฮ่องสอน!J39"")"),0)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IFERROR(__xludf.DUMMYFUNCTION("IMPORTRANGE(""https://docs.google.com/spreadsheets/d/11923uPwbBZFjjGgGUA6NLw09EwE0CqkOc4q9oUmW1yo/edit?usp=sharing"",""แม่ฮ่องสอน!J40"")"),0)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IFERROR(__xludf.DUMMYFUNCTION("IMPORTRANGE(""https://docs.google.com/spreadsheets/d/11923uPwbBZFjjGgGUA6NLw09EwE0CqkOc4q9oUmW1yo/edit?usp=sharing"",""แม่ฮ่องสอน!J41"")"),0)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IFERROR(__xludf.DUMMYFUNCTION("IMPORTRANGE(""https://docs.google.com/spreadsheets/d/11923uPwbBZFjjGgGUA6NLw09EwE0CqkOc4q9oUmW1yo/edit?usp=sharing"",""แม่ฮ่องสอน!J42"")"),0)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IFERROR(__xludf.DUMMYFUNCTION("IMPORTRANGE(""https://docs.google.com/spreadsheets/d/11923uPwbBZFjjGgGUA6NLw09EwE0CqkOc4q9oUmW1yo/edit?usp=sharing"",""แม่ฮ่องสอน!I43"")"),0)</f>
        <v>0</v>
      </c>
      <c r="J108" s="213">
        <f ca="1">IFERROR(__xludf.DUMMYFUNCTION("IMPORTRANGE(""https://docs.google.com/spreadsheets/d/11923uPwbBZFjjGgGUA6NLw09EwE0CqkOc4q9oUmW1yo/edit?usp=sharing"",""แม่ฮ่องสอน!J43"")"),0)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IFERROR(__xludf.DUMMYFUNCTION("IMPORTRANGE(""https://docs.google.com/spreadsheets/d/11923uPwbBZFjjGgGUA6NLw09EwE0CqkOc4q9oUmW1yo/edit?usp=sharing"",""แม่ฮ่องสอน!I44"")"),0)</f>
        <v>0</v>
      </c>
      <c r="J109" s="213">
        <f ca="1">IFERROR(__xludf.DUMMYFUNCTION("IMPORTRANGE(""https://docs.google.com/spreadsheets/d/11923uPwbBZFjjGgGUA6NLw09EwE0CqkOc4q9oUmW1yo/edit?usp=sharing"",""แม่ฮ่องสอน!J44"")"),0)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IFERROR(__xludf.DUMMYFUNCTION("IMPORTRANGE(""https://docs.google.com/spreadsheets/d/11923uPwbBZFjjGgGUA6NLw09EwE0CqkOc4q9oUmW1yo/edit?usp=sharing"",""แม่ฮ่องสอน!I45"")"),0)</f>
        <v>0</v>
      </c>
      <c r="J110" s="213">
        <f ca="1">IFERROR(__xludf.DUMMYFUNCTION("IMPORTRANGE(""https://docs.google.com/spreadsheets/d/11923uPwbBZFjjGgGUA6NLw09EwE0CqkOc4q9oUmW1yo/edit?usp=sharing"",""แม่ฮ่องสอน!J45"")"),0)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IFERROR(__xludf.DUMMYFUNCTION("IMPORTRANGE(""https://docs.google.com/spreadsheets/d/11923uPwbBZFjjGgGUA6NLw09EwE0CqkOc4q9oUmW1yo/edit?usp=sharing"",""แม่ฮ่องสอน!I46"")"),0)</f>
        <v>0</v>
      </c>
      <c r="J111" s="213">
        <f ca="1">IFERROR(__xludf.DUMMYFUNCTION("IMPORTRANGE(""https://docs.google.com/spreadsheets/d/11923uPwbBZFjjGgGUA6NLw09EwE0CqkOc4q9oUmW1yo/edit?usp=sharing"",""แม่ฮ่องสอน!J46"")"),0)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IFERROR(__xludf.DUMMYFUNCTION("IMPORTRANGE(""https://docs.google.com/spreadsheets/d/11923uPwbBZFjjGgGUA6NLw09EwE0CqkOc4q9oUmW1yo/edit?usp=sharing"",""แม่ฮ่องสอน!I47"")"),0)</f>
        <v>0</v>
      </c>
      <c r="J112" s="213">
        <f ca="1">IFERROR(__xludf.DUMMYFUNCTION("IMPORTRANGE(""https://docs.google.com/spreadsheets/d/11923uPwbBZFjjGgGUA6NLw09EwE0CqkOc4q9oUmW1yo/edit?usp=sharing"",""แม่ฮ่องสอน!J47"")"),0)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IFERROR(__xludf.DUMMYFUNCTION("IMPORTRANGE(""https://docs.google.com/spreadsheets/d/11923uPwbBZFjjGgGUA6NLw09EwE0CqkOc4q9oUmW1yo/edit?usp=sharing"",""แม่ฮ่องสอน!I48"")"),0)</f>
        <v>0</v>
      </c>
      <c r="J113" s="213">
        <f ca="1">IFERROR(__xludf.DUMMYFUNCTION("IMPORTRANGE(""https://docs.google.com/spreadsheets/d/11923uPwbBZFjjGgGUA6NLw09EwE0CqkOc4q9oUmW1yo/edit?usp=sharing"",""แม่ฮ่องสอน!J48"")"),0)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IFERROR(__xludf.DUMMYFUNCTION("IMPORTRANGE(""https://docs.google.com/spreadsheets/d/11923uPwbBZFjjGgGUA6NLw09EwE0CqkOc4q9oUmW1yo/edit?usp=sharing"",""แม่ฮ่องสอน!J49"")"),0)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IFERROR(__xludf.DUMMYFUNCTION("IMPORTRANGE(""https://docs.google.com/spreadsheets/d/11923uPwbBZFjjGgGUA6NLw09EwE0CqkOc4q9oUmW1yo/edit?usp=sharing"",""แม่ฮ่องสอน!J50"")"),0)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IFERROR(__xludf.DUMMYFUNCTION("IMPORTRANGE(""https://docs.google.com/spreadsheets/d/11923uPwbBZFjjGgGUA6NLw09EwE0CqkOc4q9oUmW1yo/edit?usp=sharing"",""แม่ฮ่องสอน!I52"")"),20)</f>
        <v>20</v>
      </c>
      <c r="J117" s="148">
        <f ca="1">IFERROR(__xludf.DUMMYFUNCTION("IMPORTRANGE(""https://docs.google.com/spreadsheets/d/11923uPwbBZFjjGgGUA6NLw09EwE0CqkOc4q9oUmW1yo/edit?usp=sharing"",""แม่ฮ่องสอน!J52"")"),20)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42892</v>
      </c>
      <c r="O118" s="157">
        <f t="shared" ref="O118:O120" ca="1" si="59">IF(L118&gt;0,N118*100/L118,0)</f>
        <v>52.0281416787967</v>
      </c>
      <c r="P118" s="157">
        <f t="shared" ref="P118:P120" ca="1" si="60">IF(M118&gt;0,N118*100/M118,0)</f>
        <v>64.557495484647802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42892</v>
      </c>
      <c r="O120" s="162">
        <f t="shared" ca="1" si="59"/>
        <v>52.0281416787967</v>
      </c>
      <c r="P120" s="162">
        <f t="shared" ca="1" si="60"/>
        <v>64.557495484647802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IFERROR(__xludf.DUMMYFUNCTION("IMPORTRANGE(""https://docs.google.com/spreadsheets/d/1Yj_ptqi66GCucihVvJfMjLAmec39IyEx_6qawtMGysU/edit?usp=sharing"",""สบก!BA31"")"),66440)</f>
        <v>66440</v>
      </c>
      <c r="N122" s="177">
        <f ca="1">IFERROR(__xludf.DUMMYFUNCTION("IMPORTRANGE(""https://docs.google.com/spreadsheets/d/1Yj_ptqi66GCucihVvJfMjLAmec39IyEx_6qawtMGysU/edit?usp=sharing"",""สบก!BB31"")"),42892)</f>
        <v>42892</v>
      </c>
      <c r="O122" s="178">
        <f ca="1">IF(L122&gt;0,N122*100/L122,0)</f>
        <v>52.0281416787967</v>
      </c>
      <c r="P122" s="178">
        <f ca="1">IF(M122&gt;0,N122*100/M122,0)</f>
        <v>64.557495484647802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IFERROR(__xludf.DUMMYFUNCTION("IMPORTRANGE(""https://docs.google.com/spreadsheets/d/1Yj_ptqi66GCucihVvJfMjLAmec39IyEx_6qawtMGysU/edit?usp=sharing"",""สบก!AW31"")"),0)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IFERROR(__xludf.DUMMYFUNCTION("IMPORTRANGE(""https://docs.google.com/spreadsheets/d/1Yj_ptqi66GCucihVvJfMjLAmec39IyEx_6qawtMGysU/edit?usp=sharing"",""สบก!AX31"")"),82440)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IFERROR(__xludf.DUMMYFUNCTION("IMPORTRANGE(""https://docs.google.com/spreadsheets/d/1Yj_ptqi66GCucihVvJfMjLAmec39IyEx_6qawtMGysU/edit?usp=sharing"",""สบก!AY31"")"),0)</f>
        <v>0</v>
      </c>
      <c r="M126" s="103"/>
      <c r="N126" s="93">
        <f ca="1">IFERROR(__xludf.DUMMYFUNCTION("IMPORTRANGE(""https://docs.google.com/spreadsheets/d/1Yj_ptqi66GCucihVvJfMjLAmec39IyEx_6qawtMGysU/edit?usp=sharing"",""สบก!BC31"")"),0)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262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IFERROR(__xludf.DUMMYFUNCTION("IMPORTRANGE(""https://docs.google.com/spreadsheets/d/11923uPwbBZFjjGgGUA6NLw09EwE0CqkOc4q9oUmW1yo/edit?usp=sharing"",""แม่ฮ่องสอน!J58"")"),0)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IFERROR(__xludf.DUMMYFUNCTION("IMPORTRANGE(""https://docs.google.com/spreadsheets/d/11923uPwbBZFjjGgGUA6NLw09EwE0CqkOc4q9oUmW1yo/edit?usp=sharing"",""แม่ฮ่องสอน!J59"")"),1)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IFERROR(__xludf.DUMMYFUNCTION("IMPORTRANGE(""https://docs.google.com/spreadsheets/d/11923uPwbBZFjjGgGUA6NLw09EwE0CqkOc4q9oUmW1yo/edit?usp=sharing"",""แม่ฮ่องสอน!J60"")"),1)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IFERROR(__xludf.DUMMYFUNCTION("IMPORTRANGE(""https://docs.google.com/spreadsheets/d/11923uPwbBZFjjGgGUA6NLw09EwE0CqkOc4q9oUmW1yo/edit?usp=sharing"",""แม่ฮ่องสอน!J61"")"),1)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IFERROR(__xludf.DUMMYFUNCTION("IMPORTRANGE(""https://docs.google.com/spreadsheets/d/11923uPwbBZFjjGgGUA6NLw09EwE0CqkOc4q9oUmW1yo/edit?usp=sharing"",""แม่ฮ่องสอน!I62"")"),20)</f>
        <v>20</v>
      </c>
      <c r="J132" s="213">
        <f ca="1">IFERROR(__xludf.DUMMYFUNCTION("IMPORTRANGE(""https://docs.google.com/spreadsheets/d/11923uPwbBZFjjGgGUA6NLw09EwE0CqkOc4q9oUmW1yo/edit?usp=sharing"",""แม่ฮ่องสอน!J62"")"),20)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IFERROR(__xludf.DUMMYFUNCTION("IMPORTRANGE(""https://docs.google.com/spreadsheets/d/11923uPwbBZFjjGgGUA6NLw09EwE0CqkOc4q9oUmW1yo/edit?usp=sharing"",""แม่ฮ่องสอน!I63"")"),20)</f>
        <v>20</v>
      </c>
      <c r="J133" s="213">
        <f ca="1">IFERROR(__xludf.DUMMYFUNCTION("IMPORTRANGE(""https://docs.google.com/spreadsheets/d/11923uPwbBZFjjGgGUA6NLw09EwE0CqkOc4q9oUmW1yo/edit?usp=sharing"",""แม่ฮ่องสอน!J63"")"),20)</f>
        <v>20</v>
      </c>
      <c r="K133" s="233">
        <f t="shared" ca="1" si="63"/>
        <v>100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IFERROR(__xludf.DUMMYFUNCTION("IMPORTRANGE(""https://docs.google.com/spreadsheets/d/11923uPwbBZFjjGgGUA6NLw09EwE0CqkOc4q9oUmW1yo/edit?usp=sharing"",""แม่ฮ่องสอน!J64"")"),0)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IFERROR(__xludf.DUMMYFUNCTION("IMPORTRANGE(""https://docs.google.com/spreadsheets/d/11923uPwbBZFjjGgGUA6NLw09EwE0CqkOc4q9oUmW1yo/edit?usp=sharing"",""แม่ฮ่องสอน!J65"")"),0)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IFERROR(__xludf.DUMMYFUNCTION("IMPORTRANGE(""https://docs.google.com/spreadsheets/d/11923uPwbBZFjjGgGUA6NLw09EwE0CqkOc4q9oUmW1yo/edit?usp=sharing"",""แม่ฮ่องสอน!I68"")"),0)</f>
        <v>0</v>
      </c>
      <c r="J138" s="276">
        <f ca="1">IFERROR(__xludf.DUMMYFUNCTION("IMPORTRANGE(""https://docs.google.com/spreadsheets/d/11923uPwbBZFjjGgGUA6NLw09EwE0CqkOc4q9oUmW1yo/edit?usp=sharing"",""แม่ฮ่องสอน!J68"")"),0)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69500</v>
      </c>
      <c r="M140" s="158">
        <f t="shared" ca="1" si="64"/>
        <v>31750</v>
      </c>
      <c r="N140" s="158">
        <f t="shared" ca="1" si="64"/>
        <v>28940</v>
      </c>
      <c r="O140" s="157">
        <f t="shared" ref="O140:O142" ca="1" si="65">IF(L140&gt;0,N140*100/L140,0)</f>
        <v>41.640287769784173</v>
      </c>
      <c r="P140" s="157">
        <f t="shared" ref="P140:P142" ca="1" si="66">IF(M140&gt;0,N140*100/M140,0)</f>
        <v>91.149606299212593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69500</v>
      </c>
      <c r="M142" s="163">
        <f t="shared" ca="1" si="68"/>
        <v>31750</v>
      </c>
      <c r="N142" s="163">
        <f t="shared" ca="1" si="68"/>
        <v>28940</v>
      </c>
      <c r="O142" s="162">
        <f t="shared" ca="1" si="65"/>
        <v>41.640287769784173</v>
      </c>
      <c r="P142" s="162">
        <f t="shared" ca="1" si="66"/>
        <v>91.149606299212593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69500</v>
      </c>
      <c r="M144" s="176">
        <f ca="1">IFERROR(__xludf.DUMMYFUNCTION("IMPORTRANGE(""https://docs.google.com/spreadsheets/d/1Yj_ptqi66GCucihVvJfMjLAmec39IyEx_6qawtMGysU/edit?usp=sharing"",""สบก!BJ31"")"),31750)</f>
        <v>31750</v>
      </c>
      <c r="N144" s="177">
        <f ca="1">IFERROR(__xludf.DUMMYFUNCTION("IMPORTRANGE(""https://docs.google.com/spreadsheets/d/1Yj_ptqi66GCucihVvJfMjLAmec39IyEx_6qawtMGysU/edit?usp=sharing"",""สบก!BK31"")"),28940)</f>
        <v>28940</v>
      </c>
      <c r="O144" s="178">
        <f ca="1">IF(L144&gt;0,N144*100/L144,0)</f>
        <v>41.640287769784173</v>
      </c>
      <c r="P144" s="178">
        <f ca="1">IF(M144&gt;0,N144*100/M144,0)</f>
        <v>91.149606299212593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IFERROR(__xludf.DUMMYFUNCTION("IMPORTRANGE(""https://docs.google.com/spreadsheets/d/1Yj_ptqi66GCucihVvJfMjLAmec39IyEx_6qawtMGysU/edit?usp=sharing"",""สบก!BF31"")"),0)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IFERROR(__xludf.DUMMYFUNCTION("IMPORTRANGE(""https://docs.google.com/spreadsheets/d/1Yj_ptqi66GCucihVvJfMjLAmec39IyEx_6qawtMGysU/edit?usp=sharing"",""สบก!BG31"")"),69500)</f>
        <v>69500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IFERROR(__xludf.DUMMYFUNCTION("IMPORTRANGE(""https://docs.google.com/spreadsheets/d/1Yj_ptqi66GCucihVvJfMjLAmec39IyEx_6qawtMGysU/edit?usp=sharing"",""สบก!BH31"")"),0)</f>
        <v>0</v>
      </c>
      <c r="M148" s="103"/>
      <c r="N148" s="93">
        <f ca="1">IFERROR(__xludf.DUMMYFUNCTION("IMPORTRANGE(""https://docs.google.com/spreadsheets/d/1Yj_ptqi66GCucihVvJfMjLAmec39IyEx_6qawtMGysU/edit?usp=sharing"",""สบก!BL31"")"),0)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IFERROR(__xludf.DUMMYFUNCTION("IMPORTRANGE(""https://docs.google.com/spreadsheets/d/11923uPwbBZFjjGgGUA6NLw09EwE0CqkOc4q9oUmW1yo/edit?usp=sharing"",""แม่ฮ่องสอน!I74"")"),4)</f>
        <v>4</v>
      </c>
      <c r="J149" s="284">
        <f ca="1">IFERROR(__xludf.DUMMYFUNCTION("IMPORTRANGE(""https://docs.google.com/spreadsheets/d/11923uPwbBZFjjGgGUA6NLw09EwE0CqkOc4q9oUmW1yo/edit?usp=sharing"",""แม่ฮ่องสอน!J74"")"),1)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IFERROR(__xludf.DUMMYFUNCTION("IMPORTRANGE(""https://docs.google.com/spreadsheets/d/11923uPwbBZFjjGgGUA6NLw09EwE0CqkOc4q9oUmW1yo/edit?usp=sharing"",""แม่ฮ่องสอน!J79"")"),0)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IFERROR(__xludf.DUMMYFUNCTION("IMPORTRANGE(""https://docs.google.com/spreadsheets/d/11923uPwbBZFjjGgGUA6NLw09EwE0CqkOc4q9oUmW1yo/edit?usp=sharing"",""แม่ฮ่องสอน!J80"")"),1)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IFERROR(__xludf.DUMMYFUNCTION("IMPORTRANGE(""https://docs.google.com/spreadsheets/d/11923uPwbBZFjjGgGUA6NLw09EwE0CqkOc4q9oUmW1yo/edit?usp=sharing"",""แม่ฮ่องสอน!J81"")"),1)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IFERROR(__xludf.DUMMYFUNCTION("IMPORTRANGE(""https://docs.google.com/spreadsheets/d/11923uPwbBZFjjGgGUA6NLw09EwE0CqkOc4q9oUmW1yo/edit?usp=sharing"",""แม่ฮ่องสอน!J82"")"),1)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IFERROR(__xludf.DUMMYFUNCTION("IMPORTRANGE(""https://docs.google.com/spreadsheets/d/11923uPwbBZFjjGgGUA6NLw09EwE0CqkOc4q9oUmW1yo/edit?usp=sharing"",""แม่ฮ่องสอน!I83"")"),4)</f>
        <v>4</v>
      </c>
      <c r="J158" s="198">
        <f ca="1">IFERROR(__xludf.DUMMYFUNCTION("IMPORTRANGE(""https://docs.google.com/spreadsheets/d/11923uPwbBZFjjGgGUA6NLw09EwE0CqkOc4q9oUmW1yo/edit?usp=sharing"",""แม่ฮ่องสอน!J83"")"),1)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IFERROR(__xludf.DUMMYFUNCTION("IMPORTRANGE(""https://docs.google.com/spreadsheets/d/11923uPwbBZFjjGgGUA6NLw09EwE0CqkOc4q9oUmW1yo/edit?usp=sharing"",""แม่ฮ่องสอน!J84"")"),20)</f>
        <v>20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IFERROR(__xludf.DUMMYFUNCTION("IMPORTRANGE(""https://docs.google.com/spreadsheets/d/11923uPwbBZFjjGgGUA6NLw09EwE0CqkOc4q9oUmW1yo/edit?usp=sharing"",""แม่ฮ่องสอน!J85"")"),20)</f>
        <v>20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IFERROR(__xludf.DUMMYFUNCTION("IMPORTRANGE(""https://docs.google.com/spreadsheets/d/11923uPwbBZFjjGgGUA6NLw09EwE0CqkOc4q9oUmW1yo/edit?usp=sharing"",""แม่ฮ่องสอน!J86"")"),0)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IFERROR(__xludf.DUMMYFUNCTION("IMPORTRANGE(""https://docs.google.com/spreadsheets/d/11923uPwbBZFjjGgGUA6NLw09EwE0CqkOc4q9oUmW1yo/edit?usp=sharing"",""แม่ฮ่องสอน!J87"")"),0)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IFERROR(__xludf.DUMMYFUNCTION("IMPORTRANGE(""https://docs.google.com/spreadsheets/d/11923uPwbBZFjjGgGUA6NLw09EwE0CqkOc4q9oUmW1yo/edit?usp=sharing"",""แม่ฮ่องสอน!J88"")"),0)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IFERROR(__xludf.DUMMYFUNCTION("IMPORTRANGE(""https://docs.google.com/spreadsheets/d/11923uPwbBZFjjGgGUA6NLw09EwE0CqkOc4q9oUmW1yo/edit?usp=sharing"",""แม่ฮ่องสอน!I89"")"),2)</f>
        <v>2</v>
      </c>
      <c r="J164" s="292">
        <f ca="1">IFERROR(__xludf.DUMMYFUNCTION("IMPORTRANGE(""https://docs.google.com/spreadsheets/d/11923uPwbBZFjjGgGUA6NLw09EwE0CqkOc4q9oUmW1yo/edit?usp=sharing"",""แม่ฮ่องสอน!J89"")"),2)</f>
        <v>2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IFERROR(__xludf.DUMMYFUNCTION("IMPORTRANGE(""https://docs.google.com/spreadsheets/d/11923uPwbBZFjjGgGUA6NLw09EwE0CqkOc4q9oUmW1yo/edit?usp=sharing"",""แม่ฮ่องสอน!J94"")"),0)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IFERROR(__xludf.DUMMYFUNCTION("IMPORTRANGE(""https://docs.google.com/spreadsheets/d/11923uPwbBZFjjGgGUA6NLw09EwE0CqkOc4q9oUmW1yo/edit?usp=sharing"",""แม่ฮ่องสอน!J95"")"),1)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IFERROR(__xludf.DUMMYFUNCTION("IMPORTRANGE(""https://docs.google.com/spreadsheets/d/11923uPwbBZFjjGgGUA6NLw09EwE0CqkOc4q9oUmW1yo/edit?usp=sharing"",""แม่ฮ่องสอน!J96"")"),1)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IFERROR(__xludf.DUMMYFUNCTION("IMPORTRANGE(""https://docs.google.com/spreadsheets/d/11923uPwbBZFjjGgGUA6NLw09EwE0CqkOc4q9oUmW1yo/edit?usp=sharing"",""แม่ฮ่องสอน!J97"")"),1)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IFERROR(__xludf.DUMMYFUNCTION("IMPORTRANGE(""https://docs.google.com/spreadsheets/d/11923uPwbBZFjjGgGUA6NLw09EwE0CqkOc4q9oUmW1yo/edit?usp=sharing"",""แม่ฮ่องสอน!I98"")"),2)</f>
        <v>2</v>
      </c>
      <c r="J173" s="198">
        <f ca="1">IFERROR(__xludf.DUMMYFUNCTION("IMPORTRANGE(""https://docs.google.com/spreadsheets/d/11923uPwbBZFjjGgGUA6NLw09EwE0CqkOc4q9oUmW1yo/edit?usp=sharing"",""แม่ฮ่องสอน!J98"")"),2)</f>
        <v>2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IFERROR(__xludf.DUMMYFUNCTION("IMPORTRANGE(""https://docs.google.com/spreadsheets/d/11923uPwbBZFjjGgGUA6NLw09EwE0CqkOc4q9oUmW1yo/edit?usp=sharing"",""แม่ฮ่องสอน!J99"")"),0)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IFERROR(__xludf.DUMMYFUNCTION("IMPORTRANGE(""https://docs.google.com/spreadsheets/d/11923uPwbBZFjjGgGUA6NLw09EwE0CqkOc4q9oUmW1yo/edit?usp=sharing"",""แม่ฮ่องสอน!J100"")"),0)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IFERROR(__xludf.DUMMYFUNCTION("IMPORTRANGE(""https://docs.google.com/spreadsheets/d/11923uPwbBZFjjGgGUA6NLw09EwE0CqkOc4q9oUmW1yo/edit?usp=sharing"",""แม่ฮ่องสอน!I101"")"),0)</f>
        <v>0</v>
      </c>
      <c r="J176" s="292">
        <f ca="1">IFERROR(__xludf.DUMMYFUNCTION("IMPORTRANGE(""https://docs.google.com/spreadsheets/d/11923uPwbBZFjjGgGUA6NLw09EwE0CqkOc4q9oUmW1yo/edit?usp=sharing"",""แม่ฮ่องสอน!J101"")"),0)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IFERROR(__xludf.DUMMYFUNCTION("IMPORTRANGE(""https://docs.google.com/spreadsheets/d/11923uPwbBZFjjGgGUA6NLw09EwE0CqkOc4q9oUmW1yo/edit?usp=sharing"",""แม่ฮ่องสอน!J106"")"),0)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IFERROR(__xludf.DUMMYFUNCTION("IMPORTRANGE(""https://docs.google.com/spreadsheets/d/11923uPwbBZFjjGgGUA6NLw09EwE0CqkOc4q9oUmW1yo/edit?usp=sharing"",""แม่ฮ่องสอน!J107"")"),0)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IFERROR(__xludf.DUMMYFUNCTION("IMPORTRANGE(""https://docs.google.com/spreadsheets/d/11923uPwbBZFjjGgGUA6NLw09EwE0CqkOc4q9oUmW1yo/edit?usp=sharing"",""แม่ฮ่องสอน!J108"")"),0)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IFERROR(__xludf.DUMMYFUNCTION("IMPORTRANGE(""https://docs.google.com/spreadsheets/d/11923uPwbBZFjjGgGUA6NLw09EwE0CqkOc4q9oUmW1yo/edit?usp=sharing"",""แม่ฮ่องสอน!J109"")"),0)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IFERROR(__xludf.DUMMYFUNCTION("IMPORTRANGE(""https://docs.google.com/spreadsheets/d/11923uPwbBZFjjGgGUA6NLw09EwE0CqkOc4q9oUmW1yo/edit?usp=sharing"",""แม่ฮ่องสอน!I110"")"),0)</f>
        <v>0</v>
      </c>
      <c r="J185" s="213">
        <f ca="1">IFERROR(__xludf.DUMMYFUNCTION("IMPORTRANGE(""https://docs.google.com/spreadsheets/d/11923uPwbBZFjjGgGUA6NLw09EwE0CqkOc4q9oUmW1yo/edit?usp=sharing"",""แม่ฮ่องสอน!J110"")"),0)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IFERROR(__xludf.DUMMYFUNCTION("IMPORTRANGE(""https://docs.google.com/spreadsheets/d/11923uPwbBZFjjGgGUA6NLw09EwE0CqkOc4q9oUmW1yo/edit?usp=sharing"",""แม่ฮ่องสอน!I111"")"),0)</f>
        <v>0</v>
      </c>
      <c r="J186" s="213">
        <f ca="1">IFERROR(__xludf.DUMMYFUNCTION("IMPORTRANGE(""https://docs.google.com/spreadsheets/d/11923uPwbBZFjjGgGUA6NLw09EwE0CqkOc4q9oUmW1yo/edit?usp=sharing"",""แม่ฮ่องสอน!J111"")"),0)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IFERROR(__xludf.DUMMYFUNCTION("IMPORTRANGE(""https://docs.google.com/spreadsheets/d/11923uPwbBZFjjGgGUA6NLw09EwE0CqkOc4q9oUmW1yo/edit?usp=sharing"",""แม่ฮ่องสอน!J112"")"),0)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IFERROR(__xludf.DUMMYFUNCTION("IMPORTRANGE(""https://docs.google.com/spreadsheets/d/11923uPwbBZFjjGgGUA6NLw09EwE0CqkOc4q9oUmW1yo/edit?usp=sharing"",""แม่ฮ่องสอน!J113"")"),0)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IFERROR(__xludf.DUMMYFUNCTION("IMPORTRANGE(""https://docs.google.com/spreadsheets/d/11923uPwbBZFjjGgGUA6NLw09EwE0CqkOc4q9oUmW1yo/edit?usp=sharing"",""แม่ฮ่องสอน!I114"")"),100000)</f>
        <v>100000</v>
      </c>
      <c r="J189" s="292">
        <f ca="1">IFERROR(__xludf.DUMMYFUNCTION("IMPORTRANGE(""https://docs.google.com/spreadsheets/d/11923uPwbBZFjjGgGUA6NLw09EwE0CqkOc4q9oUmW1yo/edit?usp=sharing"",""แม่ฮ่องสอน!J114"")"),0)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IFERROR(__xludf.DUMMYFUNCTION("IMPORTRANGE(""https://docs.google.com/spreadsheets/d/11923uPwbBZFjjGgGUA6NLw09EwE0CqkOc4q9oUmW1yo/edit?usp=sharing"",""แม่ฮ่องสอน!J119"")"),0)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IFERROR(__xludf.DUMMYFUNCTION("IMPORTRANGE(""https://docs.google.com/spreadsheets/d/11923uPwbBZFjjGgGUA6NLw09EwE0CqkOc4q9oUmW1yo/edit?usp=sharing"",""แม่ฮ่องสอน!J120"")"),1)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IFERROR(__xludf.DUMMYFUNCTION("IMPORTRANGE(""https://docs.google.com/spreadsheets/d/11923uPwbBZFjjGgGUA6NLw09EwE0CqkOc4q9oUmW1yo/edit?usp=sharing"",""แม่ฮ่องสอน!J121"")"),1)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IFERROR(__xludf.DUMMYFUNCTION("IMPORTRANGE(""https://docs.google.com/spreadsheets/d/11923uPwbBZFjjGgGUA6NLw09EwE0CqkOc4q9oUmW1yo/edit?usp=sharing"",""แม่ฮ่องสอน!J122"")"),1)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9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98">
        <f ca="1">IFERROR(__xludf.DUMMYFUNCTION("IMPORTRANGE(""https://docs.google.com/spreadsheets/d/11923uPwbBZFjjGgGUA6NLw09EwE0CqkOc4q9oUmW1yo/edit?usp=sharing"",""แม่ฮ่องสอน!J125"")"),0)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IFERROR(__xludf.DUMMYFUNCTION("IMPORTRANGE(""https://docs.google.com/spreadsheets/d/11923uPwbBZFjjGgGUA6NLw09EwE0CqkOc4q9oUmW1yo/edit?usp=sharing"",""แม่ฮ่องสอน!I126"")"),0)</f>
        <v>0</v>
      </c>
      <c r="J201" s="198">
        <f ca="1">IFERROR(__xludf.DUMMYFUNCTION("IMPORTRANGE(""https://docs.google.com/spreadsheets/d/11923uPwbBZFjjGgGUA6NLw09EwE0CqkOc4q9oUmW1yo/edit?usp=sharing"",""แม่ฮ่องสอน!J126"")"),0)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IFERROR(__xludf.DUMMYFUNCTION("IMPORTRANGE(""https://docs.google.com/spreadsheets/d/11923uPwbBZFjjGgGUA6NLw09EwE0CqkOc4q9oUmW1yo/edit?usp=sharing"",""แม่ฮ่องสอน!J127"")"),0)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IFERROR(__xludf.DUMMYFUNCTION("IMPORTRANGE(""https://docs.google.com/spreadsheets/d/11923uPwbBZFjjGgGUA6NLw09EwE0CqkOc4q9oUmW1yo/edit?usp=sharing"",""แม่ฮ่องสอน!J128"")"),0)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IFERROR(__xludf.DUMMYFUNCTION("IMPORTRANGE(""https://docs.google.com/spreadsheets/d/11923uPwbBZFjjGgGUA6NLw09EwE0CqkOc4q9oUmW1yo/edit?usp=sharing"",""แม่ฮ่องสอน!I129"")"),0)</f>
        <v>0</v>
      </c>
      <c r="J204" s="292">
        <f ca="1">IFERROR(__xludf.DUMMYFUNCTION("IMPORTRANGE(""https://docs.google.com/spreadsheets/d/11923uPwbBZFjjGgGUA6NLw09EwE0CqkOc4q9oUmW1yo/edit?usp=sharing"",""แม่ฮ่องสอน!J129"")"),0)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IFERROR(__xludf.DUMMYFUNCTION("IMPORTRANGE(""https://docs.google.com/spreadsheets/d/11923uPwbBZFjjGgGUA6NLw09EwE0CqkOc4q9oUmW1yo/edit?usp=sharing"",""แม่ฮ่องสอน!J134"")"),0)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IFERROR(__xludf.DUMMYFUNCTION("IMPORTRANGE(""https://docs.google.com/spreadsheets/d/11923uPwbBZFjjGgGUA6NLw09EwE0CqkOc4q9oUmW1yo/edit?usp=sharing"",""แม่ฮ่องสอน!J135"")"),0)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IFERROR(__xludf.DUMMYFUNCTION("IMPORTRANGE(""https://docs.google.com/spreadsheets/d/11923uPwbBZFjjGgGUA6NLw09EwE0CqkOc4q9oUmW1yo/edit?usp=sharing"",""แม่ฮ่องสอน!J136"")"),0)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IFERROR(__xludf.DUMMYFUNCTION("IMPORTRANGE(""https://docs.google.com/spreadsheets/d/11923uPwbBZFjjGgGUA6NLw09EwE0CqkOc4q9oUmW1yo/edit?usp=sharing"",""แม่ฮ่องสอน!J137"")"),0)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IFERROR(__xludf.DUMMYFUNCTION("IMPORTRANGE(""https://docs.google.com/spreadsheets/d/11923uPwbBZFjjGgGUA6NLw09EwE0CqkOc4q9oUmW1yo/edit?usp=sharing"",""แม่ฮ่องสอน!I138"")"),0)</f>
        <v>0</v>
      </c>
      <c r="J213" s="213">
        <f ca="1">IFERROR(__xludf.DUMMYFUNCTION("IMPORTRANGE(""https://docs.google.com/spreadsheets/d/11923uPwbBZFjjGgGUA6NLw09EwE0CqkOc4q9oUmW1yo/edit?usp=sharing"",""แม่ฮ่องสอน!J138"")"),0)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IFERROR(__xludf.DUMMYFUNCTION("IMPORTRANGE(""https://docs.google.com/spreadsheets/d/11923uPwbBZFjjGgGUA6NLw09EwE0CqkOc4q9oUmW1yo/edit?usp=sharing"",""แม่ฮ่องสอน!I140"")"),0)</f>
        <v>0</v>
      </c>
      <c r="J215" s="213">
        <f ca="1">IFERROR(__xludf.DUMMYFUNCTION("IMPORTRANGE(""https://docs.google.com/spreadsheets/d/11923uPwbBZFjjGgGUA6NLw09EwE0CqkOc4q9oUmW1yo/edit?usp=sharing"",""แม่ฮ่องสอน!J140"")"),0)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IFERROR(__xludf.DUMMYFUNCTION("IMPORTRANGE(""https://docs.google.com/spreadsheets/d/11923uPwbBZFjjGgGUA6NLw09EwE0CqkOc4q9oUmW1yo/edit?usp=sharing"",""แม่ฮ่องสอน!I141"")"),0)</f>
        <v>0</v>
      </c>
      <c r="J216" s="213">
        <f ca="1">IFERROR(__xludf.DUMMYFUNCTION("IMPORTRANGE(""https://docs.google.com/spreadsheets/d/11923uPwbBZFjjGgGUA6NLw09EwE0CqkOc4q9oUmW1yo/edit?usp=sharing"",""แม่ฮ่องสอน!J141"")"),0)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IFERROR(__xludf.DUMMYFUNCTION("IMPORTRANGE(""https://docs.google.com/spreadsheets/d/11923uPwbBZFjjGgGUA6NLw09EwE0CqkOc4q9oUmW1yo/edit?usp=sharing"",""แม่ฮ่องสอน!J142"")"),0)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IFERROR(__xludf.DUMMYFUNCTION("IMPORTRANGE(""https://docs.google.com/spreadsheets/d/11923uPwbBZFjjGgGUA6NLw09EwE0CqkOc4q9oUmW1yo/edit?usp=sharing"",""แม่ฮ่องสอน!J143"")"),0)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IFERROR(__xludf.DUMMYFUNCTION("IMPORTRANGE(""https://docs.google.com/spreadsheets/d/11923uPwbBZFjjGgGUA6NLw09EwE0CqkOc4q9oUmW1yo/edit?usp=sharing"",""แม่ฮ่องสอน!I144"")"),13)</f>
        <v>13</v>
      </c>
      <c r="J219" s="276">
        <f ca="1">IFERROR(__xludf.DUMMYFUNCTION("IMPORTRANGE(""https://docs.google.com/spreadsheets/d/11923uPwbBZFjjGgGUA6NLw09EwE0CqkOc4q9oUmW1yo/edit?usp=sharing"",""แม่ฮ่องสอน!J144"")"),13)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19295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19295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IFERROR(__xludf.DUMMYFUNCTION("IMPORTRANGE(""https://docs.google.com/spreadsheets/d/1Yj_ptqi66GCucihVvJfMjLAmec39IyEx_6qawtMGysU/edit?usp=sharing"",""สบก!BS31"")"),19295)</f>
        <v>19295</v>
      </c>
      <c r="N224" s="177">
        <f ca="1">IFERROR(__xludf.DUMMYFUNCTION("IMPORTRANGE(""https://docs.google.com/spreadsheets/d/1Yj_ptqi66GCucihVvJfMjLAmec39IyEx_6qawtMGysU/edit?usp=sharing"",""สบก!BT31"")"),19295)</f>
        <v>19295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IFERROR(__xludf.DUMMYFUNCTION("IMPORTRANGE(""https://docs.google.com/spreadsheets/d/1Yj_ptqi66GCucihVvJfMjLAmec39IyEx_6qawtMGysU/edit?usp=sharing"",""สบก!BO31"")"),0)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IFERROR(__xludf.DUMMYFUNCTION("IMPORTRANGE(""https://docs.google.com/spreadsheets/d/1Yj_ptqi66GCucihVvJfMjLAmec39IyEx_6qawtMGysU/edit?usp=sharing"",""สบก!BP31"")"),19295)</f>
        <v>19295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IFERROR(__xludf.DUMMYFUNCTION("IMPORTRANGE(""https://docs.google.com/spreadsheets/d/1Yj_ptqi66GCucihVvJfMjLAmec39IyEx_6qawtMGysU/edit?usp=sharing"",""สบก!BQ31"")"),0)</f>
        <v>0</v>
      </c>
      <c r="M228" s="103"/>
      <c r="N228" s="93">
        <f ca="1">IFERROR(__xludf.DUMMYFUNCTION("IMPORTRANGE(""https://docs.google.com/spreadsheets/d/1Yj_ptqi66GCucihVvJfMjLAmec39IyEx_6qawtMGysU/edit?usp=sharing"",""สบก!BU31"")"),0)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IFERROR(__xludf.DUMMYFUNCTION("IMPORTRANGE(""https://docs.google.com/spreadsheets/d/11923uPwbBZFjjGgGUA6NLw09EwE0CqkOc4q9oUmW1yo/edit?usp=sharing"",""แม่ฮ่องสอน!I149"")"),13)</f>
        <v>13</v>
      </c>
      <c r="J229" s="276">
        <f ca="1">IFERROR(__xludf.DUMMYFUNCTION("IMPORTRANGE(""https://docs.google.com/spreadsheets/d/11923uPwbBZFjjGgGUA6NLw09EwE0CqkOc4q9oUmW1yo/edit?usp=sharing"",""แม่ฮ่องสอน!J149"")"),13)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IFERROR(__xludf.DUMMYFUNCTION("IMPORTRANGE(""https://docs.google.com/spreadsheets/d/11923uPwbBZFjjGgGUA6NLw09EwE0CqkOc4q9oUmW1yo/edit?usp=sharing"",""แม่ฮ่องสอน!J151"")"),0)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IFERROR(__xludf.DUMMYFUNCTION("IMPORTRANGE(""https://docs.google.com/spreadsheets/d/11923uPwbBZFjjGgGUA6NLw09EwE0CqkOc4q9oUmW1yo/edit?usp=sharing"",""แม่ฮ่องสอน!J152"")"),0)</f>
        <v>0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IFERROR(__xludf.DUMMYFUNCTION("IMPORTRANGE(""https://docs.google.com/spreadsheets/d/11923uPwbBZFjjGgGUA6NLw09EwE0CqkOc4q9oUmW1yo/edit?usp=sharing"",""แม่ฮ่องสอน!J153"")"),1)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IFERROR(__xludf.DUMMYFUNCTION("IMPORTRANGE(""https://docs.google.com/spreadsheets/d/11923uPwbBZFjjGgGUA6NLw09EwE0CqkOc4q9oUmW1yo/edit?usp=sharing"",""แม่ฮ่องสอน!J154"")"),1)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IFERROR(__xludf.DUMMYFUNCTION("IMPORTRANGE(""https://docs.google.com/spreadsheets/d/11923uPwbBZFjjGgGUA6NLw09EwE0CqkOc4q9oUmW1yo/edit?usp=sharing"",""แม่ฮ่องสอน!I155"")"),13)</f>
        <v>13</v>
      </c>
      <c r="J235" s="198">
        <f ca="1">IFERROR(__xludf.DUMMYFUNCTION("IMPORTRANGE(""https://docs.google.com/spreadsheets/d/11923uPwbBZFjjGgGUA6NLw09EwE0CqkOc4q9oUmW1yo/edit?usp=sharing"",""แม่ฮ่องสอน!J155"")"),13)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IFERROR(__xludf.DUMMYFUNCTION("IMPORTRANGE(""https://docs.google.com/spreadsheets/d/11923uPwbBZFjjGgGUA6NLw09EwE0CqkOc4q9oUmW1yo/edit?usp=sharing"",""แม่ฮ่องสอน!J156"")"),1)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IFERROR(__xludf.DUMMYFUNCTION("IMPORTRANGE(""https://docs.google.com/spreadsheets/d/11923uPwbBZFjjGgGUA6NLw09EwE0CqkOc4q9oUmW1yo/edit?usp=sharing"",""แม่ฮ่องสอน!J157"")"),1)</f>
        <v>1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IFERROR(__xludf.DUMMYFUNCTION("IMPORTRANGE(""https://docs.google.com/spreadsheets/d/11923uPwbBZFjjGgGUA6NLw09EwE0CqkOc4q9oUmW1yo/edit?usp=sharing"",""แม่ฮ่องสอน!I158"")"),0)</f>
        <v>0</v>
      </c>
      <c r="J238" s="276">
        <f ca="1">IFERROR(__xludf.DUMMYFUNCTION("IMPORTRANGE(""https://docs.google.com/spreadsheets/d/11923uPwbBZFjjGgGUA6NLw09EwE0CqkOc4q9oUmW1yo/edit?usp=sharing"",""แม่ฮ่องสอน!J158"")"),0)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IFERROR(__xludf.DUMMYFUNCTION("IMPORTRANGE(""https://docs.google.com/spreadsheets/d/11923uPwbBZFjjGgGUA6NLw09EwE0CqkOc4q9oUmW1yo/edit?usp=sharing"",""แม่ฮ่องสอน!J159"")"),"")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IFERROR(__xludf.DUMMYFUNCTION("IMPORTRANGE(""https://docs.google.com/spreadsheets/d/11923uPwbBZFjjGgGUA6NLw09EwE0CqkOc4q9oUmW1yo/edit?usp=sharing"",""แม่ฮ่องสอน!J161"")"),0)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IFERROR(__xludf.DUMMYFUNCTION("IMPORTRANGE(""https://docs.google.com/spreadsheets/d/11923uPwbBZFjjGgGUA6NLw09EwE0CqkOc4q9oUmW1yo/edit?usp=sharing"",""แม่ฮ่องสอน!J162"")"),0)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IFERROR(__xludf.DUMMYFUNCTION("IMPORTRANGE(""https://docs.google.com/spreadsheets/d/11923uPwbBZFjjGgGUA6NLw09EwE0CqkOc4q9oUmW1yo/edit?usp=sharing"",""แม่ฮ่องสอน!J163"")"),0)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IFERROR(__xludf.DUMMYFUNCTION("IMPORTRANGE(""https://docs.google.com/spreadsheets/d/11923uPwbBZFjjGgGUA6NLw09EwE0CqkOc4q9oUmW1yo/edit?usp=sharing"",""แม่ฮ่องสอน!I164"")"),0)</f>
        <v>0</v>
      </c>
      <c r="J244" s="197">
        <f ca="1">IFERROR(__xludf.DUMMYFUNCTION("IMPORTRANGE(""https://docs.google.com/spreadsheets/d/11923uPwbBZFjjGgGUA6NLw09EwE0CqkOc4q9oUmW1yo/edit?usp=sharing"",""แม่ฮ่องสอน!J164"")"),0)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IFERROR(__xludf.DUMMYFUNCTION("IMPORTRANGE(""https://docs.google.com/spreadsheets/d/11923uPwbBZFjjGgGUA6NLw09EwE0CqkOc4q9oUmW1yo/edit?usp=sharing"",""แม่ฮ่องสอน!J165"")"),0)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IFERROR(__xludf.DUMMYFUNCTION("IMPORTRANGE(""https://docs.google.com/spreadsheets/d/11923uPwbBZFjjGgGUA6NLw09EwE0CqkOc4q9oUmW1yo/edit?usp=sharing"",""แม่ฮ่องสอน!J166"")"),0)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IFERROR(__xludf.DUMMYFUNCTION("IMPORTRANGE(""https://docs.google.com/spreadsheets/d/11923uPwbBZFjjGgGUA6NLw09EwE0CqkOc4q9oUmW1yo/edit?usp=sharing"",""แม่ฮ่องสอน!I169"")"),0)</f>
        <v>0</v>
      </c>
      <c r="J249" s="324">
        <f ca="1">IFERROR(__xludf.DUMMYFUNCTION("IMPORTRANGE(""https://docs.google.com/spreadsheets/d/11923uPwbBZFjjGgGUA6NLw09EwE0CqkOc4q9oUmW1yo/edit?usp=sharing"",""แม่ฮ่องสอน!J169"")"),0)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IFERROR(__xludf.DUMMYFUNCTION("IMPORTRANGE(""https://docs.google.com/spreadsheets/d/1Yj_ptqi66GCucihVvJfMjLAmec39IyEx_6qawtMGysU/edit?usp=sharing"",""สบก!CB31"")"),0)</f>
        <v>0</v>
      </c>
      <c r="N254" s="177">
        <f ca="1">IFERROR(__xludf.DUMMYFUNCTION("IMPORTRANGE(""https://docs.google.com/spreadsheets/d/1Yj_ptqi66GCucihVvJfMjLAmec39IyEx_6qawtMGysU/edit?usp=sharing"",""สบก!CC31"")"),0)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IFERROR(__xludf.DUMMYFUNCTION("IMPORTRANGE(""https://docs.google.com/spreadsheets/d/1Yj_ptqi66GCucihVvJfMjLAmec39IyEx_6qawtMGysU/edit?usp=sharing"",""สบก!BX31"")"),0)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IFERROR(__xludf.DUMMYFUNCTION("IMPORTRANGE(""https://docs.google.com/spreadsheets/d/1Yj_ptqi66GCucihVvJfMjLAmec39IyEx_6qawtMGysU/edit?usp=sharing"",""สบก!BY31"")"),0)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IFERROR(__xludf.DUMMYFUNCTION("IMPORTRANGE(""https://docs.google.com/spreadsheets/d/1Yj_ptqi66GCucihVvJfMjLAmec39IyEx_6qawtMGysU/edit?usp=sharing"",""สบก!BZ31"")"),0)</f>
        <v>0</v>
      </c>
      <c r="M258" s="103"/>
      <c r="N258" s="93">
        <f ca="1">IFERROR(__xludf.DUMMYFUNCTION("IMPORTRANGE(""https://docs.google.com/spreadsheets/d/1Yj_ptqi66GCucihVvJfMjLAmec39IyEx_6qawtMGysU/edit?usp=sharing"",""สบก!CD31"")"),0)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IFERROR(__xludf.DUMMYFUNCTION("IMPORTRANGE(""https://docs.google.com/spreadsheets/d/11923uPwbBZFjjGgGUA6NLw09EwE0CqkOc4q9oUmW1yo/edit?usp=sharing"",""แม่ฮ่องสอน!J175"")"),0)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IFERROR(__xludf.DUMMYFUNCTION("IMPORTRANGE(""https://docs.google.com/spreadsheets/d/11923uPwbBZFjjGgGUA6NLw09EwE0CqkOc4q9oUmW1yo/edit?usp=sharing"",""แม่ฮ่องสอน!J176"")"),0)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IFERROR(__xludf.DUMMYFUNCTION("IMPORTRANGE(""https://docs.google.com/spreadsheets/d/11923uPwbBZFjjGgGUA6NLw09EwE0CqkOc4q9oUmW1yo/edit?usp=sharing"",""แม่ฮ่องสอน!J177"")"),0)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IFERROR(__xludf.DUMMYFUNCTION("IMPORTRANGE(""https://docs.google.com/spreadsheets/d/11923uPwbBZFjjGgGUA6NLw09EwE0CqkOc4q9oUmW1yo/edit?usp=sharing"",""แม่ฮ่องสอน!J178"")"),0)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IFERROR(__xludf.DUMMYFUNCTION("IMPORTRANGE(""https://docs.google.com/spreadsheets/d/11923uPwbBZFjjGgGUA6NLw09EwE0CqkOc4q9oUmW1yo/edit?usp=sharing"",""แม่ฮ่องสอน!I179"")"),0)</f>
        <v>0</v>
      </c>
      <c r="J264" s="198">
        <f ca="1">IFERROR(__xludf.DUMMYFUNCTION("IMPORTRANGE(""https://docs.google.com/spreadsheets/d/11923uPwbBZFjjGgGUA6NLw09EwE0CqkOc4q9oUmW1yo/edit?usp=sharing"",""แม่ฮ่องสอน!J179"")"),0)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IFERROR(__xludf.DUMMYFUNCTION("IMPORTRANGE(""https://docs.google.com/spreadsheets/d/11923uPwbBZFjjGgGUA6NLw09EwE0CqkOc4q9oUmW1yo/edit?usp=sharing"",""แม่ฮ่องสอน!I180"")"),0)</f>
        <v>0</v>
      </c>
      <c r="J265" s="198">
        <f ca="1">IFERROR(__xludf.DUMMYFUNCTION("IMPORTRANGE(""https://docs.google.com/spreadsheets/d/11923uPwbBZFjjGgGUA6NLw09EwE0CqkOc4q9oUmW1yo/edit?usp=sharing"",""แม่ฮ่องสอน!J180"")"),0)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IFERROR(__xludf.DUMMYFUNCTION("IMPORTRANGE(""https://docs.google.com/spreadsheets/d/11923uPwbBZFjjGgGUA6NLw09EwE0CqkOc4q9oUmW1yo/edit?usp=sharing"",""แม่ฮ่องสอน!I181"")"),0)</f>
        <v>0</v>
      </c>
      <c r="J266" s="198">
        <f ca="1">IFERROR(__xludf.DUMMYFUNCTION("IMPORTRANGE(""https://docs.google.com/spreadsheets/d/11923uPwbBZFjjGgGUA6NLw09EwE0CqkOc4q9oUmW1yo/edit?usp=sharing"",""แม่ฮ่องสอน!J181"")"),0)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IFERROR(__xludf.DUMMYFUNCTION("IMPORTRANGE(""https://docs.google.com/spreadsheets/d/11923uPwbBZFjjGgGUA6NLw09EwE0CqkOc4q9oUmW1yo/edit?usp=sharing"",""แม่ฮ่องสอน!I182"")"),0)</f>
        <v>0</v>
      </c>
      <c r="J267" s="198">
        <f ca="1">IFERROR(__xludf.DUMMYFUNCTION("IMPORTRANGE(""https://docs.google.com/spreadsheets/d/11923uPwbBZFjjGgGUA6NLw09EwE0CqkOc4q9oUmW1yo/edit?usp=sharing"",""แม่ฮ่องสอน!J182"")"),0)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IFERROR(__xludf.DUMMYFUNCTION("IMPORTRANGE(""https://docs.google.com/spreadsheets/d/11923uPwbBZFjjGgGUA6NLw09EwE0CqkOc4q9oUmW1yo/edit?usp=sharing"",""แม่ฮ่องสอน!J183"")"),0)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IFERROR(__xludf.DUMMYFUNCTION("IMPORTRANGE(""https://docs.google.com/spreadsheets/d/11923uPwbBZFjjGgGUA6NLw09EwE0CqkOc4q9oUmW1yo/edit?usp=sharing"",""แม่ฮ่องสอน!J184"")"),0)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IFERROR(__xludf.DUMMYFUNCTION("IMPORTRANGE(""https://docs.google.com/spreadsheets/d/11923uPwbBZFjjGgGUA6NLw09EwE0CqkOc4q9oUmW1yo/edit?usp=sharing"",""แม่ฮ่องสอน!I185"")"),15)</f>
        <v>15</v>
      </c>
      <c r="J270" s="324">
        <f ca="1">IFERROR(__xludf.DUMMYFUNCTION("IMPORTRANGE(""https://docs.google.com/spreadsheets/d/11923uPwbBZFjjGgGUA6NLw09EwE0CqkOc4q9oUmW1yo/edit?usp=sharing"",""แม่ฮ่องสอน!J185"")"),15)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59999</v>
      </c>
      <c r="O271" s="157">
        <f t="shared" ref="O271:O273" ca="1" si="84">IF(L271&gt;0,N271*100/L271,0)</f>
        <v>32.050747863247864</v>
      </c>
      <c r="P271" s="157">
        <f t="shared" ref="P271:P273" ca="1" si="85">IF(M271&gt;0,N271*100/M271,0)</f>
        <v>61.067684478371504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59999</v>
      </c>
      <c r="O273" s="162">
        <f t="shared" ca="1" si="84"/>
        <v>32.050747863247864</v>
      </c>
      <c r="P273" s="162">
        <f t="shared" ca="1" si="85"/>
        <v>61.067684478371504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IFERROR(__xludf.DUMMYFUNCTION("IMPORTRANGE(""https://docs.google.com/spreadsheets/d/1Yj_ptqi66GCucihVvJfMjLAmec39IyEx_6qawtMGysU/edit?usp=sharing"",""สบก!CK31"")"),98250)</f>
        <v>98250</v>
      </c>
      <c r="N275" s="177">
        <f ca="1">IFERROR(__xludf.DUMMYFUNCTION("IMPORTRANGE(""https://docs.google.com/spreadsheets/d/1Yj_ptqi66GCucihVvJfMjLAmec39IyEx_6qawtMGysU/edit?usp=sharing"",""สบก!CL31"")"),59999)</f>
        <v>59999</v>
      </c>
      <c r="O275" s="178">
        <f ca="1">IF(L275&gt;0,N275*100/L275,0)</f>
        <v>32.050747863247864</v>
      </c>
      <c r="P275" s="178">
        <f ca="1">IF(M275&gt;0,N275*100/M275,0)</f>
        <v>61.067684478371504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IFERROR(__xludf.DUMMYFUNCTION("IMPORTRANGE(""https://docs.google.com/spreadsheets/d/1Yj_ptqi66GCucihVvJfMjLAmec39IyEx_6qawtMGysU/edit?usp=sharing"",""สบก!CG31"")"),132000)</f>
        <v>132000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IFERROR(__xludf.DUMMYFUNCTION("IMPORTRANGE(""https://docs.google.com/spreadsheets/d/1Yj_ptqi66GCucihVvJfMjLAmec39IyEx_6qawtMGysU/edit?usp=sharing"",""สบก!CH31"")"),55200)</f>
        <v>55200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IFERROR(__xludf.DUMMYFUNCTION("IMPORTRANGE(""https://docs.google.com/spreadsheets/d/1Yj_ptqi66GCucihVvJfMjLAmec39IyEx_6qawtMGysU/edit?usp=sharing"",""สบก!CI31"")"),0)</f>
        <v>0</v>
      </c>
      <c r="M279" s="103"/>
      <c r="N279" s="93">
        <f ca="1">IFERROR(__xludf.DUMMYFUNCTION("IMPORTRANGE(""https://docs.google.com/spreadsheets/d/1Yj_ptqi66GCucihVvJfMjLAmec39IyEx_6qawtMGysU/edit?usp=sharing"",""สบก!CM31"")"),0)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IFERROR(__xludf.DUMMYFUNCTION("IMPORTRANGE(""https://docs.google.com/spreadsheets/d/11923uPwbBZFjjGgGUA6NLw09EwE0CqkOc4q9oUmW1yo/edit?usp=sharing"",""แม่ฮ่องสอน!J191"")"),0)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IFERROR(__xludf.DUMMYFUNCTION("IMPORTRANGE(""https://docs.google.com/spreadsheets/d/11923uPwbBZFjjGgGUA6NLw09EwE0CqkOc4q9oUmW1yo/edit?usp=sharing"",""แม่ฮ่องสอน!J192"")"),1)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IFERROR(__xludf.DUMMYFUNCTION("IMPORTRANGE(""https://docs.google.com/spreadsheets/d/11923uPwbBZFjjGgGUA6NLw09EwE0CqkOc4q9oUmW1yo/edit?usp=sharing"",""แม่ฮ่องสอน!J193"")"),1)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IFERROR(__xludf.DUMMYFUNCTION("IMPORTRANGE(""https://docs.google.com/spreadsheets/d/11923uPwbBZFjjGgGUA6NLw09EwE0CqkOc4q9oUmW1yo/edit?usp=sharing"",""แม่ฮ่องสอน!J194"")"),1)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IFERROR(__xludf.DUMMYFUNCTION("IMPORTRANGE(""https://docs.google.com/spreadsheets/d/11923uPwbBZFjjGgGUA6NLw09EwE0CqkOc4q9oUmW1yo/edit?usp=sharing"",""แม่ฮ่องสอน!I195"")"),15)</f>
        <v>15</v>
      </c>
      <c r="J285" s="198">
        <f ca="1">IFERROR(__xludf.DUMMYFUNCTION("IMPORTRANGE(""https://docs.google.com/spreadsheets/d/11923uPwbBZFjjGgGUA6NLw09EwE0CqkOc4q9oUmW1yo/edit?usp=sharing"",""แม่ฮ่องสอน!J195"")"),15)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IFERROR(__xludf.DUMMYFUNCTION("IMPORTRANGE(""https://docs.google.com/spreadsheets/d/11923uPwbBZFjjGgGUA6NLw09EwE0CqkOc4q9oUmW1yo/edit?usp=sharing"",""แม่ฮ่องสอน!J196"")"),0)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IFERROR(__xludf.DUMMYFUNCTION("IMPORTRANGE(""https://docs.google.com/spreadsheets/d/11923uPwbBZFjjGgGUA6NLw09EwE0CqkOc4q9oUmW1yo/edit?usp=sharing"",""แม่ฮ่องสอน!J197"")"),0)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IFERROR(__xludf.DUMMYFUNCTION("IMPORTRANGE(""https://docs.google.com/spreadsheets/d/11923uPwbBZFjjGgGUA6NLw09EwE0CqkOc4q9oUmW1yo/edit?usp=sharing"",""แม่ฮ่องสอน!I199"")"),0)</f>
        <v>0</v>
      </c>
      <c r="J289" s="324">
        <f ca="1">IFERROR(__xludf.DUMMYFUNCTION("IMPORTRANGE(""https://docs.google.com/spreadsheets/d/11923uPwbBZFjjGgGUA6NLw09EwE0CqkOc4q9oUmW1yo/edit?usp=sharing"",""แม่ฮ่องสอน!J199"")"),0)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IFERROR(__xludf.DUMMYFUNCTION("IMPORTRANGE(""https://docs.google.com/spreadsheets/d/1Yj_ptqi66GCucihVvJfMjLAmec39IyEx_6qawtMGysU/edit?usp=sharing"",""สบก!CT31"")"),0)</f>
        <v>0</v>
      </c>
      <c r="N294" s="177">
        <f ca="1">IFERROR(__xludf.DUMMYFUNCTION("IMPORTRANGE(""https://docs.google.com/spreadsheets/d/1Yj_ptqi66GCucihVvJfMjLAmec39IyEx_6qawtMGysU/edit?usp=sharing"",""สบก!CU31"")"),0)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IFERROR(__xludf.DUMMYFUNCTION("IMPORTRANGE(""https://docs.google.com/spreadsheets/d/1Yj_ptqi66GCucihVvJfMjLAmec39IyEx_6qawtMGysU/edit?usp=sharing"",""สบก!CP31"")"),0)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IFERROR(__xludf.DUMMYFUNCTION("IMPORTRANGE(""https://docs.google.com/spreadsheets/d/1Yj_ptqi66GCucihVvJfMjLAmec39IyEx_6qawtMGysU/edit?usp=sharing"",""สบก!CQ31"")"),0)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IFERROR(__xludf.DUMMYFUNCTION("IMPORTRANGE(""https://docs.google.com/spreadsheets/d/1Yj_ptqi66GCucihVvJfMjLAmec39IyEx_6qawtMGysU/edit?usp=sharing"",""สบก!CR31"")"),0)</f>
        <v>0</v>
      </c>
      <c r="M298" s="103"/>
      <c r="N298" s="93">
        <f ca="1">IFERROR(__xludf.DUMMYFUNCTION("IMPORTRANGE(""https://docs.google.com/spreadsheets/d/1Yj_ptqi66GCucihVvJfMjLAmec39IyEx_6qawtMGysU/edit?usp=sharing"",""สบก!CV31"")"),0)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IFERROR(__xludf.DUMMYFUNCTION("IMPORTRANGE(""https://docs.google.com/spreadsheets/d/11923uPwbBZFjjGgGUA6NLw09EwE0CqkOc4q9oUmW1yo/edit?usp=sharing"",""แม่ฮ่องสอน!J205"")"),0)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IFERROR(__xludf.DUMMYFUNCTION("IMPORTRANGE(""https://docs.google.com/spreadsheets/d/11923uPwbBZFjjGgGUA6NLw09EwE0CqkOc4q9oUmW1yo/edit?usp=sharing"",""แม่ฮ่องสอน!J206"")"),0)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IFERROR(__xludf.DUMMYFUNCTION("IMPORTRANGE(""https://docs.google.com/spreadsheets/d/11923uPwbBZFjjGgGUA6NLw09EwE0CqkOc4q9oUmW1yo/edit?usp=sharing"",""แม่ฮ่องสอน!J207"")"),0)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IFERROR(__xludf.DUMMYFUNCTION("IMPORTRANGE(""https://docs.google.com/spreadsheets/d/11923uPwbBZFjjGgGUA6NLw09EwE0CqkOc4q9oUmW1yo/edit?usp=sharing"",""แม่ฮ่องสอน!J208"")"),0)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IFERROR(__xludf.DUMMYFUNCTION("IMPORTRANGE(""https://docs.google.com/spreadsheets/d/11923uPwbBZFjjGgGUA6NLw09EwE0CqkOc4q9oUmW1yo/edit?usp=sharing"",""แม่ฮ่องสอน!I209"")"),0)</f>
        <v>0</v>
      </c>
      <c r="J304" s="213">
        <f ca="1">IFERROR(__xludf.DUMMYFUNCTION("IMPORTRANGE(""https://docs.google.com/spreadsheets/d/11923uPwbBZFjjGgGUA6NLw09EwE0CqkOc4q9oUmW1yo/edit?usp=sharing"",""แม่ฮ่องสอน!J209"")"),0)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IFERROR(__xludf.DUMMYFUNCTION("IMPORTRANGE(""https://docs.google.com/spreadsheets/d/11923uPwbBZFjjGgGUA6NLw09EwE0CqkOc4q9oUmW1yo/edit?usp=sharing"",""แม่ฮ่องสอน!I211"")"),0)</f>
        <v>0</v>
      </c>
      <c r="J306" s="213">
        <f ca="1">IFERROR(__xludf.DUMMYFUNCTION("IMPORTRANGE(""https://docs.google.com/spreadsheets/d/11923uPwbBZFjjGgGUA6NLw09EwE0CqkOc4q9oUmW1yo/edit?usp=sharing"",""แม่ฮ่องสอน!J211"")"),0)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IFERROR(__xludf.DUMMYFUNCTION("IMPORTRANGE(""https://docs.google.com/spreadsheets/d/11923uPwbBZFjjGgGUA6NLw09EwE0CqkOc4q9oUmW1yo/edit?usp=sharing"",""แม่ฮ่องสอน!J212"")"),0)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IFERROR(__xludf.DUMMYFUNCTION("IMPORTRANGE(""https://docs.google.com/spreadsheets/d/11923uPwbBZFjjGgGUA6NLw09EwE0CqkOc4q9oUmW1yo/edit?usp=sharing"",""แม่ฮ่องสอน!J213"")"),0)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IFERROR(__xludf.DUMMYFUNCTION("IMPORTRANGE(""https://docs.google.com/spreadsheets/d/11923uPwbBZFjjGgGUA6NLw09EwE0CqkOc4q9oUmW1yo/edit?usp=sharing"",""แม่ฮ่องสอน!I214"")"),0)</f>
        <v>0</v>
      </c>
      <c r="J309" s="341">
        <f ca="1">IFERROR(__xludf.DUMMYFUNCTION("IMPORTRANGE(""https://docs.google.com/spreadsheets/d/11923uPwbBZFjjGgGUA6NLw09EwE0CqkOc4q9oUmW1yo/edit?usp=sharing"",""แม่ฮ่องสอน!J214"")"),0)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IFERROR(__xludf.DUMMYFUNCTION("IMPORTRANGE(""https://docs.google.com/spreadsheets/d/1Yj_ptqi66GCucihVvJfMjLAmec39IyEx_6qawtMGysU/edit?usp=sharing"",""สบก!DC31"")"),0)</f>
        <v>0</v>
      </c>
      <c r="N314" s="177">
        <f ca="1">IFERROR(__xludf.DUMMYFUNCTION("IMPORTRANGE(""https://docs.google.com/spreadsheets/d/1Yj_ptqi66GCucihVvJfMjLAmec39IyEx_6qawtMGysU/edit?usp=sharing"",""สบก!DD31"")"),0)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IFERROR(__xludf.DUMMYFUNCTION("IMPORTRANGE(""https://docs.google.com/spreadsheets/d/1Yj_ptqi66GCucihVvJfMjLAmec39IyEx_6qawtMGysU/edit?usp=sharing"",""สบก!CY31"")"),0)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IFERROR(__xludf.DUMMYFUNCTION("IMPORTRANGE(""https://docs.google.com/spreadsheets/d/1Yj_ptqi66GCucihVvJfMjLAmec39IyEx_6qawtMGysU/edit?usp=sharing"",""สบก!CZ31"")"),0)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IFERROR(__xludf.DUMMYFUNCTION("IMPORTRANGE(""https://docs.google.com/spreadsheets/d/1Yj_ptqi66GCucihVvJfMjLAmec39IyEx_6qawtMGysU/edit?usp=sharing"",""สบก!DA31"")"),0)</f>
        <v>0</v>
      </c>
      <c r="M318" s="103"/>
      <c r="N318" s="93">
        <f ca="1">IFERROR(__xludf.DUMMYFUNCTION("IMPORTRANGE(""https://docs.google.com/spreadsheets/d/1Yj_ptqi66GCucihVvJfMjLAmec39IyEx_6qawtMGysU/edit?usp=sharing"",""สบก!DE31"")"),0)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IFERROR(__xludf.DUMMYFUNCTION("IMPORTRANGE(""https://docs.google.com/spreadsheets/d/11923uPwbBZFjjGgGUA6NLw09EwE0CqkOc4q9oUmW1yo/edit?usp=sharing"",""แม่ฮ่องสอน!J220"")"),0)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IFERROR(__xludf.DUMMYFUNCTION("IMPORTRANGE(""https://docs.google.com/spreadsheets/d/11923uPwbBZFjjGgGUA6NLw09EwE0CqkOc4q9oUmW1yo/edit?usp=sharing"",""แม่ฮ่องสอน!J221"")"),0)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IFERROR(__xludf.DUMMYFUNCTION("IMPORTRANGE(""https://docs.google.com/spreadsheets/d/11923uPwbBZFjjGgGUA6NLw09EwE0CqkOc4q9oUmW1yo/edit?usp=sharing"",""แม่ฮ่องสอน!J222"")"),0)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IFERROR(__xludf.DUMMYFUNCTION("IMPORTRANGE(""https://docs.google.com/spreadsheets/d/11923uPwbBZFjjGgGUA6NLw09EwE0CqkOc4q9oUmW1yo/edit?usp=sharing"",""แม่ฮ่องสอน!J223"")"),0)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IFERROR(__xludf.DUMMYFUNCTION("IMPORTRANGE(""https://docs.google.com/spreadsheets/d/11923uPwbBZFjjGgGUA6NLw09EwE0CqkOc4q9oUmW1yo/edit?usp=sharing"",""แม่ฮ่องสอน!I224"")"),0)</f>
        <v>0</v>
      </c>
      <c r="J324" s="213">
        <f ca="1">IFERROR(__xludf.DUMMYFUNCTION("IMPORTRANGE(""https://docs.google.com/spreadsheets/d/11923uPwbBZFjjGgGUA6NLw09EwE0CqkOc4q9oUmW1yo/edit?usp=sharing"",""แม่ฮ่องสอน!J224"")"),0)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IFERROR(__xludf.DUMMYFUNCTION("IMPORTRANGE(""https://docs.google.com/spreadsheets/d/11923uPwbBZFjjGgGUA6NLw09EwE0CqkOc4q9oUmW1yo/edit?usp=sharing"",""แม่ฮ่องสอน!J225"")"),0)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IFERROR(__xludf.DUMMYFUNCTION("IMPORTRANGE(""https://docs.google.com/spreadsheets/d/11923uPwbBZFjjGgGUA6NLw09EwE0CqkOc4q9oUmW1yo/edit?usp=sharing"",""แม่ฮ่องสอน!J226"")"),0)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IFERROR(__xludf.DUMMYFUNCTION("IMPORTRANGE(""https://docs.google.com/spreadsheets/d/11923uPwbBZFjjGgGUA6NLw09EwE0CqkOc4q9oUmW1yo/edit?usp=sharing"",""แม่ฮ่องสอน!I228"")"),70)</f>
        <v>70</v>
      </c>
      <c r="J328" s="347">
        <f ca="1">IFERROR(__xludf.DUMMYFUNCTION("IMPORTRANGE(""https://docs.google.com/spreadsheets/d/11923uPwbBZFjjGgGUA6NLw09EwE0CqkOc4q9oUmW1yo/edit?usp=sharing"",""แม่ฮ่องสอน!J228"")"),21)</f>
        <v>21</v>
      </c>
      <c r="K328" s="325">
        <f ca="1">IF(I328&gt;0,J328*100/I328,0)</f>
        <v>30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873740</v>
      </c>
      <c r="M329" s="158">
        <f t="shared" ca="1" si="98"/>
        <v>417320</v>
      </c>
      <c r="N329" s="158">
        <f t="shared" ca="1" si="98"/>
        <v>319065</v>
      </c>
      <c r="O329" s="157">
        <f t="shared" ref="O329:O331" ca="1" si="99">IF(L329&gt;0,N329*100/L329,0)</f>
        <v>36.517156133403532</v>
      </c>
      <c r="P329" s="157">
        <f t="shared" ref="P329:P331" ca="1" si="100">IF(M329&gt;0,N329*100/M329,0)</f>
        <v>76.455717435061828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873740</v>
      </c>
      <c r="M331" s="163">
        <f t="shared" ca="1" si="102"/>
        <v>417320</v>
      </c>
      <c r="N331" s="163">
        <f t="shared" ca="1" si="102"/>
        <v>319065</v>
      </c>
      <c r="O331" s="162">
        <f t="shared" ca="1" si="99"/>
        <v>36.517156133403532</v>
      </c>
      <c r="P331" s="162">
        <f t="shared" ca="1" si="100"/>
        <v>76.455717435061828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825940</v>
      </c>
      <c r="M333" s="176">
        <f ca="1">IFERROR(__xludf.DUMMYFUNCTION("IMPORTRANGE(""https://docs.google.com/spreadsheets/d/1Yj_ptqi66GCucihVvJfMjLAmec39IyEx_6qawtMGysU/edit?usp=sharing"",""สบก!DL31"")"),417320)</f>
        <v>417320</v>
      </c>
      <c r="N333" s="177">
        <f ca="1">IFERROR(__xludf.DUMMYFUNCTION("IMPORTRANGE(""https://docs.google.com/spreadsheets/d/1Yj_ptqi66GCucihVvJfMjLAmec39IyEx_6qawtMGysU/edit?usp=sharing"",""สบก!DM31"")"),271265)</f>
        <v>271265</v>
      </c>
      <c r="O333" s="178">
        <f ca="1">IF(L333&gt;0,N333*100/L333,0)</f>
        <v>32.843184734968645</v>
      </c>
      <c r="P333" s="178">
        <f ca="1">IF(M333&gt;0,N333*100/M333,0)</f>
        <v>65.001677369884021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IFERROR(__xludf.DUMMYFUNCTION("IMPORTRANGE(""https://docs.google.com/spreadsheets/d/1Yj_ptqi66GCucihVvJfMjLAmec39IyEx_6qawtMGysU/edit?usp=sharing"",""สบก!DH31"")"),574800)</f>
        <v>574800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IFERROR(__xludf.DUMMYFUNCTION("IMPORTRANGE(""https://docs.google.com/spreadsheets/d/1Yj_ptqi66GCucihVvJfMjLAmec39IyEx_6qawtMGysU/edit?usp=sharing"",""สบก!DI31"")"),251140)</f>
        <v>251140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IFERROR(__xludf.DUMMYFUNCTION("IMPORTRANGE(""https://docs.google.com/spreadsheets/d/1Yj_ptqi66GCucihVvJfMjLAmec39IyEx_6qawtMGysU/edit?usp=sharing"",""สบก!DJ31"")"),47800)</f>
        <v>47800</v>
      </c>
      <c r="M337" s="103"/>
      <c r="N337" s="93">
        <f ca="1">IFERROR(__xludf.DUMMYFUNCTION("IMPORTRANGE(""https://docs.google.com/spreadsheets/d/1Yj_ptqi66GCucihVvJfMjLAmec39IyEx_6qawtMGysU/edit?usp=sharing"",""สบก!DN31"")"),47800)</f>
        <v>47800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IFERROR(__xludf.DUMMYFUNCTION("IMPORTRANGE(""https://docs.google.com/spreadsheets/d/11923uPwbBZFjjGgGUA6NLw09EwE0CqkOc4q9oUmW1yo/edit?usp=sharing"",""แม่ฮ่องสอน!I234"")"),0)</f>
        <v>0</v>
      </c>
      <c r="J339" s="197">
        <f ca="1">IFERROR(__xludf.DUMMYFUNCTION("IMPORTRANGE(""https://docs.google.com/spreadsheets/d/11923uPwbBZFjjGgGUA6NLw09EwE0CqkOc4q9oUmW1yo/edit?usp=sharing"",""แม่ฮ่องสอน!J234"")"),31)</f>
        <v>31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IFERROR(__xludf.DUMMYFUNCTION("IMPORTRANGE(""https://docs.google.com/spreadsheets/d/11923uPwbBZFjjGgGUA6NLw09EwE0CqkOc4q9oUmW1yo/edit?usp=sharing"",""แม่ฮ่องสอน!I235"")"),210)</f>
        <v>210</v>
      </c>
      <c r="J340" s="197">
        <f ca="1">IFERROR(__xludf.DUMMYFUNCTION("IMPORTRANGE(""https://docs.google.com/spreadsheets/d/11923uPwbBZFjjGgGUA6NLw09EwE0CqkOc4q9oUmW1yo/edit?usp=sharing"",""แม่ฮ่องสอน!J235"")"),58.23)</f>
        <v>58.23</v>
      </c>
      <c r="K340" s="350">
        <f t="shared" ca="1" si="103"/>
        <v>27.728571428571428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IFERROR(__xludf.DUMMYFUNCTION("IMPORTRANGE(""https://docs.google.com/spreadsheets/d/11923uPwbBZFjjGgGUA6NLw09EwE0CqkOc4q9oUmW1yo/edit?usp=sharing"",""แม่ฮ่องสอน!I236"")"),70)</f>
        <v>70</v>
      </c>
      <c r="J341" s="197">
        <f ca="1">IFERROR(__xludf.DUMMYFUNCTION("IMPORTRANGE(""https://docs.google.com/spreadsheets/d/11923uPwbBZFjjGgGUA6NLw09EwE0CqkOc4q9oUmW1yo/edit?usp=sharing"",""แม่ฮ่องสอน!J236"")"),47)</f>
        <v>47</v>
      </c>
      <c r="K341" s="350">
        <f t="shared" ca="1" si="103"/>
        <v>67.142857142857139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IFERROR(__xludf.DUMMYFUNCTION("IMPORTRANGE(""https://docs.google.com/spreadsheets/d/11923uPwbBZFjjGgGUA6NLw09EwE0CqkOc4q9oUmW1yo/edit?usp=sharing"",""แม่ฮ่องสอน!I237"")"),0)</f>
        <v>0</v>
      </c>
      <c r="J342" s="197">
        <f ca="1">IFERROR(__xludf.DUMMYFUNCTION("IMPORTRANGE(""https://docs.google.com/spreadsheets/d/11923uPwbBZFjjGgGUA6NLw09EwE0CqkOc4q9oUmW1yo/edit?usp=sharing"",""แม่ฮ่องสอน!J237"")"),137.15)</f>
        <v>137.15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IFERROR(__xludf.DUMMYFUNCTION("IMPORTRANGE(""https://docs.google.com/spreadsheets/d/11923uPwbBZFjjGgGUA6NLw09EwE0CqkOc4q9oUmW1yo/edit?usp=sharing"",""แม่ฮ่องสอน!I238"")"),70)</f>
        <v>70</v>
      </c>
      <c r="J343" s="197">
        <f ca="1">IFERROR(__xludf.DUMMYFUNCTION("IMPORTRANGE(""https://docs.google.com/spreadsheets/d/11923uPwbBZFjjGgGUA6NLw09EwE0CqkOc4q9oUmW1yo/edit?usp=sharing"",""แม่ฮ่องสอน!J238"")"),0)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IFERROR(__xludf.DUMMYFUNCTION("IMPORTRANGE(""https://docs.google.com/spreadsheets/d/11923uPwbBZFjjGgGUA6NLw09EwE0CqkOc4q9oUmW1yo/edit?usp=sharing"",""แม่ฮ่องสอน!I239"")"),0)</f>
        <v>0</v>
      </c>
      <c r="J344" s="197">
        <f ca="1">IFERROR(__xludf.DUMMYFUNCTION("IMPORTRANGE(""https://docs.google.com/spreadsheets/d/11923uPwbBZFjjGgGUA6NLw09EwE0CqkOc4q9oUmW1yo/edit?usp=sharing"",""แม่ฮ่องสอน!J239"")"),0)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IFERROR(__xludf.DUMMYFUNCTION("IMPORTRANGE(""https://docs.google.com/spreadsheets/d/11923uPwbBZFjjGgGUA6NLw09EwE0CqkOc4q9oUmW1yo/edit?usp=sharing"",""แม่ฮ่องสอน!I240"")"),70)</f>
        <v>70</v>
      </c>
      <c r="J345" s="197">
        <f ca="1">IFERROR(__xludf.DUMMYFUNCTION("IMPORTRANGE(""https://docs.google.com/spreadsheets/d/11923uPwbBZFjjGgGUA6NLw09EwE0CqkOc4q9oUmW1yo/edit?usp=sharing"",""แม่ฮ่องสอน!J240"")"),21)</f>
        <v>21</v>
      </c>
      <c r="K345" s="350">
        <f t="shared" ca="1" si="103"/>
        <v>30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IFERROR(__xludf.DUMMYFUNCTION("IMPORTRANGE(""https://docs.google.com/spreadsheets/d/11923uPwbBZFjjGgGUA6NLw09EwE0CqkOc4q9oUmW1yo/edit?usp=sharing"",""แม่ฮ่องสอน!I241"")"),0)</f>
        <v>0</v>
      </c>
      <c r="J346" s="197">
        <f ca="1">IFERROR(__xludf.DUMMYFUNCTION("IMPORTRANGE(""https://docs.google.com/spreadsheets/d/11923uPwbBZFjjGgGUA6NLw09EwE0CqkOc4q9oUmW1yo/edit?usp=sharing"",""แม่ฮ่องสอน!J241"")"),80.69)</f>
        <v>80.69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IFERROR(__xludf.DUMMYFUNCTION("IMPORTRANGE(""https://docs.google.com/spreadsheets/d/11923uPwbBZFjjGgGUA6NLw09EwE0CqkOc4q9oUmW1yo/edit?usp=sharing"",""แม่ฮ่องสอน!L242"")"),1077527)</f>
        <v>1077527</v>
      </c>
      <c r="M347" s="366"/>
      <c r="N347" s="366">
        <f ca="1">IFERROR(__xludf.DUMMYFUNCTION("IMPORTRANGE(""https://docs.google.com/spreadsheets/d/11923uPwbBZFjjGgGUA6NLw09EwE0CqkOc4q9oUmW1yo/edit?usp=sharing"",""แม่ฮ่องสอน!M242"")"),386803)</f>
        <v>386803</v>
      </c>
      <c r="O347" s="366">
        <f ca="1">+IF(L347&gt;0,N347*100/L347,0)</f>
        <v>35.897290740742463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IFERROR(__xludf.DUMMYFUNCTION("IMPORTRANGE(""https://docs.google.com/spreadsheets/d/11923uPwbBZFjjGgGUA6NLw09EwE0CqkOc4q9oUmW1yo/edit?usp=sharing"",""แม่ฮ่องสอน!I244"")"),110)</f>
        <v>110</v>
      </c>
      <c r="J349" s="379">
        <f ca="1">IFERROR(__xludf.DUMMYFUNCTION("IMPORTRANGE(""https://docs.google.com/spreadsheets/d/11923uPwbBZFjjGgGUA6NLw09EwE0CqkOc4q9oUmW1yo/edit?usp=sharing"",""แม่ฮ่องสอน!J244"")"),60)</f>
        <v>60</v>
      </c>
      <c r="K349" s="380">
        <f t="shared" ref="K349:K350" ca="1" si="104">IF(I349&gt;0,J349*100/I349,0)</f>
        <v>54.545454545454547</v>
      </c>
      <c r="L349" s="381">
        <f ca="1">IFERROR(__xludf.DUMMYFUNCTION("IMPORTRANGE(""https://docs.google.com/spreadsheets/d/11923uPwbBZFjjGgGUA6NLw09EwE0CqkOc4q9oUmW1yo/edit?usp=sharing"",""แม่ฮ่องสอน!L244"")"),353580)</f>
        <v>353580</v>
      </c>
      <c r="M349" s="381"/>
      <c r="N349" s="381">
        <f ca="1">IFERROR(__xludf.DUMMYFUNCTION("IMPORTRANGE(""https://docs.google.com/spreadsheets/d/11923uPwbBZFjjGgGUA6NLw09EwE0CqkOc4q9oUmW1yo/edit?usp=sharing"",""แม่ฮ่องสอน!M244"")"),146756)</f>
        <v>146756</v>
      </c>
      <c r="O349" s="381">
        <f ca="1">+IF(L349&gt;0,N349*100/L349,0)</f>
        <v>41.505741274958993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IFERROR(__xludf.DUMMYFUNCTION("IMPORTRANGE(""https://docs.google.com/spreadsheets/d/11923uPwbBZFjjGgGUA6NLw09EwE0CqkOc4q9oUmW1yo/edit?usp=sharing"",""แม่ฮ่องสอน!I245"")"),50)</f>
        <v>50</v>
      </c>
      <c r="J350" s="379">
        <f ca="1">IFERROR(__xludf.DUMMYFUNCTION("IMPORTRANGE(""https://docs.google.com/spreadsheets/d/11923uPwbBZFjjGgGUA6NLw09EwE0CqkOc4q9oUmW1yo/edit?usp=sharing"",""แม่ฮ่องสอน!J245"")"),50)</f>
        <v>50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IFERROR(__xludf.DUMMYFUNCTION("IMPORTRANGE(""https://docs.google.com/spreadsheets/d/11923uPwbBZFjjGgGUA6NLw09EwE0CqkOc4q9oUmW1yo/edit?usp=sharing"",""แม่ฮ่องสอน!L246"")"),0)</f>
        <v>0</v>
      </c>
      <c r="M351" s="172"/>
      <c r="N351" s="172">
        <f ca="1">IFERROR(__xludf.DUMMYFUNCTION("IMPORTRANGE(""https://docs.google.com/spreadsheets/d/11923uPwbBZFjjGgGUA6NLw09EwE0CqkOc4q9oUmW1yo/edit?usp=sharing"",""แม่ฮ่องสอน!M246"")"),0)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IFERROR(__xludf.DUMMYFUNCTION("IMPORTRANGE(""https://docs.google.com/spreadsheets/d/11923uPwbBZFjjGgGUA6NLw09EwE0CqkOc4q9oUmW1yo/edit?usp=sharing"",""แม่ฮ่องสอน!L247"")"),353580)</f>
        <v>353580</v>
      </c>
      <c r="M352" s="173"/>
      <c r="N352" s="172">
        <f ca="1">IFERROR(__xludf.DUMMYFUNCTION("IMPORTRANGE(""https://docs.google.com/spreadsheets/d/11923uPwbBZFjjGgGUA6NLw09EwE0CqkOc4q9oUmW1yo/edit?usp=sharing"",""แม่ฮ่องสอน!M247"")"),146756)</f>
        <v>146756</v>
      </c>
      <c r="O352" s="173">
        <f t="shared" ca="1" si="105"/>
        <v>41.505741274958993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IFERROR(__xludf.DUMMYFUNCTION("IMPORTRANGE(""https://docs.google.com/spreadsheets/d/11923uPwbBZFjjGgGUA6NLw09EwE0CqkOc4q9oUmW1yo/edit?usp=sharing"",""แม่ฮ่องสอน!L248"")"),0)</f>
        <v>0</v>
      </c>
      <c r="M353" s="178"/>
      <c r="N353" s="178">
        <f ca="1">IFERROR(__xludf.DUMMYFUNCTION("IMPORTRANGE(""https://docs.google.com/spreadsheets/d/11923uPwbBZFjjGgGUA6NLw09EwE0CqkOc4q9oUmW1yo/edit?usp=sharing"",""แม่ฮ่องสอน!M248"")"),0)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IFERROR(__xludf.DUMMYFUNCTION("IMPORTRANGE(""https://docs.google.com/spreadsheets/d/11923uPwbBZFjjGgGUA6NLw09EwE0CqkOc4q9oUmW1yo/edit?usp=sharing"",""แม่ฮ่องสอน!L249"")"),353580)</f>
        <v>353580</v>
      </c>
      <c r="M354" s="178"/>
      <c r="N354" s="175">
        <f ca="1">IFERROR(__xludf.DUMMYFUNCTION("IMPORTRANGE(""https://docs.google.com/spreadsheets/d/11923uPwbBZFjjGgGUA6NLw09EwE0CqkOc4q9oUmW1yo/edit?usp=sharing"",""แม่ฮ่องสอน!M249"")"),146756)</f>
        <v>146756</v>
      </c>
      <c r="O354" s="178">
        <f t="shared" ca="1" si="105"/>
        <v>41.505741274958993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IFERROR(__xludf.DUMMYFUNCTION("IMPORTRANGE(""https://docs.google.com/spreadsheets/d/11923uPwbBZFjjGgGUA6NLw09EwE0CqkOc4q9oUmW1yo/edit?usp=sharing"",""แม่ฮ่องสอน!M250"")"),61800)</f>
        <v>61800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IFERROR(__xludf.DUMMYFUNCTION("IMPORTRANGE(""https://docs.google.com/spreadsheets/d/11923uPwbBZFjjGgGUA6NLw09EwE0CqkOc4q9oUmW1yo/edit?usp=sharing"",""แม่ฮ่องสอน!M251"")"),42000)</f>
        <v>42000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IFERROR(__xludf.DUMMYFUNCTION("IMPORTRANGE(""https://docs.google.com/spreadsheets/d/11923uPwbBZFjjGgGUA6NLw09EwE0CqkOc4q9oUmW1yo/edit?usp=sharing"",""แม่ฮ่องสอน!M252"")"),30516)</f>
        <v>30516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IFERROR(__xludf.DUMMYFUNCTION("IMPORTRANGE(""https://docs.google.com/spreadsheets/d/11923uPwbBZFjjGgGUA6NLw09EwE0CqkOc4q9oUmW1yo/edit?usp=sharing"",""แม่ฮ่องสอน!M253"")"),12440)</f>
        <v>12440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IFERROR(__xludf.DUMMYFUNCTION("IMPORTRANGE(""https://docs.google.com/spreadsheets/d/11923uPwbBZFjjGgGUA6NLw09EwE0CqkOc4q9oUmW1yo/edit?usp=sharing"",""แม่ฮ่องสอน!J255"")"),0)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IFERROR(__xludf.DUMMYFUNCTION("IMPORTRANGE(""https://docs.google.com/spreadsheets/d/11923uPwbBZFjjGgGUA6NLw09EwE0CqkOc4q9oUmW1yo/edit?usp=sharing"",""แม่ฮ่องสอน!J256"")"),1)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IFERROR(__xludf.DUMMYFUNCTION("IMPORTRANGE(""https://docs.google.com/spreadsheets/d/11923uPwbBZFjjGgGUA6NLw09EwE0CqkOc4q9oUmW1yo/edit?usp=sharing"",""แม่ฮ่องสอน!J257"")"),1)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IFERROR(__xludf.DUMMYFUNCTION("IMPORTRANGE(""https://docs.google.com/spreadsheets/d/11923uPwbBZFjjGgGUA6NLw09EwE0CqkOc4q9oUmW1yo/edit?usp=sharing"",""แม่ฮ่องสอน!J258"")"),1)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IFERROR(__xludf.DUMMYFUNCTION("IMPORTRANGE(""https://docs.google.com/spreadsheets/d/11923uPwbBZFjjGgGUA6NLw09EwE0CqkOc4q9oUmW1yo/edit?usp=sharing"",""แม่ฮ่องสอน!J166"")"),0)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IFERROR(__xludf.DUMMYFUNCTION("IMPORTRANGE(""https://docs.google.com/spreadsheets/d/11923uPwbBZFjjGgGUA6NLw09EwE0CqkOc4q9oUmW1yo/edit?usp=sharing"",""แม่ฮ่องสอน!J166"")"),0)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IFERROR(__xludf.DUMMYFUNCTION("IMPORTRANGE(""https://docs.google.com/spreadsheets/d/11923uPwbBZFjjGgGUA6NLw09EwE0CqkOc4q9oUmW1yo/edit?usp=sharing"",""แม่ฮ่องสอน!J166"")"),0)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IFERROR(__xludf.DUMMYFUNCTION("IMPORTRANGE(""https://docs.google.com/spreadsheets/d/11923uPwbBZFjjGgGUA6NLw09EwE0CqkOc4q9oUmW1yo/edit?usp=sharing"",""แม่ฮ่องสอน!J166"")"),0)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IFERROR(__xludf.DUMMYFUNCTION("IMPORTRANGE(""https://docs.google.com/spreadsheets/d/11923uPwbBZFjjGgGUA6NLw09EwE0CqkOc4q9oUmW1yo/edit?usp=sharing"",""แม่ฮ่องสอน!I263"")"),50)</f>
        <v>50</v>
      </c>
      <c r="J368" s="197">
        <f ca="1">IFERROR(__xludf.DUMMYFUNCTION("IMPORTRANGE(""https://docs.google.com/spreadsheets/d/11923uPwbBZFjjGgGUA6NLw09EwE0CqkOc4q9oUmW1yo/edit?usp=sharing"",""แม่ฮ่องสอน!J263"")"),50)</f>
        <v>50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IFERROR(__xludf.DUMMYFUNCTION("IMPORTRANGE(""https://docs.google.com/spreadsheets/d/11923uPwbBZFjjGgGUA6NLw09EwE0CqkOc4q9oUmW1yo/edit?usp=sharing"",""แม่ฮ่องสอน!I164"")"),0)</f>
        <v>0</v>
      </c>
      <c r="J369" s="213">
        <f ca="1">IFERROR(__xludf.DUMMYFUNCTION("IMPORTRANGE(""https://docs.google.com/spreadsheets/d/11923uPwbBZFjjGgGUA6NLw09EwE0CqkOc4q9oUmW1yo/edit?usp=sharing"",""แม่ฮ่องสอน!J164"")"),0)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IFERROR(__xludf.DUMMYFUNCTION("IMPORTRANGE(""https://docs.google.com/spreadsheets/d/11923uPwbBZFjjGgGUA6NLw09EwE0CqkOc4q9oUmW1yo/edit?usp=sharing"",""แม่ฮ่องสอน!I265"")"),50)</f>
        <v>50</v>
      </c>
      <c r="J370" s="213">
        <f ca="1">IFERROR(__xludf.DUMMYFUNCTION("IMPORTRANGE(""https://docs.google.com/spreadsheets/d/11923uPwbBZFjjGgGUA6NLw09EwE0CqkOc4q9oUmW1yo/edit?usp=sharing"",""แม่ฮ่องสอน!J265"")"),0)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IFERROR(__xludf.DUMMYFUNCTION("IMPORTRANGE(""https://docs.google.com/spreadsheets/d/11923uPwbBZFjjGgGUA6NLw09EwE0CqkOc4q9oUmW1yo/edit?usp=sharing"",""แม่ฮ่องสอน!I164"")"),0)</f>
        <v>0</v>
      </c>
      <c r="J371" s="198">
        <f ca="1">IFERROR(__xludf.DUMMYFUNCTION("IMPORTRANGE(""https://docs.google.com/spreadsheets/d/11923uPwbBZFjjGgGUA6NLw09EwE0CqkOc4q9oUmW1yo/edit?usp=sharing"",""แม่ฮ่องสอน!J164"")"),0)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IFERROR(__xludf.DUMMYFUNCTION("IMPORTRANGE(""https://docs.google.com/spreadsheets/d/11923uPwbBZFjjGgGUA6NLw09EwE0CqkOc4q9oUmW1yo/edit?usp=sharing"",""แม่ฮ่องสอน!I267"")"),50)</f>
        <v>50</v>
      </c>
      <c r="J372" s="198">
        <f ca="1">IFERROR(__xludf.DUMMYFUNCTION("IMPORTRANGE(""https://docs.google.com/spreadsheets/d/11923uPwbBZFjjGgGUA6NLw09EwE0CqkOc4q9oUmW1yo/edit?usp=sharing"",""แม่ฮ่องสอน!J267"")"),50)</f>
        <v>50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IFERROR(__xludf.DUMMYFUNCTION("IMPORTRANGE(""https://docs.google.com/spreadsheets/d/11923uPwbBZFjjGgGUA6NLw09EwE0CqkOc4q9oUmW1yo/edit?usp=sharing"",""แม่ฮ่องสอน!I164"")"),0)</f>
        <v>0</v>
      </c>
      <c r="J373" s="213">
        <f ca="1">IFERROR(__xludf.DUMMYFUNCTION("IMPORTRANGE(""https://docs.google.com/spreadsheets/d/11923uPwbBZFjjGgGUA6NLw09EwE0CqkOc4q9oUmW1yo/edit?usp=sharing"",""แม่ฮ่องสอน!J164"")"),0)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IFERROR(__xludf.DUMMYFUNCTION("IMPORTRANGE(""https://docs.google.com/spreadsheets/d/11923uPwbBZFjjGgGUA6NLw09EwE0CqkOc4q9oUmW1yo/edit?usp=sharing"",""แม่ฮ่องสอน!I164"")"),0)</f>
        <v>0</v>
      </c>
      <c r="J374" s="197">
        <f ca="1">IFERROR(__xludf.DUMMYFUNCTION("IMPORTRANGE(""https://docs.google.com/spreadsheets/d/11923uPwbBZFjjGgGUA6NLw09EwE0CqkOc4q9oUmW1yo/edit?usp=sharing"",""แม่ฮ่องสอน!J164"")"),0)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IFERROR(__xludf.DUMMYFUNCTION("IMPORTRANGE(""https://docs.google.com/spreadsheets/d/11923uPwbBZFjjGgGUA6NLw09EwE0CqkOc4q9oUmW1yo/edit?usp=sharing"",""แม่ฮ่องสอน!I270"")"),110)</f>
        <v>110</v>
      </c>
      <c r="J375" s="197">
        <f ca="1">IFERROR(__xludf.DUMMYFUNCTION("IMPORTRANGE(""https://docs.google.com/spreadsheets/d/11923uPwbBZFjjGgGUA6NLw09EwE0CqkOc4q9oUmW1yo/edit?usp=sharing"",""แม่ฮ่องสอน!J270"")"),60)</f>
        <v>60</v>
      </c>
      <c r="K375" s="171">
        <f t="shared" ref="K375:K377" ca="1" si="107">IF(I375&gt;0,J375*100/I375,0)</f>
        <v>54.545454545454547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IFERROR(__xludf.DUMMYFUNCTION("IMPORTRANGE(""https://docs.google.com/spreadsheets/d/11923uPwbBZFjjGgGUA6NLw09EwE0CqkOc4q9oUmW1yo/edit?usp=sharing"",""แม่ฮ่องสอน!I271"")"),60)</f>
        <v>60</v>
      </c>
      <c r="J376" s="198">
        <f ca="1">IFERROR(__xludf.DUMMYFUNCTION("IMPORTRANGE(""https://docs.google.com/spreadsheets/d/11923uPwbBZFjjGgGUA6NLw09EwE0CqkOc4q9oUmW1yo/edit?usp=sharing"",""แม่ฮ่องสอน!J271"")"),60)</f>
        <v>60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IFERROR(__xludf.DUMMYFUNCTION("IMPORTRANGE(""https://docs.google.com/spreadsheets/d/11923uPwbBZFjjGgGUA6NLw09EwE0CqkOc4q9oUmW1yo/edit?usp=sharing"",""แม่ฮ่องสอน!I272"")"),50)</f>
        <v>50</v>
      </c>
      <c r="J377" s="213">
        <f ca="1">IFERROR(__xludf.DUMMYFUNCTION("IMPORTRANGE(""https://docs.google.com/spreadsheets/d/11923uPwbBZFjjGgGUA6NLw09EwE0CqkOc4q9oUmW1yo/edit?usp=sharing"",""แม่ฮ่องสอน!J272"")"),0)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IFERROR(__xludf.DUMMYFUNCTION("IMPORTRANGE(""https://docs.google.com/spreadsheets/d/11923uPwbBZFjjGgGUA6NLw09EwE0CqkOc4q9oUmW1yo/edit?usp=sharing"",""แม่ฮ่องสอน!J273"")"),0)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IFERROR(__xludf.DUMMYFUNCTION("IMPORTRANGE(""https://docs.google.com/spreadsheets/d/11923uPwbBZFjjGgGUA6NLw09EwE0CqkOc4q9oUmW1yo/edit?usp=sharing"",""แม่ฮ่องสอน!J274"")"),0)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IFERROR(__xludf.DUMMYFUNCTION("IMPORTRANGE(""https://docs.google.com/spreadsheets/d/11923uPwbBZFjjGgGUA6NLw09EwE0CqkOc4q9oUmW1yo/edit?usp=sharing"",""แม่ฮ่องสอน!I275"")"),100)</f>
        <v>100</v>
      </c>
      <c r="J380" s="379">
        <f ca="1">IFERROR(__xludf.DUMMYFUNCTION("IMPORTRANGE(""https://docs.google.com/spreadsheets/d/11923uPwbBZFjjGgGUA6NLw09EwE0CqkOc4q9oUmW1yo/edit?usp=sharing"",""แม่ฮ่องสอน!J275"")"),0)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IFERROR(__xludf.DUMMYFUNCTION("IMPORTRANGE(""https://docs.google.com/spreadsheets/d/11923uPwbBZFjjGgGUA6NLw09EwE0CqkOc4q9oUmW1yo/edit?usp=sharing"",""แม่ฮ่องสอน!L275"")"),127660)</f>
        <v>127660</v>
      </c>
      <c r="M380" s="381"/>
      <c r="N380" s="381">
        <f ca="1">IFERROR(__xludf.DUMMYFUNCTION("IMPORTRANGE(""https://docs.google.com/spreadsheets/d/11923uPwbBZFjjGgGUA6NLw09EwE0CqkOc4q9oUmW1yo/edit?usp=sharing"",""แม่ฮ่องสอน!M275"")"),48710)</f>
        <v>48710</v>
      </c>
      <c r="O380" s="381">
        <f ca="1">+IF(L380&gt;0,N380*100/L380,0)</f>
        <v>38.156039479868397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IFERROR(__xludf.DUMMYFUNCTION("IMPORTRANGE(""https://docs.google.com/spreadsheets/d/11923uPwbBZFjjGgGUA6NLw09EwE0CqkOc4q9oUmW1yo/edit?usp=sharing"",""แม่ฮ่องสอน!I276"")"),10)</f>
        <v>10</v>
      </c>
      <c r="J381" s="379">
        <f ca="1">IFERROR(__xludf.DUMMYFUNCTION("IMPORTRANGE(""https://docs.google.com/spreadsheets/d/11923uPwbBZFjjGgGUA6NLw09EwE0CqkOc4q9oUmW1yo/edit?usp=sharing"",""แม่ฮ่องสอน!J276"")"),10)</f>
        <v>10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IFERROR(__xludf.DUMMYFUNCTION("IMPORTRANGE(""https://docs.google.com/spreadsheets/d/11923uPwbBZFjjGgGUA6NLw09EwE0CqkOc4q9oUmW1yo/edit?usp=sharing"",""แม่ฮ่องสอน!L277"")"),0)</f>
        <v>0</v>
      </c>
      <c r="M382" s="172"/>
      <c r="N382" s="172">
        <f ca="1">IFERROR(__xludf.DUMMYFUNCTION("IMPORTRANGE(""https://docs.google.com/spreadsheets/d/11923uPwbBZFjjGgGUA6NLw09EwE0CqkOc4q9oUmW1yo/edit?usp=sharing"",""แม่ฮ่องสอน!M277"")"),0)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IFERROR(__xludf.DUMMYFUNCTION("IMPORTRANGE(""https://docs.google.com/spreadsheets/d/11923uPwbBZFjjGgGUA6NLw09EwE0CqkOc4q9oUmW1yo/edit?usp=sharing"",""แม่ฮ่องสอน!L278"")"),127660)</f>
        <v>127660</v>
      </c>
      <c r="M383" s="173"/>
      <c r="N383" s="173">
        <f ca="1">IFERROR(__xludf.DUMMYFUNCTION("IMPORTRANGE(""https://docs.google.com/spreadsheets/d/11923uPwbBZFjjGgGUA6NLw09EwE0CqkOc4q9oUmW1yo/edit?usp=sharing"",""แม่ฮ่องสอน!M278"")"),48710)</f>
        <v>48710</v>
      </c>
      <c r="O383" s="173">
        <f t="shared" ca="1" si="109"/>
        <v>38.156039479868397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IFERROR(__xludf.DUMMYFUNCTION("IMPORTRANGE(""https://docs.google.com/spreadsheets/d/11923uPwbBZFjjGgGUA6NLw09EwE0CqkOc4q9oUmW1yo/edit?usp=sharing"",""แม่ฮ่องสอน!L279"")"),0)</f>
        <v>0</v>
      </c>
      <c r="M384" s="178"/>
      <c r="N384" s="178">
        <f ca="1">IFERROR(__xludf.DUMMYFUNCTION("IMPORTRANGE(""https://docs.google.com/spreadsheets/d/11923uPwbBZFjjGgGUA6NLw09EwE0CqkOc4q9oUmW1yo/edit?usp=sharing"",""แม่ฮ่องสอน!M279"")"),0)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78"/>
      <c r="N385" s="175">
        <f ca="1">IFERROR(__xludf.DUMMYFUNCTION("IMPORTRANGE(""https://docs.google.com/spreadsheets/d/11923uPwbBZFjjGgGUA6NLw09EwE0CqkOc4q9oUmW1yo/edit?usp=sharing"",""แม่ฮ่องสอน!M280"")"),48710)</f>
        <v>48710</v>
      </c>
      <c r="O385" s="178">
        <f t="shared" ca="1" si="109"/>
        <v>38.156039479868397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IFERROR(__xludf.DUMMYFUNCTION("IMPORTRANGE(""https://docs.google.com/spreadsheets/d/11923uPwbBZFjjGgGUA6NLw09EwE0CqkOc4q9oUmW1yo/edit?usp=sharing"",""แม่ฮ่องสอน!M281"")"),41400)</f>
        <v>41400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IFERROR(__xludf.DUMMYFUNCTION("IMPORTRANGE(""https://docs.google.com/spreadsheets/d/11923uPwbBZFjjGgGUA6NLw09EwE0CqkOc4q9oUmW1yo/edit?usp=sharing"",""แม่ฮ่องสอน!M282"")"),0)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IFERROR(__xludf.DUMMYFUNCTION("IMPORTRANGE(""https://docs.google.com/spreadsheets/d/11923uPwbBZFjjGgGUA6NLw09EwE0CqkOc4q9oUmW1yo/edit?usp=sharing"",""แม่ฮ่องสอน!M283"")"),0)</f>
        <v>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IFERROR(__xludf.DUMMYFUNCTION("IMPORTRANGE(""https://docs.google.com/spreadsheets/d/11923uPwbBZFjjGgGUA6NLw09EwE0CqkOc4q9oUmW1yo/edit?usp=sharing"",""แม่ฮ่องสอน!M284"")"),7310)</f>
        <v>7310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IFERROR(__xludf.DUMMYFUNCTION("IMPORTRANGE(""https://docs.google.com/spreadsheets/d/11923uPwbBZFjjGgGUA6NLw09EwE0CqkOc4q9oUmW1yo/edit?usp=sharing"",""แม่ฮ่องสอน!J286"")"),0)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IFERROR(__xludf.DUMMYFUNCTION("IMPORTRANGE(""https://docs.google.com/spreadsheets/d/11923uPwbBZFjjGgGUA6NLw09EwE0CqkOc4q9oUmW1yo/edit?usp=sharing"",""แม่ฮ่องสอน!J287"")"),1)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IFERROR(__xludf.DUMMYFUNCTION("IMPORTRANGE(""https://docs.google.com/spreadsheets/d/11923uPwbBZFjjGgGUA6NLw09EwE0CqkOc4q9oUmW1yo/edit?usp=sharing"",""แม่ฮ่องสอน!J288"")"),1)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IFERROR(__xludf.DUMMYFUNCTION("IMPORTRANGE(""https://docs.google.com/spreadsheets/d/11923uPwbBZFjjGgGUA6NLw09EwE0CqkOc4q9oUmW1yo/edit?usp=sharing"",""แม่ฮ่องสอน!J289"")"),1)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IFERROR(__xludf.DUMMYFUNCTION("IMPORTRANGE(""https://docs.google.com/spreadsheets/d/11923uPwbBZFjjGgGUA6NLw09EwE0CqkOc4q9oUmW1yo/edit?usp=sharing"",""แม่ฮ่องสอน!I291"")"),10)</f>
        <v>10</v>
      </c>
      <c r="J396" s="207">
        <f ca="1">IFERROR(__xludf.DUMMYFUNCTION("IMPORTRANGE(""https://docs.google.com/spreadsheets/d/11923uPwbBZFjjGgGUA6NLw09EwE0CqkOc4q9oUmW1yo/edit?usp=sharing"",""แม่ฮ่องสอน!J291"")"),10)</f>
        <v>10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IFERROR(__xludf.DUMMYFUNCTION("IMPORTRANGE(""https://docs.google.com/spreadsheets/d/11923uPwbBZFjjGgGUA6NLw09EwE0CqkOc4q9oUmW1yo/edit?usp=sharing"",""แม่ฮ่องสอน!I292"")"),100)</f>
        <v>100</v>
      </c>
      <c r="J397" s="207">
        <f ca="1">IFERROR(__xludf.DUMMYFUNCTION("IMPORTRANGE(""https://docs.google.com/spreadsheets/d/11923uPwbBZFjjGgGUA6NLw09EwE0CqkOc4q9oUmW1yo/edit?usp=sharing"",""แม่ฮ่องสอน!J292"")"),0)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IFERROR(__xludf.DUMMYFUNCTION("IMPORTRANGE(""https://docs.google.com/spreadsheets/d/11923uPwbBZFjjGgGUA6NLw09EwE0CqkOc4q9oUmW1yo/edit?usp=sharing"",""แม่ฮ่องสอน!I293"")"),10)</f>
        <v>10</v>
      </c>
      <c r="J398" s="207">
        <f ca="1">IFERROR(__xludf.DUMMYFUNCTION("IMPORTRANGE(""https://docs.google.com/spreadsheets/d/11923uPwbBZFjjGgGUA6NLw09EwE0CqkOc4q9oUmW1yo/edit?usp=sharing"",""แม่ฮ่องสอน!J293"")"),0)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IFERROR(__xludf.DUMMYFUNCTION("IMPORTRANGE(""https://docs.google.com/spreadsheets/d/11923uPwbBZFjjGgGUA6NLw09EwE0CqkOc4q9oUmW1yo/edit?usp=sharing"",""แม่ฮ่องสอน!J294"")"),0)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IFERROR(__xludf.DUMMYFUNCTION("IMPORTRANGE(""https://docs.google.com/spreadsheets/d/11923uPwbBZFjjGgGUA6NLw09EwE0CqkOc4q9oUmW1yo/edit?usp=sharing"",""แม่ฮ่องสอน!J295"")"),0)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IFERROR(__xludf.DUMMYFUNCTION("IMPORTRANGE(""https://docs.google.com/spreadsheets/d/11923uPwbBZFjjGgGUA6NLw09EwE0CqkOc4q9oUmW1yo/edit?usp=sharing"",""แม่ฮ่องสอน!I296"")"),93)</f>
        <v>93</v>
      </c>
      <c r="J401" s="379">
        <f ca="1">IFERROR(__xludf.DUMMYFUNCTION("IMPORTRANGE(""https://docs.google.com/spreadsheets/d/11923uPwbBZFjjGgGUA6NLw09EwE0CqkOc4q9oUmW1yo/edit?usp=sharing"",""แม่ฮ่องสอน!J296"")"),0)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IFERROR(__xludf.DUMMYFUNCTION("IMPORTRANGE(""https://docs.google.com/spreadsheets/d/11923uPwbBZFjjGgGUA6NLw09EwE0CqkOc4q9oUmW1yo/edit?usp=sharing"",""แม่ฮ่องสอน!L296"")"),104590)</f>
        <v>104590</v>
      </c>
      <c r="M401" s="381"/>
      <c r="N401" s="381">
        <f ca="1">IFERROR(__xludf.DUMMYFUNCTION("IMPORTRANGE(""https://docs.google.com/spreadsheets/d/11923uPwbBZFjjGgGUA6NLw09EwE0CqkOc4q9oUmW1yo/edit?usp=sharing"",""แม่ฮ่องสอน!M296"")"),51320)</f>
        <v>51320</v>
      </c>
      <c r="O401" s="381">
        <f ca="1">+IF(L401&gt;0,N401*100/L401,0)</f>
        <v>49.067788507505497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IFERROR(__xludf.DUMMYFUNCTION("IMPORTRANGE(""https://docs.google.com/spreadsheets/d/11923uPwbBZFjjGgGUA6NLw09EwE0CqkOc4q9oUmW1yo/edit?usp=sharing"",""แม่ฮ่องสอน!I297"")"),31)</f>
        <v>31</v>
      </c>
      <c r="J402" s="379">
        <f ca="1">IFERROR(__xludf.DUMMYFUNCTION("IMPORTRANGE(""https://docs.google.com/spreadsheets/d/11923uPwbBZFjjGgGUA6NLw09EwE0CqkOc4q9oUmW1yo/edit?usp=sharing"",""แม่ฮ่องสอน!J297"")"),0)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IFERROR(__xludf.DUMMYFUNCTION("IMPORTRANGE(""https://docs.google.com/spreadsheets/d/11923uPwbBZFjjGgGUA6NLw09EwE0CqkOc4q9oUmW1yo/edit?usp=sharing"",""แม่ฮ่องสอน!L298"")"),0)</f>
        <v>0</v>
      </c>
      <c r="M403" s="172"/>
      <c r="N403" s="178">
        <f ca="1">IFERROR(__xludf.DUMMYFUNCTION("IMPORTRANGE(""https://docs.google.com/spreadsheets/d/11923uPwbBZFjjGgGUA6NLw09EwE0CqkOc4q9oUmW1yo/edit?usp=sharing"",""แม่ฮ่องสอน!M298"")"),0)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IFERROR(__xludf.DUMMYFUNCTION("IMPORTRANGE(""https://docs.google.com/spreadsheets/d/11923uPwbBZFjjGgGUA6NLw09EwE0CqkOc4q9oUmW1yo/edit?usp=sharing"",""แม่ฮ่องสอน!L299"")"),104590)</f>
        <v>104590</v>
      </c>
      <c r="M404" s="173"/>
      <c r="N404" s="178">
        <f ca="1">IFERROR(__xludf.DUMMYFUNCTION("IMPORTRANGE(""https://docs.google.com/spreadsheets/d/11923uPwbBZFjjGgGUA6NLw09EwE0CqkOc4q9oUmW1yo/edit?usp=sharing"",""แม่ฮ่องสอน!M299"")"),51320)</f>
        <v>51320</v>
      </c>
      <c r="O404" s="178">
        <f t="shared" ca="1" si="112"/>
        <v>49.067788507505497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IFERROR(__xludf.DUMMYFUNCTION("IMPORTRANGE(""https://docs.google.com/spreadsheets/d/11923uPwbBZFjjGgGUA6NLw09EwE0CqkOc4q9oUmW1yo/edit?usp=sharing"",""แม่ฮ่องสอน!L300"")"),0)</f>
        <v>0</v>
      </c>
      <c r="M405" s="178"/>
      <c r="N405" s="178">
        <f ca="1">IFERROR(__xludf.DUMMYFUNCTION("IMPORTRANGE(""https://docs.google.com/spreadsheets/d/11923uPwbBZFjjGgGUA6NLw09EwE0CqkOc4q9oUmW1yo/edit?usp=sharing"",""แม่ฮ่องสอน!M300"")"),0)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78"/>
      <c r="N406" s="178">
        <f ca="1">IFERROR(__xludf.DUMMYFUNCTION("IMPORTRANGE(""https://docs.google.com/spreadsheets/d/11923uPwbBZFjjGgGUA6NLw09EwE0CqkOc4q9oUmW1yo/edit?usp=sharing"",""แม่ฮ่องสอน!M301"")"),51320)</f>
        <v>51320</v>
      </c>
      <c r="O406" s="178">
        <f t="shared" ca="1" si="112"/>
        <v>49.067788507505497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IFERROR(__xludf.DUMMYFUNCTION("IMPORTRANGE(""https://docs.google.com/spreadsheets/d/11923uPwbBZFjjGgGUA6NLw09EwE0CqkOc4q9oUmW1yo/edit?usp=sharing"",""แม่ฮ่องสอน!M302"")"),51320)</f>
        <v>51320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IFERROR(__xludf.DUMMYFUNCTION("IMPORTRANGE(""https://docs.google.com/spreadsheets/d/11923uPwbBZFjjGgGUA6NLw09EwE0CqkOc4q9oUmW1yo/edit?usp=sharing"",""แม่ฮ่องสอน!M303"")"),0)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IFERROR(__xludf.DUMMYFUNCTION("IMPORTRANGE(""https://docs.google.com/spreadsheets/d/11923uPwbBZFjjGgGUA6NLw09EwE0CqkOc4q9oUmW1yo/edit?usp=sharing"",""แม่ฮ่องสอน!M304"")"),0)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IFERROR(__xludf.DUMMYFUNCTION("IMPORTRANGE(""https://docs.google.com/spreadsheets/d/11923uPwbBZFjjGgGUA6NLw09EwE0CqkOc4q9oUmW1yo/edit?usp=sharing"",""แม่ฮ่องสอน!M305"")"),0)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IFERROR(__xludf.DUMMYFUNCTION("IMPORTRANGE(""https://docs.google.com/spreadsheets/d/11923uPwbBZFjjGgGUA6NLw09EwE0CqkOc4q9oUmW1yo/edit?usp=sharing"",""แม่ฮ่องสอน!J307"")"),0)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IFERROR(__xludf.DUMMYFUNCTION("IMPORTRANGE(""https://docs.google.com/spreadsheets/d/11923uPwbBZFjjGgGUA6NLw09EwE0CqkOc4q9oUmW1yo/edit?usp=sharing"",""แม่ฮ่องสอน!J308"")"),1)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IFERROR(__xludf.DUMMYFUNCTION("IMPORTRANGE(""https://docs.google.com/spreadsheets/d/11923uPwbBZFjjGgGUA6NLw09EwE0CqkOc4q9oUmW1yo/edit?usp=sharing"",""แม่ฮ่องสอน!J309"")"),1)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IFERROR(__xludf.DUMMYFUNCTION("IMPORTRANGE(""https://docs.google.com/spreadsheets/d/11923uPwbBZFjjGgGUA6NLw09EwE0CqkOc4q9oUmW1yo/edit?usp=sharing"",""แม่ฮ่องสอน!J310"")"),0)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IFERROR(__xludf.DUMMYFUNCTION("IMPORTRANGE(""https://docs.google.com/spreadsheets/d/11923uPwbBZFjjGgGUA6NLw09EwE0CqkOc4q9oUmW1yo/edit?usp=sharing"",""แม่ฮ่องสอน!I311"")"),31)</f>
        <v>31</v>
      </c>
      <c r="J416" s="210">
        <f ca="1">IFERROR(__xludf.DUMMYFUNCTION("IMPORTRANGE(""https://docs.google.com/spreadsheets/d/11923uPwbBZFjjGgGUA6NLw09EwE0CqkOc4q9oUmW1yo/edit?usp=sharing"",""แม่ฮ่องสอน!J311"")"),0)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IFERROR(__xludf.DUMMYFUNCTION("IMPORTRANGE(""https://docs.google.com/spreadsheets/d/11923uPwbBZFjjGgGUA6NLw09EwE0CqkOc4q9oUmW1yo/edit?usp=sharing"",""แม่ฮ่องสอน!I312"")"),0)</f>
        <v>0</v>
      </c>
      <c r="J417" s="400">
        <f ca="1">IFERROR(__xludf.DUMMYFUNCTION("IMPORTRANGE(""https://docs.google.com/spreadsheets/d/11923uPwbBZFjjGgGUA6NLw09EwE0CqkOc4q9oUmW1yo/edit?usp=sharing"",""แม่ฮ่องสอน!J312"")"),0)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IFERROR(__xludf.DUMMYFUNCTION("IMPORTRANGE(""https://docs.google.com/spreadsheets/d/11923uPwbBZFjjGgGUA6NLw09EwE0CqkOc4q9oUmW1yo/edit?usp=sharing"",""แม่ฮ่องสอน!I313"")"),0)</f>
        <v>0</v>
      </c>
      <c r="J418" s="401">
        <f ca="1">IFERROR(__xludf.DUMMYFUNCTION("IMPORTRANGE(""https://docs.google.com/spreadsheets/d/11923uPwbBZFjjGgGUA6NLw09EwE0CqkOc4q9oUmW1yo/edit?usp=sharing"",""แม่ฮ่องสอน!J313"")"),0)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IFERROR(__xludf.DUMMYFUNCTION("IMPORTRANGE(""https://docs.google.com/spreadsheets/d/11923uPwbBZFjjGgGUA6NLw09EwE0CqkOc4q9oUmW1yo/edit?usp=sharing"",""แม่ฮ่องสอน!I314"")"),0)</f>
        <v>0</v>
      </c>
      <c r="J419" s="402">
        <f ca="1">IFERROR(__xludf.DUMMYFUNCTION("IMPORTRANGE(""https://docs.google.com/spreadsheets/d/11923uPwbBZFjjGgGUA6NLw09EwE0CqkOc4q9oUmW1yo/edit?usp=sharing"",""แม่ฮ่องสอน!J314"")"),0)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IFERROR(__xludf.DUMMYFUNCTION("IMPORTRANGE(""https://docs.google.com/spreadsheets/d/11923uPwbBZFjjGgGUA6NLw09EwE0CqkOc4q9oUmW1yo/edit?usp=sharing"",""แม่ฮ่องสอน!I315"")"),0)</f>
        <v>0</v>
      </c>
      <c r="J420" s="402">
        <f ca="1">IFERROR(__xludf.DUMMYFUNCTION("IMPORTRANGE(""https://docs.google.com/spreadsheets/d/11923uPwbBZFjjGgGUA6NLw09EwE0CqkOc4q9oUmW1yo/edit?usp=sharing"",""แม่ฮ่องสอน!J315"")"),0)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IFERROR(__xludf.DUMMYFUNCTION("IMPORTRANGE(""https://docs.google.com/spreadsheets/d/11923uPwbBZFjjGgGUA6NLw09EwE0CqkOc4q9oUmW1yo/edit?usp=sharing"",""แม่ฮ่องสอน!I316"")"),21)</f>
        <v>21</v>
      </c>
      <c r="J421" s="400">
        <f ca="1">IFERROR(__xludf.DUMMYFUNCTION("IMPORTRANGE(""https://docs.google.com/spreadsheets/d/11923uPwbBZFjjGgGUA6NLw09EwE0CqkOc4q9oUmW1yo/edit?usp=sharing"",""แม่ฮ่องสอน!J316"")"),0)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IFERROR(__xludf.DUMMYFUNCTION("IMPORTRANGE(""https://docs.google.com/spreadsheets/d/11923uPwbBZFjjGgGUA6NLw09EwE0CqkOc4q9oUmW1yo/edit?usp=sharing"",""แม่ฮ่องสอน!I317"")"),63)</f>
        <v>63</v>
      </c>
      <c r="J422" s="401">
        <f ca="1">IFERROR(__xludf.DUMMYFUNCTION("IMPORTRANGE(""https://docs.google.com/spreadsheets/d/11923uPwbBZFjjGgGUA6NLw09EwE0CqkOc4q9oUmW1yo/edit?usp=sharing"",""แม่ฮ่องสอน!J317"")"),0)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IFERROR(__xludf.DUMMYFUNCTION("IMPORTRANGE(""https://docs.google.com/spreadsheets/d/11923uPwbBZFjjGgGUA6NLw09EwE0CqkOc4q9oUmW1yo/edit?usp=sharing"",""แม่ฮ่องสอน!I318"")"),21)</f>
        <v>21</v>
      </c>
      <c r="J423" s="402">
        <f ca="1">IFERROR(__xludf.DUMMYFUNCTION("IMPORTRANGE(""https://docs.google.com/spreadsheets/d/11923uPwbBZFjjGgGUA6NLw09EwE0CqkOc4q9oUmW1yo/edit?usp=sharing"",""แม่ฮ่องสอน!J318"")"),0)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IFERROR(__xludf.DUMMYFUNCTION("IMPORTRANGE(""https://docs.google.com/spreadsheets/d/11923uPwbBZFjjGgGUA6NLw09EwE0CqkOc4q9oUmW1yo/edit?usp=sharing"",""แม่ฮ่องสอน!I319"")"),21)</f>
        <v>21</v>
      </c>
      <c r="J424" s="402">
        <f ca="1">IFERROR(__xludf.DUMMYFUNCTION("IMPORTRANGE(""https://docs.google.com/spreadsheets/d/11923uPwbBZFjjGgGUA6NLw09EwE0CqkOc4q9oUmW1yo/edit?usp=sharing"",""แม่ฮ่องสอน!J319"")"),0)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IFERROR(__xludf.DUMMYFUNCTION("IMPORTRANGE(""https://docs.google.com/spreadsheets/d/11923uPwbBZFjjGgGUA6NLw09EwE0CqkOc4q9oUmW1yo/edit?usp=sharing"",""แม่ฮ่องสอน!I320"")"),21)</f>
        <v>21</v>
      </c>
      <c r="J425" s="402">
        <f ca="1">IFERROR(__xludf.DUMMYFUNCTION("IMPORTRANGE(""https://docs.google.com/spreadsheets/d/11923uPwbBZFjjGgGUA6NLw09EwE0CqkOc4q9oUmW1yo/edit?usp=sharing"",""แม่ฮ่องสอน!J320"")"),0)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IFERROR(__xludf.DUMMYFUNCTION("IMPORTRANGE(""https://docs.google.com/spreadsheets/d/11923uPwbBZFjjGgGUA6NLw09EwE0CqkOc4q9oUmW1yo/edit?usp=sharing"",""แม่ฮ่องสอน!I321"")"),10)</f>
        <v>10</v>
      </c>
      <c r="J426" s="400">
        <f ca="1">IFERROR(__xludf.DUMMYFUNCTION("IMPORTRANGE(""https://docs.google.com/spreadsheets/d/11923uPwbBZFjjGgGUA6NLw09EwE0CqkOc4q9oUmW1yo/edit?usp=sharing"",""แม่ฮ่องสอน!J321"")"),0)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IFERROR(__xludf.DUMMYFUNCTION("IMPORTRANGE(""https://docs.google.com/spreadsheets/d/11923uPwbBZFjjGgGUA6NLw09EwE0CqkOc4q9oUmW1yo/edit?usp=sharing"",""แม่ฮ่องสอน!I322"")"),30)</f>
        <v>30</v>
      </c>
      <c r="J427" s="401">
        <f ca="1">IFERROR(__xludf.DUMMYFUNCTION("IMPORTRANGE(""https://docs.google.com/spreadsheets/d/11923uPwbBZFjjGgGUA6NLw09EwE0CqkOc4q9oUmW1yo/edit?usp=sharing"",""แม่ฮ่องสอน!J322"")"),0)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IFERROR(__xludf.DUMMYFUNCTION("IMPORTRANGE(""https://docs.google.com/spreadsheets/d/11923uPwbBZFjjGgGUA6NLw09EwE0CqkOc4q9oUmW1yo/edit?usp=sharing"",""แม่ฮ่องสอน!I323"")"),10)</f>
        <v>10</v>
      </c>
      <c r="J428" s="402">
        <f ca="1">IFERROR(__xludf.DUMMYFUNCTION("IMPORTRANGE(""https://docs.google.com/spreadsheets/d/11923uPwbBZFjjGgGUA6NLw09EwE0CqkOc4q9oUmW1yo/edit?usp=sharing"",""แม่ฮ่องสอน!J323"")"),0)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IFERROR(__xludf.DUMMYFUNCTION("IMPORTRANGE(""https://docs.google.com/spreadsheets/d/11923uPwbBZFjjGgGUA6NLw09EwE0CqkOc4q9oUmW1yo/edit?usp=sharing"",""แม่ฮ่องสอน!I324"")"),10)</f>
        <v>10</v>
      </c>
      <c r="J429" s="402">
        <f ca="1">IFERROR(__xludf.DUMMYFUNCTION("IMPORTRANGE(""https://docs.google.com/spreadsheets/d/11923uPwbBZFjjGgGUA6NLw09EwE0CqkOc4q9oUmW1yo/edit?usp=sharing"",""แม่ฮ่องสอน!J324"")"),0)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IFERROR(__xludf.DUMMYFUNCTION("IMPORTRANGE(""https://docs.google.com/spreadsheets/d/11923uPwbBZFjjGgGUA6NLw09EwE0CqkOc4q9oUmW1yo/edit?usp=sharing"",""แม่ฮ่องสอน!I325"")"),21)</f>
        <v>21</v>
      </c>
      <c r="J430" s="400">
        <f ca="1">IFERROR(__xludf.DUMMYFUNCTION("IMPORTRANGE(""https://docs.google.com/spreadsheets/d/11923uPwbBZFjjGgGUA6NLw09EwE0CqkOc4q9oUmW1yo/edit?usp=sharing"",""แม่ฮ่องสอน!J325"")"),0)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IFERROR(__xludf.DUMMYFUNCTION("IMPORTRANGE(""https://docs.google.com/spreadsheets/d/11923uPwbBZFjjGgGUA6NLw09EwE0CqkOc4q9oUmW1yo/edit?usp=sharing"",""แม่ฮ่องสอน!I326"")"),0)</f>
        <v>0</v>
      </c>
      <c r="J431" s="402">
        <f ca="1">IFERROR(__xludf.DUMMYFUNCTION("IMPORTRANGE(""https://docs.google.com/spreadsheets/d/11923uPwbBZFjjGgGUA6NLw09EwE0CqkOc4q9oUmW1yo/edit?usp=sharing"",""แม่ฮ่องสอน!J326"")"),0)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IFERROR(__xludf.DUMMYFUNCTION("IMPORTRANGE(""https://docs.google.com/spreadsheets/d/11923uPwbBZFjjGgGUA6NLw09EwE0CqkOc4q9oUmW1yo/edit?usp=sharing"",""แม่ฮ่องสอน!I327"")"),21)</f>
        <v>21</v>
      </c>
      <c r="J432" s="402">
        <f ca="1">IFERROR(__xludf.DUMMYFUNCTION("IMPORTRANGE(""https://docs.google.com/spreadsheets/d/11923uPwbBZFjjGgGUA6NLw09EwE0CqkOc4q9oUmW1yo/edit?usp=sharing"",""แม่ฮ่องสอน!J327"")"),0)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IFERROR(__xludf.DUMMYFUNCTION("IMPORTRANGE(""https://docs.google.com/spreadsheets/d/11923uPwbBZFjjGgGUA6NLw09EwE0CqkOc4q9oUmW1yo/edit?usp=sharing"",""แม่ฮ่องสอน!J328"")"),0)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IFERROR(__xludf.DUMMYFUNCTION("IMPORTRANGE(""https://docs.google.com/spreadsheets/d/11923uPwbBZFjjGgGUA6NLw09EwE0CqkOc4q9oUmW1yo/edit?usp=sharing"",""แม่ฮ่องสอน!J329"")"),0)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IFERROR(__xludf.DUMMYFUNCTION("IMPORTRANGE(""https://docs.google.com/spreadsheets/d/11923uPwbBZFjjGgGUA6NLw09EwE0CqkOc4q9oUmW1yo/edit?usp=sharing"",""แม่ฮ่องสอน!I330"")"),20)</f>
        <v>20</v>
      </c>
      <c r="J435" s="418">
        <f ca="1">IFERROR(__xludf.DUMMYFUNCTION("IMPORTRANGE(""https://docs.google.com/spreadsheets/d/11923uPwbBZFjjGgGUA6NLw09EwE0CqkOc4q9oUmW1yo/edit?usp=sharing"",""แม่ฮ่องสอน!J330"")"),20)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IFERROR(__xludf.DUMMYFUNCTION("IMPORTRANGE(""https://docs.google.com/spreadsheets/d/11923uPwbBZFjjGgGUA6NLw09EwE0CqkOc4q9oUmW1yo/edit?usp=sharing"",""แม่ฮ่องสอน!L330"")"),95000)</f>
        <v>95000</v>
      </c>
      <c r="M435" s="420"/>
      <c r="N435" s="420">
        <f ca="1">IFERROR(__xludf.DUMMYFUNCTION("IMPORTRANGE(""https://docs.google.com/spreadsheets/d/11923uPwbBZFjjGgGUA6NLw09EwE0CqkOc4q9oUmW1yo/edit?usp=sharing"",""แม่ฮ่องสอน!M330"")"),50065)</f>
        <v>50065</v>
      </c>
      <c r="O435" s="420">
        <f t="shared" ref="O435:O439" ca="1" si="114">+IF(L435&gt;0,N435*100/L435,0)</f>
        <v>52.7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IFERROR(__xludf.DUMMYFUNCTION("IMPORTRANGE(""https://docs.google.com/spreadsheets/d/11923uPwbBZFjjGgGUA6NLw09EwE0CqkOc4q9oUmW1yo/edit?usp=sharing"",""แม่ฮ่องสอน!L331"")"),0)</f>
        <v>0</v>
      </c>
      <c r="M436" s="172"/>
      <c r="N436" s="178">
        <f ca="1">IFERROR(__xludf.DUMMYFUNCTION("IMPORTRANGE(""https://docs.google.com/spreadsheets/d/11923uPwbBZFjjGgGUA6NLw09EwE0CqkOc4q9oUmW1yo/edit?usp=sharing"",""แม่ฮ่องสอน!M331"")"),0)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IFERROR(__xludf.DUMMYFUNCTION("IMPORTRANGE(""https://docs.google.com/spreadsheets/d/11923uPwbBZFjjGgGUA6NLw09EwE0CqkOc4q9oUmW1yo/edit?usp=sharing"",""แม่ฮ่องสอน!L332"")"),95000)</f>
        <v>95000</v>
      </c>
      <c r="M437" s="173"/>
      <c r="N437" s="178">
        <f ca="1">IFERROR(__xludf.DUMMYFUNCTION("IMPORTRANGE(""https://docs.google.com/spreadsheets/d/11923uPwbBZFjjGgGUA6NLw09EwE0CqkOc4q9oUmW1yo/edit?usp=sharing"",""แม่ฮ่องสอน!M332"")"),50065)</f>
        <v>50065</v>
      </c>
      <c r="O437" s="178">
        <f t="shared" ca="1" si="114"/>
        <v>52.7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IFERROR(__xludf.DUMMYFUNCTION("IMPORTRANGE(""https://docs.google.com/spreadsheets/d/11923uPwbBZFjjGgGUA6NLw09EwE0CqkOc4q9oUmW1yo/edit?usp=sharing"",""แม่ฮ่องสอน!L333"")"),0)</f>
        <v>0</v>
      </c>
      <c r="M438" s="178"/>
      <c r="N438" s="178">
        <f ca="1">IFERROR(__xludf.DUMMYFUNCTION("IMPORTRANGE(""https://docs.google.com/spreadsheets/d/11923uPwbBZFjjGgGUA6NLw09EwE0CqkOc4q9oUmW1yo/edit?usp=sharing"",""แม่ฮ่องสอน!M333"")"),0)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IFERROR(__xludf.DUMMYFUNCTION("IMPORTRANGE(""https://docs.google.com/spreadsheets/d/11923uPwbBZFjjGgGUA6NLw09EwE0CqkOc4q9oUmW1yo/edit?usp=sharing"",""แม่ฮ่องสอน!L334"")"),95000)</f>
        <v>95000</v>
      </c>
      <c r="M439" s="178"/>
      <c r="N439" s="178">
        <f ca="1">IFERROR(__xludf.DUMMYFUNCTION("IMPORTRANGE(""https://docs.google.com/spreadsheets/d/11923uPwbBZFjjGgGUA6NLw09EwE0CqkOc4q9oUmW1yo/edit?usp=sharing"",""แม่ฮ่องสอน!M334"")"),50065)</f>
        <v>50065</v>
      </c>
      <c r="O439" s="178">
        <f t="shared" ca="1" si="114"/>
        <v>52.7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IFERROR(__xludf.DUMMYFUNCTION("IMPORTRANGE(""https://docs.google.com/spreadsheets/d/11923uPwbBZFjjGgGUA6NLw09EwE0CqkOc4q9oUmW1yo/edit?usp=sharing"",""แม่ฮ่องสอน!M335"")"),44200)</f>
        <v>44200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IFERROR(__xludf.DUMMYFUNCTION("IMPORTRANGE(""https://docs.google.com/spreadsheets/d/11923uPwbBZFjjGgGUA6NLw09EwE0CqkOc4q9oUmW1yo/edit?usp=sharing"",""แม่ฮ่องสอน!M336"")"),0)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IFERROR(__xludf.DUMMYFUNCTION("IMPORTRANGE(""https://docs.google.com/spreadsheets/d/11923uPwbBZFjjGgGUA6NLw09EwE0CqkOc4q9oUmW1yo/edit?usp=sharing"",""แม่ฮ่องสอน!M337"")"),0)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IFERROR(__xludf.DUMMYFUNCTION("IMPORTRANGE(""https://docs.google.com/spreadsheets/d/11923uPwbBZFjjGgGUA6NLw09EwE0CqkOc4q9oUmW1yo/edit?usp=sharing"",""แม่ฮ่องสอน!M338"")"),5865)</f>
        <v>5865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IFERROR(__xludf.DUMMYFUNCTION("IMPORTRANGE(""https://docs.google.com/spreadsheets/d/11923uPwbBZFjjGgGUA6NLw09EwE0CqkOc4q9oUmW1yo/edit?usp=sharing"",""แม่ฮ่องสอน!J340"")"),0)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IFERROR(__xludf.DUMMYFUNCTION("IMPORTRANGE(""https://docs.google.com/spreadsheets/d/11923uPwbBZFjjGgGUA6NLw09EwE0CqkOc4q9oUmW1yo/edit?usp=sharing"",""แม่ฮ่องสอน!J341"")"),1)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IFERROR(__xludf.DUMMYFUNCTION("IMPORTRANGE(""https://docs.google.com/spreadsheets/d/11923uPwbBZFjjGgGUA6NLw09EwE0CqkOc4q9oUmW1yo/edit?usp=sharing"",""แม่ฮ่องสอน!J342"")"),1)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IFERROR(__xludf.DUMMYFUNCTION("IMPORTRANGE(""https://docs.google.com/spreadsheets/d/11923uPwbBZFjjGgGUA6NLw09EwE0CqkOc4q9oUmW1yo/edit?usp=sharing"",""แม่ฮ่องสอน!J343"")"),1)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IFERROR(__xludf.DUMMYFUNCTION("IMPORTRANGE(""https://docs.google.com/spreadsheets/d/11923uPwbBZFjjGgGUA6NLw09EwE0CqkOc4q9oUmW1yo/edit?usp=sharing"",""แม่ฮ่องสอน!I344"")"),20)</f>
        <v>20</v>
      </c>
      <c r="J449" s="210">
        <f ca="1">IFERROR(__xludf.DUMMYFUNCTION("IMPORTRANGE(""https://docs.google.com/spreadsheets/d/11923uPwbBZFjjGgGUA6NLw09EwE0CqkOc4q9oUmW1yo/edit?usp=sharing"",""แม่ฮ่องสอน!J344"")"),20)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IFERROR(__xludf.DUMMYFUNCTION("IMPORTRANGE(""https://docs.google.com/spreadsheets/d/11923uPwbBZFjjGgGUA6NLw09EwE0CqkOc4q9oUmW1yo/edit?usp=sharing"",""แม่ฮ่องสอน!I345"")"),20)</f>
        <v>20</v>
      </c>
      <c r="J450" s="198">
        <f ca="1">IFERROR(__xludf.DUMMYFUNCTION("IMPORTRANGE(""https://docs.google.com/spreadsheets/d/11923uPwbBZFjjGgGUA6NLw09EwE0CqkOc4q9oUmW1yo/edit?usp=sharing"",""แม่ฮ่องสอน!J345"")"),20)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IFERROR(__xludf.DUMMYFUNCTION("IMPORTRANGE(""https://docs.google.com/spreadsheets/d/11923uPwbBZFjjGgGUA6NLw09EwE0CqkOc4q9oUmW1yo/edit?usp=sharing"",""แม่ฮ่องสอน!I346"")"),0)</f>
        <v>0</v>
      </c>
      <c r="J451" s="197">
        <f ca="1">IFERROR(__xludf.DUMMYFUNCTION("IMPORTRANGE(""https://docs.google.com/spreadsheets/d/11923uPwbBZFjjGgGUA6NLw09EwE0CqkOc4q9oUmW1yo/edit?usp=sharing"",""แม่ฮ่องสอน!J346"")"),0)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IFERROR(__xludf.DUMMYFUNCTION("IMPORTRANGE(""https://docs.google.com/spreadsheets/d/11923uPwbBZFjjGgGUA6NLw09EwE0CqkOc4q9oUmW1yo/edit?usp=sharing"",""แม่ฮ่องสอน!I347"")"),0)</f>
        <v>0</v>
      </c>
      <c r="J452" s="197">
        <f ca="1">IFERROR(__xludf.DUMMYFUNCTION("IMPORTRANGE(""https://docs.google.com/spreadsheets/d/11923uPwbBZFjjGgGUA6NLw09EwE0CqkOc4q9oUmW1yo/edit?usp=sharing"",""แม่ฮ่องสอน!J347"")"),0)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IFERROR(__xludf.DUMMYFUNCTION("IMPORTRANGE(""https://docs.google.com/spreadsheets/d/11923uPwbBZFjjGgGUA6NLw09EwE0CqkOc4q9oUmW1yo/edit?usp=sharing"",""แม่ฮ่องสอน!J348"")"),1)</f>
        <v>1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IFERROR(__xludf.DUMMYFUNCTION("IMPORTRANGE(""https://docs.google.com/spreadsheets/d/11923uPwbBZFjjGgGUA6NLw09EwE0CqkOc4q9oUmW1yo/edit?usp=sharing"",""แม่ฮ่องสอน!J349"")"),0)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IFERROR(__xludf.DUMMYFUNCTION("IMPORTRANGE(""https://docs.google.com/spreadsheets/d/11923uPwbBZFjjGgGUA6NLw09EwE0CqkOc4q9oUmW1yo/edit?usp=sharing"",""แม่ฮ่องสอน!I350"")"),4118)</f>
        <v>4118</v>
      </c>
      <c r="J455" s="379">
        <f ca="1">IFERROR(__xludf.DUMMYFUNCTION("IMPORTRANGE(""https://docs.google.com/spreadsheets/d/11923uPwbBZFjjGgGUA6NLw09EwE0CqkOc4q9oUmW1yo/edit?usp=sharing"",""แม่ฮ่องสอน!J350"")"),4665)</f>
        <v>4665</v>
      </c>
      <c r="K455" s="380">
        <f ca="1">IF(I455&gt;0,J455*100/I455,0)</f>
        <v>113.28314715881496</v>
      </c>
      <c r="L455" s="381">
        <f ca="1">IFERROR(__xludf.DUMMYFUNCTION("IMPORTRANGE(""https://docs.google.com/spreadsheets/d/11923uPwbBZFjjGgGUA6NLw09EwE0CqkOc4q9oUmW1yo/edit?usp=sharing"",""แม่ฮ่องสอน!L350"")"),96393)</f>
        <v>96393</v>
      </c>
      <c r="M455" s="381"/>
      <c r="N455" s="381">
        <f ca="1">IFERROR(__xludf.DUMMYFUNCTION("IMPORTRANGE(""https://docs.google.com/spreadsheets/d/11923uPwbBZFjjGgGUA6NLw09EwE0CqkOc4q9oUmW1yo/edit?usp=sharing"",""แม่ฮ่องสอน!M350"")"),39095)</f>
        <v>39095</v>
      </c>
      <c r="O455" s="381">
        <f t="shared" ref="O455:O459" ca="1" si="116">+IF(L455&gt;0,N455*100/L455,0)</f>
        <v>40.557924330604919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IFERROR(__xludf.DUMMYFUNCTION("IMPORTRANGE(""https://docs.google.com/spreadsheets/d/11923uPwbBZFjjGgGUA6NLw09EwE0CqkOc4q9oUmW1yo/edit?usp=sharing"",""แม่ฮ่องสอน!L351"")"),0)</f>
        <v>0</v>
      </c>
      <c r="M456" s="172"/>
      <c r="N456" s="178">
        <f ca="1">IFERROR(__xludf.DUMMYFUNCTION("IMPORTRANGE(""https://docs.google.com/spreadsheets/d/11923uPwbBZFjjGgGUA6NLw09EwE0CqkOc4q9oUmW1yo/edit?usp=sharing"",""แม่ฮ่องสอน!M351"")"),0)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IFERROR(__xludf.DUMMYFUNCTION("IMPORTRANGE(""https://docs.google.com/spreadsheets/d/11923uPwbBZFjjGgGUA6NLw09EwE0CqkOc4q9oUmW1yo/edit?usp=sharing"",""แม่ฮ่องสอน!L352"")"),96393)</f>
        <v>96393</v>
      </c>
      <c r="M457" s="173"/>
      <c r="N457" s="178">
        <f ca="1">IFERROR(__xludf.DUMMYFUNCTION("IMPORTRANGE(""https://docs.google.com/spreadsheets/d/11923uPwbBZFjjGgGUA6NLw09EwE0CqkOc4q9oUmW1yo/edit?usp=sharing"",""แม่ฮ่องสอน!M352"")"),39095)</f>
        <v>39095</v>
      </c>
      <c r="O457" s="178">
        <f t="shared" ca="1" si="116"/>
        <v>40.557924330604919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IFERROR(__xludf.DUMMYFUNCTION("IMPORTRANGE(""https://docs.google.com/spreadsheets/d/11923uPwbBZFjjGgGUA6NLw09EwE0CqkOc4q9oUmW1yo/edit?usp=sharing"",""แม่ฮ่องสอน!L353"")"),0)</f>
        <v>0</v>
      </c>
      <c r="M458" s="178"/>
      <c r="N458" s="178">
        <f ca="1">IFERROR(__xludf.DUMMYFUNCTION("IMPORTRANGE(""https://docs.google.com/spreadsheets/d/11923uPwbBZFjjGgGUA6NLw09EwE0CqkOc4q9oUmW1yo/edit?usp=sharing"",""แม่ฮ่องสอน!M353"")"),0)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IFERROR(__xludf.DUMMYFUNCTION("IMPORTRANGE(""https://docs.google.com/spreadsheets/d/11923uPwbBZFjjGgGUA6NLw09EwE0CqkOc4q9oUmW1yo/edit?usp=sharing"",""แม่ฮ่องสอน!L354"")"),96393)</f>
        <v>96393</v>
      </c>
      <c r="M459" s="178"/>
      <c r="N459" s="178">
        <f ca="1">IFERROR(__xludf.DUMMYFUNCTION("IMPORTRANGE(""https://docs.google.com/spreadsheets/d/11923uPwbBZFjjGgGUA6NLw09EwE0CqkOc4q9oUmW1yo/edit?usp=sharing"",""แม่ฮ่องสอน!M354"")"),39095)</f>
        <v>39095</v>
      </c>
      <c r="O459" s="178">
        <f t="shared" ca="1" si="116"/>
        <v>40.557924330604919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IFERROR(__xludf.DUMMYFUNCTION("IMPORTRANGE(""https://docs.google.com/spreadsheets/d/11923uPwbBZFjjGgGUA6NLw09EwE0CqkOc4q9oUmW1yo/edit?usp=sharing"",""แม่ฮ่องสอน!M355"")"),0)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IFERROR(__xludf.DUMMYFUNCTION("IMPORTRANGE(""https://docs.google.com/spreadsheets/d/11923uPwbBZFjjGgGUA6NLw09EwE0CqkOc4q9oUmW1yo/edit?usp=sharing"",""แม่ฮ่องสอน!M356"")"),0)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IFERROR(__xludf.DUMMYFUNCTION("IMPORTRANGE(""https://docs.google.com/spreadsheets/d/11923uPwbBZFjjGgGUA6NLw09EwE0CqkOc4q9oUmW1yo/edit?usp=sharing"",""แม่ฮ่องสอน!M357"")"),0)</f>
        <v>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IFERROR(__xludf.DUMMYFUNCTION("IMPORTRANGE(""https://docs.google.com/spreadsheets/d/11923uPwbBZFjjGgGUA6NLw09EwE0CqkOc4q9oUmW1yo/edit?usp=sharing"",""แม่ฮ่องสอน!M358"")"),39095)</f>
        <v>39095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IFERROR(__xludf.DUMMYFUNCTION("IMPORTRANGE(""https://docs.google.com/spreadsheets/d/11923uPwbBZFjjGgGUA6NLw09EwE0CqkOc4q9oUmW1yo/edit?usp=sharing"",""แม่ฮ่องสอน!I359"")"),4118)</f>
        <v>4118</v>
      </c>
      <c r="J464" s="276">
        <f ca="1">IFERROR(__xludf.DUMMYFUNCTION("IMPORTRANGE(""https://docs.google.com/spreadsheets/d/11923uPwbBZFjjGgGUA6NLw09EwE0CqkOc4q9oUmW1yo/edit?usp=sharing"",""แม่ฮ่องสอน!J359"")"),4665)</f>
        <v>4665</v>
      </c>
      <c r="K464" s="277">
        <f t="shared" ref="K464:K515" ca="1" si="117">IF(I464&gt;0,J464*100/I464,0)</f>
        <v>113.28314715881496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IFERROR(__xludf.DUMMYFUNCTION("IMPORTRANGE(""https://docs.google.com/spreadsheets/d/11923uPwbBZFjjGgGUA6NLw09EwE0CqkOc4q9oUmW1yo/edit?usp=sharing"",""แม่ฮ่องสอน!I360"")"),4118)</f>
        <v>4118</v>
      </c>
      <c r="J465" s="428">
        <f ca="1">IFERROR(__xludf.DUMMYFUNCTION("IMPORTRANGE(""https://docs.google.com/spreadsheets/d/11923uPwbBZFjjGgGUA6NLw09EwE0CqkOc4q9oUmW1yo/edit?usp=sharing"",""แม่ฮ่องสอน!J360"")"),4665)</f>
        <v>4665</v>
      </c>
      <c r="K465" s="211">
        <f t="shared" ca="1" si="117"/>
        <v>113.28314715881496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IFERROR(__xludf.DUMMYFUNCTION("IMPORTRANGE(""https://docs.google.com/spreadsheets/d/11923uPwbBZFjjGgGUA6NLw09EwE0CqkOc4q9oUmW1yo/edit?usp=sharing"",""แม่ฮ่องสอน!I361"")"),1134)</f>
        <v>1134</v>
      </c>
      <c r="J466" s="428">
        <f ca="1">IFERROR(__xludf.DUMMYFUNCTION("IMPORTRANGE(""https://docs.google.com/spreadsheets/d/11923uPwbBZFjjGgGUA6NLw09EwE0CqkOc4q9oUmW1yo/edit?usp=sharing"",""แม่ฮ่องสอน!J361"")"),1134)</f>
        <v>1134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IFERROR(__xludf.DUMMYFUNCTION("IMPORTRANGE(""https://docs.google.com/spreadsheets/d/11923uPwbBZFjjGgGUA6NLw09EwE0CqkOc4q9oUmW1yo/edit?usp=sharing"",""แม่ฮ่องสอน!I362"")"),0)</f>
        <v>0</v>
      </c>
      <c r="J467" s="198">
        <f ca="1">IFERROR(__xludf.DUMMYFUNCTION("IMPORTRANGE(""https://docs.google.com/spreadsheets/d/11923uPwbBZFjjGgGUA6NLw09EwE0CqkOc4q9oUmW1yo/edit?usp=sharing"",""แม่ฮ่องสอน!J362"")"),4581)</f>
        <v>4581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IFERROR(__xludf.DUMMYFUNCTION("IMPORTRANGE(""https://docs.google.com/spreadsheets/d/11923uPwbBZFjjGgGUA6NLw09EwE0CqkOc4q9oUmW1yo/edit?usp=sharing"",""แม่ฮ่องสอน!I363"")"),0)</f>
        <v>0</v>
      </c>
      <c r="J468" s="198">
        <f ca="1">IFERROR(__xludf.DUMMYFUNCTION("IMPORTRANGE(""https://docs.google.com/spreadsheets/d/11923uPwbBZFjjGgGUA6NLw09EwE0CqkOc4q9oUmW1yo/edit?usp=sharing"",""แม่ฮ่องสอน!J363"")"),1123)</f>
        <v>1123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IFERROR(__xludf.DUMMYFUNCTION("IMPORTRANGE(""https://docs.google.com/spreadsheets/d/11923uPwbBZFjjGgGUA6NLw09EwE0CqkOc4q9oUmW1yo/edit?usp=sharing"",""แม่ฮ่องสอน!I364"")"),0)</f>
        <v>0</v>
      </c>
      <c r="J469" s="198">
        <f ca="1">IFERROR(__xludf.DUMMYFUNCTION("IMPORTRANGE(""https://docs.google.com/spreadsheets/d/11923uPwbBZFjjGgGUA6NLw09EwE0CqkOc4q9oUmW1yo/edit?usp=sharing"",""แม่ฮ่องสอน!J364"")"),66)</f>
        <v>66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IFERROR(__xludf.DUMMYFUNCTION("IMPORTRANGE(""https://docs.google.com/spreadsheets/d/11923uPwbBZFjjGgGUA6NLw09EwE0CqkOc4q9oUmW1yo/edit?usp=sharing"",""แม่ฮ่องสอน!I365"")"),0)</f>
        <v>0</v>
      </c>
      <c r="J470" s="198">
        <f ca="1">IFERROR(__xludf.DUMMYFUNCTION("IMPORTRANGE(""https://docs.google.com/spreadsheets/d/11923uPwbBZFjjGgGUA6NLw09EwE0CqkOc4q9oUmW1yo/edit?usp=sharing"",""แม่ฮ่องสอน!J365"")"),7)</f>
        <v>7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IFERROR(__xludf.DUMMYFUNCTION("IMPORTRANGE(""https://docs.google.com/spreadsheets/d/11923uPwbBZFjjGgGUA6NLw09EwE0CqkOc4q9oUmW1yo/edit?usp=sharing"",""แม่ฮ่องสอน!I366"")"),0)</f>
        <v>0</v>
      </c>
      <c r="J471" s="198">
        <f ca="1">IFERROR(__xludf.DUMMYFUNCTION("IMPORTRANGE(""https://docs.google.com/spreadsheets/d/11923uPwbBZFjjGgGUA6NLw09EwE0CqkOc4q9oUmW1yo/edit?usp=sharing"",""แม่ฮ่องสอน!J366"")"),18)</f>
        <v>18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IFERROR(__xludf.DUMMYFUNCTION("IMPORTRANGE(""https://docs.google.com/spreadsheets/d/11923uPwbBZFjjGgGUA6NLw09EwE0CqkOc4q9oUmW1yo/edit?usp=sharing"",""แม่ฮ่องสอน!I367"")"),0)</f>
        <v>0</v>
      </c>
      <c r="J472" s="198">
        <f ca="1">IFERROR(__xludf.DUMMYFUNCTION("IMPORTRANGE(""https://docs.google.com/spreadsheets/d/11923uPwbBZFjjGgGUA6NLw09EwE0CqkOc4q9oUmW1yo/edit?usp=sharing"",""แม่ฮ่องสอน!J367"")"),4)</f>
        <v>4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IFERROR(__xludf.DUMMYFUNCTION("IMPORTRANGE(""https://docs.google.com/spreadsheets/d/11923uPwbBZFjjGgGUA6NLw09EwE0CqkOc4q9oUmW1yo/edit?usp=sharing"",""แม่ฮ่องสอน!I368"")"),4118)</f>
        <v>4118</v>
      </c>
      <c r="J473" s="428">
        <f ca="1">IFERROR(__xludf.DUMMYFUNCTION("IMPORTRANGE(""https://docs.google.com/spreadsheets/d/11923uPwbBZFjjGgGUA6NLw09EwE0CqkOc4q9oUmW1yo/edit?usp=sharing"",""แม่ฮ่องสอน!J368"")"),4665)</f>
        <v>4665</v>
      </c>
      <c r="K473" s="211">
        <f t="shared" ca="1" si="117"/>
        <v>113.28314715881496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IFERROR(__xludf.DUMMYFUNCTION("IMPORTRANGE(""https://docs.google.com/spreadsheets/d/11923uPwbBZFjjGgGUA6NLw09EwE0CqkOc4q9oUmW1yo/edit?usp=sharing"",""แม่ฮ่องสอน!I369"")"),1134)</f>
        <v>1134</v>
      </c>
      <c r="J474" s="428">
        <f ca="1">IFERROR(__xludf.DUMMYFUNCTION("IMPORTRANGE(""https://docs.google.com/spreadsheets/d/11923uPwbBZFjjGgGUA6NLw09EwE0CqkOc4q9oUmW1yo/edit?usp=sharing"",""แม่ฮ่องสอน!J369"")"),1134)</f>
        <v>1134</v>
      </c>
      <c r="K474" s="171">
        <f t="shared" ca="1" si="117"/>
        <v>100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IFERROR(__xludf.DUMMYFUNCTION("IMPORTRANGE(""https://docs.google.com/spreadsheets/d/11923uPwbBZFjjGgGUA6NLw09EwE0CqkOc4q9oUmW1yo/edit?usp=sharing"",""แม่ฮ่องสอน!I370"")"),0)</f>
        <v>0</v>
      </c>
      <c r="J475" s="198">
        <f ca="1">IFERROR(__xludf.DUMMYFUNCTION("IMPORTRANGE(""https://docs.google.com/spreadsheets/d/11923uPwbBZFjjGgGUA6NLw09EwE0CqkOc4q9oUmW1yo/edit?usp=sharing"",""แม่ฮ่องสอน!J370"")"),4634)</f>
        <v>4634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IFERROR(__xludf.DUMMYFUNCTION("IMPORTRANGE(""https://docs.google.com/spreadsheets/d/11923uPwbBZFjjGgGUA6NLw09EwE0CqkOc4q9oUmW1yo/edit?usp=sharing"",""แม่ฮ่องสอน!I371"")"),0)</f>
        <v>0</v>
      </c>
      <c r="J476" s="198">
        <f ca="1">IFERROR(__xludf.DUMMYFUNCTION("IMPORTRANGE(""https://docs.google.com/spreadsheets/d/11923uPwbBZFjjGgGUA6NLw09EwE0CqkOc4q9oUmW1yo/edit?usp=sharing"",""แม่ฮ่องสอน!J371"")"),1122)</f>
        <v>1122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IFERROR(__xludf.DUMMYFUNCTION("IMPORTRANGE(""https://docs.google.com/spreadsheets/d/11923uPwbBZFjjGgGUA6NLw09EwE0CqkOc4q9oUmW1yo/edit?usp=sharing"",""แม่ฮ่องสอน!I372"")"),0)</f>
        <v>0</v>
      </c>
      <c r="J477" s="198">
        <f ca="1">IFERROR(__xludf.DUMMYFUNCTION("IMPORTRANGE(""https://docs.google.com/spreadsheets/d/11923uPwbBZFjjGgGUA6NLw09EwE0CqkOc4q9oUmW1yo/edit?usp=sharing"",""แม่ฮ่องสอน!J372"")"),13)</f>
        <v>13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IFERROR(__xludf.DUMMYFUNCTION("IMPORTRANGE(""https://docs.google.com/spreadsheets/d/11923uPwbBZFjjGgGUA6NLw09EwE0CqkOc4q9oUmW1yo/edit?usp=sharing"",""แม่ฮ่องสอน!I373"")"),0)</f>
        <v>0</v>
      </c>
      <c r="J478" s="198">
        <f ca="1">IFERROR(__xludf.DUMMYFUNCTION("IMPORTRANGE(""https://docs.google.com/spreadsheets/d/11923uPwbBZFjjGgGUA6NLw09EwE0CqkOc4q9oUmW1yo/edit?usp=sharing"",""แม่ฮ่องสอน!J373"")"),8)</f>
        <v>8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IFERROR(__xludf.DUMMYFUNCTION("IMPORTRANGE(""https://docs.google.com/spreadsheets/d/11923uPwbBZFjjGgGUA6NLw09EwE0CqkOc4q9oUmW1yo/edit?usp=sharing"",""แม่ฮ่องสอน!I374"")"),0)</f>
        <v>0</v>
      </c>
      <c r="J479" s="198">
        <f ca="1">IFERROR(__xludf.DUMMYFUNCTION("IMPORTRANGE(""https://docs.google.com/spreadsheets/d/11923uPwbBZFjjGgGUA6NLw09EwE0CqkOc4q9oUmW1yo/edit?usp=sharing"",""แม่ฮ่องสอน!J374"")"),18)</f>
        <v>18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IFERROR(__xludf.DUMMYFUNCTION("IMPORTRANGE(""https://docs.google.com/spreadsheets/d/11923uPwbBZFjjGgGUA6NLw09EwE0CqkOc4q9oUmW1yo/edit?usp=sharing"",""แม่ฮ่องสอน!I375"")"),0)</f>
        <v>0</v>
      </c>
      <c r="J480" s="198">
        <f ca="1">IFERROR(__xludf.DUMMYFUNCTION("IMPORTRANGE(""https://docs.google.com/spreadsheets/d/11923uPwbBZFjjGgGUA6NLw09EwE0CqkOc4q9oUmW1yo/edit?usp=sharing"",""แม่ฮ่องสอน!J375"")"),4)</f>
        <v>4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IFERROR(__xludf.DUMMYFUNCTION("IMPORTRANGE(""https://docs.google.com/spreadsheets/d/11923uPwbBZFjjGgGUA6NLw09EwE0CqkOc4q9oUmW1yo/edit?usp=sharing"",""แม่ฮ่องสอน!I376"")"),4118)</f>
        <v>4118</v>
      </c>
      <c r="J481" s="428">
        <f ca="1">IFERROR(__xludf.DUMMYFUNCTION("IMPORTRANGE(""https://docs.google.com/spreadsheets/d/11923uPwbBZFjjGgGUA6NLw09EwE0CqkOc4q9oUmW1yo/edit?usp=sharing"",""แม่ฮ่องสอน!J376"")"),4665)</f>
        <v>4665</v>
      </c>
      <c r="K481" s="211">
        <f t="shared" ca="1" si="117"/>
        <v>113.28314715881496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IFERROR(__xludf.DUMMYFUNCTION("IMPORTRANGE(""https://docs.google.com/spreadsheets/d/11923uPwbBZFjjGgGUA6NLw09EwE0CqkOc4q9oUmW1yo/edit?usp=sharing"",""แม่ฮ่องสอน!I377"")"),1134)</f>
        <v>1134</v>
      </c>
      <c r="J482" s="428">
        <f ca="1">IFERROR(__xludf.DUMMYFUNCTION("IMPORTRANGE(""https://docs.google.com/spreadsheets/d/11923uPwbBZFjjGgGUA6NLw09EwE0CqkOc4q9oUmW1yo/edit?usp=sharing"",""แม่ฮ่องสอน!J377"")"),1134)</f>
        <v>1134</v>
      </c>
      <c r="K482" s="171">
        <f t="shared" ca="1" si="117"/>
        <v>100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IFERROR(__xludf.DUMMYFUNCTION("IMPORTRANGE(""https://docs.google.com/spreadsheets/d/11923uPwbBZFjjGgGUA6NLw09EwE0CqkOc4q9oUmW1yo/edit?usp=sharing"",""แม่ฮ่องสอน!I378"")"),0)</f>
        <v>0</v>
      </c>
      <c r="J483" s="198">
        <f ca="1">IFERROR(__xludf.DUMMYFUNCTION("IMPORTRANGE(""https://docs.google.com/spreadsheets/d/11923uPwbBZFjjGgGUA6NLw09EwE0CqkOc4q9oUmW1yo/edit?usp=sharing"",""แม่ฮ่องสอน!J378"")"),4634)</f>
        <v>4634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IFERROR(__xludf.DUMMYFUNCTION("IMPORTRANGE(""https://docs.google.com/spreadsheets/d/11923uPwbBZFjjGgGUA6NLw09EwE0CqkOc4q9oUmW1yo/edit?usp=sharing"",""แม่ฮ่องสอน!I379"")"),0)</f>
        <v>0</v>
      </c>
      <c r="J484" s="198">
        <f ca="1">IFERROR(__xludf.DUMMYFUNCTION("IMPORTRANGE(""https://docs.google.com/spreadsheets/d/11923uPwbBZFjjGgGUA6NLw09EwE0CqkOc4q9oUmW1yo/edit?usp=sharing"",""แม่ฮ่องสอน!J379"")"),1122)</f>
        <v>1122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IFERROR(__xludf.DUMMYFUNCTION("IMPORTRANGE(""https://docs.google.com/spreadsheets/d/11923uPwbBZFjjGgGUA6NLw09EwE0CqkOc4q9oUmW1yo/edit?usp=sharing"",""แม่ฮ่องสอน!I380"")"),0)</f>
        <v>0</v>
      </c>
      <c r="J485" s="198">
        <f ca="1">IFERROR(__xludf.DUMMYFUNCTION("IMPORTRANGE(""https://docs.google.com/spreadsheets/d/11923uPwbBZFjjGgGUA6NLw09EwE0CqkOc4q9oUmW1yo/edit?usp=sharing"",""แม่ฮ่องสอน!J380"")"),13)</f>
        <v>13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IFERROR(__xludf.DUMMYFUNCTION("IMPORTRANGE(""https://docs.google.com/spreadsheets/d/11923uPwbBZFjjGgGUA6NLw09EwE0CqkOc4q9oUmW1yo/edit?usp=sharing"",""แม่ฮ่องสอน!I381"")"),0)</f>
        <v>0</v>
      </c>
      <c r="J486" s="198">
        <f ca="1">IFERROR(__xludf.DUMMYFUNCTION("IMPORTRANGE(""https://docs.google.com/spreadsheets/d/11923uPwbBZFjjGgGUA6NLw09EwE0CqkOc4q9oUmW1yo/edit?usp=sharing"",""แม่ฮ่องสอน!J381"")"),8)</f>
        <v>8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IFERROR(__xludf.DUMMYFUNCTION("IMPORTRANGE(""https://docs.google.com/spreadsheets/d/11923uPwbBZFjjGgGUA6NLw09EwE0CqkOc4q9oUmW1yo/edit?usp=sharing"",""แม่ฮ่องสอน!I382"")"),0)</f>
        <v>0</v>
      </c>
      <c r="J487" s="428">
        <f ca="1">IFERROR(__xludf.DUMMYFUNCTION("IMPORTRANGE(""https://docs.google.com/spreadsheets/d/11923uPwbBZFjjGgGUA6NLw09EwE0CqkOc4q9oUmW1yo/edit?usp=sharing"",""แม่ฮ่องสอน!J382"")"),18)</f>
        <v>18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IFERROR(__xludf.DUMMYFUNCTION("IMPORTRANGE(""https://docs.google.com/spreadsheets/d/11923uPwbBZFjjGgGUA6NLw09EwE0CqkOc4q9oUmW1yo/edit?usp=sharing"",""แม่ฮ่องสอน!I383"")"),0)</f>
        <v>0</v>
      </c>
      <c r="J488" s="428">
        <f ca="1">IFERROR(__xludf.DUMMYFUNCTION("IMPORTRANGE(""https://docs.google.com/spreadsheets/d/11923uPwbBZFjjGgGUA6NLw09EwE0CqkOc4q9oUmW1yo/edit?usp=sharing"",""แม่ฮ่องสอน!J383"")"),4)</f>
        <v>4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IFERROR(__xludf.DUMMYFUNCTION("IMPORTRANGE(""https://docs.google.com/spreadsheets/d/11923uPwbBZFjjGgGUA6NLw09EwE0CqkOc4q9oUmW1yo/edit?usp=sharing"",""แม่ฮ่องสอน!I384"")"),0)</f>
        <v>0</v>
      </c>
      <c r="J489" s="198">
        <f ca="1">IFERROR(__xludf.DUMMYFUNCTION("IMPORTRANGE(""https://docs.google.com/spreadsheets/d/11923uPwbBZFjjGgGUA6NLw09EwE0CqkOc4q9oUmW1yo/edit?usp=sharing"",""แม่ฮ่องสอน!J384"")"),18)</f>
        <v>18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IFERROR(__xludf.DUMMYFUNCTION("IMPORTRANGE(""https://docs.google.com/spreadsheets/d/11923uPwbBZFjjGgGUA6NLw09EwE0CqkOc4q9oUmW1yo/edit?usp=sharing"",""แม่ฮ่องสอน!I385"")"),0)</f>
        <v>0</v>
      </c>
      <c r="J490" s="198">
        <f ca="1">IFERROR(__xludf.DUMMYFUNCTION("IMPORTRANGE(""https://docs.google.com/spreadsheets/d/11923uPwbBZFjjGgGUA6NLw09EwE0CqkOc4q9oUmW1yo/edit?usp=sharing"",""แม่ฮ่องสอน!J385"")"),4)</f>
        <v>4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IFERROR(__xludf.DUMMYFUNCTION("IMPORTRANGE(""https://docs.google.com/spreadsheets/d/11923uPwbBZFjjGgGUA6NLw09EwE0CqkOc4q9oUmW1yo/edit?usp=sharing"",""แม่ฮ่องสอน!I386"")"),0)</f>
        <v>0</v>
      </c>
      <c r="J491" s="198">
        <f ca="1">IFERROR(__xludf.DUMMYFUNCTION("IMPORTRANGE(""https://docs.google.com/spreadsheets/d/11923uPwbBZFjjGgGUA6NLw09EwE0CqkOc4q9oUmW1yo/edit?usp=sharing"",""แม่ฮ่องสอน!J386"")"),0)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IFERROR(__xludf.DUMMYFUNCTION("IMPORTRANGE(""https://docs.google.com/spreadsheets/d/11923uPwbBZFjjGgGUA6NLw09EwE0CqkOc4q9oUmW1yo/edit?usp=sharing"",""แม่ฮ่องสอน!I387"")"),0)</f>
        <v>0</v>
      </c>
      <c r="J492" s="198">
        <f ca="1">IFERROR(__xludf.DUMMYFUNCTION("IMPORTRANGE(""https://docs.google.com/spreadsheets/d/11923uPwbBZFjjGgGUA6NLw09EwE0CqkOc4q9oUmW1yo/edit?usp=sharing"",""แม่ฮ่องสอน!J387"")"),0)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IFERROR(__xludf.DUMMYFUNCTION("IMPORTRANGE(""https://docs.google.com/spreadsheets/d/11923uPwbBZFjjGgGUA6NLw09EwE0CqkOc4q9oUmW1yo/edit?usp=sharing"",""แม่ฮ่องสอน!I388"")"),0)</f>
        <v>0</v>
      </c>
      <c r="J493" s="198">
        <f ca="1">IFERROR(__xludf.DUMMYFUNCTION("IMPORTRANGE(""https://docs.google.com/spreadsheets/d/11923uPwbBZFjjGgGUA6NLw09EwE0CqkOc4q9oUmW1yo/edit?usp=sharing"",""แม่ฮ่องสอน!J388"")"),0)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IFERROR(__xludf.DUMMYFUNCTION("IMPORTRANGE(""https://docs.google.com/spreadsheets/d/11923uPwbBZFjjGgGUA6NLw09EwE0CqkOc4q9oUmW1yo/edit?usp=sharing"",""แม่ฮ่องสอน!I389"")"),0)</f>
        <v>0</v>
      </c>
      <c r="J494" s="444">
        <f ca="1">IFERROR(__xludf.DUMMYFUNCTION("IMPORTRANGE(""https://docs.google.com/spreadsheets/d/11923uPwbBZFjjGgGUA6NLw09EwE0CqkOc4q9oUmW1yo/edit?usp=sharing"",""แม่ฮ่องสอน!J389"")"),0)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IFERROR(__xludf.DUMMYFUNCTION("IMPORTRANGE(""https://docs.google.com/spreadsheets/d/11923uPwbBZFjjGgGUA6NLw09EwE0CqkOc4q9oUmW1yo/edit?usp=sharing"",""แม่ฮ่องสอน!I390"")"),0)</f>
        <v>0</v>
      </c>
      <c r="J495" s="444">
        <f ca="1">IFERROR(__xludf.DUMMYFUNCTION("IMPORTRANGE(""https://docs.google.com/spreadsheets/d/11923uPwbBZFjjGgGUA6NLw09EwE0CqkOc4q9oUmW1yo/edit?usp=sharing"",""แม่ฮ่องสอน!J390"")"),0)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IFERROR(__xludf.DUMMYFUNCTION("IMPORTRANGE(""https://docs.google.com/spreadsheets/d/11923uPwbBZFjjGgGUA6NLw09EwE0CqkOc4q9oUmW1yo/edit?usp=sharing"",""แม่ฮ่องสอน!I391"")"),0)</f>
        <v>0</v>
      </c>
      <c r="J496" s="444">
        <f ca="1">IFERROR(__xludf.DUMMYFUNCTION("IMPORTRANGE(""https://docs.google.com/spreadsheets/d/11923uPwbBZFjjGgGUA6NLw09EwE0CqkOc4q9oUmW1yo/edit?usp=sharing"",""แม่ฮ่องสอน!J391"")"),0)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IFERROR(__xludf.DUMMYFUNCTION("IMPORTRANGE(""https://docs.google.com/spreadsheets/d/11923uPwbBZFjjGgGUA6NLw09EwE0CqkOc4q9oUmW1yo/edit?usp=sharing"",""แม่ฮ่องสอน!I392"")"),21)</f>
        <v>21</v>
      </c>
      <c r="J497" s="451">
        <f ca="1">IFERROR(__xludf.DUMMYFUNCTION("IMPORTRANGE(""https://docs.google.com/spreadsheets/d/11923uPwbBZFjjGgGUA6NLw09EwE0CqkOc4q9oUmW1yo/edit?usp=sharing"",""แม่ฮ่องสอน!J392"")"),8.65)</f>
        <v>8.65</v>
      </c>
      <c r="K497" s="452">
        <f t="shared" ca="1" si="117"/>
        <v>41.19047619047619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IFERROR(__xludf.DUMMYFUNCTION("IMPORTRANGE(""https://docs.google.com/spreadsheets/d/11923uPwbBZFjjGgGUA6NLw09EwE0CqkOc4q9oUmW1yo/edit?usp=sharing"",""แม่ฮ่องสอน!I393"")"),21)</f>
        <v>21</v>
      </c>
      <c r="J498" s="428">
        <f ca="1">IFERROR(__xludf.DUMMYFUNCTION("IMPORTRANGE(""https://docs.google.com/spreadsheets/d/11923uPwbBZFjjGgGUA6NLw09EwE0CqkOc4q9oUmW1yo/edit?usp=sharing"",""แม่ฮ่องสอน!J393"")"),8.65)</f>
        <v>8.65</v>
      </c>
      <c r="K498" s="171">
        <f t="shared" ca="1" si="117"/>
        <v>41.19047619047619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IFERROR(__xludf.DUMMYFUNCTION("IMPORTRANGE(""https://docs.google.com/spreadsheets/d/11923uPwbBZFjjGgGUA6NLw09EwE0CqkOc4q9oUmW1yo/edit?usp=sharing"",""แม่ฮ่องสอน!I394"")"),7)</f>
        <v>7</v>
      </c>
      <c r="J499" s="428">
        <f ca="1">IFERROR(__xludf.DUMMYFUNCTION("IMPORTRANGE(""https://docs.google.com/spreadsheets/d/11923uPwbBZFjjGgGUA6NLw09EwE0CqkOc4q9oUmW1yo/edit?usp=sharing"",""แม่ฮ่องสอน!J394"")"),4)</f>
        <v>4</v>
      </c>
      <c r="K499" s="211">
        <f t="shared" ca="1" si="117"/>
        <v>57.142857142857146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IFERROR(__xludf.DUMMYFUNCTION("IMPORTRANGE(""https://docs.google.com/spreadsheets/d/11923uPwbBZFjjGgGUA6NLw09EwE0CqkOc4q9oUmW1yo/edit?usp=sharing"",""แม่ฮ่องสอน!I395"")"),0)</f>
        <v>0</v>
      </c>
      <c r="J500" s="170">
        <f ca="1">IFERROR(__xludf.DUMMYFUNCTION("IMPORTRANGE(""https://docs.google.com/spreadsheets/d/11923uPwbBZFjjGgGUA6NLw09EwE0CqkOc4q9oUmW1yo/edit?usp=sharing"",""แม่ฮ่องสอน!J395"")"),3.65)</f>
        <v>3.65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IFERROR(__xludf.DUMMYFUNCTION("IMPORTRANGE(""https://docs.google.com/spreadsheets/d/11923uPwbBZFjjGgGUA6NLw09EwE0CqkOc4q9oUmW1yo/edit?usp=sharing"",""แม่ฮ่องสอน!I396"")"),0)</f>
        <v>0</v>
      </c>
      <c r="J501" s="170">
        <f ca="1">IFERROR(__xludf.DUMMYFUNCTION("IMPORTRANGE(""https://docs.google.com/spreadsheets/d/11923uPwbBZFjjGgGUA6NLw09EwE0CqkOc4q9oUmW1yo/edit?usp=sharing"",""แม่ฮ่องสอน!J396"")"),1)</f>
        <v>1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IFERROR(__xludf.DUMMYFUNCTION("IMPORTRANGE(""https://docs.google.com/spreadsheets/d/11923uPwbBZFjjGgGUA6NLw09EwE0CqkOc4q9oUmW1yo/edit?usp=sharing"",""แม่ฮ่องสอน!I397"")"),0)</f>
        <v>0</v>
      </c>
      <c r="J502" s="198">
        <f ca="1">IFERROR(__xludf.DUMMYFUNCTION("IMPORTRANGE(""https://docs.google.com/spreadsheets/d/11923uPwbBZFjjGgGUA6NLw09EwE0CqkOc4q9oUmW1yo/edit?usp=sharing"",""แม่ฮ่องสอน!J397"")"),3.65)</f>
        <v>3.65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IFERROR(__xludf.DUMMYFUNCTION("IMPORTRANGE(""https://docs.google.com/spreadsheets/d/11923uPwbBZFjjGgGUA6NLw09EwE0CqkOc4q9oUmW1yo/edit?usp=sharing"",""แม่ฮ่องสอน!I398"")"),0)</f>
        <v>0</v>
      </c>
      <c r="J503" s="207">
        <f ca="1">IFERROR(__xludf.DUMMYFUNCTION("IMPORTRANGE(""https://docs.google.com/spreadsheets/d/11923uPwbBZFjjGgGUA6NLw09EwE0CqkOc4q9oUmW1yo/edit?usp=sharing"",""แม่ฮ่องสอน!J398"")"),1)</f>
        <v>1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IFERROR(__xludf.DUMMYFUNCTION("IMPORTRANGE(""https://docs.google.com/spreadsheets/d/11923uPwbBZFjjGgGUA6NLw09EwE0CqkOc4q9oUmW1yo/edit?usp=sharing"",""แม่ฮ่องสอน!I399"")"),0)</f>
        <v>0</v>
      </c>
      <c r="J504" s="198">
        <f ca="1">IFERROR(__xludf.DUMMYFUNCTION("IMPORTRANGE(""https://docs.google.com/spreadsheets/d/11923uPwbBZFjjGgGUA6NLw09EwE0CqkOc4q9oUmW1yo/edit?usp=sharing"",""แม่ฮ่องสอน!J399"")"),0)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IFERROR(__xludf.DUMMYFUNCTION("IMPORTRANGE(""https://docs.google.com/spreadsheets/d/11923uPwbBZFjjGgGUA6NLw09EwE0CqkOc4q9oUmW1yo/edit?usp=sharing"",""แม่ฮ่องสอน!I400"")"),0)</f>
        <v>0</v>
      </c>
      <c r="J505" s="207">
        <f ca="1">IFERROR(__xludf.DUMMYFUNCTION("IMPORTRANGE(""https://docs.google.com/spreadsheets/d/11923uPwbBZFjjGgGUA6NLw09EwE0CqkOc4q9oUmW1yo/edit?usp=sharing"",""แม่ฮ่องสอน!J400"")"),0)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IFERROR(__xludf.DUMMYFUNCTION("IMPORTRANGE(""https://docs.google.com/spreadsheets/d/11923uPwbBZFjjGgGUA6NLw09EwE0CqkOc4q9oUmW1yo/edit?usp=sharing"",""แม่ฮ่องสอน!I401"")"),0)</f>
        <v>0</v>
      </c>
      <c r="J506" s="198">
        <f ca="1">IFERROR(__xludf.DUMMYFUNCTION("IMPORTRANGE(""https://docs.google.com/spreadsheets/d/11923uPwbBZFjjGgGUA6NLw09EwE0CqkOc4q9oUmW1yo/edit?usp=sharing"",""แม่ฮ่องสอน!J401"")"),0)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IFERROR(__xludf.DUMMYFUNCTION("IMPORTRANGE(""https://docs.google.com/spreadsheets/d/11923uPwbBZFjjGgGUA6NLw09EwE0CqkOc4q9oUmW1yo/edit?usp=sharing"",""แม่ฮ่องสอน!I402"")"),0)</f>
        <v>0</v>
      </c>
      <c r="J507" s="207">
        <f ca="1">IFERROR(__xludf.DUMMYFUNCTION("IMPORTRANGE(""https://docs.google.com/spreadsheets/d/11923uPwbBZFjjGgGUA6NLw09EwE0CqkOc4q9oUmW1yo/edit?usp=sharing"",""แม่ฮ่องสอน!J402"")"),0)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IFERROR(__xludf.DUMMYFUNCTION("IMPORTRANGE(""https://docs.google.com/spreadsheets/d/11923uPwbBZFjjGgGUA6NLw09EwE0CqkOc4q9oUmW1yo/edit?usp=sharing"",""แม่ฮ่องสอน!I403"")"),0)</f>
        <v>0</v>
      </c>
      <c r="J508" s="170">
        <f ca="1">IFERROR(__xludf.DUMMYFUNCTION("IMPORTRANGE(""https://docs.google.com/spreadsheets/d/11923uPwbBZFjjGgGUA6NLw09EwE0CqkOc4q9oUmW1yo/edit?usp=sharing"",""แม่ฮ่องสอน!J403"")"),5)</f>
        <v>5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IFERROR(__xludf.DUMMYFUNCTION("IMPORTRANGE(""https://docs.google.com/spreadsheets/d/11923uPwbBZFjjGgGUA6NLw09EwE0CqkOc4q9oUmW1yo/edit?usp=sharing"",""แม่ฮ่องสอน!I404"")"),0)</f>
        <v>0</v>
      </c>
      <c r="J509" s="170">
        <f ca="1">IFERROR(__xludf.DUMMYFUNCTION("IMPORTRANGE(""https://docs.google.com/spreadsheets/d/11923uPwbBZFjjGgGUA6NLw09EwE0CqkOc4q9oUmW1yo/edit?usp=sharing"",""แม่ฮ่องสอน!J404"")"),3)</f>
        <v>3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IFERROR(__xludf.DUMMYFUNCTION("IMPORTRANGE(""https://docs.google.com/spreadsheets/d/11923uPwbBZFjjGgGUA6NLw09EwE0CqkOc4q9oUmW1yo/edit?usp=sharing"",""แม่ฮ่องสอน!I405"")"),0)</f>
        <v>0</v>
      </c>
      <c r="J510" s="207">
        <f ca="1">IFERROR(__xludf.DUMMYFUNCTION("IMPORTRANGE(""https://docs.google.com/spreadsheets/d/11923uPwbBZFjjGgGUA6NLw09EwE0CqkOc4q9oUmW1yo/edit?usp=sharing"",""แม่ฮ่องสอน!J405"")"),0)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IFERROR(__xludf.DUMMYFUNCTION("IMPORTRANGE(""https://docs.google.com/spreadsheets/d/11923uPwbBZFjjGgGUA6NLw09EwE0CqkOc4q9oUmW1yo/edit?usp=sharing"",""แม่ฮ่องสอน!I406"")"),0)</f>
        <v>0</v>
      </c>
      <c r="J511" s="207">
        <f ca="1">IFERROR(__xludf.DUMMYFUNCTION("IMPORTRANGE(""https://docs.google.com/spreadsheets/d/11923uPwbBZFjjGgGUA6NLw09EwE0CqkOc4q9oUmW1yo/edit?usp=sharing"",""แม่ฮ่องสอน!J406"")"),0)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IFERROR(__xludf.DUMMYFUNCTION("IMPORTRANGE(""https://docs.google.com/spreadsheets/d/11923uPwbBZFjjGgGUA6NLw09EwE0CqkOc4q9oUmW1yo/edit?usp=sharing"",""แม่ฮ่องสอน!I407"")"),0)</f>
        <v>0</v>
      </c>
      <c r="J512" s="207">
        <f ca="1">IFERROR(__xludf.DUMMYFUNCTION("IMPORTRANGE(""https://docs.google.com/spreadsheets/d/11923uPwbBZFjjGgGUA6NLw09EwE0CqkOc4q9oUmW1yo/edit?usp=sharing"",""แม่ฮ่องสอน!J407"")"),5)</f>
        <v>5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IFERROR(__xludf.DUMMYFUNCTION("IMPORTRANGE(""https://docs.google.com/spreadsheets/d/11923uPwbBZFjjGgGUA6NLw09EwE0CqkOc4q9oUmW1yo/edit?usp=sharing"",""แม่ฮ่องสอน!I408"")"),0)</f>
        <v>0</v>
      </c>
      <c r="J513" s="207">
        <f ca="1">IFERROR(__xludf.DUMMYFUNCTION("IMPORTRANGE(""https://docs.google.com/spreadsheets/d/11923uPwbBZFjjGgGUA6NLw09EwE0CqkOc4q9oUmW1yo/edit?usp=sharing"",""แม่ฮ่องสอน!J408"")"),3)</f>
        <v>3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IFERROR(__xludf.DUMMYFUNCTION("IMPORTRANGE(""https://docs.google.com/spreadsheets/d/11923uPwbBZFjjGgGUA6NLw09EwE0CqkOc4q9oUmW1yo/edit?usp=sharing"",""แม่ฮ่องสอน!I409"")"),0)</f>
        <v>0</v>
      </c>
      <c r="J514" s="207">
        <f ca="1">IFERROR(__xludf.DUMMYFUNCTION("IMPORTRANGE(""https://docs.google.com/spreadsheets/d/11923uPwbBZFjjGgGUA6NLw09EwE0CqkOc4q9oUmW1yo/edit?usp=sharing"",""แม่ฮ่องสอน!J409"")"),0)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IFERROR(__xludf.DUMMYFUNCTION("IMPORTRANGE(""https://docs.google.com/spreadsheets/d/11923uPwbBZFjjGgGUA6NLw09EwE0CqkOc4q9oUmW1yo/edit?usp=sharing"",""แม่ฮ่องสอน!I410"")"),0)</f>
        <v>0</v>
      </c>
      <c r="J515" s="207">
        <f ca="1">IFERROR(__xludf.DUMMYFUNCTION("IMPORTRANGE(""https://docs.google.com/spreadsheets/d/11923uPwbBZFjjGgGUA6NLw09EwE0CqkOc4q9oUmW1yo/edit?usp=sharing"",""แม่ฮ่องสอน!J410"")"),0)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IFERROR(__xludf.DUMMYFUNCTION("IMPORTRANGE(""https://docs.google.com/spreadsheets/d/11923uPwbBZFjjGgGUA6NLw09EwE0CqkOc4q9oUmW1yo/edit?usp=sharing"",""แม่ฮ่องสอน!I411"")"),0)</f>
        <v>0</v>
      </c>
      <c r="J516" s="276">
        <f ca="1">IFERROR(__xludf.DUMMYFUNCTION("IMPORTRANGE(""https://docs.google.com/spreadsheets/d/11923uPwbBZFjjGgGUA6NLw09EwE0CqkOc4q9oUmW1yo/edit?usp=sharing"",""แม่ฮ่องสอน!J411"")"),0)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IFERROR(__xludf.DUMMYFUNCTION("IMPORTRANGE(""https://docs.google.com/spreadsheets/d/11923uPwbBZFjjGgGUA6NLw09EwE0CqkOc4q9oUmW1yo/edit?usp=sharing"",""แม่ฮ่องสอน!I412"")"),0)</f>
        <v>0</v>
      </c>
      <c r="J517" s="292">
        <f ca="1">IFERROR(__xludf.DUMMYFUNCTION("IMPORTRANGE(""https://docs.google.com/spreadsheets/d/11923uPwbBZFjjGgGUA6NLw09EwE0CqkOc4q9oUmW1yo/edit?usp=sharing"",""แม่ฮ่องสอน!J412"")"),0)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IFERROR(__xludf.DUMMYFUNCTION("IMPORTRANGE(""https://docs.google.com/spreadsheets/d/11923uPwbBZFjjGgGUA6NLw09EwE0CqkOc4q9oUmW1yo/edit?usp=sharing"",""แม่ฮ่องสอน!I413"")"),0)</f>
        <v>0</v>
      </c>
      <c r="J518" s="292">
        <f ca="1">IFERROR(__xludf.DUMMYFUNCTION("IMPORTRANGE(""https://docs.google.com/spreadsheets/d/11923uPwbBZFjjGgGUA6NLw09EwE0CqkOc4q9oUmW1yo/edit?usp=sharing"",""แม่ฮ่องสอน!J413"")"),0)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IFERROR(__xludf.DUMMYFUNCTION("IMPORTRANGE(""https://docs.google.com/spreadsheets/d/11923uPwbBZFjjGgGUA6NLw09EwE0CqkOc4q9oUmW1yo/edit?usp=sharing"",""แม่ฮ่องสอน!I414"")"),0)</f>
        <v>0</v>
      </c>
      <c r="J519" s="197">
        <f ca="1">IFERROR(__xludf.DUMMYFUNCTION("IMPORTRANGE(""https://docs.google.com/spreadsheets/d/11923uPwbBZFjjGgGUA6NLw09EwE0CqkOc4q9oUmW1yo/edit?usp=sharing"",""แม่ฮ่องสอน!J414"")"),0)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IFERROR(__xludf.DUMMYFUNCTION("IMPORTRANGE(""https://docs.google.com/spreadsheets/d/11923uPwbBZFjjGgGUA6NLw09EwE0CqkOc4q9oUmW1yo/edit?usp=sharing"",""แม่ฮ่องสอน!I415"")"),0)</f>
        <v>0</v>
      </c>
      <c r="J520" s="197">
        <f ca="1">IFERROR(__xludf.DUMMYFUNCTION("IMPORTRANGE(""https://docs.google.com/spreadsheets/d/11923uPwbBZFjjGgGUA6NLw09EwE0CqkOc4q9oUmW1yo/edit?usp=sharing"",""แม่ฮ่องสอน!J415"")"),0)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IFERROR(__xludf.DUMMYFUNCTION("IMPORTRANGE(""https://docs.google.com/spreadsheets/d/11923uPwbBZFjjGgGUA6NLw09EwE0CqkOc4q9oUmW1yo/edit?usp=sharing"",""แม่ฮ่องสอน!I416"")"),0)</f>
        <v>0</v>
      </c>
      <c r="J521" s="197">
        <f ca="1">IFERROR(__xludf.DUMMYFUNCTION("IMPORTRANGE(""https://docs.google.com/spreadsheets/d/11923uPwbBZFjjGgGUA6NLw09EwE0CqkOc4q9oUmW1yo/edit?usp=sharing"",""แม่ฮ่องสอน!J416"")"),0)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IFERROR(__xludf.DUMMYFUNCTION("IMPORTRANGE(""https://docs.google.com/spreadsheets/d/11923uPwbBZFjjGgGUA6NLw09EwE0CqkOc4q9oUmW1yo/edit?usp=sharing"",""แม่ฮ่องสอน!I417"")"),0)</f>
        <v>0</v>
      </c>
      <c r="J522" s="197">
        <f ca="1">IFERROR(__xludf.DUMMYFUNCTION("IMPORTRANGE(""https://docs.google.com/spreadsheets/d/11923uPwbBZFjjGgGUA6NLw09EwE0CqkOc4q9oUmW1yo/edit?usp=sharing"",""แม่ฮ่องสอน!J417"")"),0)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IFERROR(__xludf.DUMMYFUNCTION("IMPORTRANGE(""https://docs.google.com/spreadsheets/d/11923uPwbBZFjjGgGUA6NLw09EwE0CqkOc4q9oUmW1yo/edit?usp=sharing"",""แม่ฮ่องสอน!I418"")"),0)</f>
        <v>0</v>
      </c>
      <c r="J523" s="197">
        <f ca="1">IFERROR(__xludf.DUMMYFUNCTION("IMPORTRANGE(""https://docs.google.com/spreadsheets/d/11923uPwbBZFjjGgGUA6NLw09EwE0CqkOc4q9oUmW1yo/edit?usp=sharing"",""แม่ฮ่องสอน!J418"")"),0)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IFERROR(__xludf.DUMMYFUNCTION("IMPORTRANGE(""https://docs.google.com/spreadsheets/d/11923uPwbBZFjjGgGUA6NLw09EwE0CqkOc4q9oUmW1yo/edit?usp=sharing"",""แม่ฮ่องสอน!I419"")"),0)</f>
        <v>0</v>
      </c>
      <c r="J524" s="197">
        <f ca="1">IFERROR(__xludf.DUMMYFUNCTION("IMPORTRANGE(""https://docs.google.com/spreadsheets/d/11923uPwbBZFjjGgGUA6NLw09EwE0CqkOc4q9oUmW1yo/edit?usp=sharing"",""แม่ฮ่องสอน!J419"")"),0)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IFERROR(__xludf.DUMMYFUNCTION("IMPORTRANGE(""https://docs.google.com/spreadsheets/d/11923uPwbBZFjjGgGUA6NLw09EwE0CqkOc4q9oUmW1yo/edit?usp=sharing"",""แม่ฮ่องสอน!I420"")"),0)</f>
        <v>0</v>
      </c>
      <c r="J525" s="292">
        <f ca="1">IFERROR(__xludf.DUMMYFUNCTION("IMPORTRANGE(""https://docs.google.com/spreadsheets/d/11923uPwbBZFjjGgGUA6NLw09EwE0CqkOc4q9oUmW1yo/edit?usp=sharing"",""แม่ฮ่องสอน!J420"")"),0)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IFERROR(__xludf.DUMMYFUNCTION("IMPORTRANGE(""https://docs.google.com/spreadsheets/d/11923uPwbBZFjjGgGUA6NLw09EwE0CqkOc4q9oUmW1yo/edit?usp=sharing"",""แม่ฮ่องสอน!I421"")"),0)</f>
        <v>0</v>
      </c>
      <c r="J526" s="292">
        <f ca="1">IFERROR(__xludf.DUMMYFUNCTION("IMPORTRANGE(""https://docs.google.com/spreadsheets/d/11923uPwbBZFjjGgGUA6NLw09EwE0CqkOc4q9oUmW1yo/edit?usp=sharing"",""แม่ฮ่องสอน!J421"")"),0)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IFERROR(__xludf.DUMMYFUNCTION("IMPORTRANGE(""https://docs.google.com/spreadsheets/d/11923uPwbBZFjjGgGUA6NLw09EwE0CqkOc4q9oUmW1yo/edit?usp=sharing"",""แม่ฮ่องสอน!I422"")"),0)</f>
        <v>0</v>
      </c>
      <c r="J527" s="207">
        <f ca="1">IFERROR(__xludf.DUMMYFUNCTION("IMPORTRANGE(""https://docs.google.com/spreadsheets/d/11923uPwbBZFjjGgGUA6NLw09EwE0CqkOc4q9oUmW1yo/edit?usp=sharing"",""แม่ฮ่องสอน!J422"")"),0)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IFERROR(__xludf.DUMMYFUNCTION("IMPORTRANGE(""https://docs.google.com/spreadsheets/d/11923uPwbBZFjjGgGUA6NLw09EwE0CqkOc4q9oUmW1yo/edit?usp=sharing"",""แม่ฮ่องสอน!I423"")"),0)</f>
        <v>0</v>
      </c>
      <c r="J528" s="207">
        <f ca="1">IFERROR(__xludf.DUMMYFUNCTION("IMPORTRANGE(""https://docs.google.com/spreadsheets/d/11923uPwbBZFjjGgGUA6NLw09EwE0CqkOc4q9oUmW1yo/edit?usp=sharing"",""แม่ฮ่องสอน!J423"")"),0)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IFERROR(__xludf.DUMMYFUNCTION("IMPORTRANGE(""https://docs.google.com/spreadsheets/d/11923uPwbBZFjjGgGUA6NLw09EwE0CqkOc4q9oUmW1yo/edit?usp=sharing"",""แม่ฮ่องสอน!I424"")"),0)</f>
        <v>0</v>
      </c>
      <c r="J529" s="207">
        <f ca="1">IFERROR(__xludf.DUMMYFUNCTION("IMPORTRANGE(""https://docs.google.com/spreadsheets/d/11923uPwbBZFjjGgGUA6NLw09EwE0CqkOc4q9oUmW1yo/edit?usp=sharing"",""แม่ฮ่องสอน!J424"")"),0)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IFERROR(__xludf.DUMMYFUNCTION("IMPORTRANGE(""https://docs.google.com/spreadsheets/d/11923uPwbBZFjjGgGUA6NLw09EwE0CqkOc4q9oUmW1yo/edit?usp=sharing"",""แม่ฮ่องสอน!I425"")"),0)</f>
        <v>0</v>
      </c>
      <c r="J530" s="207">
        <f ca="1">IFERROR(__xludf.DUMMYFUNCTION("IMPORTRANGE(""https://docs.google.com/spreadsheets/d/11923uPwbBZFjjGgGUA6NLw09EwE0CqkOc4q9oUmW1yo/edit?usp=sharing"",""แม่ฮ่องสอน!J425"")"),0)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IFERROR(__xludf.DUMMYFUNCTION("IMPORTRANGE(""https://docs.google.com/spreadsheets/d/11923uPwbBZFjjGgGUA6NLw09EwE0CqkOc4q9oUmW1yo/edit?usp=sharing"",""แม่ฮ่องสอน!I426"")"),0)</f>
        <v>0</v>
      </c>
      <c r="J531" s="207">
        <f ca="1">IFERROR(__xludf.DUMMYFUNCTION("IMPORTRANGE(""https://docs.google.com/spreadsheets/d/11923uPwbBZFjjGgGUA6NLw09EwE0CqkOc4q9oUmW1yo/edit?usp=sharing"",""แม่ฮ่องสอน!J426"")"),0)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IFERROR(__xludf.DUMMYFUNCTION("IMPORTRANGE(""https://docs.google.com/spreadsheets/d/11923uPwbBZFjjGgGUA6NLw09EwE0CqkOc4q9oUmW1yo/edit?usp=sharing"",""แม่ฮ่องสอน!I427"")"),0)</f>
        <v>0</v>
      </c>
      <c r="J532" s="474">
        <f ca="1">IFERROR(__xludf.DUMMYFUNCTION("IMPORTRANGE(""https://docs.google.com/spreadsheets/d/11923uPwbBZFjjGgGUA6NLw09EwE0CqkOc4q9oUmW1yo/edit?usp=sharing"",""แม่ฮ่องสอน!J427"")"),0)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IFERROR(__xludf.DUMMYFUNCTION("IMPORTRANGE(""https://docs.google.com/spreadsheets/d/11923uPwbBZFjjGgGUA6NLw09EwE0CqkOc4q9oUmW1yo/edit?usp=sharing"",""แม่ฮ่องสอน!I428"")"),22)</f>
        <v>22</v>
      </c>
      <c r="J533" s="418">
        <f ca="1">IFERROR(__xludf.DUMMYFUNCTION("IMPORTRANGE(""https://docs.google.com/spreadsheets/d/11923uPwbBZFjjGgGUA6NLw09EwE0CqkOc4q9oUmW1yo/edit?usp=sharing"",""แม่ฮ่องสอน!J428"")"),22)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IFERROR(__xludf.DUMMYFUNCTION("IMPORTRANGE(""https://docs.google.com/spreadsheets/d/11923uPwbBZFjjGgGUA6NLw09EwE0CqkOc4q9oUmW1yo/edit?usp=sharing"",""แม่ฮ่องสอน!L428"")"),34340)</f>
        <v>34340</v>
      </c>
      <c r="M533" s="420"/>
      <c r="N533" s="420">
        <f ca="1">IFERROR(__xludf.DUMMYFUNCTION("IMPORTRANGE(""https://docs.google.com/spreadsheets/d/11923uPwbBZFjjGgGUA6NLw09EwE0CqkOc4q9oUmW1yo/edit?usp=sharing"",""แม่ฮ่องสอน!M428"")"),24237)</f>
        <v>24237</v>
      </c>
      <c r="O533" s="420">
        <f t="shared" ref="O533:O537" ca="1" si="118">+IF(L533&gt;0,N533*100/L533,0)</f>
        <v>70.579499126383226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IFERROR(__xludf.DUMMYFUNCTION("IMPORTRANGE(""https://docs.google.com/spreadsheets/d/11923uPwbBZFjjGgGUA6NLw09EwE0CqkOc4q9oUmW1yo/edit?usp=sharing"",""แม่ฮ่องสอน!L429"")"),0)</f>
        <v>0</v>
      </c>
      <c r="M534" s="172"/>
      <c r="N534" s="178">
        <f ca="1">IFERROR(__xludf.DUMMYFUNCTION("IMPORTRANGE(""https://docs.google.com/spreadsheets/d/11923uPwbBZFjjGgGUA6NLw09EwE0CqkOc4q9oUmW1yo/edit?usp=sharing"",""แม่ฮ่องสอน!M429"")"),0)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IFERROR(__xludf.DUMMYFUNCTION("IMPORTRANGE(""https://docs.google.com/spreadsheets/d/11923uPwbBZFjjGgGUA6NLw09EwE0CqkOc4q9oUmW1yo/edit?usp=sharing"",""แม่ฮ่องสอน!L430"")"),34340)</f>
        <v>34340</v>
      </c>
      <c r="M535" s="173"/>
      <c r="N535" s="178">
        <f ca="1">IFERROR(__xludf.DUMMYFUNCTION("IMPORTRANGE(""https://docs.google.com/spreadsheets/d/11923uPwbBZFjjGgGUA6NLw09EwE0CqkOc4q9oUmW1yo/edit?usp=sharing"",""แม่ฮ่องสอน!M430"")"),24237)</f>
        <v>24237</v>
      </c>
      <c r="O535" s="178">
        <f t="shared" ca="1" si="118"/>
        <v>70.579499126383226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IFERROR(__xludf.DUMMYFUNCTION("IMPORTRANGE(""https://docs.google.com/spreadsheets/d/11923uPwbBZFjjGgGUA6NLw09EwE0CqkOc4q9oUmW1yo/edit?usp=sharing"",""แม่ฮ่องสอน!L431"")"),0)</f>
        <v>0</v>
      </c>
      <c r="M536" s="178"/>
      <c r="N536" s="178">
        <f ca="1">IFERROR(__xludf.DUMMYFUNCTION("IMPORTRANGE(""https://docs.google.com/spreadsheets/d/11923uPwbBZFjjGgGUA6NLw09EwE0CqkOc4q9oUmW1yo/edit?usp=sharing"",""แม่ฮ่องสอน!M431"")"),0)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IFERROR(__xludf.DUMMYFUNCTION("IMPORTRANGE(""https://docs.google.com/spreadsheets/d/11923uPwbBZFjjGgGUA6NLw09EwE0CqkOc4q9oUmW1yo/edit?usp=sharing"",""แม่ฮ่องสอน!L432"")"),34340)</f>
        <v>34340</v>
      </c>
      <c r="M537" s="178"/>
      <c r="N537" s="178">
        <f ca="1">IFERROR(__xludf.DUMMYFUNCTION("IMPORTRANGE(""https://docs.google.com/spreadsheets/d/11923uPwbBZFjjGgGUA6NLw09EwE0CqkOc4q9oUmW1yo/edit?usp=sharing"",""แม่ฮ่องสอน!M432"")"),24237)</f>
        <v>24237</v>
      </c>
      <c r="O537" s="178">
        <f t="shared" ca="1" si="118"/>
        <v>70.579499126383226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IFERROR(__xludf.DUMMYFUNCTION("IMPORTRANGE(""https://docs.google.com/spreadsheets/d/11923uPwbBZFjjGgGUA6NLw09EwE0CqkOc4q9oUmW1yo/edit?usp=sharing"",""แม่ฮ่องสอน!M433"")"),18740)</f>
        <v>18740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IFERROR(__xludf.DUMMYFUNCTION("IMPORTRANGE(""https://docs.google.com/spreadsheets/d/11923uPwbBZFjjGgGUA6NLw09EwE0CqkOc4q9oUmW1yo/edit?usp=sharing"",""แม่ฮ่องสอน!M434"")"),0)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IFERROR(__xludf.DUMMYFUNCTION("IMPORTRANGE(""https://docs.google.com/spreadsheets/d/11923uPwbBZFjjGgGUA6NLw09EwE0CqkOc4q9oUmW1yo/edit?usp=sharing"",""แม่ฮ่องสอน!M435"")"),0)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IFERROR(__xludf.DUMMYFUNCTION("IMPORTRANGE(""https://docs.google.com/spreadsheets/d/11923uPwbBZFjjGgGUA6NLw09EwE0CqkOc4q9oUmW1yo/edit?usp=sharing"",""แม่ฮ่องสอน!M436"")"),5497)</f>
        <v>5497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IFERROR(__xludf.DUMMYFUNCTION("IMPORTRANGE(""https://docs.google.com/spreadsheets/d/11923uPwbBZFjjGgGUA6NLw09EwE0CqkOc4q9oUmW1yo/edit?usp=sharing"",""แม่ฮ่องสอน!J438"")"),0)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IFERROR(__xludf.DUMMYFUNCTION("IMPORTRANGE(""https://docs.google.com/spreadsheets/d/11923uPwbBZFjjGgGUA6NLw09EwE0CqkOc4q9oUmW1yo/edit?usp=sharing"",""แม่ฮ่องสอน!J439"")"),1)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IFERROR(__xludf.DUMMYFUNCTION("IMPORTRANGE(""https://docs.google.com/spreadsheets/d/11923uPwbBZFjjGgGUA6NLw09EwE0CqkOc4q9oUmW1yo/edit?usp=sharing"",""แม่ฮ่องสอน!J440"")"),1)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IFERROR(__xludf.DUMMYFUNCTION("IMPORTRANGE(""https://docs.google.com/spreadsheets/d/11923uPwbBZFjjGgGUA6NLw09EwE0CqkOc4q9oUmW1yo/edit?usp=sharing"",""แม่ฮ่องสอน!J441"")"),1)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IFERROR(__xludf.DUMMYFUNCTION("IMPORTRANGE(""https://docs.google.com/spreadsheets/d/11923uPwbBZFjjGgGUA6NLw09EwE0CqkOc4q9oUmW1yo/edit?usp=sharing"",""แม่ฮ่องสอน!I442"")"),22)</f>
        <v>22</v>
      </c>
      <c r="J547" s="198">
        <f ca="1">IFERROR(__xludf.DUMMYFUNCTION("IMPORTRANGE(""https://docs.google.com/spreadsheets/d/11923uPwbBZFjjGgGUA6NLw09EwE0CqkOc4q9oUmW1yo/edit?usp=sharing"",""แม่ฮ่องสอน!J442"")"),22)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IFERROR(__xludf.DUMMYFUNCTION("IMPORTRANGE(""https://docs.google.com/spreadsheets/d/11923uPwbBZFjjGgGUA6NLw09EwE0CqkOc4q9oUmW1yo/edit?usp=sharing"",""แม่ฮ่องสอน!J166"")"),0)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IFERROR(__xludf.DUMMYFUNCTION("IMPORTRANGE(""https://docs.google.com/spreadsheets/d/11923uPwbBZFjjGgGUA6NLw09EwE0CqkOc4q9oUmW1yo/edit?usp=sharing"",""แม่ฮ่องสอน!J444"")"),0)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IFERROR(__xludf.DUMMYFUNCTION("IMPORTRANGE(""https://docs.google.com/spreadsheets/d/11923uPwbBZFjjGgGUA6NLw09EwE0CqkOc4q9oUmW1yo/edit?usp=sharing"",""แม่ฮ่องสอน!J445"")"),0)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IFERROR(__xludf.DUMMYFUNCTION("IMPORTRANGE(""https://docs.google.com/spreadsheets/d/11923uPwbBZFjjGgGUA6NLw09EwE0CqkOc4q9oUmW1yo/edit?usp=sharing"",""แม่ฮ่องสอน!I446"")"),0)</f>
        <v>0</v>
      </c>
      <c r="J551" s="418">
        <f ca="1">IFERROR(__xludf.DUMMYFUNCTION("IMPORTRANGE(""https://docs.google.com/spreadsheets/d/11923uPwbBZFjjGgGUA6NLw09EwE0CqkOc4q9oUmW1yo/edit?usp=sharing"",""แม่ฮ่องสอน!J446"")"),0)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IFERROR(__xludf.DUMMYFUNCTION("IMPORTRANGE(""https://docs.google.com/spreadsheets/d/11923uPwbBZFjjGgGUA6NLw09EwE0CqkOc4q9oUmW1yo/edit?usp=sharing"",""แม่ฮ่องสอน!L446"")"),0)</f>
        <v>0</v>
      </c>
      <c r="M551" s="420"/>
      <c r="N551" s="420">
        <f ca="1">IFERROR(__xludf.DUMMYFUNCTION("IMPORTRANGE(""https://docs.google.com/spreadsheets/d/11923uPwbBZFjjGgGUA6NLw09EwE0CqkOc4q9oUmW1yo/edit?usp=sharing"",""แม่ฮ่องสอน!M446"")"),0)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IFERROR(__xludf.DUMMYFUNCTION("IMPORTRANGE(""https://docs.google.com/spreadsheets/d/11923uPwbBZFjjGgGUA6NLw09EwE0CqkOc4q9oUmW1yo/edit?usp=sharing"",""แม่ฮ่องสอน!L447"")"),0)</f>
        <v>0</v>
      </c>
      <c r="M552" s="172"/>
      <c r="N552" s="178">
        <f ca="1">IFERROR(__xludf.DUMMYFUNCTION("IMPORTRANGE(""https://docs.google.com/spreadsheets/d/11923uPwbBZFjjGgGUA6NLw09EwE0CqkOc4q9oUmW1yo/edit?usp=sharing"",""แม่ฮ่องสอน!M447"")"),0)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IFERROR(__xludf.DUMMYFUNCTION("IMPORTRANGE(""https://docs.google.com/spreadsheets/d/11923uPwbBZFjjGgGUA6NLw09EwE0CqkOc4q9oUmW1yo/edit?usp=sharing"",""แม่ฮ่องสอน!L448"")"),0)</f>
        <v>0</v>
      </c>
      <c r="M553" s="173"/>
      <c r="N553" s="178">
        <f ca="1">IFERROR(__xludf.DUMMYFUNCTION("IMPORTRANGE(""https://docs.google.com/spreadsheets/d/11923uPwbBZFjjGgGUA6NLw09EwE0CqkOc4q9oUmW1yo/edit?usp=sharing"",""แม่ฮ่องสอน!M448"")"),0)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IFERROR(__xludf.DUMMYFUNCTION("IMPORTRANGE(""https://docs.google.com/spreadsheets/d/11923uPwbBZFjjGgGUA6NLw09EwE0CqkOc4q9oUmW1yo/edit?usp=sharing"",""แม่ฮ่องสอน!L449"")"),0)</f>
        <v>0</v>
      </c>
      <c r="M554" s="178"/>
      <c r="N554" s="178">
        <f ca="1">IFERROR(__xludf.DUMMYFUNCTION("IMPORTRANGE(""https://docs.google.com/spreadsheets/d/11923uPwbBZFjjGgGUA6NLw09EwE0CqkOc4q9oUmW1yo/edit?usp=sharing"",""แม่ฮ่องสอน!M449"")"),0)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IFERROR(__xludf.DUMMYFUNCTION("IMPORTRANGE(""https://docs.google.com/spreadsheets/d/11923uPwbBZFjjGgGUA6NLw09EwE0CqkOc4q9oUmW1yo/edit?usp=sharing"",""แม่ฮ่องสอน!L450"")"),0)</f>
        <v>0</v>
      </c>
      <c r="M555" s="178"/>
      <c r="N555" s="178">
        <f ca="1">IFERROR(__xludf.DUMMYFUNCTION("IMPORTRANGE(""https://docs.google.com/spreadsheets/d/11923uPwbBZFjjGgGUA6NLw09EwE0CqkOc4q9oUmW1yo/edit?usp=sharing"",""แม่ฮ่องสอน!M450"")"),0)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IFERROR(__xludf.DUMMYFUNCTION("IMPORTRANGE(""https://docs.google.com/spreadsheets/d/11923uPwbBZFjjGgGUA6NLw09EwE0CqkOc4q9oUmW1yo/edit?usp=sharing"",""แม่ฮ่องสอน!M451"")"),0)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IFERROR(__xludf.DUMMYFUNCTION("IMPORTRANGE(""https://docs.google.com/spreadsheets/d/11923uPwbBZFjjGgGUA6NLw09EwE0CqkOc4q9oUmW1yo/edit?usp=sharing"",""แม่ฮ่องสอน!M452"")"),0)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IFERROR(__xludf.DUMMYFUNCTION("IMPORTRANGE(""https://docs.google.com/spreadsheets/d/11923uPwbBZFjjGgGUA6NLw09EwE0CqkOc4q9oUmW1yo/edit?usp=sharing"",""แม่ฮ่องสอน!M453"")"),0)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IFERROR(__xludf.DUMMYFUNCTION("IMPORTRANGE(""https://docs.google.com/spreadsheets/d/11923uPwbBZFjjGgGUA6NLw09EwE0CqkOc4q9oUmW1yo/edit?usp=sharing"",""แม่ฮ่องสอน!M454"")"),0)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IFERROR(__xludf.DUMMYFUNCTION("IMPORTRANGE(""https://docs.google.com/spreadsheets/d/11923uPwbBZFjjGgGUA6NLw09EwE0CqkOc4q9oUmW1yo/edit?usp=sharing"",""แม่ฮ่องสอน!I455"")"),0)</f>
        <v>0</v>
      </c>
      <c r="J560" s="170">
        <f ca="1">IFERROR(__xludf.DUMMYFUNCTION("IMPORTRANGE(""https://docs.google.com/spreadsheets/d/11923uPwbBZFjjGgGUA6NLw09EwE0CqkOc4q9oUmW1yo/edit?usp=sharing"",""แม่ฮ่องสอน!J455"")"),0)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IFERROR(__xludf.DUMMYFUNCTION("IMPORTRANGE(""https://docs.google.com/spreadsheets/d/11923uPwbBZFjjGgGUA6NLw09EwE0CqkOc4q9oUmW1yo/edit?usp=sharing"",""แม่ฮ่องสอน!I456"")"),0)</f>
        <v>0</v>
      </c>
      <c r="J561" s="213">
        <f ca="1">IFERROR(__xludf.DUMMYFUNCTION("IMPORTRANGE(""https://docs.google.com/spreadsheets/d/11923uPwbBZFjjGgGUA6NLw09EwE0CqkOc4q9oUmW1yo/edit?usp=sharing"",""แม่ฮ่องสอน!J456"")"),0)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IFERROR(__xludf.DUMMYFUNCTION("IMPORTRANGE(""https://docs.google.com/spreadsheets/d/11923uPwbBZFjjGgGUA6NLw09EwE0CqkOc4q9oUmW1yo/edit?usp=sharing"",""แม่ฮ่องสอน!I457"")"),"")</f>
        <v/>
      </c>
      <c r="J562" s="213" t="str">
        <f ca="1">IFERROR(__xludf.DUMMYFUNCTION("IMPORTRANGE(""https://docs.google.com/spreadsheets/d/11923uPwbBZFjjGgGUA6NLw09EwE0CqkOc4q9oUmW1yo/edit?usp=sharing"",""แม่ฮ่องสอน!J457"")"),"")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IFERROR(__xludf.DUMMYFUNCTION("IMPORTRANGE(""https://docs.google.com/spreadsheets/d/11923uPwbBZFjjGgGUA6NLw09EwE0CqkOc4q9oUmW1yo/edit?usp=sharing"",""แม่ฮ่องสอน!I458"")"),"")</f>
        <v/>
      </c>
      <c r="J563" s="197" t="str">
        <f ca="1">IFERROR(__xludf.DUMMYFUNCTION("IMPORTRANGE(""https://docs.google.com/spreadsheets/d/11923uPwbBZFjjGgGUA6NLw09EwE0CqkOc4q9oUmW1yo/edit?usp=sharing"",""แม่ฮ่องสอน!J458"")"),"")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IFERROR(__xludf.DUMMYFUNCTION("IMPORTRANGE(""https://docs.google.com/spreadsheets/d/11923uPwbBZFjjGgGUA6NLw09EwE0CqkOc4q9oUmW1yo/edit?usp=sharing"",""แม่ฮ่องสอน!I459"")"),250)</f>
        <v>250</v>
      </c>
      <c r="J564" s="379">
        <f ca="1">IFERROR(__xludf.DUMMYFUNCTION("IMPORTRANGE(""https://docs.google.com/spreadsheets/d/11923uPwbBZFjjGgGUA6NLw09EwE0CqkOc4q9oUmW1yo/edit?usp=sharing"",""แม่ฮ่องสอน!J459"")"),102)</f>
        <v>102</v>
      </c>
      <c r="K564" s="380">
        <f t="shared" ca="1" si="121"/>
        <v>40.799999999999997</v>
      </c>
      <c r="L564" s="381">
        <f ca="1">IFERROR(__xludf.DUMMYFUNCTION("IMPORTRANGE(""https://docs.google.com/spreadsheets/d/11923uPwbBZFjjGgGUA6NLw09EwE0CqkOc4q9oUmW1yo/edit?usp=sharing"",""แม่ฮ่องสอน!L459"")"),130080)</f>
        <v>130080</v>
      </c>
      <c r="M564" s="381"/>
      <c r="N564" s="381">
        <f ca="1">IFERROR(__xludf.DUMMYFUNCTION("IMPORTRANGE(""https://docs.google.com/spreadsheets/d/11923uPwbBZFjjGgGUA6NLw09EwE0CqkOc4q9oUmW1yo/edit?usp=sharing"",""แม่ฮ่องสอน!M459"")"),24480)</f>
        <v>24480</v>
      </c>
      <c r="O564" s="381">
        <f t="shared" ref="O564:O568" ca="1" si="122">+IF(L564&gt;0,N564*100/L564,0)</f>
        <v>18.819188191881917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IFERROR(__xludf.DUMMYFUNCTION("IMPORTRANGE(""https://docs.google.com/spreadsheets/d/11923uPwbBZFjjGgGUA6NLw09EwE0CqkOc4q9oUmW1yo/edit?usp=sharing"",""แม่ฮ่องสอน!L460"")"),0)</f>
        <v>0</v>
      </c>
      <c r="M565" s="172"/>
      <c r="N565" s="178">
        <f ca="1">IFERROR(__xludf.DUMMYFUNCTION("IMPORTRANGE(""https://docs.google.com/spreadsheets/d/11923uPwbBZFjjGgGUA6NLw09EwE0CqkOc4q9oUmW1yo/edit?usp=sharing"",""แม่ฮ่องสอน!M460"")"),0)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IFERROR(__xludf.DUMMYFUNCTION("IMPORTRANGE(""https://docs.google.com/spreadsheets/d/11923uPwbBZFjjGgGUA6NLw09EwE0CqkOc4q9oUmW1yo/edit?usp=sharing"",""แม่ฮ่องสอน!L461"")"),130080)</f>
        <v>130080</v>
      </c>
      <c r="M566" s="173"/>
      <c r="N566" s="178">
        <f ca="1">IFERROR(__xludf.DUMMYFUNCTION("IMPORTRANGE(""https://docs.google.com/spreadsheets/d/11923uPwbBZFjjGgGUA6NLw09EwE0CqkOc4q9oUmW1yo/edit?usp=sharing"",""แม่ฮ่องสอน!M461"")"),24480)</f>
        <v>24480</v>
      </c>
      <c r="O566" s="178">
        <f t="shared" ca="1" si="122"/>
        <v>18.819188191881917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IFERROR(__xludf.DUMMYFUNCTION("IMPORTRANGE(""https://docs.google.com/spreadsheets/d/11923uPwbBZFjjGgGUA6NLw09EwE0CqkOc4q9oUmW1yo/edit?usp=sharing"",""แม่ฮ่องสอน!L462"")"),0)</f>
        <v>0</v>
      </c>
      <c r="M567" s="178"/>
      <c r="N567" s="178">
        <f ca="1">IFERROR(__xludf.DUMMYFUNCTION("IMPORTRANGE(""https://docs.google.com/spreadsheets/d/11923uPwbBZFjjGgGUA6NLw09EwE0CqkOc4q9oUmW1yo/edit?usp=sharing"",""แม่ฮ่องสอน!M462"")"),0)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78"/>
      <c r="N568" s="178">
        <f ca="1">IFERROR(__xludf.DUMMYFUNCTION("IMPORTRANGE(""https://docs.google.com/spreadsheets/d/11923uPwbBZFjjGgGUA6NLw09EwE0CqkOc4q9oUmW1yo/edit?usp=sharing"",""แม่ฮ่องสอน!M463"")"),24480)</f>
        <v>24480</v>
      </c>
      <c r="O568" s="178">
        <f t="shared" ca="1" si="122"/>
        <v>18.819188191881917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IFERROR(__xludf.DUMMYFUNCTION("IMPORTRANGE(""https://docs.google.com/spreadsheets/d/11923uPwbBZFjjGgGUA6NLw09EwE0CqkOc4q9oUmW1yo/edit?usp=sharing"",""แม่ฮ่องสอน!M464"")"),0)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IFERROR(__xludf.DUMMYFUNCTION("IMPORTRANGE(""https://docs.google.com/spreadsheets/d/11923uPwbBZFjjGgGUA6NLw09EwE0CqkOc4q9oUmW1yo/edit?usp=sharing"",""แม่ฮ่องสอน!M465"")"),0)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IFERROR(__xludf.DUMMYFUNCTION("IMPORTRANGE(""https://docs.google.com/spreadsheets/d/11923uPwbBZFjjGgGUA6NLw09EwE0CqkOc4q9oUmW1yo/edit?usp=sharing"",""แม่ฮ่องสอน!M466"")"),22000)</f>
        <v>22000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IFERROR(__xludf.DUMMYFUNCTION("IMPORTRANGE(""https://docs.google.com/spreadsheets/d/11923uPwbBZFjjGgGUA6NLw09EwE0CqkOc4q9oUmW1yo/edit?usp=sharing"",""แม่ฮ่องสอน!M467"")"),2480)</f>
        <v>2480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IFERROR(__xludf.DUMMYFUNCTION("IMPORTRANGE(""https://docs.google.com/spreadsheets/d/11923uPwbBZFjjGgGUA6NLw09EwE0CqkOc4q9oUmW1yo/edit?usp=sharing"",""แม่ฮ่องสอน!I468"")"),250)</f>
        <v>250</v>
      </c>
      <c r="J573" s="428">
        <f ca="1">IFERROR(__xludf.DUMMYFUNCTION("IMPORTRANGE(""https://docs.google.com/spreadsheets/d/11923uPwbBZFjjGgGUA6NLw09EwE0CqkOc4q9oUmW1yo/edit?usp=sharing"",""แม่ฮ่องสอน!J468"")"),102)</f>
        <v>102</v>
      </c>
      <c r="K573" s="211">
        <f ca="1">IF(I573&gt;0,J573*100/I573,0)</f>
        <v>40.799999999999997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IFERROR(__xludf.DUMMYFUNCTION("IMPORTRANGE(""https://docs.google.com/spreadsheets/d/11923uPwbBZFjjGgGUA6NLw09EwE0CqkOc4q9oUmW1yo/edit?usp=sharing"",""แม่ฮ่องสอน!I470"")"),0)</f>
        <v>0</v>
      </c>
      <c r="J575" s="207">
        <f ca="1">IFERROR(__xludf.DUMMYFUNCTION("IMPORTRANGE(""https://docs.google.com/spreadsheets/d/11923uPwbBZFjjGgGUA6NLw09EwE0CqkOc4q9oUmW1yo/edit?usp=sharing"",""แม่ฮ่องสอน!J470"")"),4)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IFERROR(__xludf.DUMMYFUNCTION("IMPORTRANGE(""https://docs.google.com/spreadsheets/d/11923uPwbBZFjjGgGUA6NLw09EwE0CqkOc4q9oUmW1yo/edit?usp=sharing"",""แม่ฮ่องสอน!I471"")"),0)</f>
        <v>0</v>
      </c>
      <c r="J576" s="207">
        <f ca="1">IFERROR(__xludf.DUMMYFUNCTION("IMPORTRANGE(""https://docs.google.com/spreadsheets/d/11923uPwbBZFjjGgGUA6NLw09EwE0CqkOc4q9oUmW1yo/edit?usp=sharing"",""แม่ฮ่องสอน!J471"")"),76)</f>
        <v>76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IFERROR(__xludf.DUMMYFUNCTION("IMPORTRANGE(""https://docs.google.com/spreadsheets/d/11923uPwbBZFjjGgGUA6NLw09EwE0CqkOc4q9oUmW1yo/edit?usp=sharing"",""แม่ฮ่องสอน!I472"")"),0)</f>
        <v>0</v>
      </c>
      <c r="J577" s="198">
        <f ca="1">IFERROR(__xludf.DUMMYFUNCTION("IMPORTRANGE(""https://docs.google.com/spreadsheets/d/11923uPwbBZFjjGgGUA6NLw09EwE0CqkOc4q9oUmW1yo/edit?usp=sharing"",""แม่ฮ่องสอน!J472"")"),26)</f>
        <v>26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IFERROR(__xludf.DUMMYFUNCTION("IMPORTRANGE(""https://docs.google.com/spreadsheets/d/11923uPwbBZFjjGgGUA6NLw09EwE0CqkOc4q9oUmW1yo/edit?usp=sharing"",""แม่ฮ่องสอน!I473"")"),0)</f>
        <v>0</v>
      </c>
      <c r="J578" s="207">
        <f ca="1">IFERROR(__xludf.DUMMYFUNCTION("IMPORTRANGE(""https://docs.google.com/spreadsheets/d/11923uPwbBZFjjGgGUA6NLw09EwE0CqkOc4q9oUmW1yo/edit?usp=sharing"",""แม่ฮ่องสอน!J473"")"),0)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IFERROR(__xludf.DUMMYFUNCTION("IMPORTRANGE(""https://docs.google.com/spreadsheets/d/11923uPwbBZFjjGgGUA6NLw09EwE0CqkOc4q9oUmW1yo/edit?usp=sharing"",""แม่ฮ่องสอน!I474"")"),0)</f>
        <v>0</v>
      </c>
      <c r="J579" s="207">
        <f ca="1">IFERROR(__xludf.DUMMYFUNCTION("IMPORTRANGE(""https://docs.google.com/spreadsheets/d/11923uPwbBZFjjGgGUA6NLw09EwE0CqkOc4q9oUmW1yo/edit?usp=sharing"",""แม่ฮ่องสอน!J474"")"),0)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IFERROR(__xludf.DUMMYFUNCTION("IMPORTRANGE(""https://docs.google.com/spreadsheets/d/11923uPwbBZFjjGgGUA6NLw09EwE0CqkOc4q9oUmW1yo/edit?usp=sharing"",""แม่ฮ่องสอน!I475"")"),34)</f>
        <v>34</v>
      </c>
      <c r="J580" s="379">
        <f ca="1">IFERROR(__xludf.DUMMYFUNCTION("IMPORTRANGE(""https://docs.google.com/spreadsheets/d/11923uPwbBZFjjGgGUA6NLw09EwE0CqkOc4q9oUmW1yo/edit?usp=sharing"",""แม่ฮ่องสอน!J475"")"),0)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IFERROR(__xludf.DUMMYFUNCTION("IMPORTRANGE(""https://docs.google.com/spreadsheets/d/11923uPwbBZFjjGgGUA6NLw09EwE0CqkOc4q9oUmW1yo/edit?usp=sharing"",""แม่ฮ่องสอน!L475"")"),128934)</f>
        <v>128934</v>
      </c>
      <c r="M580" s="381"/>
      <c r="N580" s="381">
        <f ca="1">IFERROR(__xludf.DUMMYFUNCTION("IMPORTRANGE(""https://docs.google.com/spreadsheets/d/11923uPwbBZFjjGgGUA6NLw09EwE0CqkOc4q9oUmW1yo/edit?usp=sharing"",""แม่ฮ่องสอน!M475"")"),0)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IFERROR(__xludf.DUMMYFUNCTION("IMPORTRANGE(""https://docs.google.com/spreadsheets/d/11923uPwbBZFjjGgGUA6NLw09EwE0CqkOc4q9oUmW1yo/edit?usp=sharing"",""แม่ฮ่องสอน!L476"")"),0)</f>
        <v>0</v>
      </c>
      <c r="M581" s="172"/>
      <c r="N581" s="178">
        <f ca="1">IFERROR(__xludf.DUMMYFUNCTION("IMPORTRANGE(""https://docs.google.com/spreadsheets/d/11923uPwbBZFjjGgGUA6NLw09EwE0CqkOc4q9oUmW1yo/edit?usp=sharing"",""แม่ฮ่องสอน!M476"")"),0)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IFERROR(__xludf.DUMMYFUNCTION("IMPORTRANGE(""https://docs.google.com/spreadsheets/d/11923uPwbBZFjjGgGUA6NLw09EwE0CqkOc4q9oUmW1yo/edit?usp=sharing"",""แม่ฮ่องสอน!L477"")"),128934)</f>
        <v>128934</v>
      </c>
      <c r="M582" s="173"/>
      <c r="N582" s="178">
        <f ca="1">IFERROR(__xludf.DUMMYFUNCTION("IMPORTRANGE(""https://docs.google.com/spreadsheets/d/11923uPwbBZFjjGgGUA6NLw09EwE0CqkOc4q9oUmW1yo/edit?usp=sharing"",""แม่ฮ่องสอน!M477"")"),0)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IFERROR(__xludf.DUMMYFUNCTION("IMPORTRANGE(""https://docs.google.com/spreadsheets/d/11923uPwbBZFjjGgGUA6NLw09EwE0CqkOc4q9oUmW1yo/edit?usp=sharing"",""แม่ฮ่องสอน!L478"")"),0)</f>
        <v>0</v>
      </c>
      <c r="M583" s="178"/>
      <c r="N583" s="178">
        <f ca="1">IFERROR(__xludf.DUMMYFUNCTION("IMPORTRANGE(""https://docs.google.com/spreadsheets/d/11923uPwbBZFjjGgGUA6NLw09EwE0CqkOc4q9oUmW1yo/edit?usp=sharing"",""แม่ฮ่องสอน!M478"")"),0)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IFERROR(__xludf.DUMMYFUNCTION("IMPORTRANGE(""https://docs.google.com/spreadsheets/d/11923uPwbBZFjjGgGUA6NLw09EwE0CqkOc4q9oUmW1yo/edit?usp=sharing"",""แม่ฮ่องสอน!L479"")"),128934)</f>
        <v>128934</v>
      </c>
      <c r="M584" s="178"/>
      <c r="N584" s="178">
        <f ca="1">IFERROR(__xludf.DUMMYFUNCTION("IMPORTRANGE(""https://docs.google.com/spreadsheets/d/11923uPwbBZFjjGgGUA6NLw09EwE0CqkOc4q9oUmW1yo/edit?usp=sharing"",""แม่ฮ่องสอน!M479"")"),0)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IFERROR(__xludf.DUMMYFUNCTION("IMPORTRANGE(""https://docs.google.com/spreadsheets/d/11923uPwbBZFjjGgGUA6NLw09EwE0CqkOc4q9oUmW1yo/edit?usp=sharing"",""แม่ฮ่องสอน!M480"")"),0)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IFERROR(__xludf.DUMMYFUNCTION("IMPORTRANGE(""https://docs.google.com/spreadsheets/d/11923uPwbBZFjjGgGUA6NLw09EwE0CqkOc4q9oUmW1yo/edit?usp=sharing"",""แม่ฮ่องสอน!M481"")"),0)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IFERROR(__xludf.DUMMYFUNCTION("IMPORTRANGE(""https://docs.google.com/spreadsheets/d/11923uPwbBZFjjGgGUA6NLw09EwE0CqkOc4q9oUmW1yo/edit?usp=sharing"",""แม่ฮ่องสอน!M482"")"),0)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IFERROR(__xludf.DUMMYFUNCTION("IMPORTRANGE(""https://docs.google.com/spreadsheets/d/11923uPwbBZFjjGgGUA6NLw09EwE0CqkOc4q9oUmW1yo/edit?usp=sharing"",""แม่ฮ่องสอน!M483"")"),0)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IFERROR(__xludf.DUMMYFUNCTION("IMPORTRANGE(""https://docs.google.com/spreadsheets/d/11923uPwbBZFjjGgGUA6NLw09EwE0CqkOc4q9oUmW1yo/edit?usp=sharing"",""แม่ฮ่องสอน!I484"")"),34)</f>
        <v>34</v>
      </c>
      <c r="J589" s="197">
        <f ca="1">IFERROR(__xludf.DUMMYFUNCTION("IMPORTRANGE(""https://docs.google.com/spreadsheets/d/11923uPwbBZFjjGgGUA6NLw09EwE0CqkOc4q9oUmW1yo/edit?usp=sharing"",""แม่ฮ่องสอน!J484"")"),0)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IFERROR(__xludf.DUMMYFUNCTION("IMPORTRANGE(""https://docs.google.com/spreadsheets/d/11923uPwbBZFjjGgGUA6NLw09EwE0CqkOc4q9oUmW1yo/edit?usp=sharing"",""แม่ฮ่องสอน!I485"")"),0)</f>
        <v>0</v>
      </c>
      <c r="J590" s="197">
        <f ca="1">IFERROR(__xludf.DUMMYFUNCTION("IMPORTRANGE(""https://docs.google.com/spreadsheets/d/11923uPwbBZFjjGgGUA6NLw09EwE0CqkOc4q9oUmW1yo/edit?usp=sharing"",""แม่ฮ่องสอน!J485"")"),0)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IFERROR(__xludf.DUMMYFUNCTION("IMPORTRANGE(""https://docs.google.com/spreadsheets/d/11923uPwbBZFjjGgGUA6NLw09EwE0CqkOc4q9oUmW1yo/edit?usp=sharing"",""แม่ฮ่องสอน!I486"")"),34)</f>
        <v>34</v>
      </c>
      <c r="J591" s="197">
        <f ca="1">IFERROR(__xludf.DUMMYFUNCTION("IMPORTRANGE(""https://docs.google.com/spreadsheets/d/11923uPwbBZFjjGgGUA6NLw09EwE0CqkOc4q9oUmW1yo/edit?usp=sharing"",""แม่ฮ่องสอน!J486"")"),0)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IFERROR(__xludf.DUMMYFUNCTION("IMPORTRANGE(""https://docs.google.com/spreadsheets/d/11923uPwbBZFjjGgGUA6NLw09EwE0CqkOc4q9oUmW1yo/edit?usp=sharing"",""แม่ฮ่องสอน!I487"")"),0)</f>
        <v>0</v>
      </c>
      <c r="J592" s="197">
        <f ca="1">IFERROR(__xludf.DUMMYFUNCTION("IMPORTRANGE(""https://docs.google.com/spreadsheets/d/11923uPwbBZFjjGgGUA6NLw09EwE0CqkOc4q9oUmW1yo/edit?usp=sharing"",""แม่ฮ่องสอน!J487"")"),0)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IFERROR(__xludf.DUMMYFUNCTION("IMPORTRANGE(""https://docs.google.com/spreadsheets/d/11923uPwbBZFjjGgGUA6NLw09EwE0CqkOc4q9oUmW1yo/edit?usp=sharing"",""แม่ฮ่องสอน!I488"")"),34)</f>
        <v>34</v>
      </c>
      <c r="J593" s="197">
        <f ca="1">IFERROR(__xludf.DUMMYFUNCTION("IMPORTRANGE(""https://docs.google.com/spreadsheets/d/11923uPwbBZFjjGgGUA6NLw09EwE0CqkOc4q9oUmW1yo/edit?usp=sharing"",""แม่ฮ่องสอน!J488"")"),0)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IFERROR(__xludf.DUMMYFUNCTION("IMPORTRANGE(""https://docs.google.com/spreadsheets/d/11923uPwbBZFjjGgGUA6NLw09EwE0CqkOc4q9oUmW1yo/edit?usp=sharing"",""แม่ฮ่องสอน!I489"")"),0)</f>
        <v>0</v>
      </c>
      <c r="J594" s="197">
        <f ca="1">IFERROR(__xludf.DUMMYFUNCTION("IMPORTRANGE(""https://docs.google.com/spreadsheets/d/11923uPwbBZFjjGgGUA6NLw09EwE0CqkOc4q9oUmW1yo/edit?usp=sharing"",""แม่ฮ่องสอน!J489"")"),0)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IFERROR(__xludf.DUMMYFUNCTION("IMPORTRANGE(""https://docs.google.com/spreadsheets/d/11923uPwbBZFjjGgGUA6NLw09EwE0CqkOc4q9oUmW1yo/edit?usp=sharing"",""แม่ฮ่องสอน!I490"")"),34)</f>
        <v>34</v>
      </c>
      <c r="J595" s="197">
        <f ca="1">IFERROR(__xludf.DUMMYFUNCTION("IMPORTRANGE(""https://docs.google.com/spreadsheets/d/11923uPwbBZFjjGgGUA6NLw09EwE0CqkOc4q9oUmW1yo/edit?usp=sharing"",""แม่ฮ่องสอน!J490"")"),0)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IFERROR(__xludf.DUMMYFUNCTION("IMPORTRANGE(""https://docs.google.com/spreadsheets/d/11923uPwbBZFjjGgGUA6NLw09EwE0CqkOc4q9oUmW1yo/edit?usp=sharing"",""แม่ฮ่องสอน!I491"")"),0)</f>
        <v>0</v>
      </c>
      <c r="J596" s="250">
        <f ca="1">IFERROR(__xludf.DUMMYFUNCTION("IMPORTRANGE(""https://docs.google.com/spreadsheets/d/11923uPwbBZFjjGgGUA6NLw09EwE0CqkOc4q9oUmW1yo/edit?usp=sharing"",""แม่ฮ่องสอน!J491"")"),0)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IFERROR(__xludf.DUMMYFUNCTION("IMPORTRANGE(""https://docs.google.com/spreadsheets/d/11923uPwbBZFjjGgGUA6NLw09EwE0CqkOc4q9oUmW1yo/edit?usp=sharing"",""แม่ฮ่องสอน!I492"")"),50)</f>
        <v>50</v>
      </c>
      <c r="J597" s="495">
        <f ca="1">IFERROR(__xludf.DUMMYFUNCTION("IMPORTRANGE(""https://docs.google.com/spreadsheets/d/11923uPwbBZFjjGgGUA6NLw09EwE0CqkOc4q9oUmW1yo/edit?usp=sharing"",""แม่ฮ่องสอน!J492"")"),0)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IFERROR(__xludf.DUMMYFUNCTION("IMPORTRANGE(""https://docs.google.com/spreadsheets/d/11923uPwbBZFjjGgGUA6NLw09EwE0CqkOc4q9oUmW1yo/edit?usp=sharing"",""แม่ฮ่องสอน!L492"")"),6950)</f>
        <v>6950</v>
      </c>
      <c r="M597" s="420"/>
      <c r="N597" s="420">
        <f ca="1">IFERROR(__xludf.DUMMYFUNCTION("IMPORTRANGE(""https://docs.google.com/spreadsheets/d/11923uPwbBZFjjGgGUA6NLw09EwE0CqkOc4q9oUmW1yo/edit?usp=sharing"",""แม่ฮ่องสอน!M492"")"),2140)</f>
        <v>2140</v>
      </c>
      <c r="O597" s="420">
        <f t="shared" ref="O597:O601" ca="1" si="126">+IF(L597&gt;0,N597*100/L597,0)</f>
        <v>30.791366906474821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IFERROR(__xludf.DUMMYFUNCTION("IMPORTRANGE(""https://docs.google.com/spreadsheets/d/11923uPwbBZFjjGgGUA6NLw09EwE0CqkOc4q9oUmW1yo/edit?usp=sharing"",""แม่ฮ่องสอน!L493"")"),0)</f>
        <v>0</v>
      </c>
      <c r="M598" s="172"/>
      <c r="N598" s="178">
        <f ca="1">IFERROR(__xludf.DUMMYFUNCTION("IMPORTRANGE(""https://docs.google.com/spreadsheets/d/11923uPwbBZFjjGgGUA6NLw09EwE0CqkOc4q9oUmW1yo/edit?usp=sharing"",""แม่ฮ่องสอน!M493"")"),0)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IFERROR(__xludf.DUMMYFUNCTION("IMPORTRANGE(""https://docs.google.com/spreadsheets/d/11923uPwbBZFjjGgGUA6NLw09EwE0CqkOc4q9oUmW1yo/edit?usp=sharing"",""แม่ฮ่องสอน!L494"")"),6950)</f>
        <v>6950</v>
      </c>
      <c r="M599" s="173"/>
      <c r="N599" s="178">
        <f ca="1">IFERROR(__xludf.DUMMYFUNCTION("IMPORTRANGE(""https://docs.google.com/spreadsheets/d/11923uPwbBZFjjGgGUA6NLw09EwE0CqkOc4q9oUmW1yo/edit?usp=sharing"",""แม่ฮ่องสอน!M494"")"),2140)</f>
        <v>2140</v>
      </c>
      <c r="O599" s="178">
        <f t="shared" ca="1" si="126"/>
        <v>30.791366906474821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IFERROR(__xludf.DUMMYFUNCTION("IMPORTRANGE(""https://docs.google.com/spreadsheets/d/11923uPwbBZFjjGgGUA6NLw09EwE0CqkOc4q9oUmW1yo/edit?usp=sharing"",""แม่ฮ่องสอน!L495"")"),0)</f>
        <v>0</v>
      </c>
      <c r="M600" s="178"/>
      <c r="N600" s="178">
        <f ca="1">IFERROR(__xludf.DUMMYFUNCTION("IMPORTRANGE(""https://docs.google.com/spreadsheets/d/11923uPwbBZFjjGgGUA6NLw09EwE0CqkOc4q9oUmW1yo/edit?usp=sharing"",""แม่ฮ่องสอน!M495"")"),0)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IFERROR(__xludf.DUMMYFUNCTION("IMPORTRANGE(""https://docs.google.com/spreadsheets/d/11923uPwbBZFjjGgGUA6NLw09EwE0CqkOc4q9oUmW1yo/edit?usp=sharing"",""แม่ฮ่องสอน!L496"")"),6950)</f>
        <v>6950</v>
      </c>
      <c r="M601" s="178"/>
      <c r="N601" s="178">
        <f ca="1">IFERROR(__xludf.DUMMYFUNCTION("IMPORTRANGE(""https://docs.google.com/spreadsheets/d/11923uPwbBZFjjGgGUA6NLw09EwE0CqkOc4q9oUmW1yo/edit?usp=sharing"",""แม่ฮ่องสอน!M496"")"),2140)</f>
        <v>2140</v>
      </c>
      <c r="O601" s="178">
        <f t="shared" ca="1" si="126"/>
        <v>30.791366906474821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IFERROR(__xludf.DUMMYFUNCTION("IMPORTRANGE(""https://docs.google.com/spreadsheets/d/11923uPwbBZFjjGgGUA6NLw09EwE0CqkOc4q9oUmW1yo/edit?usp=sharing"",""แม่ฮ่องสอน!M497"")"),0)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IFERROR(__xludf.DUMMYFUNCTION("IMPORTRANGE(""https://docs.google.com/spreadsheets/d/11923uPwbBZFjjGgGUA6NLw09EwE0CqkOc4q9oUmW1yo/edit?usp=sharing"",""แม่ฮ่องสอน!M498"")"),0)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IFERROR(__xludf.DUMMYFUNCTION("IMPORTRANGE(""https://docs.google.com/spreadsheets/d/11923uPwbBZFjjGgGUA6NLw09EwE0CqkOc4q9oUmW1yo/edit?usp=sharing"",""แม่ฮ่องสอน!M499"")"),0)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IFERROR(__xludf.DUMMYFUNCTION("IMPORTRANGE(""https://docs.google.com/spreadsheets/d/11923uPwbBZFjjGgGUA6NLw09EwE0CqkOc4q9oUmW1yo/edit?usp=sharing"",""แม่ฮ่องสอน!M500"")"),2140)</f>
        <v>2140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IFERROR(__xludf.DUMMYFUNCTION("IMPORTRANGE(""https://docs.google.com/spreadsheets/d/11923uPwbBZFjjGgGUA6NLw09EwE0CqkOc4q9oUmW1yo/edit?usp=sharing"",""แม่ฮ่องสอน!J502"")"),0)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IFERROR(__xludf.DUMMYFUNCTION("IMPORTRANGE(""https://docs.google.com/spreadsheets/d/11923uPwbBZFjjGgGUA6NLw09EwE0CqkOc4q9oUmW1yo/edit?usp=sharing"",""แม่ฮ่องสอน!J503"")"),1)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IFERROR(__xludf.DUMMYFUNCTION("IMPORTRANGE(""https://docs.google.com/spreadsheets/d/11923uPwbBZFjjGgGUA6NLw09EwE0CqkOc4q9oUmW1yo/edit?usp=sharing"",""แม่ฮ่องสอน!J166"")"),0)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IFERROR(__xludf.DUMMYFUNCTION("IMPORTRANGE(""https://docs.google.com/spreadsheets/d/11923uPwbBZFjjGgGUA6NLw09EwE0CqkOc4q9oUmW1yo/edit?usp=sharing"",""แม่ฮ่องสอน!J166"")"),0)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IFERROR(__xludf.DUMMYFUNCTION("IMPORTRANGE(""https://docs.google.com/spreadsheets/d/11923uPwbBZFjjGgGUA6NLw09EwE0CqkOc4q9oUmW1yo/edit?usp=sharing"",""แม่ฮ่องสอน!I506"")"),50)</f>
        <v>50</v>
      </c>
      <c r="J611" s="170">
        <f ca="1">IFERROR(__xludf.DUMMYFUNCTION("IMPORTRANGE(""https://docs.google.com/spreadsheets/d/11923uPwbBZFjjGgGUA6NLw09EwE0CqkOc4q9oUmW1yo/edit?usp=sharing"",""แม่ฮ่องสอน!J506"")"),0)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IFERROR(__xludf.DUMMYFUNCTION("IMPORTRANGE(""https://docs.google.com/spreadsheets/d/11923uPwbBZFjjGgGUA6NLw09EwE0CqkOc4q9oUmW1yo/edit?usp=sharing"",""แม่ฮ่องสอน!I507"")"),0)</f>
        <v>0</v>
      </c>
      <c r="J612" s="207">
        <f ca="1">IFERROR(__xludf.DUMMYFUNCTION("IMPORTRANGE(""https://docs.google.com/spreadsheets/d/11923uPwbBZFjjGgGUA6NLw09EwE0CqkOc4q9oUmW1yo/edit?usp=sharing"",""แม่ฮ่องสอน!J507"")"),0)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IFERROR(__xludf.DUMMYFUNCTION("IMPORTRANGE(""https://docs.google.com/spreadsheets/d/11923uPwbBZFjjGgGUA6NLw09EwE0CqkOc4q9oUmW1yo/edit?usp=sharing"",""แม่ฮ่องสอน!I508"")"),0)</f>
        <v>0</v>
      </c>
      <c r="J613" s="207">
        <f ca="1">IFERROR(__xludf.DUMMYFUNCTION("IMPORTRANGE(""https://docs.google.com/spreadsheets/d/11923uPwbBZFjjGgGUA6NLw09EwE0CqkOc4q9oUmW1yo/edit?usp=sharing"",""แม่ฮ่องสอน!J508"")"),0)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IFERROR(__xludf.DUMMYFUNCTION("IMPORTRANGE(""https://docs.google.com/spreadsheets/d/11923uPwbBZFjjGgGUA6NLw09EwE0CqkOc4q9oUmW1yo/edit?usp=sharing"",""แม่ฮ่องสอน!I509"")"),0)</f>
        <v>0</v>
      </c>
      <c r="J614" s="207">
        <f ca="1">IFERROR(__xludf.DUMMYFUNCTION("IMPORTRANGE(""https://docs.google.com/spreadsheets/d/11923uPwbBZFjjGgGUA6NLw09EwE0CqkOc4q9oUmW1yo/edit?usp=sharing"",""แม่ฮ่องสอน!J509"")"),0)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IFERROR(__xludf.DUMMYFUNCTION("IMPORTRANGE(""https://docs.google.com/spreadsheets/d/11923uPwbBZFjjGgGUA6NLw09EwE0CqkOc4q9oUmW1yo/edit?usp=sharing"",""แม่ฮ่องสอน!I510"")"),0)</f>
        <v>0</v>
      </c>
      <c r="J615" s="207">
        <f ca="1">IFERROR(__xludf.DUMMYFUNCTION("IMPORTRANGE(""https://docs.google.com/spreadsheets/d/11923uPwbBZFjjGgGUA6NLw09EwE0CqkOc4q9oUmW1yo/edit?usp=sharing"",""แม่ฮ่องสอน!J510"")"),0)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IFERROR(__xludf.DUMMYFUNCTION("IMPORTRANGE(""https://docs.google.com/spreadsheets/d/11923uPwbBZFjjGgGUA6NLw09EwE0CqkOc4q9oUmW1yo/edit?usp=sharing"",""แม่ฮ่องสอน!I511"")"),0)</f>
        <v>0</v>
      </c>
      <c r="J616" s="207">
        <f ca="1">IFERROR(__xludf.DUMMYFUNCTION("IMPORTRANGE(""https://docs.google.com/spreadsheets/d/11923uPwbBZFjjGgGUA6NLw09EwE0CqkOc4q9oUmW1yo/edit?usp=sharing"",""แม่ฮ่องสอน!J511"")"),0)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IFERROR(__xludf.DUMMYFUNCTION("IMPORTRANGE(""https://docs.google.com/spreadsheets/d/11923uPwbBZFjjGgGUA6NLw09EwE0CqkOc4q9oUmW1yo/edit?usp=sharing"",""แม่ฮ่องสอน!I512"")"),0)</f>
        <v>0</v>
      </c>
      <c r="J617" s="197">
        <f ca="1">IFERROR(__xludf.DUMMYFUNCTION("IMPORTRANGE(""https://docs.google.com/spreadsheets/d/11923uPwbBZFjjGgGUA6NLw09EwE0CqkOc4q9oUmW1yo/edit?usp=sharing"",""แม่ฮ่องสอน!J512"")"),0)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IFERROR(__xludf.DUMMYFUNCTION("IMPORTRANGE(""https://docs.google.com/spreadsheets/d/11923uPwbBZFjjGgGUA6NLw09EwE0CqkOc4q9oUmW1yo/edit?usp=sharing"",""แม่ฮ่องสอน!I513"")"),0)</f>
        <v>0</v>
      </c>
      <c r="J618" s="198">
        <f ca="1">IFERROR(__xludf.DUMMYFUNCTION("IMPORTRANGE(""https://docs.google.com/spreadsheets/d/11923uPwbBZFjjGgGUA6NLw09EwE0CqkOc4q9oUmW1yo/edit?usp=sharing"",""แม่ฮ่องสอน!J513"")"),0)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IFERROR(__xludf.DUMMYFUNCTION("IMPORTRANGE(""https://docs.google.com/spreadsheets/d/11923uPwbBZFjjGgGUA6NLw09EwE0CqkOc4q9oUmW1yo/edit?usp=sharing"",""แม่ฮ่องสอน!I514"")"),0)</f>
        <v>0</v>
      </c>
      <c r="J619" s="198">
        <f ca="1">IFERROR(__xludf.DUMMYFUNCTION("IMPORTRANGE(""https://docs.google.com/spreadsheets/d/11923uPwbBZFjjGgGUA6NLw09EwE0CqkOc4q9oUmW1yo/edit?usp=sharing"",""แม่ฮ่องสอน!J514"")"),0)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IFERROR(__xludf.DUMMYFUNCTION("IMPORTRANGE(""https://docs.google.com/spreadsheets/d/11923uPwbBZFjjGgGUA6NLw09EwE0CqkOc4q9oUmW1yo/edit?usp=sharing"",""แม่ฮ่องสอน!I515"")"),0)</f>
        <v>0</v>
      </c>
      <c r="J620" s="212">
        <f ca="1">IFERROR(__xludf.DUMMYFUNCTION("IMPORTRANGE(""https://docs.google.com/spreadsheets/d/11923uPwbBZFjjGgGUA6NLw09EwE0CqkOc4q9oUmW1yo/edit?usp=sharing"",""แม่ฮ่องสอน!J515"")"),0)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IFERROR(__xludf.DUMMYFUNCTION("IMPORTRANGE(""https://docs.google.com/spreadsheets/d/11923uPwbBZFjjGgGUA6NLw09EwE0CqkOc4q9oUmW1yo/edit?usp=sharing"",""แม่ฮ่องสอน!I516"")"),0)</f>
        <v>0</v>
      </c>
      <c r="J621" s="212">
        <f ca="1">IFERROR(__xludf.DUMMYFUNCTION("IMPORTRANGE(""https://docs.google.com/spreadsheets/d/11923uPwbBZFjjGgGUA6NLw09EwE0CqkOc4q9oUmW1yo/edit?usp=sharing"",""แม่ฮ่องสอน!J516"")"),0)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IFERROR(__xludf.DUMMYFUNCTION("IMPORTRANGE(""https://docs.google.com/spreadsheets/d/11923uPwbBZFjjGgGUA6NLw09EwE0CqkOc4q9oUmW1yo/edit?usp=sharing"",""แม่ฮ่องสอน!I517"")"),0)</f>
        <v>0</v>
      </c>
      <c r="J622" s="198">
        <f ca="1">IFERROR(__xludf.DUMMYFUNCTION("IMPORTRANGE(""https://docs.google.com/spreadsheets/d/11923uPwbBZFjjGgGUA6NLw09EwE0CqkOc4q9oUmW1yo/edit?usp=sharing"",""แม่ฮ่องสอน!J517"")"),0)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IFERROR(__xludf.DUMMYFUNCTION("IMPORTRANGE(""https://docs.google.com/spreadsheets/d/11923uPwbBZFjjGgGUA6NLw09EwE0CqkOc4q9oUmW1yo/edit?usp=sharing"",""แม่ฮ่องสอน!I518"")"),0)</f>
        <v>0</v>
      </c>
      <c r="J623" s="198">
        <f ca="1">IFERROR(__xludf.DUMMYFUNCTION("IMPORTRANGE(""https://docs.google.com/spreadsheets/d/11923uPwbBZFjjGgGUA6NLw09EwE0CqkOc4q9oUmW1yo/edit?usp=sharing"",""แม่ฮ่องสอน!J518"")"),0)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IFERROR(__xludf.DUMMYFUNCTION("IMPORTRANGE(""https://docs.google.com/spreadsheets/d/11923uPwbBZFjjGgGUA6NLw09EwE0CqkOc4q9oUmW1yo/edit?usp=sharing"",""แม่ฮ่องสอน!I519"")"),0)</f>
        <v>0</v>
      </c>
      <c r="J624" s="197">
        <f ca="1">IFERROR(__xludf.DUMMYFUNCTION("IMPORTRANGE(""https://docs.google.com/spreadsheets/d/11923uPwbBZFjjGgGUA6NLw09EwE0CqkOc4q9oUmW1yo/edit?usp=sharing"",""แม่ฮ่องสอน!J519"")"),0)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IFERROR(__xludf.DUMMYFUNCTION("IMPORTRANGE(""https://docs.google.com/spreadsheets/d/11923uPwbBZFjjGgGUA6NLw09EwE0CqkOc4q9oUmW1yo/edit?usp=sharing"",""แม่ฮ่องสอน!I520"")"),0)</f>
        <v>0</v>
      </c>
      <c r="J625" s="198">
        <f ca="1">IFERROR(__xludf.DUMMYFUNCTION("IMPORTRANGE(""https://docs.google.com/spreadsheets/d/11923uPwbBZFjjGgGUA6NLw09EwE0CqkOc4q9oUmW1yo/edit?usp=sharing"",""แม่ฮ่องสอน!J520"")"),0)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IFERROR(__xludf.DUMMYFUNCTION("IMPORTRANGE(""https://docs.google.com/spreadsheets/d/11923uPwbBZFjjGgGUA6NLw09EwE0CqkOc4q9oUmW1yo/edit?usp=sharing"",""แม่ฮ่องสอน!I521"")"),0)</f>
        <v>0</v>
      </c>
      <c r="J626" s="198">
        <f ca="1">IFERROR(__xludf.DUMMYFUNCTION("IMPORTRANGE(""https://docs.google.com/spreadsheets/d/11923uPwbBZFjjGgGUA6NLw09EwE0CqkOc4q9oUmW1yo/edit?usp=sharing"",""แม่ฮ่องสอน!J521"")"),0)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9">
        <f ca="1">IFERROR(__xludf.DUMMYFUNCTION("IMPORTRANGE(""https://docs.google.com/spreadsheets/d/11923uPwbBZFjjGgGUA6NLw09EwE0CqkOc4q9oUmW1yo/edit?usp=sharing"",""แม่ฮ่องสอน!J523"")"),145127.27)</f>
        <v>145127.26999999999</v>
      </c>
      <c r="K628" s="350">
        <f t="shared" ref="K628:K635" ca="1" si="129">IF(I628&gt;0,J628*100/I628,0)</f>
        <v>17.29584191343638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IFERROR(__xludf.DUMMYFUNCTION("IMPORTRANGE(""https://docs.google.com/spreadsheets/d/11923uPwbBZFjjGgGUA6NLw09EwE0CqkOc4q9oUmW1yo/edit?usp=sharing"",""แม่ฮ่องสอน!I524"")"),84)</f>
        <v>84</v>
      </c>
      <c r="J629" s="349">
        <f ca="1">IFERROR(__xludf.DUMMYFUNCTION("IMPORTRANGE(""https://docs.google.com/spreadsheets/d/11923uPwbBZFjjGgGUA6NLw09EwE0CqkOc4q9oUmW1yo/edit?usp=sharing"",""แม่ฮ่องสอน!J524"")"),13)</f>
        <v>13</v>
      </c>
      <c r="K629" s="350">
        <f t="shared" ca="1" si="129"/>
        <v>15.476190476190476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9">
        <f ca="1">IFERROR(__xludf.DUMMYFUNCTION("IMPORTRANGE(""https://docs.google.com/spreadsheets/d/11923uPwbBZFjjGgGUA6NLw09EwE0CqkOc4q9oUmW1yo/edit?usp=sharing"",""แม่ฮ่องสอน!J525"")"),36293.7)</f>
        <v>36293.699999999997</v>
      </c>
      <c r="K630" s="350">
        <f t="shared" ca="1" si="129"/>
        <v>10.632363384104112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IFERROR(__xludf.DUMMYFUNCTION("IMPORTRANGE(""https://docs.google.com/spreadsheets/d/11923uPwbBZFjjGgGUA6NLw09EwE0CqkOc4q9oUmW1yo/edit?usp=sharing"",""แม่ฮ่องสอน!I526"")"),27)</f>
        <v>27</v>
      </c>
      <c r="J631" s="349">
        <f ca="1">IFERROR(__xludf.DUMMYFUNCTION("IMPORTRANGE(""https://docs.google.com/spreadsheets/d/11923uPwbBZFjjGgGUA6NLw09EwE0CqkOc4q9oUmW1yo/edit?usp=sharing"",""แม่ฮ่องสอน!J526"")"),10)</f>
        <v>10</v>
      </c>
      <c r="K631" s="350">
        <f t="shared" ca="1" si="129"/>
        <v>37.037037037037038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IFERROR(__xludf.DUMMYFUNCTION("IMPORTRANGE(""https://docs.google.com/spreadsheets/d/11923uPwbBZFjjGgGUA6NLw09EwE0CqkOc4q9oUmW1yo/edit?usp=sharing"",""แม่ฮ่องสอน!I527"")"),0)</f>
        <v>0</v>
      </c>
      <c r="J632" s="349">
        <f ca="1">IFERROR(__xludf.DUMMYFUNCTION("IMPORTRANGE(""https://docs.google.com/spreadsheets/d/11923uPwbBZFjjGgGUA6NLw09EwE0CqkOc4q9oUmW1yo/edit?usp=sharing"",""แม่ฮ่องสอน!J527"")"),0)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IFERROR(__xludf.DUMMYFUNCTION("IMPORTRANGE(""https://docs.google.com/spreadsheets/d/11923uPwbBZFjjGgGUA6NLw09EwE0CqkOc4q9oUmW1yo/edit?usp=sharing"",""แม่ฮ่องสอน!I528"")"),0)</f>
        <v>0</v>
      </c>
      <c r="J633" s="349">
        <f ca="1">IFERROR(__xludf.DUMMYFUNCTION("IMPORTRANGE(""https://docs.google.com/spreadsheets/d/11923uPwbBZFjjGgGUA6NLw09EwE0CqkOc4q9oUmW1yo/edit?usp=sharing"",""แม่ฮ่องสอน!J528"")"),0)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IFERROR(__xludf.DUMMYFUNCTION("IMPORTRANGE(""https://docs.google.com/spreadsheets/d/11923uPwbBZFjjGgGUA6NLw09EwE0CqkOc4q9oUmW1yo/edit?usp=sharing"",""แม่ฮ่องสอน!I529"")"),900000)</f>
        <v>900000</v>
      </c>
      <c r="J634" s="349">
        <f ca="1">IFERROR(__xludf.DUMMYFUNCTION("IMPORTRANGE(""https://docs.google.com/spreadsheets/d/11923uPwbBZFjjGgGUA6NLw09EwE0CqkOc4q9oUmW1yo/edit?usp=sharing"",""แม่ฮ่องสอน!J529"")"),0)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IFERROR(__xludf.DUMMYFUNCTION("IMPORTRANGE(""https://docs.google.com/spreadsheets/d/11923uPwbBZFjjGgGUA6NLw09EwE0CqkOc4q9oUmW1yo/edit?usp=sharing"",""แม่ฮ่องสอน!I530"")"),30)</f>
        <v>30</v>
      </c>
      <c r="J635" s="519">
        <f ca="1">IFERROR(__xludf.DUMMYFUNCTION("IMPORTRANGE(""https://docs.google.com/spreadsheets/d/11923uPwbBZFjjGgGUA6NLw09EwE0CqkOc4q9oUmW1yo/edit?usp=sharing"",""แม่ฮ่องสอน!J530"")"),0)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263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5355760</v>
      </c>
      <c r="M8" s="25">
        <f t="shared" ca="1" si="0"/>
        <v>1328665</v>
      </c>
      <c r="N8" s="25">
        <f t="shared" ca="1" si="0"/>
        <v>1175185.31</v>
      </c>
      <c r="O8" s="24">
        <f t="shared" ref="O8:O16" ca="1" si="1">IF(L8&gt;0,N8*100/L8,0)</f>
        <v>21.942456532779662</v>
      </c>
      <c r="P8" s="24">
        <f t="shared" ref="P8:P16" ca="1" si="2">IF(M8&gt;0,N8*100/M8,0)</f>
        <v>88.448578836651834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5355760</v>
      </c>
      <c r="M10" s="32">
        <f t="shared" ca="1" si="4"/>
        <v>1328665</v>
      </c>
      <c r="N10" s="32">
        <f t="shared" ca="1" si="4"/>
        <v>1175185.31</v>
      </c>
      <c r="O10" s="31">
        <f t="shared" ca="1" si="1"/>
        <v>21.942456532779662</v>
      </c>
      <c r="P10" s="31">
        <f t="shared" ca="1" si="2"/>
        <v>88.448578836651834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5116360</v>
      </c>
      <c r="M12" s="40">
        <f t="shared" ca="1" si="6"/>
        <v>1328665</v>
      </c>
      <c r="N12" s="40">
        <f t="shared" ca="1" si="6"/>
        <v>1055185.31</v>
      </c>
      <c r="O12" s="40">
        <f t="shared" ca="1" si="1"/>
        <v>20.623750283404608</v>
      </c>
      <c r="P12" s="40">
        <f t="shared" ca="1" si="2"/>
        <v>79.416956870241933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1833600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3282760</v>
      </c>
      <c r="M14" s="40">
        <f t="shared" si="8"/>
        <v>0</v>
      </c>
      <c r="N14" s="40">
        <f t="shared" ca="1" si="8"/>
        <v>277573.30999999994</v>
      </c>
      <c r="O14" s="43">
        <f t="shared" ca="1" si="1"/>
        <v>8.4554859325689335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120000</v>
      </c>
      <c r="O16" s="52">
        <f t="shared" ca="1" si="1"/>
        <v>50.125313283208023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2746825</v>
      </c>
      <c r="M18" s="25">
        <f t="shared" ca="1" si="11"/>
        <v>1328665</v>
      </c>
      <c r="N18" s="25">
        <f t="shared" ca="1" si="11"/>
        <v>897612</v>
      </c>
      <c r="O18" s="24">
        <f t="shared" ref="O18:O20" ca="1" si="12">IF(L18&gt;0,N18*100/L18,0)</f>
        <v>32.678164790257846</v>
      </c>
      <c r="P18" s="24">
        <f t="shared" ref="P18:P26" ca="1" si="13">IF(M18&gt;0,N18*100/M18,0)</f>
        <v>67.557435470942636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2746825</v>
      </c>
      <c r="M20" s="32">
        <f t="shared" ca="1" si="15"/>
        <v>1328665</v>
      </c>
      <c r="N20" s="32">
        <f t="shared" ca="1" si="15"/>
        <v>897612</v>
      </c>
      <c r="O20" s="31">
        <f t="shared" ca="1" si="12"/>
        <v>32.678164790257846</v>
      </c>
      <c r="P20" s="31">
        <f t="shared" ca="1" si="13"/>
        <v>67.557435470942636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2507425</v>
      </c>
      <c r="M22" s="44">
        <f t="shared" ca="1" si="18"/>
        <v>1328665</v>
      </c>
      <c r="N22" s="43">
        <f t="shared" ca="1" si="18"/>
        <v>777612</v>
      </c>
      <c r="O22" s="43">
        <f t="shared" ca="1" si="17"/>
        <v>31.012373251443215</v>
      </c>
      <c r="P22" s="43">
        <f t="shared" ca="1" si="13"/>
        <v>58.525813504532742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1833600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673825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120000</v>
      </c>
      <c r="O26" s="52">
        <f t="shared" ca="1" si="17"/>
        <v>50.125313283208023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2608935</v>
      </c>
      <c r="M28" s="25">
        <f t="shared" si="23"/>
        <v>0</v>
      </c>
      <c r="N28" s="25">
        <f t="shared" ca="1" si="23"/>
        <v>277573.30999999994</v>
      </c>
      <c r="O28" s="24">
        <f t="shared" ref="O28:O30" ca="1" si="24">IF(L28&gt;0,N28*100/L28,0)</f>
        <v>10.639334057766863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2608935</v>
      </c>
      <c r="M30" s="32">
        <f t="shared" si="27"/>
        <v>0</v>
      </c>
      <c r="N30" s="32">
        <f t="shared" ca="1" si="27"/>
        <v>277573.30999999994</v>
      </c>
      <c r="O30" s="31">
        <f t="shared" ca="1" si="24"/>
        <v>10.639334057766863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2608935</v>
      </c>
      <c r="M32" s="43">
        <f t="shared" si="30"/>
        <v>0</v>
      </c>
      <c r="N32" s="43">
        <f t="shared" ca="1" si="30"/>
        <v>277573.30999999994</v>
      </c>
      <c r="O32" s="43">
        <f t="shared" ca="1" si="29"/>
        <v>10.639334057766863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2608935</v>
      </c>
      <c r="M34" s="43">
        <f t="shared" si="32"/>
        <v>0</v>
      </c>
      <c r="N34" s="43">
        <f t="shared" ca="1" si="32"/>
        <v>277573.30999999994</v>
      </c>
      <c r="O34" s="43">
        <f t="shared" ca="1" si="29"/>
        <v>10.639334057766863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2746825</v>
      </c>
      <c r="M37" s="57">
        <f t="shared" ca="1" si="33"/>
        <v>1328665</v>
      </c>
      <c r="N37" s="57">
        <f t="shared" ca="1" si="33"/>
        <v>897612</v>
      </c>
      <c r="O37" s="58">
        <f t="shared" ca="1" si="29"/>
        <v>32.678164790257846</v>
      </c>
      <c r="P37" s="58">
        <f t="shared" ca="1" si="25"/>
        <v>67.557435470942636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644400</v>
      </c>
      <c r="M41" s="81">
        <f t="shared" ca="1" si="34"/>
        <v>322200</v>
      </c>
      <c r="N41" s="81">
        <f t="shared" ca="1" si="34"/>
        <v>194745</v>
      </c>
      <c r="O41" s="80">
        <f t="shared" ref="O41:O43" ca="1" si="35">IF(L41&gt;0,N41*100/L41,0)</f>
        <v>30.221135940409685</v>
      </c>
      <c r="P41" s="80">
        <f t="shared" ref="P41:P43" ca="1" si="36">IF(M41&gt;0,N41*100/M41,0)</f>
        <v>60.442271880819369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644400</v>
      </c>
      <c r="M43" s="81">
        <f t="shared" ca="1" si="38"/>
        <v>322200</v>
      </c>
      <c r="N43" s="81">
        <f t="shared" ca="1" si="38"/>
        <v>194745</v>
      </c>
      <c r="O43" s="80">
        <f t="shared" ca="1" si="35"/>
        <v>30.221135940409685</v>
      </c>
      <c r="P43" s="80">
        <f t="shared" ca="1" si="36"/>
        <v>60.442271880819369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644400</v>
      </c>
      <c r="M45" s="93">
        <f ca="1">IFERROR(__xludf.DUMMYFUNCTION("IMPORTRANGE(""https://docs.google.com/spreadsheets/d/1Yj_ptqi66GCucihVvJfMjLAmec39IyEx_6qawtMGysU/edit?usp=sharing"",""สบก!Q32"")"),322200)</f>
        <v>322200</v>
      </c>
      <c r="N45" s="93">
        <f ca="1">IFERROR(__xludf.DUMMYFUNCTION("IMPORTRANGE(""https://docs.google.com/spreadsheets/d/1Yj_ptqi66GCucihVvJfMjLAmec39IyEx_6qawtMGysU/edit?usp=sharing"",""สบก!R32"")"),194745)</f>
        <v>194745</v>
      </c>
      <c r="O45" s="94">
        <f ca="1">IF(L45&gt;0,N45*100/L45,0)</f>
        <v>30.221135940409685</v>
      </c>
      <c r="P45" s="94">
        <f ca="1">IF(M45&gt;0,N45*100/M45,0)</f>
        <v>60.442271880819369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IFERROR(__xludf.DUMMYFUNCTION("IMPORTRANGE(""https://docs.google.com/spreadsheets/d/1Yj_ptqi66GCucihVvJfMjLAmec39IyEx_6qawtMGysU/edit?usp=sharing"",""สบก!M32"")"),644400)</f>
        <v>644400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IFERROR(__xludf.DUMMYFUNCTION("IMPORTRANGE(""https://docs.google.com/spreadsheets/d/1Yj_ptqi66GCucihVvJfMjLAmec39IyEx_6qawtMGysU/edit?usp=sharing"",""สบก!N32"")"),0)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IFERROR(__xludf.DUMMYFUNCTION("IMPORTRANGE(""https://docs.google.com/spreadsheets/d/1Yj_ptqi66GCucihVvJfMjLAmec39IyEx_6qawtMGysU/edit?usp=sharing"",""สบก!O32"")"),0)</f>
        <v>0</v>
      </c>
      <c r="M49" s="103"/>
      <c r="N49" s="93">
        <f ca="1">IFERROR(__xludf.DUMMYFUNCTION("IMPORTRANGE(""https://docs.google.com/spreadsheets/d/1Yj_ptqi66GCucihVvJfMjLAmec39IyEx_6qawtMGysU/edit?usp=sharing"",""สบก!S32"")"),0)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566000</v>
      </c>
      <c r="M53" s="127">
        <f t="shared" ca="1" si="39"/>
        <v>292000</v>
      </c>
      <c r="N53" s="127">
        <f t="shared" ca="1" si="39"/>
        <v>181765</v>
      </c>
      <c r="O53" s="126">
        <f t="shared" ref="O53:O55" ca="1" si="40">IF(L53&gt;0,N53*100/L53,0)</f>
        <v>32.113957597173147</v>
      </c>
      <c r="P53" s="126">
        <f t="shared" ref="P53:P55" ca="1" si="41">IF(M53&gt;0,N53*100/M53,0)</f>
        <v>62.248287671232873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566000</v>
      </c>
      <c r="M55" s="127">
        <f t="shared" ca="1" si="43"/>
        <v>292000</v>
      </c>
      <c r="N55" s="127">
        <f t="shared" ca="1" si="43"/>
        <v>181765</v>
      </c>
      <c r="O55" s="126">
        <f t="shared" ca="1" si="40"/>
        <v>32.113957597173147</v>
      </c>
      <c r="P55" s="126">
        <f t="shared" ca="1" si="41"/>
        <v>62.248287671232873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566000</v>
      </c>
      <c r="M57" s="93">
        <f ca="1">IFERROR(__xludf.DUMMYFUNCTION("IMPORTRANGE(""https://docs.google.com/spreadsheets/d/1Yj_ptqi66GCucihVvJfMjLAmec39IyEx_6qawtMGysU/edit?usp=sharing"",""สบก!Z32"")"),292000)</f>
        <v>292000</v>
      </c>
      <c r="N57" s="93">
        <f ca="1">IFERROR(__xludf.DUMMYFUNCTION("IMPORTRANGE(""https://docs.google.com/spreadsheets/d/1Yj_ptqi66GCucihVvJfMjLAmec39IyEx_6qawtMGysU/edit?usp=sharing"",""สบก!AA32"")"),181765)</f>
        <v>181765</v>
      </c>
      <c r="O57" s="94">
        <f ca="1">IF(L57&gt;0,N57*100/L57,0)</f>
        <v>32.113957597173147</v>
      </c>
      <c r="P57" s="94">
        <f ca="1">IF(M57&gt;0,N57*100/M57,0)</f>
        <v>62.248287671232873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IFERROR(__xludf.DUMMYFUNCTION("IMPORTRANGE(""https://docs.google.com/spreadsheets/d/1Yj_ptqi66GCucihVvJfMjLAmec39IyEx_6qawtMGysU/edit?usp=sharing"",""สบก!V32"")"),566000)</f>
        <v>566000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IFERROR(__xludf.DUMMYFUNCTION("IMPORTRANGE(""https://docs.google.com/spreadsheets/d/1Yj_ptqi66GCucihVvJfMjLAmec39IyEx_6qawtMGysU/edit?usp=sharing"",""สบก!W32"")"),0)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IFERROR(__xludf.DUMMYFUNCTION("IMPORTRANGE(""https://docs.google.com/spreadsheets/d/1Yj_ptqi66GCucihVvJfMjLAmec39IyEx_6qawtMGysU/edit?usp=sharing"",""สบก!X32"")"),0)</f>
        <v>0</v>
      </c>
      <c r="M61" s="103"/>
      <c r="N61" s="93">
        <f ca="1">IFERROR(__xludf.DUMMYFUNCTION("IMPORTRANGE(""https://docs.google.com/spreadsheets/d/1Yj_ptqi66GCucihVvJfMjLAmec39IyEx_6qawtMGysU/edit?usp=sharing"",""สบก!AB32"")"),0)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IFERROR(__xludf.DUMMYFUNCTION("IMPORTRANGE(""https://docs.google.com/spreadsheets/d/11923uPwbBZFjjGgGUA6NLw09EwE0CqkOc4q9oUmW1yo/edit?usp=sharing"",""ลำปาง!I9"")"),0)</f>
        <v>0</v>
      </c>
      <c r="J64" s="148">
        <f ca="1">IFERROR(__xludf.DUMMYFUNCTION("IMPORTRANGE(""https://docs.google.com/spreadsheets/d/11923uPwbBZFjjGgGUA6NLw09EwE0CqkOc4q9oUmW1yo/edit?usp=sharing"",""ลำปาง!J9"")"),0)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IFERROR(__xludf.DUMMYFUNCTION("IMPORTRANGE(""https://docs.google.com/spreadsheets/d/11923uPwbBZFjjGgGUA6NLw09EwE0CqkOc4q9oUmW1yo/edit?usp=sharing"",""ลำปาง!I10"")"),0)</f>
        <v>0</v>
      </c>
      <c r="J65" s="148">
        <f ca="1">IFERROR(__xludf.DUMMYFUNCTION("IMPORTRANGE(""https://docs.google.com/spreadsheets/d/11923uPwbBZFjjGgGUA6NLw09EwE0CqkOc4q9oUmW1yo/edit?usp=sharing"",""ลำปาง!J10"")"),0)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IFERROR(__xludf.DUMMYFUNCTION("IMPORTRANGE(""https://docs.google.com/spreadsheets/d/1Yj_ptqi66GCucihVvJfMjLAmec39IyEx_6qawtMGysU/edit?usp=sharing"",""สบก!AI32"")"),0)</f>
        <v>0</v>
      </c>
      <c r="N70" s="177">
        <f ca="1">IFERROR(__xludf.DUMMYFUNCTION("IMPORTRANGE(""https://docs.google.com/spreadsheets/d/1Yj_ptqi66GCucihVvJfMjLAmec39IyEx_6qawtMGysU/edit?usp=sharing"",""สบก!AJ32"")"),0)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IFERROR(__xludf.DUMMYFUNCTION("IMPORTRANGE(""https://docs.google.com/spreadsheets/d/1Yj_ptqi66GCucihVvJfMjLAmec39IyEx_6qawtMGysU/edit?usp=sharing"",""สบก!AE32"")"),0)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IFERROR(__xludf.DUMMYFUNCTION("IMPORTRANGE(""https://docs.google.com/spreadsheets/d/1Yj_ptqi66GCucihVvJfMjLAmec39IyEx_6qawtMGysU/edit?usp=sharing"",""สบก!AF32"")"),0)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IFERROR(__xludf.DUMMYFUNCTION("IMPORTRANGE(""https://docs.google.com/spreadsheets/d/1Yj_ptqi66GCucihVvJfMjLAmec39IyEx_6qawtMGysU/edit?usp=sharing"",""สบก!AG32"")"),0)</f>
        <v>0</v>
      </c>
      <c r="M74" s="103"/>
      <c r="N74" s="93">
        <f ca="1">IFERROR(__xludf.DUMMYFUNCTION("IMPORTRANGE(""https://docs.google.com/spreadsheets/d/1Yj_ptqi66GCucihVvJfMjLAmec39IyEx_6qawtMGysU/edit?usp=sharing"",""สบก!AK32"")"),0)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IFERROR(__xludf.DUMMYFUNCTION("IMPORTRANGE(""https://docs.google.com/spreadsheets/d/11923uPwbBZFjjGgGUA6NLw09EwE0CqkOc4q9oUmW1yo/edit?usp=sharing"",""ลำปาง!J16"")"),0)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IFERROR(__xludf.DUMMYFUNCTION("IMPORTRANGE(""https://docs.google.com/spreadsheets/d/11923uPwbBZFjjGgGUA6NLw09EwE0CqkOc4q9oUmW1yo/edit?usp=sharing"",""ลำปาง!J17"")"),0)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IFERROR(__xludf.DUMMYFUNCTION("IMPORTRANGE(""https://docs.google.com/spreadsheets/d/11923uPwbBZFjjGgGUA6NLw09EwE0CqkOc4q9oUmW1yo/edit?usp=sharing"",""ลำปาง!J18"")"),0)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IFERROR(__xludf.DUMMYFUNCTION("IMPORTRANGE(""https://docs.google.com/spreadsheets/d/11923uPwbBZFjjGgGUA6NLw09EwE0CqkOc4q9oUmW1yo/edit?usp=sharing"",""ลำปาง!J19"")"),0)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IFERROR(__xludf.DUMMYFUNCTION("IMPORTRANGE(""https://docs.google.com/spreadsheets/d/11923uPwbBZFjjGgGUA6NLw09EwE0CqkOc4q9oUmW1yo/edit?usp=sharing"",""ลำปาง!I20"")"),0)</f>
        <v>0</v>
      </c>
      <c r="J80" s="210">
        <f ca="1">IFERROR(__xludf.DUMMYFUNCTION("IMPORTRANGE(""https://docs.google.com/spreadsheets/d/11923uPwbBZFjjGgGUA6NLw09EwE0CqkOc4q9oUmW1yo/edit?usp=sharing"",""ลำปาง!J20"")"),0)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IFERROR(__xludf.DUMMYFUNCTION("IMPORTRANGE(""https://docs.google.com/spreadsheets/d/11923uPwbBZFjjGgGUA6NLw09EwE0CqkOc4q9oUmW1yo/edit?usp=sharing"",""ลำปาง!I21"")"),0)</f>
        <v>0</v>
      </c>
      <c r="J81" s="210">
        <f ca="1">IFERROR(__xludf.DUMMYFUNCTION("IMPORTRANGE(""https://docs.google.com/spreadsheets/d/11923uPwbBZFjjGgGUA6NLw09EwE0CqkOc4q9oUmW1yo/edit?usp=sharing"",""ลำปาง!J21"")"),0)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IFERROR(__xludf.DUMMYFUNCTION("IMPORTRANGE(""https://docs.google.com/spreadsheets/d/11923uPwbBZFjjGgGUA6NLw09EwE0CqkOc4q9oUmW1yo/edit?usp=sharing"",""ลำปาง!I22"")"),0)</f>
        <v>0</v>
      </c>
      <c r="J82" s="213">
        <f ca="1">IFERROR(__xludf.DUMMYFUNCTION("IMPORTRANGE(""https://docs.google.com/spreadsheets/d/11923uPwbBZFjjGgGUA6NLw09EwE0CqkOc4q9oUmW1yo/edit?usp=sharing"",""ลำปาง!J22"")"),0)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IFERROR(__xludf.DUMMYFUNCTION("IMPORTRANGE(""https://docs.google.com/spreadsheets/d/11923uPwbBZFjjGgGUA6NLw09EwE0CqkOc4q9oUmW1yo/edit?usp=sharing"",""ลำปาง!I23"")"),0)</f>
        <v>0</v>
      </c>
      <c r="J83" s="213">
        <f ca="1">IFERROR(__xludf.DUMMYFUNCTION("IMPORTRANGE(""https://docs.google.com/spreadsheets/d/11923uPwbBZFjjGgGUA6NLw09EwE0CqkOc4q9oUmW1yo/edit?usp=sharing"",""ลำปาง!J23"")"),0)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IFERROR(__xludf.DUMMYFUNCTION("IMPORTRANGE(""https://docs.google.com/spreadsheets/d/11923uPwbBZFjjGgGUA6NLw09EwE0CqkOc4q9oUmW1yo/edit?usp=sharing"",""ลำปาง!I24"")"),0)</f>
        <v>0</v>
      </c>
      <c r="J84" s="198">
        <f ca="1">IFERROR(__xludf.DUMMYFUNCTION("IMPORTRANGE(""https://docs.google.com/spreadsheets/d/11923uPwbBZFjjGgGUA6NLw09EwE0CqkOc4q9oUmW1yo/edit?usp=sharing"",""ลำปาง!J24"")"),0)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IFERROR(__xludf.DUMMYFUNCTION("IMPORTRANGE(""https://docs.google.com/spreadsheets/d/11923uPwbBZFjjGgGUA6NLw09EwE0CqkOc4q9oUmW1yo/edit?usp=sharing"",""ลำปาง!I25"")"),0)</f>
        <v>0</v>
      </c>
      <c r="J85" s="198">
        <f ca="1">IFERROR(__xludf.DUMMYFUNCTION("IMPORTRANGE(""https://docs.google.com/spreadsheets/d/11923uPwbBZFjjGgGUA6NLw09EwE0CqkOc4q9oUmW1yo/edit?usp=sharing"",""ลำปาง!J25"")"),0)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IFERROR(__xludf.DUMMYFUNCTION("IMPORTRANGE(""https://docs.google.com/spreadsheets/d/11923uPwbBZFjjGgGUA6NLw09EwE0CqkOc4q9oUmW1yo/edit?usp=sharing"",""ลำปาง!I26"")"),0)</f>
        <v>0</v>
      </c>
      <c r="J86" s="213">
        <f ca="1">IFERROR(__xludf.DUMMYFUNCTION("IMPORTRANGE(""https://docs.google.com/spreadsheets/d/11923uPwbBZFjjGgGUA6NLw09EwE0CqkOc4q9oUmW1yo/edit?usp=sharing"",""ลำปาง!J26"")"),0)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IFERROR(__xludf.DUMMYFUNCTION("IMPORTRANGE(""https://docs.google.com/spreadsheets/d/11923uPwbBZFjjGgGUA6NLw09EwE0CqkOc4q9oUmW1yo/edit?usp=sharing"",""ลำปาง!I27"")"),0)</f>
        <v>0</v>
      </c>
      <c r="J87" s="213">
        <f ca="1">IFERROR(__xludf.DUMMYFUNCTION("IMPORTRANGE(""https://docs.google.com/spreadsheets/d/11923uPwbBZFjjGgGUA6NLw09EwE0CqkOc4q9oUmW1yo/edit?usp=sharing"",""ลำปาง!J27"")"),0)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IFERROR(__xludf.DUMMYFUNCTION("IMPORTRANGE(""https://docs.google.com/spreadsheets/d/11923uPwbBZFjjGgGUA6NLw09EwE0CqkOc4q9oUmW1yo/edit?usp=sharing"",""ลำปาง!I28"")"),0)</f>
        <v>0</v>
      </c>
      <c r="J88" s="213">
        <f ca="1">IFERROR(__xludf.DUMMYFUNCTION("IMPORTRANGE(""https://docs.google.com/spreadsheets/d/11923uPwbBZFjjGgGUA6NLw09EwE0CqkOc4q9oUmW1yo/edit?usp=sharing"",""ลำปาง!J28"")"),0)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IFERROR(__xludf.DUMMYFUNCTION("IMPORTRANGE(""https://docs.google.com/spreadsheets/d/11923uPwbBZFjjGgGUA6NLw09EwE0CqkOc4q9oUmW1yo/edit?usp=sharing"",""ลำปาง!J29"")"),0)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IFERROR(__xludf.DUMMYFUNCTION("IMPORTRANGE(""https://docs.google.com/spreadsheets/d/11923uPwbBZFjjGgGUA6NLw09EwE0CqkOc4q9oUmW1yo/edit?usp=sharing"",""ลำปาง!J30"")"),0)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IFERROR(__xludf.DUMMYFUNCTION("IMPORTRANGE(""https://docs.google.com/spreadsheets/d/11923uPwbBZFjjGgGUA6NLw09EwE0CqkOc4q9oUmW1yo/edit?usp=sharing"",""ลำปาง!I32"")"),4)</f>
        <v>4</v>
      </c>
      <c r="J92" s="148">
        <f ca="1">IFERROR(__xludf.DUMMYFUNCTION("IMPORTRANGE(""https://docs.google.com/spreadsheets/d/11923uPwbBZFjjGgGUA6NLw09EwE0CqkOc4q9oUmW1yo/edit?usp=sharing"",""ลำปาง!J32"")"),0)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IFERROR(__xludf.DUMMYFUNCTION("IMPORTRANGE(""https://docs.google.com/spreadsheets/d/11923uPwbBZFjjGgGUA6NLw09EwE0CqkOc4q9oUmW1yo/edit?usp=sharing"",""ลำปาง!I33"")"),1)</f>
        <v>1</v>
      </c>
      <c r="J93" s="148">
        <f ca="1">IFERROR(__xludf.DUMMYFUNCTION("IMPORTRANGE(""https://docs.google.com/spreadsheets/d/11923uPwbBZFjjGgGUA6NLw09EwE0CqkOc4q9oUmW1yo/edit?usp=sharing"",""ลำปาง!J33"")"),0)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5065</v>
      </c>
      <c r="O94" s="157">
        <f t="shared" ref="O94:O96" ca="1" si="53">IF(L94&gt;0,N94*100/L94,0)</f>
        <v>2.3613053613053614</v>
      </c>
      <c r="P94" s="157">
        <f t="shared" ref="P94:P96" ca="1" si="54">IF(M94&gt;0,N94*100/M94,0)</f>
        <v>7.3694165575440129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5065</v>
      </c>
      <c r="O96" s="162">
        <f t="shared" ca="1" si="53"/>
        <v>2.3613053613053614</v>
      </c>
      <c r="P96" s="162">
        <f t="shared" ca="1" si="54"/>
        <v>7.3694165575440129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IFERROR(__xludf.DUMMYFUNCTION("IMPORTRANGE(""https://docs.google.com/spreadsheets/d/1Yj_ptqi66GCucihVvJfMjLAmec39IyEx_6qawtMGysU/edit?usp=sharing"",""สบก!AR32"")"),68730)</f>
        <v>68730</v>
      </c>
      <c r="N98" s="177">
        <f ca="1">IFERROR(__xludf.DUMMYFUNCTION("IMPORTRANGE(""https://docs.google.com/spreadsheets/d/1Yj_ptqi66GCucihVvJfMjLAmec39IyEx_6qawtMGysU/edit?usp=sharing"",""สบก!AS32"")"),5065)</f>
        <v>5065</v>
      </c>
      <c r="O98" s="178">
        <f ca="1">IF(L98&gt;0,N98*100/L98,0)</f>
        <v>4.1482391482391483</v>
      </c>
      <c r="P98" s="178">
        <f ca="1">IF(M98&gt;0,N98*100/M98,0)</f>
        <v>7.3694165575440129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IFERROR(__xludf.DUMMYFUNCTION("IMPORTRANGE(""https://docs.google.com/spreadsheets/d/1Yj_ptqi66GCucihVvJfMjLAmec39IyEx_6qawtMGysU/edit?usp=sharing"",""สบก!AN32"")"),0)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IFERROR(__xludf.DUMMYFUNCTION("IMPORTRANGE(""https://docs.google.com/spreadsheets/d/1Yj_ptqi66GCucihVvJfMjLAmec39IyEx_6qawtMGysU/edit?usp=sharing"",""สบก!AO32"")"),122100)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IFERROR(__xludf.DUMMYFUNCTION("IMPORTRANGE(""https://docs.google.com/spreadsheets/d/1Yj_ptqi66GCucihVvJfMjLAmec39IyEx_6qawtMGysU/edit?usp=sharing"",""สบก!AP32"")"),92400)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IFERROR(__xludf.DUMMYFUNCTION("IMPORTRANGE(""https://docs.google.com/spreadsheets/d/1Yj_ptqi66GCucihVvJfMjLAmec39IyEx_6qawtMGysU/edit?usp=sharing"",""สบก!AT32"")"),0)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IFERROR(__xludf.DUMMYFUNCTION("IMPORTRANGE(""https://docs.google.com/spreadsheets/d/11923uPwbBZFjjGgGUA6NLw09EwE0CqkOc4q9oUmW1yo/edit?usp=sharing"",""ลำปาง!J39"")"),0)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IFERROR(__xludf.DUMMYFUNCTION("IMPORTRANGE(""https://docs.google.com/spreadsheets/d/11923uPwbBZFjjGgGUA6NLw09EwE0CqkOc4q9oUmW1yo/edit?usp=sharing"",""ลำปาง!J40"")"),1)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IFERROR(__xludf.DUMMYFUNCTION("IMPORTRANGE(""https://docs.google.com/spreadsheets/d/11923uPwbBZFjjGgGUA6NLw09EwE0CqkOc4q9oUmW1yo/edit?usp=sharing"",""ลำปาง!J41"")"),0)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IFERROR(__xludf.DUMMYFUNCTION("IMPORTRANGE(""https://docs.google.com/spreadsheets/d/11923uPwbBZFjjGgGUA6NLw09EwE0CqkOc4q9oUmW1yo/edit?usp=sharing"",""ลำปาง!J42"")"),0)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IFERROR(__xludf.DUMMYFUNCTION("IMPORTRANGE(""https://docs.google.com/spreadsheets/d/11923uPwbBZFjjGgGUA6NLw09EwE0CqkOc4q9oUmW1yo/edit?usp=sharing"",""ลำปาง!I43"")"),1)</f>
        <v>1</v>
      </c>
      <c r="J108" s="213">
        <f ca="1">IFERROR(__xludf.DUMMYFUNCTION("IMPORTRANGE(""https://docs.google.com/spreadsheets/d/11923uPwbBZFjjGgGUA6NLw09EwE0CqkOc4q9oUmW1yo/edit?usp=sharing"",""ลำปาง!J43"")"),0)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IFERROR(__xludf.DUMMYFUNCTION("IMPORTRANGE(""https://docs.google.com/spreadsheets/d/11923uPwbBZFjjGgGUA6NLw09EwE0CqkOc4q9oUmW1yo/edit?usp=sharing"",""ลำปาง!I44"")"),4)</f>
        <v>4</v>
      </c>
      <c r="J109" s="213">
        <f ca="1">IFERROR(__xludf.DUMMYFUNCTION("IMPORTRANGE(""https://docs.google.com/spreadsheets/d/11923uPwbBZFjjGgGUA6NLw09EwE0CqkOc4q9oUmW1yo/edit?usp=sharing"",""ลำปาง!J44"")"),0)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IFERROR(__xludf.DUMMYFUNCTION("IMPORTRANGE(""https://docs.google.com/spreadsheets/d/11923uPwbBZFjjGgGUA6NLw09EwE0CqkOc4q9oUmW1yo/edit?usp=sharing"",""ลำปาง!I45"")"),4)</f>
        <v>4</v>
      </c>
      <c r="J110" s="213">
        <f ca="1">IFERROR(__xludf.DUMMYFUNCTION("IMPORTRANGE(""https://docs.google.com/spreadsheets/d/11923uPwbBZFjjGgGUA6NLw09EwE0CqkOc4q9oUmW1yo/edit?usp=sharing"",""ลำปาง!J45"")"),4)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IFERROR(__xludf.DUMMYFUNCTION("IMPORTRANGE(""https://docs.google.com/spreadsheets/d/11923uPwbBZFjjGgGUA6NLw09EwE0CqkOc4q9oUmW1yo/edit?usp=sharing"",""ลำปาง!I46"")"),4)</f>
        <v>4</v>
      </c>
      <c r="J111" s="213">
        <f ca="1">IFERROR(__xludf.DUMMYFUNCTION("IMPORTRANGE(""https://docs.google.com/spreadsheets/d/11923uPwbBZFjjGgGUA6NLw09EwE0CqkOc4q9oUmW1yo/edit?usp=sharing"",""ลำปาง!J46"")"),0)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IFERROR(__xludf.DUMMYFUNCTION("IMPORTRANGE(""https://docs.google.com/spreadsheets/d/11923uPwbBZFjjGgGUA6NLw09EwE0CqkOc4q9oUmW1yo/edit?usp=sharing"",""ลำปาง!I47"")"),4)</f>
        <v>4</v>
      </c>
      <c r="J112" s="213">
        <f ca="1">IFERROR(__xludf.DUMMYFUNCTION("IMPORTRANGE(""https://docs.google.com/spreadsheets/d/11923uPwbBZFjjGgGUA6NLw09EwE0CqkOc4q9oUmW1yo/edit?usp=sharing"",""ลำปาง!J47"")"),0)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IFERROR(__xludf.DUMMYFUNCTION("IMPORTRANGE(""https://docs.google.com/spreadsheets/d/11923uPwbBZFjjGgGUA6NLw09EwE0CqkOc4q9oUmW1yo/edit?usp=sharing"",""ลำปาง!I48"")"),1)</f>
        <v>1</v>
      </c>
      <c r="J113" s="213">
        <f ca="1">IFERROR(__xludf.DUMMYFUNCTION("IMPORTRANGE(""https://docs.google.com/spreadsheets/d/11923uPwbBZFjjGgGUA6NLw09EwE0CqkOc4q9oUmW1yo/edit?usp=sharing"",""ลำปาง!J48"")"),0)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IFERROR(__xludf.DUMMYFUNCTION("IMPORTRANGE(""https://docs.google.com/spreadsheets/d/11923uPwbBZFjjGgGUA6NLw09EwE0CqkOc4q9oUmW1yo/edit?usp=sharing"",""ลำปาง!J49"")"),0)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IFERROR(__xludf.DUMMYFUNCTION("IMPORTRANGE(""https://docs.google.com/spreadsheets/d/11923uPwbBZFjjGgGUA6NLw09EwE0CqkOc4q9oUmW1yo/edit?usp=sharing"",""ลำปาง!J50"")"),0)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IFERROR(__xludf.DUMMYFUNCTION("IMPORTRANGE(""https://docs.google.com/spreadsheets/d/11923uPwbBZFjjGgGUA6NLw09EwE0CqkOc4q9oUmW1yo/edit?usp=sharing"",""ลำปาง!I52"")"),0)</f>
        <v>0</v>
      </c>
      <c r="J117" s="148">
        <f ca="1">IFERROR(__xludf.DUMMYFUNCTION("IMPORTRANGE(""https://docs.google.com/spreadsheets/d/11923uPwbBZFjjGgGUA6NLw09EwE0CqkOc4q9oUmW1yo/edit?usp=sharing"",""ลำปาง!J52"")"),0)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IFERROR(__xludf.DUMMYFUNCTION("IMPORTRANGE(""https://docs.google.com/spreadsheets/d/1Yj_ptqi66GCucihVvJfMjLAmec39IyEx_6qawtMGysU/edit?usp=sharing"",""สบก!BA32"")"),0)</f>
        <v>0</v>
      </c>
      <c r="N122" s="177">
        <f ca="1">IFERROR(__xludf.DUMMYFUNCTION("IMPORTRANGE(""https://docs.google.com/spreadsheets/d/1Yj_ptqi66GCucihVvJfMjLAmec39IyEx_6qawtMGysU/edit?usp=sharing"",""สบก!BB32"")"),0)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IFERROR(__xludf.DUMMYFUNCTION("IMPORTRANGE(""https://docs.google.com/spreadsheets/d/1Yj_ptqi66GCucihVvJfMjLAmec39IyEx_6qawtMGysU/edit?usp=sharing"",""สบก!AW32"")"),0)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IFERROR(__xludf.DUMMYFUNCTION("IMPORTRANGE(""https://docs.google.com/spreadsheets/d/1Yj_ptqi66GCucihVvJfMjLAmec39IyEx_6qawtMGysU/edit?usp=sharing"",""สบก!AX32"")"),0)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IFERROR(__xludf.DUMMYFUNCTION("IMPORTRANGE(""https://docs.google.com/spreadsheets/d/1Yj_ptqi66GCucihVvJfMjLAmec39IyEx_6qawtMGysU/edit?usp=sharing"",""สบก!AY32"")"),0)</f>
        <v>0</v>
      </c>
      <c r="M126" s="103"/>
      <c r="N126" s="93">
        <f ca="1">IFERROR(__xludf.DUMMYFUNCTION("IMPORTRANGE(""https://docs.google.com/spreadsheets/d/1Yj_ptqi66GCucihVvJfMjLAmec39IyEx_6qawtMGysU/edit?usp=sharing"",""สบก!BC32"")"),0)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264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IFERROR(__xludf.DUMMYFUNCTION("IMPORTRANGE(""https://docs.google.com/spreadsheets/d/11923uPwbBZFjjGgGUA6NLw09EwE0CqkOc4q9oUmW1yo/edit?usp=sharing"",""ลำปาง!J58"")"),0)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IFERROR(__xludf.DUMMYFUNCTION("IMPORTRANGE(""https://docs.google.com/spreadsheets/d/11923uPwbBZFjjGgGUA6NLw09EwE0CqkOc4q9oUmW1yo/edit?usp=sharing"",""ลำปาง!J59"")"),0)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IFERROR(__xludf.DUMMYFUNCTION("IMPORTRANGE(""https://docs.google.com/spreadsheets/d/11923uPwbBZFjjGgGUA6NLw09EwE0CqkOc4q9oUmW1yo/edit?usp=sharing"",""ลำปาง!J60"")"),0)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IFERROR(__xludf.DUMMYFUNCTION("IMPORTRANGE(""https://docs.google.com/spreadsheets/d/11923uPwbBZFjjGgGUA6NLw09EwE0CqkOc4q9oUmW1yo/edit?usp=sharing"",""ลำปาง!J61"")"),0)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IFERROR(__xludf.DUMMYFUNCTION("IMPORTRANGE(""https://docs.google.com/spreadsheets/d/11923uPwbBZFjjGgGUA6NLw09EwE0CqkOc4q9oUmW1yo/edit?usp=sharing"",""ลำปาง!I62"")"),0)</f>
        <v>0</v>
      </c>
      <c r="J132" s="213">
        <f ca="1">IFERROR(__xludf.DUMMYFUNCTION("IMPORTRANGE(""https://docs.google.com/spreadsheets/d/11923uPwbBZFjjGgGUA6NLw09EwE0CqkOc4q9oUmW1yo/edit?usp=sharing"",""ลำปาง!J62"")"),0)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IFERROR(__xludf.DUMMYFUNCTION("IMPORTRANGE(""https://docs.google.com/spreadsheets/d/11923uPwbBZFjjGgGUA6NLw09EwE0CqkOc4q9oUmW1yo/edit?usp=sharing"",""ลำปาง!I63"")"),0)</f>
        <v>0</v>
      </c>
      <c r="J133" s="213">
        <f ca="1">IFERROR(__xludf.DUMMYFUNCTION("IMPORTRANGE(""https://docs.google.com/spreadsheets/d/11923uPwbBZFjjGgGUA6NLw09EwE0CqkOc4q9oUmW1yo/edit?usp=sharing"",""ลำปาง!J63"")"),0)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IFERROR(__xludf.DUMMYFUNCTION("IMPORTRANGE(""https://docs.google.com/spreadsheets/d/11923uPwbBZFjjGgGUA6NLw09EwE0CqkOc4q9oUmW1yo/edit?usp=sharing"",""ลำปาง!J64"")"),0)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IFERROR(__xludf.DUMMYFUNCTION("IMPORTRANGE(""https://docs.google.com/spreadsheets/d/11923uPwbBZFjjGgGUA6NLw09EwE0CqkOc4q9oUmW1yo/edit?usp=sharing"",""ลำปาง!J65"")"),0)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IFERROR(__xludf.DUMMYFUNCTION("IMPORTRANGE(""https://docs.google.com/spreadsheets/d/11923uPwbBZFjjGgGUA6NLw09EwE0CqkOc4q9oUmW1yo/edit?usp=sharing"",""ลำปาง!I68"")"),0)</f>
        <v>0</v>
      </c>
      <c r="J138" s="276">
        <f ca="1">IFERROR(__xludf.DUMMYFUNCTION("IMPORTRANGE(""https://docs.google.com/spreadsheets/d/11923uPwbBZFjjGgGUA6NLw09EwE0CqkOc4q9oUmW1yo/edit?usp=sharing"",""ลำปาง!J68"")"),0)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480</v>
      </c>
      <c r="O140" s="157">
        <f t="shared" ref="O140:O142" ca="1" si="65">IF(L140&gt;0,N140*100/L140,0)</f>
        <v>0.69565217391304346</v>
      </c>
      <c r="P140" s="157">
        <f t="shared" ref="P140:P142" ca="1" si="66">IF(M140&gt;0,N140*100/M140,0)</f>
        <v>1.0491803278688525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480</v>
      </c>
      <c r="O142" s="162">
        <f t="shared" ca="1" si="65"/>
        <v>0.69565217391304346</v>
      </c>
      <c r="P142" s="162">
        <f t="shared" ca="1" si="66"/>
        <v>1.0491803278688525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IFERROR(__xludf.DUMMYFUNCTION("IMPORTRANGE(""https://docs.google.com/spreadsheets/d/1Yj_ptqi66GCucihVvJfMjLAmec39IyEx_6qawtMGysU/edit?usp=sharing"",""สบก!BJ32"")"),45750)</f>
        <v>45750</v>
      </c>
      <c r="N144" s="177">
        <f ca="1">IFERROR(__xludf.DUMMYFUNCTION("IMPORTRANGE(""https://docs.google.com/spreadsheets/d/1Yj_ptqi66GCucihVvJfMjLAmec39IyEx_6qawtMGysU/edit?usp=sharing"",""สบก!BK32"")"),480)</f>
        <v>480</v>
      </c>
      <c r="O144" s="178">
        <f ca="1">IF(L144&gt;0,N144*100/L144,0)</f>
        <v>0.69565217391304346</v>
      </c>
      <c r="P144" s="178">
        <f ca="1">IF(M144&gt;0,N144*100/M144,0)</f>
        <v>1.0491803278688525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IFERROR(__xludf.DUMMYFUNCTION("IMPORTRANGE(""https://docs.google.com/spreadsheets/d/1Yj_ptqi66GCucihVvJfMjLAmec39IyEx_6qawtMGysU/edit?usp=sharing"",""สบก!BF32"")"),0)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IFERROR(__xludf.DUMMYFUNCTION("IMPORTRANGE(""https://docs.google.com/spreadsheets/d/1Yj_ptqi66GCucihVvJfMjLAmec39IyEx_6qawtMGysU/edit?usp=sharing"",""สบก!BG32"")"),69000)</f>
        <v>69000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IFERROR(__xludf.DUMMYFUNCTION("IMPORTRANGE(""https://docs.google.com/spreadsheets/d/1Yj_ptqi66GCucihVvJfMjLAmec39IyEx_6qawtMGysU/edit?usp=sharing"",""สบก!BH32"")"),0)</f>
        <v>0</v>
      </c>
      <c r="M148" s="103"/>
      <c r="N148" s="93">
        <f ca="1">IFERROR(__xludf.DUMMYFUNCTION("IMPORTRANGE(""https://docs.google.com/spreadsheets/d/1Yj_ptqi66GCucihVvJfMjLAmec39IyEx_6qawtMGysU/edit?usp=sharing"",""สบก!BL32"")"),0)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IFERROR(__xludf.DUMMYFUNCTION("IMPORTRANGE(""https://docs.google.com/spreadsheets/d/11923uPwbBZFjjGgGUA6NLw09EwE0CqkOc4q9oUmW1yo/edit?usp=sharing"",""ลำปาง!I74"")"),4)</f>
        <v>4</v>
      </c>
      <c r="J149" s="284">
        <f ca="1">IFERROR(__xludf.DUMMYFUNCTION("IMPORTRANGE(""https://docs.google.com/spreadsheets/d/11923uPwbBZFjjGgGUA6NLw09EwE0CqkOc4q9oUmW1yo/edit?usp=sharing"",""ลำปาง!J74"")"),1)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IFERROR(__xludf.DUMMYFUNCTION("IMPORTRANGE(""https://docs.google.com/spreadsheets/d/11923uPwbBZFjjGgGUA6NLw09EwE0CqkOc4q9oUmW1yo/edit?usp=sharing"",""ลำปาง!J79"")"),0)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IFERROR(__xludf.DUMMYFUNCTION("IMPORTRANGE(""https://docs.google.com/spreadsheets/d/11923uPwbBZFjjGgGUA6NLw09EwE0CqkOc4q9oUmW1yo/edit?usp=sharing"",""ลำปาง!J80"")"),1)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IFERROR(__xludf.DUMMYFUNCTION("IMPORTRANGE(""https://docs.google.com/spreadsheets/d/11923uPwbBZFjjGgGUA6NLw09EwE0CqkOc4q9oUmW1yo/edit?usp=sharing"",""ลำปาง!J81"")"),0)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IFERROR(__xludf.DUMMYFUNCTION("IMPORTRANGE(""https://docs.google.com/spreadsheets/d/11923uPwbBZFjjGgGUA6NLw09EwE0CqkOc4q9oUmW1yo/edit?usp=sharing"",""ลำปาง!J82"")"),0)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IFERROR(__xludf.DUMMYFUNCTION("IMPORTRANGE(""https://docs.google.com/spreadsheets/d/11923uPwbBZFjjGgGUA6NLw09EwE0CqkOc4q9oUmW1yo/edit?usp=sharing"",""ลำปาง!I83"")"),4)</f>
        <v>4</v>
      </c>
      <c r="J158" s="198">
        <f ca="1">IFERROR(__xludf.DUMMYFUNCTION("IMPORTRANGE(""https://docs.google.com/spreadsheets/d/11923uPwbBZFjjGgGUA6NLw09EwE0CqkOc4q9oUmW1yo/edit?usp=sharing"",""ลำปาง!J83"")"),1)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IFERROR(__xludf.DUMMYFUNCTION("IMPORTRANGE(""https://docs.google.com/spreadsheets/d/11923uPwbBZFjjGgGUA6NLw09EwE0CqkOc4q9oUmW1yo/edit?usp=sharing"",""ลำปาง!J84"")"),34)</f>
        <v>34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IFERROR(__xludf.DUMMYFUNCTION("IMPORTRANGE(""https://docs.google.com/spreadsheets/d/11923uPwbBZFjjGgGUA6NLw09EwE0CqkOc4q9oUmW1yo/edit?usp=sharing"",""ลำปาง!J85"")"),34)</f>
        <v>34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IFERROR(__xludf.DUMMYFUNCTION("IMPORTRANGE(""https://docs.google.com/spreadsheets/d/11923uPwbBZFjjGgGUA6NLw09EwE0CqkOc4q9oUmW1yo/edit?usp=sharing"",""ลำปาง!J86"")"),0)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IFERROR(__xludf.DUMMYFUNCTION("IMPORTRANGE(""https://docs.google.com/spreadsheets/d/11923uPwbBZFjjGgGUA6NLw09EwE0CqkOc4q9oUmW1yo/edit?usp=sharing"",""ลำปาง!J87"")"),0)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IFERROR(__xludf.DUMMYFUNCTION("IMPORTRANGE(""https://docs.google.com/spreadsheets/d/11923uPwbBZFjjGgGUA6NLw09EwE0CqkOc4q9oUmW1yo/edit?usp=sharing"",""ลำปาง!J88"")"),0)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IFERROR(__xludf.DUMMYFUNCTION("IMPORTRANGE(""https://docs.google.com/spreadsheets/d/11923uPwbBZFjjGgGUA6NLw09EwE0CqkOc4q9oUmW1yo/edit?usp=sharing"",""ลำปาง!I89"")"),3)</f>
        <v>3</v>
      </c>
      <c r="J164" s="292">
        <f ca="1">IFERROR(__xludf.DUMMYFUNCTION("IMPORTRANGE(""https://docs.google.com/spreadsheets/d/11923uPwbBZFjjGgGUA6NLw09EwE0CqkOc4q9oUmW1yo/edit?usp=sharing"",""ลำปาง!J89"")"),0)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IFERROR(__xludf.DUMMYFUNCTION("IMPORTRANGE(""https://docs.google.com/spreadsheets/d/11923uPwbBZFjjGgGUA6NLw09EwE0CqkOc4q9oUmW1yo/edit?usp=sharing"",""ลำปาง!J94"")"),0)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IFERROR(__xludf.DUMMYFUNCTION("IMPORTRANGE(""https://docs.google.com/spreadsheets/d/11923uPwbBZFjjGgGUA6NLw09EwE0CqkOc4q9oUmW1yo/edit?usp=sharing"",""ลำปาง!J95"")"),1)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IFERROR(__xludf.DUMMYFUNCTION("IMPORTRANGE(""https://docs.google.com/spreadsheets/d/11923uPwbBZFjjGgGUA6NLw09EwE0CqkOc4q9oUmW1yo/edit?usp=sharing"",""ลำปาง!J96"")"),0)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IFERROR(__xludf.DUMMYFUNCTION("IMPORTRANGE(""https://docs.google.com/spreadsheets/d/11923uPwbBZFjjGgGUA6NLw09EwE0CqkOc4q9oUmW1yo/edit?usp=sharing"",""ลำปาง!J97"")"),0)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IFERROR(__xludf.DUMMYFUNCTION("IMPORTRANGE(""https://docs.google.com/spreadsheets/d/11923uPwbBZFjjGgGUA6NLw09EwE0CqkOc4q9oUmW1yo/edit?usp=sharing"",""ลำปาง!I98"")"),3)</f>
        <v>3</v>
      </c>
      <c r="J173" s="198">
        <f ca="1">IFERROR(__xludf.DUMMYFUNCTION("IMPORTRANGE(""https://docs.google.com/spreadsheets/d/11923uPwbBZFjjGgGUA6NLw09EwE0CqkOc4q9oUmW1yo/edit?usp=sharing"",""ลำปาง!J98"")"),0)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IFERROR(__xludf.DUMMYFUNCTION("IMPORTRANGE(""https://docs.google.com/spreadsheets/d/11923uPwbBZFjjGgGUA6NLw09EwE0CqkOc4q9oUmW1yo/edit?usp=sharing"",""ลำปาง!J99"")"),0)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IFERROR(__xludf.DUMMYFUNCTION("IMPORTRANGE(""https://docs.google.com/spreadsheets/d/11923uPwbBZFjjGgGUA6NLw09EwE0CqkOc4q9oUmW1yo/edit?usp=sharing"",""ลำปาง!J100"")"),0)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IFERROR(__xludf.DUMMYFUNCTION("IMPORTRANGE(""https://docs.google.com/spreadsheets/d/11923uPwbBZFjjGgGUA6NLw09EwE0CqkOc4q9oUmW1yo/edit?usp=sharing"",""ลำปาง!I101"")"),0)</f>
        <v>0</v>
      </c>
      <c r="J176" s="292">
        <f ca="1">IFERROR(__xludf.DUMMYFUNCTION("IMPORTRANGE(""https://docs.google.com/spreadsheets/d/11923uPwbBZFjjGgGUA6NLw09EwE0CqkOc4q9oUmW1yo/edit?usp=sharing"",""ลำปาง!J101"")"),0)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IFERROR(__xludf.DUMMYFUNCTION("IMPORTRANGE(""https://docs.google.com/spreadsheets/d/11923uPwbBZFjjGgGUA6NLw09EwE0CqkOc4q9oUmW1yo/edit?usp=sharing"",""ลำปาง!J106"")"),0)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IFERROR(__xludf.DUMMYFUNCTION("IMPORTRANGE(""https://docs.google.com/spreadsheets/d/11923uPwbBZFjjGgGUA6NLw09EwE0CqkOc4q9oUmW1yo/edit?usp=sharing"",""ลำปาง!J107"")"),0)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IFERROR(__xludf.DUMMYFUNCTION("IMPORTRANGE(""https://docs.google.com/spreadsheets/d/11923uPwbBZFjjGgGUA6NLw09EwE0CqkOc4q9oUmW1yo/edit?usp=sharing"",""ลำปาง!J108"")"),0)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IFERROR(__xludf.DUMMYFUNCTION("IMPORTRANGE(""https://docs.google.com/spreadsheets/d/11923uPwbBZFjjGgGUA6NLw09EwE0CqkOc4q9oUmW1yo/edit?usp=sharing"",""ลำปาง!J109"")"),0)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IFERROR(__xludf.DUMMYFUNCTION("IMPORTRANGE(""https://docs.google.com/spreadsheets/d/11923uPwbBZFjjGgGUA6NLw09EwE0CqkOc4q9oUmW1yo/edit?usp=sharing"",""ลำปาง!I110"")"),0)</f>
        <v>0</v>
      </c>
      <c r="J185" s="213">
        <f ca="1">IFERROR(__xludf.DUMMYFUNCTION("IMPORTRANGE(""https://docs.google.com/spreadsheets/d/11923uPwbBZFjjGgGUA6NLw09EwE0CqkOc4q9oUmW1yo/edit?usp=sharing"",""ลำปาง!J110"")"),0)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IFERROR(__xludf.DUMMYFUNCTION("IMPORTRANGE(""https://docs.google.com/spreadsheets/d/11923uPwbBZFjjGgGUA6NLw09EwE0CqkOc4q9oUmW1yo/edit?usp=sharing"",""ลำปาง!I111"")"),0)</f>
        <v>0</v>
      </c>
      <c r="J186" s="213">
        <f ca="1">IFERROR(__xludf.DUMMYFUNCTION("IMPORTRANGE(""https://docs.google.com/spreadsheets/d/11923uPwbBZFjjGgGUA6NLw09EwE0CqkOc4q9oUmW1yo/edit?usp=sharing"",""ลำปาง!J111"")"),0)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IFERROR(__xludf.DUMMYFUNCTION("IMPORTRANGE(""https://docs.google.com/spreadsheets/d/11923uPwbBZFjjGgGUA6NLw09EwE0CqkOc4q9oUmW1yo/edit?usp=sharing"",""ลำปาง!J112"")"),0)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IFERROR(__xludf.DUMMYFUNCTION("IMPORTRANGE(""https://docs.google.com/spreadsheets/d/11923uPwbBZFjjGgGUA6NLw09EwE0CqkOc4q9oUmW1yo/edit?usp=sharing"",""ลำปาง!J113"")"),0)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IFERROR(__xludf.DUMMYFUNCTION("IMPORTRANGE(""https://docs.google.com/spreadsheets/d/11923uPwbBZFjjGgGUA6NLw09EwE0CqkOc4q9oUmW1yo/edit?usp=sharing"",""ลำปาง!I114"")"),50000)</f>
        <v>50000</v>
      </c>
      <c r="J189" s="292">
        <f ca="1">IFERROR(__xludf.DUMMYFUNCTION("IMPORTRANGE(""https://docs.google.com/spreadsheets/d/11923uPwbBZFjjGgGUA6NLw09EwE0CqkOc4q9oUmW1yo/edit?usp=sharing"",""ลำปาง!J114"")"),0)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IFERROR(__xludf.DUMMYFUNCTION("IMPORTRANGE(""https://docs.google.com/spreadsheets/d/11923uPwbBZFjjGgGUA6NLw09EwE0CqkOc4q9oUmW1yo/edit?usp=sharing"",""ลำปาง!J119"")"),0)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IFERROR(__xludf.DUMMYFUNCTION("IMPORTRANGE(""https://docs.google.com/spreadsheets/d/11923uPwbBZFjjGgGUA6NLw09EwE0CqkOc4q9oUmW1yo/edit?usp=sharing"",""ลำปาง!J120"")"),1)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IFERROR(__xludf.DUMMYFUNCTION("IMPORTRANGE(""https://docs.google.com/spreadsheets/d/11923uPwbBZFjjGgGUA6NLw09EwE0CqkOc4q9oUmW1yo/edit?usp=sharing"",""ลำปาง!J121"")"),0)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IFERROR(__xludf.DUMMYFUNCTION("IMPORTRANGE(""https://docs.google.com/spreadsheets/d/11923uPwbBZFjjGgGUA6NLw09EwE0CqkOc4q9oUmW1yo/edit?usp=sharing"",""ลำปาง!J122"")"),0)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IFERROR(__xludf.DUMMYFUNCTION("IMPORTRANGE(""https://docs.google.com/spreadsheets/d/11923uPwbBZFjjGgGUA6NLw09EwE0CqkOc4q9oUmW1yo/edit?usp=sharing"",""ลำปาง!I124"")"),50000)</f>
        <v>50000</v>
      </c>
      <c r="J199" s="198">
        <f ca="1">IFERROR(__xludf.DUMMYFUNCTION("IMPORTRANGE(""https://docs.google.com/spreadsheets/d/11923uPwbBZFjjGgGUA6NLw09EwE0CqkOc4q9oUmW1yo/edit?usp=sharing"",""ลำปาง!J124"")"),0)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IFERROR(__xludf.DUMMYFUNCTION("IMPORTRANGE(""https://docs.google.com/spreadsheets/d/11923uPwbBZFjjGgGUA6NLw09EwE0CqkOc4q9oUmW1yo/edit?usp=sharing"",""ลำปาง!I125"")"),50000)</f>
        <v>50000</v>
      </c>
      <c r="J200" s="198">
        <f ca="1">IFERROR(__xludf.DUMMYFUNCTION("IMPORTRANGE(""https://docs.google.com/spreadsheets/d/11923uPwbBZFjjGgGUA6NLw09EwE0CqkOc4q9oUmW1yo/edit?usp=sharing"",""ลำปาง!J125"")"),0)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IFERROR(__xludf.DUMMYFUNCTION("IMPORTRANGE(""https://docs.google.com/spreadsheets/d/11923uPwbBZFjjGgGUA6NLw09EwE0CqkOc4q9oUmW1yo/edit?usp=sharing"",""ลำปาง!I126"")"),0)</f>
        <v>0</v>
      </c>
      <c r="J201" s="198">
        <f ca="1">IFERROR(__xludf.DUMMYFUNCTION("IMPORTRANGE(""https://docs.google.com/spreadsheets/d/11923uPwbBZFjjGgGUA6NLw09EwE0CqkOc4q9oUmW1yo/edit?usp=sharing"",""ลำปาง!J126"")"),0)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IFERROR(__xludf.DUMMYFUNCTION("IMPORTRANGE(""https://docs.google.com/spreadsheets/d/11923uPwbBZFjjGgGUA6NLw09EwE0CqkOc4q9oUmW1yo/edit?usp=sharing"",""ลำปาง!J127"")"),0)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IFERROR(__xludf.DUMMYFUNCTION("IMPORTRANGE(""https://docs.google.com/spreadsheets/d/11923uPwbBZFjjGgGUA6NLw09EwE0CqkOc4q9oUmW1yo/edit?usp=sharing"",""ลำปาง!J128"")"),0)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IFERROR(__xludf.DUMMYFUNCTION("IMPORTRANGE(""https://docs.google.com/spreadsheets/d/11923uPwbBZFjjGgGUA6NLw09EwE0CqkOc4q9oUmW1yo/edit?usp=sharing"",""ลำปาง!I129"")"),0)</f>
        <v>0</v>
      </c>
      <c r="J204" s="292">
        <f ca="1">IFERROR(__xludf.DUMMYFUNCTION("IMPORTRANGE(""https://docs.google.com/spreadsheets/d/11923uPwbBZFjjGgGUA6NLw09EwE0CqkOc4q9oUmW1yo/edit?usp=sharing"",""ลำปาง!J129"")"),0)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IFERROR(__xludf.DUMMYFUNCTION("IMPORTRANGE(""https://docs.google.com/spreadsheets/d/11923uPwbBZFjjGgGUA6NLw09EwE0CqkOc4q9oUmW1yo/edit?usp=sharing"",""ลำปาง!J134"")"),0)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IFERROR(__xludf.DUMMYFUNCTION("IMPORTRANGE(""https://docs.google.com/spreadsheets/d/11923uPwbBZFjjGgGUA6NLw09EwE0CqkOc4q9oUmW1yo/edit?usp=sharing"",""ลำปาง!J135"")"),0)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IFERROR(__xludf.DUMMYFUNCTION("IMPORTRANGE(""https://docs.google.com/spreadsheets/d/11923uPwbBZFjjGgGUA6NLw09EwE0CqkOc4q9oUmW1yo/edit?usp=sharing"",""ลำปาง!J136"")"),0)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IFERROR(__xludf.DUMMYFUNCTION("IMPORTRANGE(""https://docs.google.com/spreadsheets/d/11923uPwbBZFjjGgGUA6NLw09EwE0CqkOc4q9oUmW1yo/edit?usp=sharing"",""ลำปาง!J137"")"),0)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IFERROR(__xludf.DUMMYFUNCTION("IMPORTRANGE(""https://docs.google.com/spreadsheets/d/11923uPwbBZFjjGgGUA6NLw09EwE0CqkOc4q9oUmW1yo/edit?usp=sharing"",""ลำปาง!I138"")"),0)</f>
        <v>0</v>
      </c>
      <c r="J213" s="213">
        <f ca="1">IFERROR(__xludf.DUMMYFUNCTION("IMPORTRANGE(""https://docs.google.com/spreadsheets/d/11923uPwbBZFjjGgGUA6NLw09EwE0CqkOc4q9oUmW1yo/edit?usp=sharing"",""ลำปาง!J138"")"),0)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IFERROR(__xludf.DUMMYFUNCTION("IMPORTRANGE(""https://docs.google.com/spreadsheets/d/11923uPwbBZFjjGgGUA6NLw09EwE0CqkOc4q9oUmW1yo/edit?usp=sharing"",""ลำปาง!I140"")"),0)</f>
        <v>0</v>
      </c>
      <c r="J215" s="213">
        <f ca="1">IFERROR(__xludf.DUMMYFUNCTION("IMPORTRANGE(""https://docs.google.com/spreadsheets/d/11923uPwbBZFjjGgGUA6NLw09EwE0CqkOc4q9oUmW1yo/edit?usp=sharing"",""ลำปาง!J140"")"),0)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IFERROR(__xludf.DUMMYFUNCTION("IMPORTRANGE(""https://docs.google.com/spreadsheets/d/11923uPwbBZFjjGgGUA6NLw09EwE0CqkOc4q9oUmW1yo/edit?usp=sharing"",""ลำปาง!I141"")"),0)</f>
        <v>0</v>
      </c>
      <c r="J216" s="213">
        <f ca="1">IFERROR(__xludf.DUMMYFUNCTION("IMPORTRANGE(""https://docs.google.com/spreadsheets/d/11923uPwbBZFjjGgGUA6NLw09EwE0CqkOc4q9oUmW1yo/edit?usp=sharing"",""ลำปาง!J141"")"),0)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IFERROR(__xludf.DUMMYFUNCTION("IMPORTRANGE(""https://docs.google.com/spreadsheets/d/11923uPwbBZFjjGgGUA6NLw09EwE0CqkOc4q9oUmW1yo/edit?usp=sharing"",""ลำปาง!J142"")"),0)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IFERROR(__xludf.DUMMYFUNCTION("IMPORTRANGE(""https://docs.google.com/spreadsheets/d/11923uPwbBZFjjGgGUA6NLw09EwE0CqkOc4q9oUmW1yo/edit?usp=sharing"",""ลำปาง!J143"")"),0)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IFERROR(__xludf.DUMMYFUNCTION("IMPORTRANGE(""https://docs.google.com/spreadsheets/d/11923uPwbBZFjjGgGUA6NLw09EwE0CqkOc4q9oUmW1yo/edit?usp=sharing"",""ลำปาง!I144"")"),15)</f>
        <v>15</v>
      </c>
      <c r="J219" s="276">
        <f ca="1">IFERROR(__xludf.DUMMYFUNCTION("IMPORTRANGE(""https://docs.google.com/spreadsheets/d/11923uPwbBZFjjGgGUA6NLw09EwE0CqkOc4q9oUmW1yo/edit?usp=sharing"",""ลำปาง!J144"")"),15)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15295</v>
      </c>
      <c r="O220" s="157">
        <f t="shared" ref="O220:O222" ca="1" si="73">IF(L220&gt;0,N220*100/L220,0)</f>
        <v>72.402366863905328</v>
      </c>
      <c r="P220" s="157">
        <f t="shared" ref="P220:P222" ca="1" si="74">IF(M220&gt;0,N220*100/M220,0)</f>
        <v>72.402366863905328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15295</v>
      </c>
      <c r="O222" s="162">
        <f t="shared" ca="1" si="73"/>
        <v>72.402366863905328</v>
      </c>
      <c r="P222" s="162">
        <f t="shared" ca="1" si="74"/>
        <v>72.402366863905328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IFERROR(__xludf.DUMMYFUNCTION("IMPORTRANGE(""https://docs.google.com/spreadsheets/d/1Yj_ptqi66GCucihVvJfMjLAmec39IyEx_6qawtMGysU/edit?usp=sharing"",""สบก!BS32"")"),21125)</f>
        <v>21125</v>
      </c>
      <c r="N224" s="177">
        <f ca="1">IFERROR(__xludf.DUMMYFUNCTION("IMPORTRANGE(""https://docs.google.com/spreadsheets/d/1Yj_ptqi66GCucihVvJfMjLAmec39IyEx_6qawtMGysU/edit?usp=sharing"",""สบก!BT32"")"),15295)</f>
        <v>15295</v>
      </c>
      <c r="O224" s="178">
        <f ca="1">IF(L224&gt;0,N224*100/L224,0)</f>
        <v>72.402366863905328</v>
      </c>
      <c r="P224" s="178">
        <f ca="1">IF(M224&gt;0,N224*100/M224,0)</f>
        <v>72.402366863905328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IFERROR(__xludf.DUMMYFUNCTION("IMPORTRANGE(""https://docs.google.com/spreadsheets/d/1Yj_ptqi66GCucihVvJfMjLAmec39IyEx_6qawtMGysU/edit?usp=sharing"",""สบก!BO32"")"),0)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IFERROR(__xludf.DUMMYFUNCTION("IMPORTRANGE(""https://docs.google.com/spreadsheets/d/1Yj_ptqi66GCucihVvJfMjLAmec39IyEx_6qawtMGysU/edit?usp=sharing"",""สบก!BP32"")"),21125)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IFERROR(__xludf.DUMMYFUNCTION("IMPORTRANGE(""https://docs.google.com/spreadsheets/d/1Yj_ptqi66GCucihVvJfMjLAmec39IyEx_6qawtMGysU/edit?usp=sharing"",""สบก!BQ32"")"),0)</f>
        <v>0</v>
      </c>
      <c r="M228" s="103"/>
      <c r="N228" s="93">
        <f ca="1">IFERROR(__xludf.DUMMYFUNCTION("IMPORTRANGE(""https://docs.google.com/spreadsheets/d/1Yj_ptqi66GCucihVvJfMjLAmec39IyEx_6qawtMGysU/edit?usp=sharing"",""สบก!BU32"")"),0)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IFERROR(__xludf.DUMMYFUNCTION("IMPORTRANGE(""https://docs.google.com/spreadsheets/d/11923uPwbBZFjjGgGUA6NLw09EwE0CqkOc4q9oUmW1yo/edit?usp=sharing"",""ลำปาง!I149"")"),15)</f>
        <v>15</v>
      </c>
      <c r="J229" s="276">
        <f ca="1">IFERROR(__xludf.DUMMYFUNCTION("IMPORTRANGE(""https://docs.google.com/spreadsheets/d/11923uPwbBZFjjGgGUA6NLw09EwE0CqkOc4q9oUmW1yo/edit?usp=sharing"",""ลำปาง!J149"")"),15)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IFERROR(__xludf.DUMMYFUNCTION("IMPORTRANGE(""https://docs.google.com/spreadsheets/d/11923uPwbBZFjjGgGUA6NLw09EwE0CqkOc4q9oUmW1yo/edit?usp=sharing"",""ลำปาง!J151"")"),0)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IFERROR(__xludf.DUMMYFUNCTION("IMPORTRANGE(""https://docs.google.com/spreadsheets/d/11923uPwbBZFjjGgGUA6NLw09EwE0CqkOc4q9oUmW1yo/edit?usp=sharing"",""ลำปาง!J152"")"),1)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IFERROR(__xludf.DUMMYFUNCTION("IMPORTRANGE(""https://docs.google.com/spreadsheets/d/11923uPwbBZFjjGgGUA6NLw09EwE0CqkOc4q9oUmW1yo/edit?usp=sharing"",""ลำปาง!J153"")"),1)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IFERROR(__xludf.DUMMYFUNCTION("IMPORTRANGE(""https://docs.google.com/spreadsheets/d/11923uPwbBZFjjGgGUA6NLw09EwE0CqkOc4q9oUmW1yo/edit?usp=sharing"",""ลำปาง!J154"")"),1)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IFERROR(__xludf.DUMMYFUNCTION("IMPORTRANGE(""https://docs.google.com/spreadsheets/d/11923uPwbBZFjjGgGUA6NLw09EwE0CqkOc4q9oUmW1yo/edit?usp=sharing"",""ลำปาง!I155"")"),15)</f>
        <v>15</v>
      </c>
      <c r="J235" s="198">
        <f ca="1">IFERROR(__xludf.DUMMYFUNCTION("IMPORTRANGE(""https://docs.google.com/spreadsheets/d/11923uPwbBZFjjGgGUA6NLw09EwE0CqkOc4q9oUmW1yo/edit?usp=sharing"",""ลำปาง!J155"")"),15)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IFERROR(__xludf.DUMMYFUNCTION("IMPORTRANGE(""https://docs.google.com/spreadsheets/d/11923uPwbBZFjjGgGUA6NLw09EwE0CqkOc4q9oUmW1yo/edit?usp=sharing"",""ลำปาง!J156"")"),0)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IFERROR(__xludf.DUMMYFUNCTION("IMPORTRANGE(""https://docs.google.com/spreadsheets/d/11923uPwbBZFjjGgGUA6NLw09EwE0CqkOc4q9oUmW1yo/edit?usp=sharing"",""ลำปาง!J157"")"),0)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IFERROR(__xludf.DUMMYFUNCTION("IMPORTRANGE(""https://docs.google.com/spreadsheets/d/11923uPwbBZFjjGgGUA6NLw09EwE0CqkOc4q9oUmW1yo/edit?usp=sharing"",""ลำปาง!I158"")"),0)</f>
        <v>0</v>
      </c>
      <c r="J238" s="276">
        <f ca="1">IFERROR(__xludf.DUMMYFUNCTION("IMPORTRANGE(""https://docs.google.com/spreadsheets/d/11923uPwbBZFjjGgGUA6NLw09EwE0CqkOc4q9oUmW1yo/edit?usp=sharing"",""ลำปาง!J158"")"),0)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IFERROR(__xludf.DUMMYFUNCTION("IMPORTRANGE(""https://docs.google.com/spreadsheets/d/11923uPwbBZFjjGgGUA6NLw09EwE0CqkOc4q9oUmW1yo/edit?usp=sharing"",""ลำปาง!J159"")"),"")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IFERROR(__xludf.DUMMYFUNCTION("IMPORTRANGE(""https://docs.google.com/spreadsheets/d/11923uPwbBZFjjGgGUA6NLw09EwE0CqkOc4q9oUmW1yo/edit?usp=sharing"",""ลำปาง!J161"")"),0)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IFERROR(__xludf.DUMMYFUNCTION("IMPORTRANGE(""https://docs.google.com/spreadsheets/d/11923uPwbBZFjjGgGUA6NLw09EwE0CqkOc4q9oUmW1yo/edit?usp=sharing"",""ลำปาง!J162"")"),0)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IFERROR(__xludf.DUMMYFUNCTION("IMPORTRANGE(""https://docs.google.com/spreadsheets/d/11923uPwbBZFjjGgGUA6NLw09EwE0CqkOc4q9oUmW1yo/edit?usp=sharing"",""ลำปาง!J163"")"),0)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IFERROR(__xludf.DUMMYFUNCTION("IMPORTRANGE(""https://docs.google.com/spreadsheets/d/11923uPwbBZFjjGgGUA6NLw09EwE0CqkOc4q9oUmW1yo/edit?usp=sharing"",""ลำปาง!I164"")"),0)</f>
        <v>0</v>
      </c>
      <c r="J244" s="197">
        <f ca="1">IFERROR(__xludf.DUMMYFUNCTION("IMPORTRANGE(""https://docs.google.com/spreadsheets/d/11923uPwbBZFjjGgGUA6NLw09EwE0CqkOc4q9oUmW1yo/edit?usp=sharing"",""ลำปาง!J164"")"),0)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IFERROR(__xludf.DUMMYFUNCTION("IMPORTRANGE(""https://docs.google.com/spreadsheets/d/11923uPwbBZFjjGgGUA6NLw09EwE0CqkOc4q9oUmW1yo/edit?usp=sharing"",""ลำปาง!J165"")"),0)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IFERROR(__xludf.DUMMYFUNCTION("IMPORTRANGE(""https://docs.google.com/spreadsheets/d/11923uPwbBZFjjGgGUA6NLw09EwE0CqkOc4q9oUmW1yo/edit?usp=sharing"",""ลำปาง!J166"")"),0)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IFERROR(__xludf.DUMMYFUNCTION("IMPORTRANGE(""https://docs.google.com/spreadsheets/d/11923uPwbBZFjjGgGUA6NLw09EwE0CqkOc4q9oUmW1yo/edit?usp=sharing"",""ลำปาง!I169"")"),0)</f>
        <v>0</v>
      </c>
      <c r="J249" s="324">
        <f ca="1">IFERROR(__xludf.DUMMYFUNCTION("IMPORTRANGE(""https://docs.google.com/spreadsheets/d/11923uPwbBZFjjGgGUA6NLw09EwE0CqkOc4q9oUmW1yo/edit?usp=sharing"",""ลำปาง!J169"")"),0)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IFERROR(__xludf.DUMMYFUNCTION("IMPORTRANGE(""https://docs.google.com/spreadsheets/d/1Yj_ptqi66GCucihVvJfMjLAmec39IyEx_6qawtMGysU/edit?usp=sharing"",""สบก!CB32"")"),0)</f>
        <v>0</v>
      </c>
      <c r="N254" s="177">
        <f ca="1">IFERROR(__xludf.DUMMYFUNCTION("IMPORTRANGE(""https://docs.google.com/spreadsheets/d/1Yj_ptqi66GCucihVvJfMjLAmec39IyEx_6qawtMGysU/edit?usp=sharing"",""สบก!CC32"")"),0)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IFERROR(__xludf.DUMMYFUNCTION("IMPORTRANGE(""https://docs.google.com/spreadsheets/d/1Yj_ptqi66GCucihVvJfMjLAmec39IyEx_6qawtMGysU/edit?usp=sharing"",""สบก!BX32"")"),0)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IFERROR(__xludf.DUMMYFUNCTION("IMPORTRANGE(""https://docs.google.com/spreadsheets/d/1Yj_ptqi66GCucihVvJfMjLAmec39IyEx_6qawtMGysU/edit?usp=sharing"",""สบก!BY32"")"),0)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IFERROR(__xludf.DUMMYFUNCTION("IMPORTRANGE(""https://docs.google.com/spreadsheets/d/1Yj_ptqi66GCucihVvJfMjLAmec39IyEx_6qawtMGysU/edit?usp=sharing"",""สบก!BZ32"")"),0)</f>
        <v>0</v>
      </c>
      <c r="M258" s="103"/>
      <c r="N258" s="93">
        <f ca="1">IFERROR(__xludf.DUMMYFUNCTION("IMPORTRANGE(""https://docs.google.com/spreadsheets/d/1Yj_ptqi66GCucihVvJfMjLAmec39IyEx_6qawtMGysU/edit?usp=sharing"",""สบก!CD32"")"),0)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IFERROR(__xludf.DUMMYFUNCTION("IMPORTRANGE(""https://docs.google.com/spreadsheets/d/11923uPwbBZFjjGgGUA6NLw09EwE0CqkOc4q9oUmW1yo/edit?usp=sharing"",""ลำปาง!J175"")"),0)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IFERROR(__xludf.DUMMYFUNCTION("IMPORTRANGE(""https://docs.google.com/spreadsheets/d/11923uPwbBZFjjGgGUA6NLw09EwE0CqkOc4q9oUmW1yo/edit?usp=sharing"",""ลำปาง!J176"")"),0)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IFERROR(__xludf.DUMMYFUNCTION("IMPORTRANGE(""https://docs.google.com/spreadsheets/d/11923uPwbBZFjjGgGUA6NLw09EwE0CqkOc4q9oUmW1yo/edit?usp=sharing"",""ลำปาง!J177"")"),0)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IFERROR(__xludf.DUMMYFUNCTION("IMPORTRANGE(""https://docs.google.com/spreadsheets/d/11923uPwbBZFjjGgGUA6NLw09EwE0CqkOc4q9oUmW1yo/edit?usp=sharing"",""ลำปาง!J178"")"),0)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IFERROR(__xludf.DUMMYFUNCTION("IMPORTRANGE(""https://docs.google.com/spreadsheets/d/11923uPwbBZFjjGgGUA6NLw09EwE0CqkOc4q9oUmW1yo/edit?usp=sharing"",""ลำปาง!I179"")"),0)</f>
        <v>0</v>
      </c>
      <c r="J264" s="198">
        <f ca="1">IFERROR(__xludf.DUMMYFUNCTION("IMPORTRANGE(""https://docs.google.com/spreadsheets/d/11923uPwbBZFjjGgGUA6NLw09EwE0CqkOc4q9oUmW1yo/edit?usp=sharing"",""ลำปาง!J179"")"),0)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IFERROR(__xludf.DUMMYFUNCTION("IMPORTRANGE(""https://docs.google.com/spreadsheets/d/11923uPwbBZFjjGgGUA6NLw09EwE0CqkOc4q9oUmW1yo/edit?usp=sharing"",""ลำปาง!I180"")"),0)</f>
        <v>0</v>
      </c>
      <c r="J265" s="198">
        <f ca="1">IFERROR(__xludf.DUMMYFUNCTION("IMPORTRANGE(""https://docs.google.com/spreadsheets/d/11923uPwbBZFjjGgGUA6NLw09EwE0CqkOc4q9oUmW1yo/edit?usp=sharing"",""ลำปาง!J180"")"),0)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IFERROR(__xludf.DUMMYFUNCTION("IMPORTRANGE(""https://docs.google.com/spreadsheets/d/11923uPwbBZFjjGgGUA6NLw09EwE0CqkOc4q9oUmW1yo/edit?usp=sharing"",""ลำปาง!I181"")"),0)</f>
        <v>0</v>
      </c>
      <c r="J266" s="198">
        <f ca="1">IFERROR(__xludf.DUMMYFUNCTION("IMPORTRANGE(""https://docs.google.com/spreadsheets/d/11923uPwbBZFjjGgGUA6NLw09EwE0CqkOc4q9oUmW1yo/edit?usp=sharing"",""ลำปาง!J181"")"),0)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IFERROR(__xludf.DUMMYFUNCTION("IMPORTRANGE(""https://docs.google.com/spreadsheets/d/11923uPwbBZFjjGgGUA6NLw09EwE0CqkOc4q9oUmW1yo/edit?usp=sharing"",""ลำปาง!I182"")"),0)</f>
        <v>0</v>
      </c>
      <c r="J267" s="198">
        <f ca="1">IFERROR(__xludf.DUMMYFUNCTION("IMPORTRANGE(""https://docs.google.com/spreadsheets/d/11923uPwbBZFjjGgGUA6NLw09EwE0CqkOc4q9oUmW1yo/edit?usp=sharing"",""ลำปาง!J182"")"),0)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IFERROR(__xludf.DUMMYFUNCTION("IMPORTRANGE(""https://docs.google.com/spreadsheets/d/11923uPwbBZFjjGgGUA6NLw09EwE0CqkOc4q9oUmW1yo/edit?usp=sharing"",""ลำปาง!J183"")"),0)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IFERROR(__xludf.DUMMYFUNCTION("IMPORTRANGE(""https://docs.google.com/spreadsheets/d/11923uPwbBZFjjGgGUA6NLw09EwE0CqkOc4q9oUmW1yo/edit?usp=sharing"",""ลำปาง!J184"")"),0)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IFERROR(__xludf.DUMMYFUNCTION("IMPORTRANGE(""https://docs.google.com/spreadsheets/d/11923uPwbBZFjjGgGUA6NLw09EwE0CqkOc4q9oUmW1yo/edit?usp=sharing"",""ลำปาง!I185"")"),15)</f>
        <v>15</v>
      </c>
      <c r="J270" s="324">
        <f ca="1">IFERROR(__xludf.DUMMYFUNCTION("IMPORTRANGE(""https://docs.google.com/spreadsheets/d/11923uPwbBZFjjGgGUA6NLw09EwE0CqkOc4q9oUmW1yo/edit?usp=sharing"",""ลำปาง!J185"")"),0)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187200</v>
      </c>
      <c r="M271" s="158">
        <f t="shared" ca="1" si="83"/>
        <v>98250</v>
      </c>
      <c r="N271" s="158">
        <f t="shared" ca="1" si="83"/>
        <v>37807</v>
      </c>
      <c r="O271" s="157">
        <f t="shared" ref="O271:O273" ca="1" si="84">IF(L271&gt;0,N271*100/L271,0)</f>
        <v>20.196047008547009</v>
      </c>
      <c r="P271" s="157">
        <f t="shared" ref="P271:P273" ca="1" si="85">IF(M271&gt;0,N271*100/M271,0)</f>
        <v>38.480407124681932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187200</v>
      </c>
      <c r="M273" s="163">
        <f t="shared" ca="1" si="87"/>
        <v>98250</v>
      </c>
      <c r="N273" s="163">
        <f t="shared" ca="1" si="87"/>
        <v>37807</v>
      </c>
      <c r="O273" s="162">
        <f t="shared" ca="1" si="84"/>
        <v>20.196047008547009</v>
      </c>
      <c r="P273" s="162">
        <f t="shared" ca="1" si="85"/>
        <v>38.480407124681932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187200</v>
      </c>
      <c r="M275" s="176">
        <f ca="1">IFERROR(__xludf.DUMMYFUNCTION("IMPORTRANGE(""https://docs.google.com/spreadsheets/d/1Yj_ptqi66GCucihVvJfMjLAmec39IyEx_6qawtMGysU/edit?usp=sharing"",""สบก!CK32"")"),98250)</f>
        <v>98250</v>
      </c>
      <c r="N275" s="177">
        <f ca="1">IFERROR(__xludf.DUMMYFUNCTION("IMPORTRANGE(""https://docs.google.com/spreadsheets/d/1Yj_ptqi66GCucihVvJfMjLAmec39IyEx_6qawtMGysU/edit?usp=sharing"",""สบก!CL32"")"),37807)</f>
        <v>37807</v>
      </c>
      <c r="O275" s="178">
        <f ca="1">IF(L275&gt;0,N275*100/L275,0)</f>
        <v>20.196047008547009</v>
      </c>
      <c r="P275" s="178">
        <f ca="1">IF(M275&gt;0,N275*100/M275,0)</f>
        <v>38.480407124681932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IFERROR(__xludf.DUMMYFUNCTION("IMPORTRANGE(""https://docs.google.com/spreadsheets/d/1Yj_ptqi66GCucihVvJfMjLAmec39IyEx_6qawtMGysU/edit?usp=sharing"",""สบก!CG32"")"),132000)</f>
        <v>132000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IFERROR(__xludf.DUMMYFUNCTION("IMPORTRANGE(""https://docs.google.com/spreadsheets/d/1Yj_ptqi66GCucihVvJfMjLAmec39IyEx_6qawtMGysU/edit?usp=sharing"",""สบก!CH32"")"),55200)</f>
        <v>55200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IFERROR(__xludf.DUMMYFUNCTION("IMPORTRANGE(""https://docs.google.com/spreadsheets/d/1Yj_ptqi66GCucihVvJfMjLAmec39IyEx_6qawtMGysU/edit?usp=sharing"",""สบก!CI32"")"),0)</f>
        <v>0</v>
      </c>
      <c r="M279" s="103"/>
      <c r="N279" s="93">
        <f ca="1">IFERROR(__xludf.DUMMYFUNCTION("IMPORTRANGE(""https://docs.google.com/spreadsheets/d/1Yj_ptqi66GCucihVvJfMjLAmec39IyEx_6qawtMGysU/edit?usp=sharing"",""สบก!CM32"")"),0)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IFERROR(__xludf.DUMMYFUNCTION("IMPORTRANGE(""https://docs.google.com/spreadsheets/d/11923uPwbBZFjjGgGUA6NLw09EwE0CqkOc4q9oUmW1yo/edit?usp=sharing"",""ลำปาง!J191"")"),0)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IFERROR(__xludf.DUMMYFUNCTION("IMPORTRANGE(""https://docs.google.com/spreadsheets/d/11923uPwbBZFjjGgGUA6NLw09EwE0CqkOc4q9oUmW1yo/edit?usp=sharing"",""ลำปาง!J192"")"),1)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IFERROR(__xludf.DUMMYFUNCTION("IMPORTRANGE(""https://docs.google.com/spreadsheets/d/11923uPwbBZFjjGgGUA6NLw09EwE0CqkOc4q9oUmW1yo/edit?usp=sharing"",""ลำปาง!J193"")"),1)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IFERROR(__xludf.DUMMYFUNCTION("IMPORTRANGE(""https://docs.google.com/spreadsheets/d/11923uPwbBZFjjGgGUA6NLw09EwE0CqkOc4q9oUmW1yo/edit?usp=sharing"",""ลำปาง!J194"")"),0)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IFERROR(__xludf.DUMMYFUNCTION("IMPORTRANGE(""https://docs.google.com/spreadsheets/d/11923uPwbBZFjjGgGUA6NLw09EwE0CqkOc4q9oUmW1yo/edit?usp=sharing"",""ลำปาง!I195"")"),15)</f>
        <v>15</v>
      </c>
      <c r="J285" s="198">
        <f ca="1">IFERROR(__xludf.DUMMYFUNCTION("IMPORTRANGE(""https://docs.google.com/spreadsheets/d/11923uPwbBZFjjGgGUA6NLw09EwE0CqkOc4q9oUmW1yo/edit?usp=sharing"",""ลำปาง!J195"")"),0)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IFERROR(__xludf.DUMMYFUNCTION("IMPORTRANGE(""https://docs.google.com/spreadsheets/d/11923uPwbBZFjjGgGUA6NLw09EwE0CqkOc4q9oUmW1yo/edit?usp=sharing"",""ลำปาง!J196"")"),0)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IFERROR(__xludf.DUMMYFUNCTION("IMPORTRANGE(""https://docs.google.com/spreadsheets/d/11923uPwbBZFjjGgGUA6NLw09EwE0CqkOc4q9oUmW1yo/edit?usp=sharing"",""ลำปาง!J197"")"),0)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IFERROR(__xludf.DUMMYFUNCTION("IMPORTRANGE(""https://docs.google.com/spreadsheets/d/11923uPwbBZFjjGgGUA6NLw09EwE0CqkOc4q9oUmW1yo/edit?usp=sharing"",""ลำปาง!I199"")"),0)</f>
        <v>0</v>
      </c>
      <c r="J289" s="324">
        <f ca="1">IFERROR(__xludf.DUMMYFUNCTION("IMPORTRANGE(""https://docs.google.com/spreadsheets/d/11923uPwbBZFjjGgGUA6NLw09EwE0CqkOc4q9oUmW1yo/edit?usp=sharing"",""ลำปาง!J199"")"),0)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IFERROR(__xludf.DUMMYFUNCTION("IMPORTRANGE(""https://docs.google.com/spreadsheets/d/1Yj_ptqi66GCucihVvJfMjLAmec39IyEx_6qawtMGysU/edit?usp=sharing"",""สบก!CT32"")"),0)</f>
        <v>0</v>
      </c>
      <c r="N294" s="177">
        <f ca="1">IFERROR(__xludf.DUMMYFUNCTION("IMPORTRANGE(""https://docs.google.com/spreadsheets/d/1Yj_ptqi66GCucihVvJfMjLAmec39IyEx_6qawtMGysU/edit?usp=sharing"",""สบก!CU32"")"),0)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IFERROR(__xludf.DUMMYFUNCTION("IMPORTRANGE(""https://docs.google.com/spreadsheets/d/1Yj_ptqi66GCucihVvJfMjLAmec39IyEx_6qawtMGysU/edit?usp=sharing"",""สบก!CP32"")"),0)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IFERROR(__xludf.DUMMYFUNCTION("IMPORTRANGE(""https://docs.google.com/spreadsheets/d/1Yj_ptqi66GCucihVvJfMjLAmec39IyEx_6qawtMGysU/edit?usp=sharing"",""สบก!CQ32"")"),0)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IFERROR(__xludf.DUMMYFUNCTION("IMPORTRANGE(""https://docs.google.com/spreadsheets/d/1Yj_ptqi66GCucihVvJfMjLAmec39IyEx_6qawtMGysU/edit?usp=sharing"",""สบก!CR32"")"),0)</f>
        <v>0</v>
      </c>
      <c r="M298" s="103"/>
      <c r="N298" s="93">
        <f ca="1">IFERROR(__xludf.DUMMYFUNCTION("IMPORTRANGE(""https://docs.google.com/spreadsheets/d/1Yj_ptqi66GCucihVvJfMjLAmec39IyEx_6qawtMGysU/edit?usp=sharing"",""สบก!CV32"")"),0)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IFERROR(__xludf.DUMMYFUNCTION("IMPORTRANGE(""https://docs.google.com/spreadsheets/d/11923uPwbBZFjjGgGUA6NLw09EwE0CqkOc4q9oUmW1yo/edit?usp=sharing"",""ลำปาง!J205"")"),0)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IFERROR(__xludf.DUMMYFUNCTION("IMPORTRANGE(""https://docs.google.com/spreadsheets/d/11923uPwbBZFjjGgGUA6NLw09EwE0CqkOc4q9oUmW1yo/edit?usp=sharing"",""ลำปาง!J206"")"),0)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IFERROR(__xludf.DUMMYFUNCTION("IMPORTRANGE(""https://docs.google.com/spreadsheets/d/11923uPwbBZFjjGgGUA6NLw09EwE0CqkOc4q9oUmW1yo/edit?usp=sharing"",""ลำปาง!J207"")"),0)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IFERROR(__xludf.DUMMYFUNCTION("IMPORTRANGE(""https://docs.google.com/spreadsheets/d/11923uPwbBZFjjGgGUA6NLw09EwE0CqkOc4q9oUmW1yo/edit?usp=sharing"",""ลำปาง!J208"")"),0)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IFERROR(__xludf.DUMMYFUNCTION("IMPORTRANGE(""https://docs.google.com/spreadsheets/d/11923uPwbBZFjjGgGUA6NLw09EwE0CqkOc4q9oUmW1yo/edit?usp=sharing"",""ลำปาง!I209"")"),0)</f>
        <v>0</v>
      </c>
      <c r="J304" s="213">
        <f ca="1">IFERROR(__xludf.DUMMYFUNCTION("IMPORTRANGE(""https://docs.google.com/spreadsheets/d/11923uPwbBZFjjGgGUA6NLw09EwE0CqkOc4q9oUmW1yo/edit?usp=sharing"",""ลำปาง!J209"")"),0)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IFERROR(__xludf.DUMMYFUNCTION("IMPORTRANGE(""https://docs.google.com/spreadsheets/d/11923uPwbBZFjjGgGUA6NLw09EwE0CqkOc4q9oUmW1yo/edit?usp=sharing"",""ลำปาง!I211"")"),0)</f>
        <v>0</v>
      </c>
      <c r="J306" s="213">
        <f ca="1">IFERROR(__xludf.DUMMYFUNCTION("IMPORTRANGE(""https://docs.google.com/spreadsheets/d/11923uPwbBZFjjGgGUA6NLw09EwE0CqkOc4q9oUmW1yo/edit?usp=sharing"",""ลำปาง!J211"")"),0)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IFERROR(__xludf.DUMMYFUNCTION("IMPORTRANGE(""https://docs.google.com/spreadsheets/d/11923uPwbBZFjjGgGUA6NLw09EwE0CqkOc4q9oUmW1yo/edit?usp=sharing"",""ลำปาง!J212"")"),0)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IFERROR(__xludf.DUMMYFUNCTION("IMPORTRANGE(""https://docs.google.com/spreadsheets/d/11923uPwbBZFjjGgGUA6NLw09EwE0CqkOc4q9oUmW1yo/edit?usp=sharing"",""ลำปาง!J213"")"),0)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IFERROR(__xludf.DUMMYFUNCTION("IMPORTRANGE(""https://docs.google.com/spreadsheets/d/11923uPwbBZFjjGgGUA6NLw09EwE0CqkOc4q9oUmW1yo/edit?usp=sharing"",""ลำปาง!I214"")"),0)</f>
        <v>0</v>
      </c>
      <c r="J309" s="341">
        <f ca="1">IFERROR(__xludf.DUMMYFUNCTION("IMPORTRANGE(""https://docs.google.com/spreadsheets/d/11923uPwbBZFjjGgGUA6NLw09EwE0CqkOc4q9oUmW1yo/edit?usp=sharing"",""ลำปาง!J214"")"),0)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IFERROR(__xludf.DUMMYFUNCTION("IMPORTRANGE(""https://docs.google.com/spreadsheets/d/1Yj_ptqi66GCucihVvJfMjLAmec39IyEx_6qawtMGysU/edit?usp=sharing"",""สบก!DC32"")"),0)</f>
        <v>0</v>
      </c>
      <c r="N314" s="177">
        <f ca="1">IFERROR(__xludf.DUMMYFUNCTION("IMPORTRANGE(""https://docs.google.com/spreadsheets/d/1Yj_ptqi66GCucihVvJfMjLAmec39IyEx_6qawtMGysU/edit?usp=sharing"",""สบก!DD32"")"),0)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IFERROR(__xludf.DUMMYFUNCTION("IMPORTRANGE(""https://docs.google.com/spreadsheets/d/1Yj_ptqi66GCucihVvJfMjLAmec39IyEx_6qawtMGysU/edit?usp=sharing"",""สบก!CY32"")"),0)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IFERROR(__xludf.DUMMYFUNCTION("IMPORTRANGE(""https://docs.google.com/spreadsheets/d/1Yj_ptqi66GCucihVvJfMjLAmec39IyEx_6qawtMGysU/edit?usp=sharing"",""สบก!CZ32"")"),0)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IFERROR(__xludf.DUMMYFUNCTION("IMPORTRANGE(""https://docs.google.com/spreadsheets/d/1Yj_ptqi66GCucihVvJfMjLAmec39IyEx_6qawtMGysU/edit?usp=sharing"",""สบก!DA32"")"),0)</f>
        <v>0</v>
      </c>
      <c r="M318" s="103"/>
      <c r="N318" s="93">
        <f ca="1">IFERROR(__xludf.DUMMYFUNCTION("IMPORTRANGE(""https://docs.google.com/spreadsheets/d/1Yj_ptqi66GCucihVvJfMjLAmec39IyEx_6qawtMGysU/edit?usp=sharing"",""สบก!DE32"")"),0)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IFERROR(__xludf.DUMMYFUNCTION("IMPORTRANGE(""https://docs.google.com/spreadsheets/d/11923uPwbBZFjjGgGUA6NLw09EwE0CqkOc4q9oUmW1yo/edit?usp=sharing"",""ลำปาง!J220"")"),0)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IFERROR(__xludf.DUMMYFUNCTION("IMPORTRANGE(""https://docs.google.com/spreadsheets/d/11923uPwbBZFjjGgGUA6NLw09EwE0CqkOc4q9oUmW1yo/edit?usp=sharing"",""ลำปาง!J221"")"),0)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IFERROR(__xludf.DUMMYFUNCTION("IMPORTRANGE(""https://docs.google.com/spreadsheets/d/11923uPwbBZFjjGgGUA6NLw09EwE0CqkOc4q9oUmW1yo/edit?usp=sharing"",""ลำปาง!J222"")"),0)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IFERROR(__xludf.DUMMYFUNCTION("IMPORTRANGE(""https://docs.google.com/spreadsheets/d/11923uPwbBZFjjGgGUA6NLw09EwE0CqkOc4q9oUmW1yo/edit?usp=sharing"",""ลำปาง!J223"")"),0)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IFERROR(__xludf.DUMMYFUNCTION("IMPORTRANGE(""https://docs.google.com/spreadsheets/d/11923uPwbBZFjjGgGUA6NLw09EwE0CqkOc4q9oUmW1yo/edit?usp=sharing"",""ลำปาง!I224"")"),0)</f>
        <v>0</v>
      </c>
      <c r="J324" s="213">
        <f ca="1">IFERROR(__xludf.DUMMYFUNCTION("IMPORTRANGE(""https://docs.google.com/spreadsheets/d/11923uPwbBZFjjGgGUA6NLw09EwE0CqkOc4q9oUmW1yo/edit?usp=sharing"",""ลำปาง!J224"")"),0)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IFERROR(__xludf.DUMMYFUNCTION("IMPORTRANGE(""https://docs.google.com/spreadsheets/d/11923uPwbBZFjjGgGUA6NLw09EwE0CqkOc4q9oUmW1yo/edit?usp=sharing"",""ลำปาง!J225"")"),0)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IFERROR(__xludf.DUMMYFUNCTION("IMPORTRANGE(""https://docs.google.com/spreadsheets/d/11923uPwbBZFjjGgGUA6NLw09EwE0CqkOc4q9oUmW1yo/edit?usp=sharing"",""ลำปาง!J226"")"),0)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IFERROR(__xludf.DUMMYFUNCTION("IMPORTRANGE(""https://docs.google.com/spreadsheets/d/11923uPwbBZFjjGgGUA6NLw09EwE0CqkOc4q9oUmW1yo/edit?usp=sharing"",""ลำปาง!I228"")"),400)</f>
        <v>400</v>
      </c>
      <c r="J328" s="347">
        <f ca="1">IFERROR(__xludf.DUMMYFUNCTION("IMPORTRANGE(""https://docs.google.com/spreadsheets/d/11923uPwbBZFjjGgGUA6NLw09EwE0CqkOc4q9oUmW1yo/edit?usp=sharing"",""ลำปาง!J228"")"),136)</f>
        <v>136</v>
      </c>
      <c r="K328" s="325">
        <f ca="1">IF(I328&gt;0,J328*100/I328,0)</f>
        <v>34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1044600</v>
      </c>
      <c r="M329" s="158">
        <f t="shared" ca="1" si="98"/>
        <v>480610</v>
      </c>
      <c r="N329" s="158">
        <f t="shared" ca="1" si="98"/>
        <v>462455</v>
      </c>
      <c r="O329" s="157">
        <f t="shared" ref="O329:O331" ca="1" si="99">IF(L329&gt;0,N329*100/L329,0)</f>
        <v>44.271012827876696</v>
      </c>
      <c r="P329" s="157">
        <f t="shared" ref="P329:P331" ca="1" si="100">IF(M329&gt;0,N329*100/M329,0)</f>
        <v>96.222508894946003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1044600</v>
      </c>
      <c r="M331" s="163">
        <f t="shared" ca="1" si="102"/>
        <v>480610</v>
      </c>
      <c r="N331" s="163">
        <f t="shared" ca="1" si="102"/>
        <v>462455</v>
      </c>
      <c r="O331" s="162">
        <f t="shared" ca="1" si="99"/>
        <v>44.271012827876696</v>
      </c>
      <c r="P331" s="162">
        <f t="shared" ca="1" si="100"/>
        <v>96.222508894946003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897600</v>
      </c>
      <c r="M333" s="176">
        <f ca="1">IFERROR(__xludf.DUMMYFUNCTION("IMPORTRANGE(""https://docs.google.com/spreadsheets/d/1Yj_ptqi66GCucihVvJfMjLAmec39IyEx_6qawtMGysU/edit?usp=sharing"",""สบก!DL32"")"),480610)</f>
        <v>480610</v>
      </c>
      <c r="N333" s="177">
        <f ca="1">IFERROR(__xludf.DUMMYFUNCTION("IMPORTRANGE(""https://docs.google.com/spreadsheets/d/1Yj_ptqi66GCucihVvJfMjLAmec39IyEx_6qawtMGysU/edit?usp=sharing"",""สบก!DM32"")"),342455)</f>
        <v>342455</v>
      </c>
      <c r="O333" s="178">
        <f ca="1">IF(L333&gt;0,N333*100/L333,0)</f>
        <v>38.152295008912652</v>
      </c>
      <c r="P333" s="178">
        <f ca="1">IF(M333&gt;0,N333*100/M333,0)</f>
        <v>71.25423940409064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IFERROR(__xludf.DUMMYFUNCTION("IMPORTRANGE(""https://docs.google.com/spreadsheets/d/1Yj_ptqi66GCucihVvJfMjLAmec39IyEx_6qawtMGysU/edit?usp=sharing"",""สบก!DH32"")"),491200)</f>
        <v>491200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IFERROR(__xludf.DUMMYFUNCTION("IMPORTRANGE(""https://docs.google.com/spreadsheets/d/1Yj_ptqi66GCucihVvJfMjLAmec39IyEx_6qawtMGysU/edit?usp=sharing"",""สบก!DI32"")"),406400)</f>
        <v>406400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IFERROR(__xludf.DUMMYFUNCTION("IMPORTRANGE(""https://docs.google.com/spreadsheets/d/1Yj_ptqi66GCucihVvJfMjLAmec39IyEx_6qawtMGysU/edit?usp=sharing"",""สบก!DJ32"")"),147000)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IFERROR(__xludf.DUMMYFUNCTION("IMPORTRANGE(""https://docs.google.com/spreadsheets/d/1Yj_ptqi66GCucihVvJfMjLAmec39IyEx_6qawtMGysU/edit?usp=sharing"",""สบก!DN32"")"),120000)</f>
        <v>120000</v>
      </c>
      <c r="O337" s="103">
        <f ca="1">IF(L337&gt;0,N337*100/L337,0)</f>
        <v>81.632653061224488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IFERROR(__xludf.DUMMYFUNCTION("IMPORTRANGE(""https://docs.google.com/spreadsheets/d/11923uPwbBZFjjGgGUA6NLw09EwE0CqkOc4q9oUmW1yo/edit?usp=sharing"",""ลำปาง!I234"")"),0)</f>
        <v>0</v>
      </c>
      <c r="J339" s="197">
        <f ca="1">IFERROR(__xludf.DUMMYFUNCTION("IMPORTRANGE(""https://docs.google.com/spreadsheets/d/11923uPwbBZFjjGgGUA6NLw09EwE0CqkOc4q9oUmW1yo/edit?usp=sharing"",""ลำปาง!J234"")"),183)</f>
        <v>183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IFERROR(__xludf.DUMMYFUNCTION("IMPORTRANGE(""https://docs.google.com/spreadsheets/d/11923uPwbBZFjjGgGUA6NLw09EwE0CqkOc4q9oUmW1yo/edit?usp=sharing"",""ลำปาง!I235"")"),1700)</f>
        <v>1700</v>
      </c>
      <c r="J340" s="197">
        <f ca="1">IFERROR(__xludf.DUMMYFUNCTION("IMPORTRANGE(""https://docs.google.com/spreadsheets/d/11923uPwbBZFjjGgGUA6NLw09EwE0CqkOc4q9oUmW1yo/edit?usp=sharing"",""ลำปาง!J235"")"),943.589999999999)</f>
        <v>943.58999999999901</v>
      </c>
      <c r="K340" s="350">
        <f t="shared" ca="1" si="103"/>
        <v>55.505294117646997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IFERROR(__xludf.DUMMYFUNCTION("IMPORTRANGE(""https://docs.google.com/spreadsheets/d/11923uPwbBZFjjGgGUA6NLw09EwE0CqkOc4q9oUmW1yo/edit?usp=sharing"",""ลำปาง!I236"")"),400)</f>
        <v>400</v>
      </c>
      <c r="J341" s="197">
        <f ca="1">IFERROR(__xludf.DUMMYFUNCTION("IMPORTRANGE(""https://docs.google.com/spreadsheets/d/11923uPwbBZFjjGgGUA6NLw09EwE0CqkOc4q9oUmW1yo/edit?usp=sharing"",""ลำปาง!J236"")"),158)</f>
        <v>158</v>
      </c>
      <c r="K341" s="350">
        <f t="shared" ca="1" si="103"/>
        <v>39.5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IFERROR(__xludf.DUMMYFUNCTION("IMPORTRANGE(""https://docs.google.com/spreadsheets/d/11923uPwbBZFjjGgGUA6NLw09EwE0CqkOc4q9oUmW1yo/edit?usp=sharing"",""ลำปาง!I237"")"),0)</f>
        <v>0</v>
      </c>
      <c r="J342" s="197">
        <f ca="1">IFERROR(__xludf.DUMMYFUNCTION("IMPORTRANGE(""https://docs.google.com/spreadsheets/d/11923uPwbBZFjjGgGUA6NLw09EwE0CqkOc4q9oUmW1yo/edit?usp=sharing"",""ลำปาง!J237"")"),920.92)</f>
        <v>920.92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IFERROR(__xludf.DUMMYFUNCTION("IMPORTRANGE(""https://docs.google.com/spreadsheets/d/11923uPwbBZFjjGgGUA6NLw09EwE0CqkOc4q9oUmW1yo/edit?usp=sharing"",""ลำปาง!I238"")"),400)</f>
        <v>400</v>
      </c>
      <c r="J343" s="197">
        <f ca="1">IFERROR(__xludf.DUMMYFUNCTION("IMPORTRANGE(""https://docs.google.com/spreadsheets/d/11923uPwbBZFjjGgGUA6NLw09EwE0CqkOc4q9oUmW1yo/edit?usp=sharing"",""ลำปาง!J238"")"),1)</f>
        <v>1</v>
      </c>
      <c r="K343" s="350">
        <f t="shared" ca="1" si="103"/>
        <v>0.25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IFERROR(__xludf.DUMMYFUNCTION("IMPORTRANGE(""https://docs.google.com/spreadsheets/d/11923uPwbBZFjjGgGUA6NLw09EwE0CqkOc4q9oUmW1yo/edit?usp=sharing"",""ลำปาง!I239"")"),0)</f>
        <v>0</v>
      </c>
      <c r="J344" s="197">
        <f ca="1">IFERROR(__xludf.DUMMYFUNCTION("IMPORTRANGE(""https://docs.google.com/spreadsheets/d/11923uPwbBZFjjGgGUA6NLw09EwE0CqkOc4q9oUmW1yo/edit?usp=sharing"",""ลำปาง!J239"")"),1.13)</f>
        <v>1.1299999999999999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IFERROR(__xludf.DUMMYFUNCTION("IMPORTRANGE(""https://docs.google.com/spreadsheets/d/11923uPwbBZFjjGgGUA6NLw09EwE0CqkOc4q9oUmW1yo/edit?usp=sharing"",""ลำปาง!I240"")"),400)</f>
        <v>400</v>
      </c>
      <c r="J345" s="197">
        <f ca="1">IFERROR(__xludf.DUMMYFUNCTION("IMPORTRANGE(""https://docs.google.com/spreadsheets/d/11923uPwbBZFjjGgGUA6NLw09EwE0CqkOc4q9oUmW1yo/edit?usp=sharing"",""ลำปาง!J240"")"),136)</f>
        <v>136</v>
      </c>
      <c r="K345" s="350">
        <f t="shared" ca="1" si="103"/>
        <v>34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IFERROR(__xludf.DUMMYFUNCTION("IMPORTRANGE(""https://docs.google.com/spreadsheets/d/11923uPwbBZFjjGgGUA6NLw09EwE0CqkOc4q9oUmW1yo/edit?usp=sharing"",""ลำปาง!I241"")"),0)</f>
        <v>0</v>
      </c>
      <c r="J346" s="197">
        <f ca="1">IFERROR(__xludf.DUMMYFUNCTION("IMPORTRANGE(""https://docs.google.com/spreadsheets/d/11923uPwbBZFjjGgGUA6NLw09EwE0CqkOc4q9oUmW1yo/edit?usp=sharing"",""ลำปาง!J241"")"),742.54)</f>
        <v>742.54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IFERROR(__xludf.DUMMYFUNCTION("IMPORTRANGE(""https://docs.google.com/spreadsheets/d/11923uPwbBZFjjGgGUA6NLw09EwE0CqkOc4q9oUmW1yo/edit?usp=sharing"",""ลำปาง!L242"")"),2608935)</f>
        <v>2608935</v>
      </c>
      <c r="M347" s="366"/>
      <c r="N347" s="366">
        <f ca="1">IFERROR(__xludf.DUMMYFUNCTION("IMPORTRANGE(""https://docs.google.com/spreadsheets/d/11923uPwbBZFjjGgGUA6NLw09EwE0CqkOc4q9oUmW1yo/edit?usp=sharing"",""ลำปาง!M242"")"),277573.31)</f>
        <v>277573.31</v>
      </c>
      <c r="O347" s="366">
        <f ca="1">+IF(L347&gt;0,N347*100/L347,0)</f>
        <v>10.639334057766867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IFERROR(__xludf.DUMMYFUNCTION("IMPORTRANGE(""https://docs.google.com/spreadsheets/d/11923uPwbBZFjjGgGUA6NLw09EwE0CqkOc4q9oUmW1yo/edit?usp=sharing"",""ลำปาง!I244"")"),50)</f>
        <v>50</v>
      </c>
      <c r="J349" s="379">
        <f ca="1">IFERROR(__xludf.DUMMYFUNCTION("IMPORTRANGE(""https://docs.google.com/spreadsheets/d/11923uPwbBZFjjGgGUA6NLw09EwE0CqkOc4q9oUmW1yo/edit?usp=sharing"",""ลำปาง!J244"")"),0)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IFERROR(__xludf.DUMMYFUNCTION("IMPORTRANGE(""https://docs.google.com/spreadsheets/d/11923uPwbBZFjjGgGUA6NLw09EwE0CqkOc4q9oUmW1yo/edit?usp=sharing"",""ลำปาง!L244"")"),230720)</f>
        <v>230720</v>
      </c>
      <c r="M349" s="381"/>
      <c r="N349" s="381">
        <f ca="1">IFERROR(__xludf.DUMMYFUNCTION("IMPORTRANGE(""https://docs.google.com/spreadsheets/d/11923uPwbBZFjjGgGUA6NLw09EwE0CqkOc4q9oUmW1yo/edit?usp=sharing"",""ลำปาง!M244"")"),37600.04)</f>
        <v>37600.04</v>
      </c>
      <c r="O349" s="381">
        <f ca="1">+IF(L349&gt;0,N349*100/L349,0)</f>
        <v>16.296827323162276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IFERROR(__xludf.DUMMYFUNCTION("IMPORTRANGE(""https://docs.google.com/spreadsheets/d/11923uPwbBZFjjGgGUA6NLw09EwE0CqkOc4q9oUmW1yo/edit?usp=sharing"",""ลำปาง!I245"")"),10)</f>
        <v>10</v>
      </c>
      <c r="J350" s="379">
        <f ca="1">IFERROR(__xludf.DUMMYFUNCTION("IMPORTRANGE(""https://docs.google.com/spreadsheets/d/11923uPwbBZFjjGgGUA6NLw09EwE0CqkOc4q9oUmW1yo/edit?usp=sharing"",""ลำปาง!J245"")"),0)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IFERROR(__xludf.DUMMYFUNCTION("IMPORTRANGE(""https://docs.google.com/spreadsheets/d/11923uPwbBZFjjGgGUA6NLw09EwE0CqkOc4q9oUmW1yo/edit?usp=sharing"",""ลำปาง!L246"")"),0)</f>
        <v>0</v>
      </c>
      <c r="M351" s="172"/>
      <c r="N351" s="172">
        <f ca="1">IFERROR(__xludf.DUMMYFUNCTION("IMPORTRANGE(""https://docs.google.com/spreadsheets/d/11923uPwbBZFjjGgGUA6NLw09EwE0CqkOc4q9oUmW1yo/edit?usp=sharing"",""ลำปาง!M246"")"),0)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IFERROR(__xludf.DUMMYFUNCTION("IMPORTRANGE(""https://docs.google.com/spreadsheets/d/11923uPwbBZFjjGgGUA6NLw09EwE0CqkOc4q9oUmW1yo/edit?usp=sharing"",""ลำปาง!L247"")"),230720)</f>
        <v>230720</v>
      </c>
      <c r="M352" s="173"/>
      <c r="N352" s="172">
        <f ca="1">IFERROR(__xludf.DUMMYFUNCTION("IMPORTRANGE(""https://docs.google.com/spreadsheets/d/11923uPwbBZFjjGgGUA6NLw09EwE0CqkOc4q9oUmW1yo/edit?usp=sharing"",""ลำปาง!M247"")"),37600.04)</f>
        <v>37600.04</v>
      </c>
      <c r="O352" s="173">
        <f t="shared" ca="1" si="105"/>
        <v>16.296827323162276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IFERROR(__xludf.DUMMYFUNCTION("IMPORTRANGE(""https://docs.google.com/spreadsheets/d/11923uPwbBZFjjGgGUA6NLw09EwE0CqkOc4q9oUmW1yo/edit?usp=sharing"",""ลำปาง!L248"")"),0)</f>
        <v>0</v>
      </c>
      <c r="M353" s="178"/>
      <c r="N353" s="178">
        <f ca="1">IFERROR(__xludf.DUMMYFUNCTION("IMPORTRANGE(""https://docs.google.com/spreadsheets/d/11923uPwbBZFjjGgGUA6NLw09EwE0CqkOc4q9oUmW1yo/edit?usp=sharing"",""ลำปาง!M248"")"),0)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IFERROR(__xludf.DUMMYFUNCTION("IMPORTRANGE(""https://docs.google.com/spreadsheets/d/11923uPwbBZFjjGgGUA6NLw09EwE0CqkOc4q9oUmW1yo/edit?usp=sharing"",""ลำปาง!L249"")"),230720)</f>
        <v>230720</v>
      </c>
      <c r="M354" s="178"/>
      <c r="N354" s="175">
        <f ca="1">IFERROR(__xludf.DUMMYFUNCTION("IMPORTRANGE(""https://docs.google.com/spreadsheets/d/11923uPwbBZFjjGgGUA6NLw09EwE0CqkOc4q9oUmW1yo/edit?usp=sharing"",""ลำปาง!M249"")"),37600.04)</f>
        <v>37600.04</v>
      </c>
      <c r="O354" s="178">
        <f t="shared" ca="1" si="105"/>
        <v>16.296827323162276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IFERROR(__xludf.DUMMYFUNCTION("IMPORTRANGE(""https://docs.google.com/spreadsheets/d/11923uPwbBZFjjGgGUA6NLw09EwE0CqkOc4q9oUmW1yo/edit?usp=sharing"",""ลำปาง!M250"")"),5320)</f>
        <v>5320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IFERROR(__xludf.DUMMYFUNCTION("IMPORTRANGE(""https://docs.google.com/spreadsheets/d/11923uPwbBZFjjGgGUA6NLw09EwE0CqkOc4q9oUmW1yo/edit?usp=sharing"",""ลำปาง!M251"")"),0)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IFERROR(__xludf.DUMMYFUNCTION("IMPORTRANGE(""https://docs.google.com/spreadsheets/d/11923uPwbBZFjjGgGUA6NLw09EwE0CqkOc4q9oUmW1yo/edit?usp=sharing"",""ลำปาง!M252"")"),30800.04)</f>
        <v>30800.04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IFERROR(__xludf.DUMMYFUNCTION("IMPORTRANGE(""https://docs.google.com/spreadsheets/d/11923uPwbBZFjjGgGUA6NLw09EwE0CqkOc4q9oUmW1yo/edit?usp=sharing"",""ลำปาง!M253"")"),1480)</f>
        <v>1480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IFERROR(__xludf.DUMMYFUNCTION("IMPORTRANGE(""https://docs.google.com/spreadsheets/d/11923uPwbBZFjjGgGUA6NLw09EwE0CqkOc4q9oUmW1yo/edit?usp=sharing"",""ลำปาง!J255"")"),0)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IFERROR(__xludf.DUMMYFUNCTION("IMPORTRANGE(""https://docs.google.com/spreadsheets/d/11923uPwbBZFjjGgGUA6NLw09EwE0CqkOc4q9oUmW1yo/edit?usp=sharing"",""ลำปาง!J256"")"),1)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IFERROR(__xludf.DUMMYFUNCTION("IMPORTRANGE(""https://docs.google.com/spreadsheets/d/11923uPwbBZFjjGgGUA6NLw09EwE0CqkOc4q9oUmW1yo/edit?usp=sharing"",""ลำปาง!J257"")"),1)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IFERROR(__xludf.DUMMYFUNCTION("IMPORTRANGE(""https://docs.google.com/spreadsheets/d/11923uPwbBZFjjGgGUA6NLw09EwE0CqkOc4q9oUmW1yo/edit?usp=sharing"",""ลำปาง!J258"")"),1)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IFERROR(__xludf.DUMMYFUNCTION("IMPORTRANGE(""https://docs.google.com/spreadsheets/d/11923uPwbBZFjjGgGUA6NLw09EwE0CqkOc4q9oUmW1yo/edit?usp=sharing"",""ลำปาง!J166"")"),0)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IFERROR(__xludf.DUMMYFUNCTION("IMPORTRANGE(""https://docs.google.com/spreadsheets/d/11923uPwbBZFjjGgGUA6NLw09EwE0CqkOc4q9oUmW1yo/edit?usp=sharing"",""ลำปาง!J166"")"),0)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IFERROR(__xludf.DUMMYFUNCTION("IMPORTRANGE(""https://docs.google.com/spreadsheets/d/11923uPwbBZFjjGgGUA6NLw09EwE0CqkOc4q9oUmW1yo/edit?usp=sharing"",""ลำปาง!J166"")"),0)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IFERROR(__xludf.DUMMYFUNCTION("IMPORTRANGE(""https://docs.google.com/spreadsheets/d/11923uPwbBZFjjGgGUA6NLw09EwE0CqkOc4q9oUmW1yo/edit?usp=sharing"",""ลำปาง!J166"")"),0)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IFERROR(__xludf.DUMMYFUNCTION("IMPORTRANGE(""https://docs.google.com/spreadsheets/d/11923uPwbBZFjjGgGUA6NLw09EwE0CqkOc4q9oUmW1yo/edit?usp=sharing"",""ลำปาง!I263"")"),10)</f>
        <v>10</v>
      </c>
      <c r="J368" s="197">
        <f ca="1">IFERROR(__xludf.DUMMYFUNCTION("IMPORTRANGE(""https://docs.google.com/spreadsheets/d/11923uPwbBZFjjGgGUA6NLw09EwE0CqkOc4q9oUmW1yo/edit?usp=sharing"",""ลำปาง!J263"")"),0)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IFERROR(__xludf.DUMMYFUNCTION("IMPORTRANGE(""https://docs.google.com/spreadsheets/d/11923uPwbBZFjjGgGUA6NLw09EwE0CqkOc4q9oUmW1yo/edit?usp=sharing"",""ลำปาง!I164"")"),0)</f>
        <v>0</v>
      </c>
      <c r="J369" s="213">
        <f ca="1">IFERROR(__xludf.DUMMYFUNCTION("IMPORTRANGE(""https://docs.google.com/spreadsheets/d/11923uPwbBZFjjGgGUA6NLw09EwE0CqkOc4q9oUmW1yo/edit?usp=sharing"",""ลำปาง!J164"")"),0)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IFERROR(__xludf.DUMMYFUNCTION("IMPORTRANGE(""https://docs.google.com/spreadsheets/d/11923uPwbBZFjjGgGUA6NLw09EwE0CqkOc4q9oUmW1yo/edit?usp=sharing"",""ลำปาง!I265"")"),10)</f>
        <v>10</v>
      </c>
      <c r="J370" s="213">
        <f ca="1">IFERROR(__xludf.DUMMYFUNCTION("IMPORTRANGE(""https://docs.google.com/spreadsheets/d/11923uPwbBZFjjGgGUA6NLw09EwE0CqkOc4q9oUmW1yo/edit?usp=sharing"",""ลำปาง!J265"")"),14)</f>
        <v>14</v>
      </c>
      <c r="K370" s="171">
        <f t="shared" ca="1" si="106"/>
        <v>140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IFERROR(__xludf.DUMMYFUNCTION("IMPORTRANGE(""https://docs.google.com/spreadsheets/d/11923uPwbBZFjjGgGUA6NLw09EwE0CqkOc4q9oUmW1yo/edit?usp=sharing"",""ลำปาง!I164"")"),0)</f>
        <v>0</v>
      </c>
      <c r="J371" s="198">
        <f ca="1">IFERROR(__xludf.DUMMYFUNCTION("IMPORTRANGE(""https://docs.google.com/spreadsheets/d/11923uPwbBZFjjGgGUA6NLw09EwE0CqkOc4q9oUmW1yo/edit?usp=sharing"",""ลำปาง!J164"")"),0)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IFERROR(__xludf.DUMMYFUNCTION("IMPORTRANGE(""https://docs.google.com/spreadsheets/d/11923uPwbBZFjjGgGUA6NLw09EwE0CqkOc4q9oUmW1yo/edit?usp=sharing"",""ลำปาง!I267"")"),10)</f>
        <v>10</v>
      </c>
      <c r="J372" s="198">
        <f ca="1">IFERROR(__xludf.DUMMYFUNCTION("IMPORTRANGE(""https://docs.google.com/spreadsheets/d/11923uPwbBZFjjGgGUA6NLw09EwE0CqkOc4q9oUmW1yo/edit?usp=sharing"",""ลำปาง!J267"")"),0)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IFERROR(__xludf.DUMMYFUNCTION("IMPORTRANGE(""https://docs.google.com/spreadsheets/d/11923uPwbBZFjjGgGUA6NLw09EwE0CqkOc4q9oUmW1yo/edit?usp=sharing"",""ลำปาง!I164"")"),0)</f>
        <v>0</v>
      </c>
      <c r="J373" s="213">
        <f ca="1">IFERROR(__xludf.DUMMYFUNCTION("IMPORTRANGE(""https://docs.google.com/spreadsheets/d/11923uPwbBZFjjGgGUA6NLw09EwE0CqkOc4q9oUmW1yo/edit?usp=sharing"",""ลำปาง!J164"")"),0)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IFERROR(__xludf.DUMMYFUNCTION("IMPORTRANGE(""https://docs.google.com/spreadsheets/d/11923uPwbBZFjjGgGUA6NLw09EwE0CqkOc4q9oUmW1yo/edit?usp=sharing"",""ลำปาง!I164"")"),0)</f>
        <v>0</v>
      </c>
      <c r="J374" s="197">
        <f ca="1">IFERROR(__xludf.DUMMYFUNCTION("IMPORTRANGE(""https://docs.google.com/spreadsheets/d/11923uPwbBZFjjGgGUA6NLw09EwE0CqkOc4q9oUmW1yo/edit?usp=sharing"",""ลำปาง!J164"")"),0)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IFERROR(__xludf.DUMMYFUNCTION("IMPORTRANGE(""https://docs.google.com/spreadsheets/d/11923uPwbBZFjjGgGUA6NLw09EwE0CqkOc4q9oUmW1yo/edit?usp=sharing"",""ลำปาง!I270"")"),50)</f>
        <v>50</v>
      </c>
      <c r="J375" s="197">
        <f ca="1">IFERROR(__xludf.DUMMYFUNCTION("IMPORTRANGE(""https://docs.google.com/spreadsheets/d/11923uPwbBZFjjGgGUA6NLw09EwE0CqkOc4q9oUmW1yo/edit?usp=sharing"",""ลำปาง!J270"")"),0)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IFERROR(__xludf.DUMMYFUNCTION("IMPORTRANGE(""https://docs.google.com/spreadsheets/d/11923uPwbBZFjjGgGUA6NLw09EwE0CqkOc4q9oUmW1yo/edit?usp=sharing"",""ลำปาง!I271"")"),0)</f>
        <v>0</v>
      </c>
      <c r="J376" s="198">
        <f ca="1">IFERROR(__xludf.DUMMYFUNCTION("IMPORTRANGE(""https://docs.google.com/spreadsheets/d/11923uPwbBZFjjGgGUA6NLw09EwE0CqkOc4q9oUmW1yo/edit?usp=sharing"",""ลำปาง!J271"")"),0)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IFERROR(__xludf.DUMMYFUNCTION("IMPORTRANGE(""https://docs.google.com/spreadsheets/d/11923uPwbBZFjjGgGUA6NLw09EwE0CqkOc4q9oUmW1yo/edit?usp=sharing"",""ลำปาง!I272"")"),50)</f>
        <v>50</v>
      </c>
      <c r="J377" s="213">
        <f ca="1">IFERROR(__xludf.DUMMYFUNCTION("IMPORTRANGE(""https://docs.google.com/spreadsheets/d/11923uPwbBZFjjGgGUA6NLw09EwE0CqkOc4q9oUmW1yo/edit?usp=sharing"",""ลำปาง!J272"")"),0)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IFERROR(__xludf.DUMMYFUNCTION("IMPORTRANGE(""https://docs.google.com/spreadsheets/d/11923uPwbBZFjjGgGUA6NLw09EwE0CqkOc4q9oUmW1yo/edit?usp=sharing"",""ลำปาง!J273"")"),0)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IFERROR(__xludf.DUMMYFUNCTION("IMPORTRANGE(""https://docs.google.com/spreadsheets/d/11923uPwbBZFjjGgGUA6NLw09EwE0CqkOc4q9oUmW1yo/edit?usp=sharing"",""ลำปาง!J274"")"),0)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IFERROR(__xludf.DUMMYFUNCTION("IMPORTRANGE(""https://docs.google.com/spreadsheets/d/11923uPwbBZFjjGgGUA6NLw09EwE0CqkOc4q9oUmW1yo/edit?usp=sharing"",""ลำปาง!I275"")"),1000)</f>
        <v>1000</v>
      </c>
      <c r="J380" s="379">
        <f ca="1">IFERROR(__xludf.DUMMYFUNCTION("IMPORTRANGE(""https://docs.google.com/spreadsheets/d/11923uPwbBZFjjGgGUA6NLw09EwE0CqkOc4q9oUmW1yo/edit?usp=sharing"",""ลำปาง!J275"")"),0)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IFERROR(__xludf.DUMMYFUNCTION("IMPORTRANGE(""https://docs.google.com/spreadsheets/d/11923uPwbBZFjjGgGUA6NLw09EwE0CqkOc4q9oUmW1yo/edit?usp=sharing"",""ลำปาง!L275"")"),1028520)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IFERROR(__xludf.DUMMYFUNCTION("IMPORTRANGE(""https://docs.google.com/spreadsheets/d/11923uPwbBZFjjGgGUA6NLw09EwE0CqkOc4q9oUmW1yo/edit?usp=sharing"",""ลำปาง!M275"")"),42446.7)</f>
        <v>42446.7</v>
      </c>
      <c r="O380" s="381">
        <f ca="1">+IF(L380&gt;0,N380*100/L380,0)</f>
        <v>4.1269688484424218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IFERROR(__xludf.DUMMYFUNCTION("IMPORTRANGE(""https://docs.google.com/spreadsheets/d/11923uPwbBZFjjGgGUA6NLw09EwE0CqkOc4q9oUmW1yo/edit?usp=sharing"",""ลำปาง!I276"")"),100)</f>
        <v>100</v>
      </c>
      <c r="J381" s="379">
        <f ca="1">IFERROR(__xludf.DUMMYFUNCTION("IMPORTRANGE(""https://docs.google.com/spreadsheets/d/11923uPwbBZFjjGgGUA6NLw09EwE0CqkOc4q9oUmW1yo/edit?usp=sharing"",""ลำปาง!J276"")"),0)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IFERROR(__xludf.DUMMYFUNCTION("IMPORTRANGE(""https://docs.google.com/spreadsheets/d/11923uPwbBZFjjGgGUA6NLw09EwE0CqkOc4q9oUmW1yo/edit?usp=sharing"",""ลำปาง!L277"")"),0)</f>
        <v>0</v>
      </c>
      <c r="M382" s="172"/>
      <c r="N382" s="172">
        <f ca="1">IFERROR(__xludf.DUMMYFUNCTION("IMPORTRANGE(""https://docs.google.com/spreadsheets/d/11923uPwbBZFjjGgGUA6NLw09EwE0CqkOc4q9oUmW1yo/edit?usp=sharing"",""ลำปาง!M277"")"),0)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IFERROR(__xludf.DUMMYFUNCTION("IMPORTRANGE(""https://docs.google.com/spreadsheets/d/11923uPwbBZFjjGgGUA6NLw09EwE0CqkOc4q9oUmW1yo/edit?usp=sharing"",""ลำปาง!L278"")"),1028520)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IFERROR(__xludf.DUMMYFUNCTION("IMPORTRANGE(""https://docs.google.com/spreadsheets/d/11923uPwbBZFjjGgGUA6NLw09EwE0CqkOc4q9oUmW1yo/edit?usp=sharing"",""ลำปาง!M278"")"),42446.7)</f>
        <v>42446.7</v>
      </c>
      <c r="O383" s="173">
        <f t="shared" ca="1" si="109"/>
        <v>4.1269688484424218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IFERROR(__xludf.DUMMYFUNCTION("IMPORTRANGE(""https://docs.google.com/spreadsheets/d/11923uPwbBZFjjGgGUA6NLw09EwE0CqkOc4q9oUmW1yo/edit?usp=sharing"",""ลำปาง!L279"")"),0)</f>
        <v>0</v>
      </c>
      <c r="M384" s="178"/>
      <c r="N384" s="178">
        <f ca="1">IFERROR(__xludf.DUMMYFUNCTION("IMPORTRANGE(""https://docs.google.com/spreadsheets/d/11923uPwbBZFjjGgGUA6NLw09EwE0CqkOc4q9oUmW1yo/edit?usp=sharing"",""ลำปาง!M279"")"),0)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IFERROR(__xludf.DUMMYFUNCTION("IMPORTRANGE(""https://docs.google.com/spreadsheets/d/11923uPwbBZFjjGgGUA6NLw09EwE0CqkOc4q9oUmW1yo/edit?usp=sharing"",""ลำปาง!L280"")"),1028520)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IFERROR(__xludf.DUMMYFUNCTION("IMPORTRANGE(""https://docs.google.com/spreadsheets/d/11923uPwbBZFjjGgGUA6NLw09EwE0CqkOc4q9oUmW1yo/edit?usp=sharing"",""ลำปาง!M280"")"),42446.7)</f>
        <v>42446.7</v>
      </c>
      <c r="O385" s="178">
        <f t="shared" ca="1" si="109"/>
        <v>4.1269688484424218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IFERROR(__xludf.DUMMYFUNCTION("IMPORTRANGE(""https://docs.google.com/spreadsheets/d/11923uPwbBZFjjGgGUA6NLw09EwE0CqkOc4q9oUmW1yo/edit?usp=sharing"",""ลำปาง!M281"")"),0)</f>
        <v>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IFERROR(__xludf.DUMMYFUNCTION("IMPORTRANGE(""https://docs.google.com/spreadsheets/d/11923uPwbBZFjjGgGUA6NLw09EwE0CqkOc4q9oUmW1yo/edit?usp=sharing"",""ลำปาง!M282"")"),0)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IFERROR(__xludf.DUMMYFUNCTION("IMPORTRANGE(""https://docs.google.com/spreadsheets/d/11923uPwbBZFjjGgGUA6NLw09EwE0CqkOc4q9oUmW1yo/edit?usp=sharing"",""ลำปาง!M283"")"),31166.7)</f>
        <v>31166.7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IFERROR(__xludf.DUMMYFUNCTION("IMPORTRANGE(""https://docs.google.com/spreadsheets/d/11923uPwbBZFjjGgGUA6NLw09EwE0CqkOc4q9oUmW1yo/edit?usp=sharing"",""ลำปาง!M284"")"),11280)</f>
        <v>11280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IFERROR(__xludf.DUMMYFUNCTION("IMPORTRANGE(""https://docs.google.com/spreadsheets/d/11923uPwbBZFjjGgGUA6NLw09EwE0CqkOc4q9oUmW1yo/edit?usp=sharing"",""ลำปาง!J286"")"),0)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IFERROR(__xludf.DUMMYFUNCTION("IMPORTRANGE(""https://docs.google.com/spreadsheets/d/11923uPwbBZFjjGgGUA6NLw09EwE0CqkOc4q9oUmW1yo/edit?usp=sharing"",""ลำปาง!J287"")"),1)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IFERROR(__xludf.DUMMYFUNCTION("IMPORTRANGE(""https://docs.google.com/spreadsheets/d/11923uPwbBZFjjGgGUA6NLw09EwE0CqkOc4q9oUmW1yo/edit?usp=sharing"",""ลำปาง!J288"")"),1)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IFERROR(__xludf.DUMMYFUNCTION("IMPORTRANGE(""https://docs.google.com/spreadsheets/d/11923uPwbBZFjjGgGUA6NLw09EwE0CqkOc4q9oUmW1yo/edit?usp=sharing"",""ลำปาง!J289"")"),1)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IFERROR(__xludf.DUMMYFUNCTION("IMPORTRANGE(""https://docs.google.com/spreadsheets/d/11923uPwbBZFjjGgGUA6NLw09EwE0CqkOc4q9oUmW1yo/edit?usp=sharing"",""ลำปาง!I291"")"),100)</f>
        <v>100</v>
      </c>
      <c r="J396" s="207">
        <f ca="1">IFERROR(__xludf.DUMMYFUNCTION("IMPORTRANGE(""https://docs.google.com/spreadsheets/d/11923uPwbBZFjjGgGUA6NLw09EwE0CqkOc4q9oUmW1yo/edit?usp=sharing"",""ลำปาง!J291"")"),0)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IFERROR(__xludf.DUMMYFUNCTION("IMPORTRANGE(""https://docs.google.com/spreadsheets/d/11923uPwbBZFjjGgGUA6NLw09EwE0CqkOc4q9oUmW1yo/edit?usp=sharing"",""ลำปาง!I292"")"),1000)</f>
        <v>1000</v>
      </c>
      <c r="J397" s="207">
        <f ca="1">IFERROR(__xludf.DUMMYFUNCTION("IMPORTRANGE(""https://docs.google.com/spreadsheets/d/11923uPwbBZFjjGgGUA6NLw09EwE0CqkOc4q9oUmW1yo/edit?usp=sharing"",""ลำปาง!J292"")"),0)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IFERROR(__xludf.DUMMYFUNCTION("IMPORTRANGE(""https://docs.google.com/spreadsheets/d/11923uPwbBZFjjGgGUA6NLw09EwE0CqkOc4q9oUmW1yo/edit?usp=sharing"",""ลำปาง!I293"")"),100)</f>
        <v>100</v>
      </c>
      <c r="J398" s="207">
        <f ca="1">IFERROR(__xludf.DUMMYFUNCTION("IMPORTRANGE(""https://docs.google.com/spreadsheets/d/11923uPwbBZFjjGgGUA6NLw09EwE0CqkOc4q9oUmW1yo/edit?usp=sharing"",""ลำปาง!J293"")"),0)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IFERROR(__xludf.DUMMYFUNCTION("IMPORTRANGE(""https://docs.google.com/spreadsheets/d/11923uPwbBZFjjGgGUA6NLw09EwE0CqkOc4q9oUmW1yo/edit?usp=sharing"",""ลำปาง!J294"")"),0)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IFERROR(__xludf.DUMMYFUNCTION("IMPORTRANGE(""https://docs.google.com/spreadsheets/d/11923uPwbBZFjjGgGUA6NLw09EwE0CqkOc4q9oUmW1yo/edit?usp=sharing"",""ลำปาง!J295"")"),0)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IFERROR(__xludf.DUMMYFUNCTION("IMPORTRANGE(""https://docs.google.com/spreadsheets/d/11923uPwbBZFjjGgGUA6NLw09EwE0CqkOc4q9oUmW1yo/edit?usp=sharing"",""ลำปาง!I296"")"),120)</f>
        <v>120</v>
      </c>
      <c r="J401" s="379">
        <f ca="1">IFERROR(__xludf.DUMMYFUNCTION("IMPORTRANGE(""https://docs.google.com/spreadsheets/d/11923uPwbBZFjjGgGUA6NLw09EwE0CqkOc4q9oUmW1yo/edit?usp=sharing"",""ลำปาง!J296"")"),0)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IFERROR(__xludf.DUMMYFUNCTION("IMPORTRANGE(""https://docs.google.com/spreadsheets/d/11923uPwbBZFjjGgGUA6NLw09EwE0CqkOc4q9oUmW1yo/edit?usp=sharing"",""ลำปาง!L296"")"),144560)</f>
        <v>144560</v>
      </c>
      <c r="M401" s="381"/>
      <c r="N401" s="381">
        <f ca="1">IFERROR(__xludf.DUMMYFUNCTION("IMPORTRANGE(""https://docs.google.com/spreadsheets/d/11923uPwbBZFjjGgGUA6NLw09EwE0CqkOc4q9oUmW1yo/edit?usp=sharing"",""ลำปาง!M296"")"),10000)</f>
        <v>10000</v>
      </c>
      <c r="O401" s="381">
        <f ca="1">+IF(L401&gt;0,N401*100/L401,0)</f>
        <v>6.9175428887659107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IFERROR(__xludf.DUMMYFUNCTION("IMPORTRANGE(""https://docs.google.com/spreadsheets/d/11923uPwbBZFjjGgGUA6NLw09EwE0CqkOc4q9oUmW1yo/edit?usp=sharing"",""ลำปาง!I297"")"),40)</f>
        <v>40</v>
      </c>
      <c r="J402" s="379">
        <f ca="1">IFERROR(__xludf.DUMMYFUNCTION("IMPORTRANGE(""https://docs.google.com/spreadsheets/d/11923uPwbBZFjjGgGUA6NLw09EwE0CqkOc4q9oUmW1yo/edit?usp=sharing"",""ลำปาง!J297"")"),0)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IFERROR(__xludf.DUMMYFUNCTION("IMPORTRANGE(""https://docs.google.com/spreadsheets/d/11923uPwbBZFjjGgGUA6NLw09EwE0CqkOc4q9oUmW1yo/edit?usp=sharing"",""ลำปาง!L298"")"),0)</f>
        <v>0</v>
      </c>
      <c r="M403" s="172"/>
      <c r="N403" s="178">
        <f ca="1">IFERROR(__xludf.DUMMYFUNCTION("IMPORTRANGE(""https://docs.google.com/spreadsheets/d/11923uPwbBZFjjGgGUA6NLw09EwE0CqkOc4q9oUmW1yo/edit?usp=sharing"",""ลำปาง!M298"")"),0)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IFERROR(__xludf.DUMMYFUNCTION("IMPORTRANGE(""https://docs.google.com/spreadsheets/d/11923uPwbBZFjjGgGUA6NLw09EwE0CqkOc4q9oUmW1yo/edit?usp=sharing"",""ลำปาง!L299"")"),144560)</f>
        <v>144560</v>
      </c>
      <c r="M404" s="173"/>
      <c r="N404" s="178">
        <f ca="1">IFERROR(__xludf.DUMMYFUNCTION("IMPORTRANGE(""https://docs.google.com/spreadsheets/d/11923uPwbBZFjjGgGUA6NLw09EwE0CqkOc4q9oUmW1yo/edit?usp=sharing"",""ลำปาง!M299"")"),10000)</f>
        <v>10000</v>
      </c>
      <c r="O404" s="178">
        <f t="shared" ca="1" si="112"/>
        <v>6.9175428887659107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IFERROR(__xludf.DUMMYFUNCTION("IMPORTRANGE(""https://docs.google.com/spreadsheets/d/11923uPwbBZFjjGgGUA6NLw09EwE0CqkOc4q9oUmW1yo/edit?usp=sharing"",""ลำปาง!L300"")"),0)</f>
        <v>0</v>
      </c>
      <c r="M405" s="178"/>
      <c r="N405" s="178">
        <f ca="1">IFERROR(__xludf.DUMMYFUNCTION("IMPORTRANGE(""https://docs.google.com/spreadsheets/d/11923uPwbBZFjjGgGUA6NLw09EwE0CqkOc4q9oUmW1yo/edit?usp=sharing"",""ลำปาง!M300"")"),0)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IFERROR(__xludf.DUMMYFUNCTION("IMPORTRANGE(""https://docs.google.com/spreadsheets/d/11923uPwbBZFjjGgGUA6NLw09EwE0CqkOc4q9oUmW1yo/edit?usp=sharing"",""ลำปาง!L301"")"),144560)</f>
        <v>144560</v>
      </c>
      <c r="M406" s="178"/>
      <c r="N406" s="178">
        <f ca="1">IFERROR(__xludf.DUMMYFUNCTION("IMPORTRANGE(""https://docs.google.com/spreadsheets/d/11923uPwbBZFjjGgGUA6NLw09EwE0CqkOc4q9oUmW1yo/edit?usp=sharing"",""ลำปาง!M301"")"),10000)</f>
        <v>10000</v>
      </c>
      <c r="O406" s="178">
        <f t="shared" ca="1" si="112"/>
        <v>6.9175428887659107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IFERROR(__xludf.DUMMYFUNCTION("IMPORTRANGE(""https://docs.google.com/spreadsheets/d/11923uPwbBZFjjGgGUA6NLw09EwE0CqkOc4q9oUmW1yo/edit?usp=sharing"",""ลำปาง!M302"")"),0)</f>
        <v>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IFERROR(__xludf.DUMMYFUNCTION("IMPORTRANGE(""https://docs.google.com/spreadsheets/d/11923uPwbBZFjjGgGUA6NLw09EwE0CqkOc4q9oUmW1yo/edit?usp=sharing"",""ลำปาง!M303"")"),0)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IFERROR(__xludf.DUMMYFUNCTION("IMPORTRANGE(""https://docs.google.com/spreadsheets/d/11923uPwbBZFjjGgGUA6NLw09EwE0CqkOc4q9oUmW1yo/edit?usp=sharing"",""ลำปาง!M304"")"),0)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IFERROR(__xludf.DUMMYFUNCTION("IMPORTRANGE(""https://docs.google.com/spreadsheets/d/11923uPwbBZFjjGgGUA6NLw09EwE0CqkOc4q9oUmW1yo/edit?usp=sharing"",""ลำปาง!M305"")"),10000)</f>
        <v>10000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IFERROR(__xludf.DUMMYFUNCTION("IMPORTRANGE(""https://docs.google.com/spreadsheets/d/11923uPwbBZFjjGgGUA6NLw09EwE0CqkOc4q9oUmW1yo/edit?usp=sharing"",""ลำปาง!J307"")"),0)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IFERROR(__xludf.DUMMYFUNCTION("IMPORTRANGE(""https://docs.google.com/spreadsheets/d/11923uPwbBZFjjGgGUA6NLw09EwE0CqkOc4q9oUmW1yo/edit?usp=sharing"",""ลำปาง!J308"")"),1)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IFERROR(__xludf.DUMMYFUNCTION("IMPORTRANGE(""https://docs.google.com/spreadsheets/d/11923uPwbBZFjjGgGUA6NLw09EwE0CqkOc4q9oUmW1yo/edit?usp=sharing"",""ลำปาง!J309"")"),1)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IFERROR(__xludf.DUMMYFUNCTION("IMPORTRANGE(""https://docs.google.com/spreadsheets/d/11923uPwbBZFjjGgGUA6NLw09EwE0CqkOc4q9oUmW1yo/edit?usp=sharing"",""ลำปาง!J310"")"),1)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IFERROR(__xludf.DUMMYFUNCTION("IMPORTRANGE(""https://docs.google.com/spreadsheets/d/11923uPwbBZFjjGgGUA6NLw09EwE0CqkOc4q9oUmW1yo/edit?usp=sharing"",""ลำปาง!I311"")"),40)</f>
        <v>40</v>
      </c>
      <c r="J416" s="210">
        <f ca="1">IFERROR(__xludf.DUMMYFUNCTION("IMPORTRANGE(""https://docs.google.com/spreadsheets/d/11923uPwbBZFjjGgGUA6NLw09EwE0CqkOc4q9oUmW1yo/edit?usp=sharing"",""ลำปาง!J311"")"),0)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IFERROR(__xludf.DUMMYFUNCTION("IMPORTRANGE(""https://docs.google.com/spreadsheets/d/11923uPwbBZFjjGgGUA6NLw09EwE0CqkOc4q9oUmW1yo/edit?usp=sharing"",""ลำปาง!I312"")"),10)</f>
        <v>10</v>
      </c>
      <c r="J417" s="400">
        <f ca="1">IFERROR(__xludf.DUMMYFUNCTION("IMPORTRANGE(""https://docs.google.com/spreadsheets/d/11923uPwbBZFjjGgGUA6NLw09EwE0CqkOc4q9oUmW1yo/edit?usp=sharing"",""ลำปาง!J312"")"),0)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IFERROR(__xludf.DUMMYFUNCTION("IMPORTRANGE(""https://docs.google.com/spreadsheets/d/11923uPwbBZFjjGgGUA6NLw09EwE0CqkOc4q9oUmW1yo/edit?usp=sharing"",""ลำปาง!I313"")"),30)</f>
        <v>30</v>
      </c>
      <c r="J418" s="401">
        <f ca="1">IFERROR(__xludf.DUMMYFUNCTION("IMPORTRANGE(""https://docs.google.com/spreadsheets/d/11923uPwbBZFjjGgGUA6NLw09EwE0CqkOc4q9oUmW1yo/edit?usp=sharing"",""ลำปาง!J313"")"),0)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IFERROR(__xludf.DUMMYFUNCTION("IMPORTRANGE(""https://docs.google.com/spreadsheets/d/11923uPwbBZFjjGgGUA6NLw09EwE0CqkOc4q9oUmW1yo/edit?usp=sharing"",""ลำปาง!I314"")"),10)</f>
        <v>10</v>
      </c>
      <c r="J419" s="402">
        <f ca="1">IFERROR(__xludf.DUMMYFUNCTION("IMPORTRANGE(""https://docs.google.com/spreadsheets/d/11923uPwbBZFjjGgGUA6NLw09EwE0CqkOc4q9oUmW1yo/edit?usp=sharing"",""ลำปาง!J314"")"),0)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IFERROR(__xludf.DUMMYFUNCTION("IMPORTRANGE(""https://docs.google.com/spreadsheets/d/11923uPwbBZFjjGgGUA6NLw09EwE0CqkOc4q9oUmW1yo/edit?usp=sharing"",""ลำปาง!I315"")"),10)</f>
        <v>10</v>
      </c>
      <c r="J420" s="402">
        <f ca="1">IFERROR(__xludf.DUMMYFUNCTION("IMPORTRANGE(""https://docs.google.com/spreadsheets/d/11923uPwbBZFjjGgGUA6NLw09EwE0CqkOc4q9oUmW1yo/edit?usp=sharing"",""ลำปาง!J315"")"),0)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IFERROR(__xludf.DUMMYFUNCTION("IMPORTRANGE(""https://docs.google.com/spreadsheets/d/11923uPwbBZFjjGgGUA6NLw09EwE0CqkOc4q9oUmW1yo/edit?usp=sharing"",""ลำปาง!I316"")"),20)</f>
        <v>20</v>
      </c>
      <c r="J421" s="400">
        <f ca="1">IFERROR(__xludf.DUMMYFUNCTION("IMPORTRANGE(""https://docs.google.com/spreadsheets/d/11923uPwbBZFjjGgGUA6NLw09EwE0CqkOc4q9oUmW1yo/edit?usp=sharing"",""ลำปาง!J316"")"),0)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IFERROR(__xludf.DUMMYFUNCTION("IMPORTRANGE(""https://docs.google.com/spreadsheets/d/11923uPwbBZFjjGgGUA6NLw09EwE0CqkOc4q9oUmW1yo/edit?usp=sharing"",""ลำปาง!I317"")"),60)</f>
        <v>60</v>
      </c>
      <c r="J422" s="401">
        <f ca="1">IFERROR(__xludf.DUMMYFUNCTION("IMPORTRANGE(""https://docs.google.com/spreadsheets/d/11923uPwbBZFjjGgGUA6NLw09EwE0CqkOc4q9oUmW1yo/edit?usp=sharing"",""ลำปาง!J317"")"),0)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IFERROR(__xludf.DUMMYFUNCTION("IMPORTRANGE(""https://docs.google.com/spreadsheets/d/11923uPwbBZFjjGgGUA6NLw09EwE0CqkOc4q9oUmW1yo/edit?usp=sharing"",""ลำปาง!I318"")"),20)</f>
        <v>20</v>
      </c>
      <c r="J423" s="402">
        <f ca="1">IFERROR(__xludf.DUMMYFUNCTION("IMPORTRANGE(""https://docs.google.com/spreadsheets/d/11923uPwbBZFjjGgGUA6NLw09EwE0CqkOc4q9oUmW1yo/edit?usp=sharing"",""ลำปาง!J318"")"),0)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IFERROR(__xludf.DUMMYFUNCTION("IMPORTRANGE(""https://docs.google.com/spreadsheets/d/11923uPwbBZFjjGgGUA6NLw09EwE0CqkOc4q9oUmW1yo/edit?usp=sharing"",""ลำปาง!I319"")"),20)</f>
        <v>20</v>
      </c>
      <c r="J424" s="402">
        <f ca="1">IFERROR(__xludf.DUMMYFUNCTION("IMPORTRANGE(""https://docs.google.com/spreadsheets/d/11923uPwbBZFjjGgGUA6NLw09EwE0CqkOc4q9oUmW1yo/edit?usp=sharing"",""ลำปาง!J319"")"),0)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IFERROR(__xludf.DUMMYFUNCTION("IMPORTRANGE(""https://docs.google.com/spreadsheets/d/11923uPwbBZFjjGgGUA6NLw09EwE0CqkOc4q9oUmW1yo/edit?usp=sharing"",""ลำปาง!I320"")"),20)</f>
        <v>20</v>
      </c>
      <c r="J425" s="402">
        <f ca="1">IFERROR(__xludf.DUMMYFUNCTION("IMPORTRANGE(""https://docs.google.com/spreadsheets/d/11923uPwbBZFjjGgGUA6NLw09EwE0CqkOc4q9oUmW1yo/edit?usp=sharing"",""ลำปาง!J320"")"),0)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IFERROR(__xludf.DUMMYFUNCTION("IMPORTRANGE(""https://docs.google.com/spreadsheets/d/11923uPwbBZFjjGgGUA6NLw09EwE0CqkOc4q9oUmW1yo/edit?usp=sharing"",""ลำปาง!I321"")"),10)</f>
        <v>10</v>
      </c>
      <c r="J426" s="400">
        <f ca="1">IFERROR(__xludf.DUMMYFUNCTION("IMPORTRANGE(""https://docs.google.com/spreadsheets/d/11923uPwbBZFjjGgGUA6NLw09EwE0CqkOc4q9oUmW1yo/edit?usp=sharing"",""ลำปาง!J321"")"),0)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IFERROR(__xludf.DUMMYFUNCTION("IMPORTRANGE(""https://docs.google.com/spreadsheets/d/11923uPwbBZFjjGgGUA6NLw09EwE0CqkOc4q9oUmW1yo/edit?usp=sharing"",""ลำปาง!I322"")"),30)</f>
        <v>30</v>
      </c>
      <c r="J427" s="401">
        <f ca="1">IFERROR(__xludf.DUMMYFUNCTION("IMPORTRANGE(""https://docs.google.com/spreadsheets/d/11923uPwbBZFjjGgGUA6NLw09EwE0CqkOc4q9oUmW1yo/edit?usp=sharing"",""ลำปาง!J322"")"),0)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IFERROR(__xludf.DUMMYFUNCTION("IMPORTRANGE(""https://docs.google.com/spreadsheets/d/11923uPwbBZFjjGgGUA6NLw09EwE0CqkOc4q9oUmW1yo/edit?usp=sharing"",""ลำปาง!I323"")"),10)</f>
        <v>10</v>
      </c>
      <c r="J428" s="402">
        <f ca="1">IFERROR(__xludf.DUMMYFUNCTION("IMPORTRANGE(""https://docs.google.com/spreadsheets/d/11923uPwbBZFjjGgGUA6NLw09EwE0CqkOc4q9oUmW1yo/edit?usp=sharing"",""ลำปาง!J323"")"),0)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IFERROR(__xludf.DUMMYFUNCTION("IMPORTRANGE(""https://docs.google.com/spreadsheets/d/11923uPwbBZFjjGgGUA6NLw09EwE0CqkOc4q9oUmW1yo/edit?usp=sharing"",""ลำปาง!I324"")"),10)</f>
        <v>10</v>
      </c>
      <c r="J429" s="402">
        <f ca="1">IFERROR(__xludf.DUMMYFUNCTION("IMPORTRANGE(""https://docs.google.com/spreadsheets/d/11923uPwbBZFjjGgGUA6NLw09EwE0CqkOc4q9oUmW1yo/edit?usp=sharing"",""ลำปาง!J324"")"),0)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IFERROR(__xludf.DUMMYFUNCTION("IMPORTRANGE(""https://docs.google.com/spreadsheets/d/11923uPwbBZFjjGgGUA6NLw09EwE0CqkOc4q9oUmW1yo/edit?usp=sharing"",""ลำปาง!I325"")"),30)</f>
        <v>30</v>
      </c>
      <c r="J430" s="400">
        <f ca="1">IFERROR(__xludf.DUMMYFUNCTION("IMPORTRANGE(""https://docs.google.com/spreadsheets/d/11923uPwbBZFjjGgGUA6NLw09EwE0CqkOc4q9oUmW1yo/edit?usp=sharing"",""ลำปาง!J325"")"),0)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IFERROR(__xludf.DUMMYFUNCTION("IMPORTRANGE(""https://docs.google.com/spreadsheets/d/11923uPwbBZFjjGgGUA6NLw09EwE0CqkOc4q9oUmW1yo/edit?usp=sharing"",""ลำปาง!I326"")"),10)</f>
        <v>10</v>
      </c>
      <c r="J431" s="402">
        <f ca="1">IFERROR(__xludf.DUMMYFUNCTION("IMPORTRANGE(""https://docs.google.com/spreadsheets/d/11923uPwbBZFjjGgGUA6NLw09EwE0CqkOc4q9oUmW1yo/edit?usp=sharing"",""ลำปาง!J326"")"),0)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IFERROR(__xludf.DUMMYFUNCTION("IMPORTRANGE(""https://docs.google.com/spreadsheets/d/11923uPwbBZFjjGgGUA6NLw09EwE0CqkOc4q9oUmW1yo/edit?usp=sharing"",""ลำปาง!I327"")"),20)</f>
        <v>20</v>
      </c>
      <c r="J432" s="402">
        <f ca="1">IFERROR(__xludf.DUMMYFUNCTION("IMPORTRANGE(""https://docs.google.com/spreadsheets/d/11923uPwbBZFjjGgGUA6NLw09EwE0CqkOc4q9oUmW1yo/edit?usp=sharing"",""ลำปาง!J327"")"),0)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IFERROR(__xludf.DUMMYFUNCTION("IMPORTRANGE(""https://docs.google.com/spreadsheets/d/11923uPwbBZFjjGgGUA6NLw09EwE0CqkOc4q9oUmW1yo/edit?usp=sharing"",""ลำปาง!J328"")"),0)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IFERROR(__xludf.DUMMYFUNCTION("IMPORTRANGE(""https://docs.google.com/spreadsheets/d/11923uPwbBZFjjGgGUA6NLw09EwE0CqkOc4q9oUmW1yo/edit?usp=sharing"",""ลำปาง!J329"")"),0)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IFERROR(__xludf.DUMMYFUNCTION("IMPORTRANGE(""https://docs.google.com/spreadsheets/d/11923uPwbBZFjjGgGUA6NLw09EwE0CqkOc4q9oUmW1yo/edit?usp=sharing"",""ลำปาง!I330"")"),15)</f>
        <v>15</v>
      </c>
      <c r="J435" s="418">
        <f ca="1">IFERROR(__xludf.DUMMYFUNCTION("IMPORTRANGE(""https://docs.google.com/spreadsheets/d/11923uPwbBZFjjGgGUA6NLw09EwE0CqkOc4q9oUmW1yo/edit?usp=sharing"",""ลำปาง!J330"")"),15)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IFERROR(__xludf.DUMMYFUNCTION("IMPORTRANGE(""https://docs.google.com/spreadsheets/d/11923uPwbBZFjjGgGUA6NLw09EwE0CqkOc4q9oUmW1yo/edit?usp=sharing"",""ลำปาง!L330"")"),83000)</f>
        <v>83000</v>
      </c>
      <c r="M435" s="420"/>
      <c r="N435" s="420">
        <f ca="1">IFERROR(__xludf.DUMMYFUNCTION("IMPORTRANGE(""https://docs.google.com/spreadsheets/d/11923uPwbBZFjjGgGUA6NLw09EwE0CqkOc4q9oUmW1yo/edit?usp=sharing"",""ลำปาง!M330"")"),45560.39)</f>
        <v>45560.39</v>
      </c>
      <c r="O435" s="420">
        <f t="shared" ref="O435:O439" ca="1" si="114">+IF(L435&gt;0,N435*100/L435,0)</f>
        <v>54.892036144578313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IFERROR(__xludf.DUMMYFUNCTION("IMPORTRANGE(""https://docs.google.com/spreadsheets/d/11923uPwbBZFjjGgGUA6NLw09EwE0CqkOc4q9oUmW1yo/edit?usp=sharing"",""ลำปาง!L331"")"),0)</f>
        <v>0</v>
      </c>
      <c r="M436" s="172"/>
      <c r="N436" s="178">
        <f ca="1">IFERROR(__xludf.DUMMYFUNCTION("IMPORTRANGE(""https://docs.google.com/spreadsheets/d/11923uPwbBZFjjGgGUA6NLw09EwE0CqkOc4q9oUmW1yo/edit?usp=sharing"",""ลำปาง!M331"")"),0)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IFERROR(__xludf.DUMMYFUNCTION("IMPORTRANGE(""https://docs.google.com/spreadsheets/d/11923uPwbBZFjjGgGUA6NLw09EwE0CqkOc4q9oUmW1yo/edit?usp=sharing"",""ลำปาง!L332"")"),83000)</f>
        <v>83000</v>
      </c>
      <c r="M437" s="173"/>
      <c r="N437" s="178">
        <f ca="1">IFERROR(__xludf.DUMMYFUNCTION("IMPORTRANGE(""https://docs.google.com/spreadsheets/d/11923uPwbBZFjjGgGUA6NLw09EwE0CqkOc4q9oUmW1yo/edit?usp=sharing"",""ลำปาง!M332"")"),45560.39)</f>
        <v>45560.39</v>
      </c>
      <c r="O437" s="178">
        <f t="shared" ca="1" si="114"/>
        <v>54.892036144578313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IFERROR(__xludf.DUMMYFUNCTION("IMPORTRANGE(""https://docs.google.com/spreadsheets/d/11923uPwbBZFjjGgGUA6NLw09EwE0CqkOc4q9oUmW1yo/edit?usp=sharing"",""ลำปาง!L333"")"),0)</f>
        <v>0</v>
      </c>
      <c r="M438" s="178"/>
      <c r="N438" s="178">
        <f ca="1">IFERROR(__xludf.DUMMYFUNCTION("IMPORTRANGE(""https://docs.google.com/spreadsheets/d/11923uPwbBZFjjGgGUA6NLw09EwE0CqkOc4q9oUmW1yo/edit?usp=sharing"",""ลำปาง!M333"")"),0)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IFERROR(__xludf.DUMMYFUNCTION("IMPORTRANGE(""https://docs.google.com/spreadsheets/d/11923uPwbBZFjjGgGUA6NLw09EwE0CqkOc4q9oUmW1yo/edit?usp=sharing"",""ลำปาง!L334"")"),83000)</f>
        <v>83000</v>
      </c>
      <c r="M439" s="178"/>
      <c r="N439" s="178">
        <f ca="1">IFERROR(__xludf.DUMMYFUNCTION("IMPORTRANGE(""https://docs.google.com/spreadsheets/d/11923uPwbBZFjjGgGUA6NLw09EwE0CqkOc4q9oUmW1yo/edit?usp=sharing"",""ลำปาง!M334"")"),45560.39)</f>
        <v>45560.39</v>
      </c>
      <c r="O439" s="178">
        <f t="shared" ca="1" si="114"/>
        <v>54.892036144578313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IFERROR(__xludf.DUMMYFUNCTION("IMPORTRANGE(""https://docs.google.com/spreadsheets/d/11923uPwbBZFjjGgGUA6NLw09EwE0CqkOc4q9oUmW1yo/edit?usp=sharing"",""ลำปาง!M335"")"),32200)</f>
        <v>32200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 t="str">
        <f ca="1">IFERROR(__xludf.DUMMYFUNCTION("IMPORTRANGE(""https://docs.google.com/spreadsheets/d/11923uPwbBZFjjGgGUA6NLw09EwE0CqkOc4q9oUmW1yo/edit?usp=sharing"",""ลำปาง!M336"")"),"")</f>
        <v/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IFERROR(__xludf.DUMMYFUNCTION("IMPORTRANGE(""https://docs.google.com/spreadsheets/d/11923uPwbBZFjjGgGUA6NLw09EwE0CqkOc4q9oUmW1yo/edit?usp=sharing"",""ลำปาง!M337"")"),0)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IFERROR(__xludf.DUMMYFUNCTION("IMPORTRANGE(""https://docs.google.com/spreadsheets/d/11923uPwbBZFjjGgGUA6NLw09EwE0CqkOc4q9oUmW1yo/edit?usp=sharing"",""ลำปาง!M338"")"),13360.39)</f>
        <v>13360.39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IFERROR(__xludf.DUMMYFUNCTION("IMPORTRANGE(""https://docs.google.com/spreadsheets/d/11923uPwbBZFjjGgGUA6NLw09EwE0CqkOc4q9oUmW1yo/edit?usp=sharing"",""ลำปาง!J340"")"),0)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IFERROR(__xludf.DUMMYFUNCTION("IMPORTRANGE(""https://docs.google.com/spreadsheets/d/11923uPwbBZFjjGgGUA6NLw09EwE0CqkOc4q9oUmW1yo/edit?usp=sharing"",""ลำปาง!J341"")"),0)</f>
        <v>0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IFERROR(__xludf.DUMMYFUNCTION("IMPORTRANGE(""https://docs.google.com/spreadsheets/d/11923uPwbBZFjjGgGUA6NLw09EwE0CqkOc4q9oUmW1yo/edit?usp=sharing"",""ลำปาง!J342"")"),1)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IFERROR(__xludf.DUMMYFUNCTION("IMPORTRANGE(""https://docs.google.com/spreadsheets/d/11923uPwbBZFjjGgGUA6NLw09EwE0CqkOc4q9oUmW1yo/edit?usp=sharing"",""ลำปาง!J343"")"),0)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IFERROR(__xludf.DUMMYFUNCTION("IMPORTRANGE(""https://docs.google.com/spreadsheets/d/11923uPwbBZFjjGgGUA6NLw09EwE0CqkOc4q9oUmW1yo/edit?usp=sharing"",""ลำปาง!I344"")"),15)</f>
        <v>15</v>
      </c>
      <c r="J449" s="210">
        <f ca="1">IFERROR(__xludf.DUMMYFUNCTION("IMPORTRANGE(""https://docs.google.com/spreadsheets/d/11923uPwbBZFjjGgGUA6NLw09EwE0CqkOc4q9oUmW1yo/edit?usp=sharing"",""ลำปาง!J344"")"),15)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IFERROR(__xludf.DUMMYFUNCTION("IMPORTRANGE(""https://docs.google.com/spreadsheets/d/11923uPwbBZFjjGgGUA6NLw09EwE0CqkOc4q9oUmW1yo/edit?usp=sharing"",""ลำปาง!I345"")"),15)</f>
        <v>15</v>
      </c>
      <c r="J450" s="198">
        <f ca="1">IFERROR(__xludf.DUMMYFUNCTION("IMPORTRANGE(""https://docs.google.com/spreadsheets/d/11923uPwbBZFjjGgGUA6NLw09EwE0CqkOc4q9oUmW1yo/edit?usp=sharing"",""ลำปาง!J345"")"),15)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IFERROR(__xludf.DUMMYFUNCTION("IMPORTRANGE(""https://docs.google.com/spreadsheets/d/11923uPwbBZFjjGgGUA6NLw09EwE0CqkOc4q9oUmW1yo/edit?usp=sharing"",""ลำปาง!I346"")"),0)</f>
        <v>0</v>
      </c>
      <c r="J451" s="197">
        <f ca="1">IFERROR(__xludf.DUMMYFUNCTION("IMPORTRANGE(""https://docs.google.com/spreadsheets/d/11923uPwbBZFjjGgGUA6NLw09EwE0CqkOc4q9oUmW1yo/edit?usp=sharing"",""ลำปาง!J346"")"),0)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IFERROR(__xludf.DUMMYFUNCTION("IMPORTRANGE(""https://docs.google.com/spreadsheets/d/11923uPwbBZFjjGgGUA6NLw09EwE0CqkOc4q9oUmW1yo/edit?usp=sharing"",""ลำปาง!I347"")"),0)</f>
        <v>0</v>
      </c>
      <c r="J452" s="197">
        <f ca="1">IFERROR(__xludf.DUMMYFUNCTION("IMPORTRANGE(""https://docs.google.com/spreadsheets/d/11923uPwbBZFjjGgGUA6NLw09EwE0CqkOc4q9oUmW1yo/edit?usp=sharing"",""ลำปาง!J347"")"),0)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IFERROR(__xludf.DUMMYFUNCTION("IMPORTRANGE(""https://docs.google.com/spreadsheets/d/11923uPwbBZFjjGgGUA6NLw09EwE0CqkOc4q9oUmW1yo/edit?usp=sharing"",""ลำปาง!J348"")"),0)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IFERROR(__xludf.DUMMYFUNCTION("IMPORTRANGE(""https://docs.google.com/spreadsheets/d/11923uPwbBZFjjGgGUA6NLw09EwE0CqkOc4q9oUmW1yo/edit?usp=sharing"",""ลำปาง!J349"")"),0)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IFERROR(__xludf.DUMMYFUNCTION("IMPORTRANGE(""https://docs.google.com/spreadsheets/d/11923uPwbBZFjjGgGUA6NLw09EwE0CqkOc4q9oUmW1yo/edit?usp=sharing"",""ลำปาง!I350"")"),39762)</f>
        <v>39762</v>
      </c>
      <c r="J455" s="379">
        <f ca="1">IFERROR(__xludf.DUMMYFUNCTION("IMPORTRANGE(""https://docs.google.com/spreadsheets/d/11923uPwbBZFjjGgGUA6NLw09EwE0CqkOc4q9oUmW1yo/edit?usp=sharing"",""ลำปาง!J350"")"),0)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IFERROR(__xludf.DUMMYFUNCTION("IMPORTRANGE(""https://docs.google.com/spreadsheets/d/11923uPwbBZFjjGgGUA6NLw09EwE0CqkOc4q9oUmW1yo/edit?usp=sharing"",""ลำปาง!L350"")"),615200)</f>
        <v>615200</v>
      </c>
      <c r="M455" s="381"/>
      <c r="N455" s="381">
        <f ca="1">IFERROR(__xludf.DUMMYFUNCTION("IMPORTRANGE(""https://docs.google.com/spreadsheets/d/11923uPwbBZFjjGgGUA6NLw09EwE0CqkOc4q9oUmW1yo/edit?usp=sharing"",""ลำปาง!M350"")"),69546.7)</f>
        <v>69546.7</v>
      </c>
      <c r="O455" s="381">
        <f t="shared" ref="O455:O459" ca="1" si="116">+IF(L455&gt;0,N455*100/L455,0)</f>
        <v>11.304730169050716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IFERROR(__xludf.DUMMYFUNCTION("IMPORTRANGE(""https://docs.google.com/spreadsheets/d/11923uPwbBZFjjGgGUA6NLw09EwE0CqkOc4q9oUmW1yo/edit?usp=sharing"",""ลำปาง!L351"")"),0)</f>
        <v>0</v>
      </c>
      <c r="M456" s="172"/>
      <c r="N456" s="178">
        <f ca="1">IFERROR(__xludf.DUMMYFUNCTION("IMPORTRANGE(""https://docs.google.com/spreadsheets/d/11923uPwbBZFjjGgGUA6NLw09EwE0CqkOc4q9oUmW1yo/edit?usp=sharing"",""ลำปาง!M351"")"),0)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IFERROR(__xludf.DUMMYFUNCTION("IMPORTRANGE(""https://docs.google.com/spreadsheets/d/11923uPwbBZFjjGgGUA6NLw09EwE0CqkOc4q9oUmW1yo/edit?usp=sharing"",""ลำปาง!L352"")"),615200)</f>
        <v>615200</v>
      </c>
      <c r="M457" s="173"/>
      <c r="N457" s="178">
        <f ca="1">IFERROR(__xludf.DUMMYFUNCTION("IMPORTRANGE(""https://docs.google.com/spreadsheets/d/11923uPwbBZFjjGgGUA6NLw09EwE0CqkOc4q9oUmW1yo/edit?usp=sharing"",""ลำปาง!M352"")"),69546.7)</f>
        <v>69546.7</v>
      </c>
      <c r="O457" s="178">
        <f t="shared" ca="1" si="116"/>
        <v>11.304730169050716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IFERROR(__xludf.DUMMYFUNCTION("IMPORTRANGE(""https://docs.google.com/spreadsheets/d/11923uPwbBZFjjGgGUA6NLw09EwE0CqkOc4q9oUmW1yo/edit?usp=sharing"",""ลำปาง!L353"")"),0)</f>
        <v>0</v>
      </c>
      <c r="M458" s="178"/>
      <c r="N458" s="178">
        <f ca="1">IFERROR(__xludf.DUMMYFUNCTION("IMPORTRANGE(""https://docs.google.com/spreadsheets/d/11923uPwbBZFjjGgGUA6NLw09EwE0CqkOc4q9oUmW1yo/edit?usp=sharing"",""ลำปาง!M353"")"),0)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IFERROR(__xludf.DUMMYFUNCTION("IMPORTRANGE(""https://docs.google.com/spreadsheets/d/11923uPwbBZFjjGgGUA6NLw09EwE0CqkOc4q9oUmW1yo/edit?usp=sharing"",""ลำปาง!L354"")"),615200)</f>
        <v>615200</v>
      </c>
      <c r="M459" s="178"/>
      <c r="N459" s="178">
        <f ca="1">IFERROR(__xludf.DUMMYFUNCTION("IMPORTRANGE(""https://docs.google.com/spreadsheets/d/11923uPwbBZFjjGgGUA6NLw09EwE0CqkOc4q9oUmW1yo/edit?usp=sharing"",""ลำปาง!M354"")"),69546.7)</f>
        <v>69546.7</v>
      </c>
      <c r="O459" s="178">
        <f t="shared" ca="1" si="116"/>
        <v>11.304730169050716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IFERROR(__xludf.DUMMYFUNCTION("IMPORTRANGE(""https://docs.google.com/spreadsheets/d/11923uPwbBZFjjGgGUA6NLw09EwE0CqkOc4q9oUmW1yo/edit?usp=sharing"",""ลำปาง!M355"")"),0)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IFERROR(__xludf.DUMMYFUNCTION("IMPORTRANGE(""https://docs.google.com/spreadsheets/d/11923uPwbBZFjjGgGUA6NLw09EwE0CqkOc4q9oUmW1yo/edit?usp=sharing"",""ลำปาง!M356"")"),0)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IFERROR(__xludf.DUMMYFUNCTION("IMPORTRANGE(""https://docs.google.com/spreadsheets/d/11923uPwbBZFjjGgGUA6NLw09EwE0CqkOc4q9oUmW1yo/edit?usp=sharing"",""ลำปาง!M357"")"),31166.7)</f>
        <v>31166.7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IFERROR(__xludf.DUMMYFUNCTION("IMPORTRANGE(""https://docs.google.com/spreadsheets/d/11923uPwbBZFjjGgGUA6NLw09EwE0CqkOc4q9oUmW1yo/edit?usp=sharing"",""ลำปาง!M358"")"),38380)</f>
        <v>38380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IFERROR(__xludf.DUMMYFUNCTION("IMPORTRANGE(""https://docs.google.com/spreadsheets/d/11923uPwbBZFjjGgGUA6NLw09EwE0CqkOc4q9oUmW1yo/edit?usp=sharing"",""ลำปาง!I359"")"),39762)</f>
        <v>39762</v>
      </c>
      <c r="J464" s="276">
        <f ca="1">IFERROR(__xludf.DUMMYFUNCTION("IMPORTRANGE(""https://docs.google.com/spreadsheets/d/11923uPwbBZFjjGgGUA6NLw09EwE0CqkOc4q9oUmW1yo/edit?usp=sharing"",""ลำปาง!J359"")"),0)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IFERROR(__xludf.DUMMYFUNCTION("IMPORTRANGE(""https://docs.google.com/spreadsheets/d/11923uPwbBZFjjGgGUA6NLw09EwE0CqkOc4q9oUmW1yo/edit?usp=sharing"",""ลำปาง!I360"")"),39762)</f>
        <v>39762</v>
      </c>
      <c r="J465" s="428">
        <f ca="1">IFERROR(__xludf.DUMMYFUNCTION("IMPORTRANGE(""https://docs.google.com/spreadsheets/d/11923uPwbBZFjjGgGUA6NLw09EwE0CqkOc4q9oUmW1yo/edit?usp=sharing"",""ลำปาง!J360"")"),17220)</f>
        <v>17220</v>
      </c>
      <c r="K465" s="211">
        <f t="shared" ca="1" si="117"/>
        <v>43.307680700165989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IFERROR(__xludf.DUMMYFUNCTION("IMPORTRANGE(""https://docs.google.com/spreadsheets/d/11923uPwbBZFjjGgGUA6NLw09EwE0CqkOc4q9oUmW1yo/edit?usp=sharing"",""ลำปาง!I361"")"),10122)</f>
        <v>10122</v>
      </c>
      <c r="J466" s="428">
        <f ca="1">IFERROR(__xludf.DUMMYFUNCTION("IMPORTRANGE(""https://docs.google.com/spreadsheets/d/11923uPwbBZFjjGgGUA6NLw09EwE0CqkOc4q9oUmW1yo/edit?usp=sharing"",""ลำปาง!J361"")"),3016)</f>
        <v>3016</v>
      </c>
      <c r="K466" s="211">
        <f t="shared" ca="1" si="117"/>
        <v>29.796482908516104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IFERROR(__xludf.DUMMYFUNCTION("IMPORTRANGE(""https://docs.google.com/spreadsheets/d/11923uPwbBZFjjGgGUA6NLw09EwE0CqkOc4q9oUmW1yo/edit?usp=sharing"",""ลำปาง!I362"")"),0)</f>
        <v>0</v>
      </c>
      <c r="J467" s="198">
        <f ca="1">IFERROR(__xludf.DUMMYFUNCTION("IMPORTRANGE(""https://docs.google.com/spreadsheets/d/11923uPwbBZFjjGgGUA6NLw09EwE0CqkOc4q9oUmW1yo/edit?usp=sharing"",""ลำปาง!J362"")"),14069)</f>
        <v>14069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IFERROR(__xludf.DUMMYFUNCTION("IMPORTRANGE(""https://docs.google.com/spreadsheets/d/11923uPwbBZFjjGgGUA6NLw09EwE0CqkOc4q9oUmW1yo/edit?usp=sharing"",""ลำปาง!I363"")"),0)</f>
        <v>0</v>
      </c>
      <c r="J468" s="198">
        <f ca="1">IFERROR(__xludf.DUMMYFUNCTION("IMPORTRANGE(""https://docs.google.com/spreadsheets/d/11923uPwbBZFjjGgGUA6NLw09EwE0CqkOc4q9oUmW1yo/edit?usp=sharing"",""ลำปาง!J363"")"),2578)</f>
        <v>2578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IFERROR(__xludf.DUMMYFUNCTION("IMPORTRANGE(""https://docs.google.com/spreadsheets/d/11923uPwbBZFjjGgGUA6NLw09EwE0CqkOc4q9oUmW1yo/edit?usp=sharing"",""ลำปาง!I364"")"),0)</f>
        <v>0</v>
      </c>
      <c r="J469" s="198">
        <f ca="1">IFERROR(__xludf.DUMMYFUNCTION("IMPORTRANGE(""https://docs.google.com/spreadsheets/d/11923uPwbBZFjjGgGUA6NLw09EwE0CqkOc4q9oUmW1yo/edit?usp=sharing"",""ลำปาง!J364"")"),2438)</f>
        <v>2438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IFERROR(__xludf.DUMMYFUNCTION("IMPORTRANGE(""https://docs.google.com/spreadsheets/d/11923uPwbBZFjjGgGUA6NLw09EwE0CqkOc4q9oUmW1yo/edit?usp=sharing"",""ลำปาง!I365"")"),0)</f>
        <v>0</v>
      </c>
      <c r="J470" s="198">
        <f ca="1">IFERROR(__xludf.DUMMYFUNCTION("IMPORTRANGE(""https://docs.google.com/spreadsheets/d/11923uPwbBZFjjGgGUA6NLw09EwE0CqkOc4q9oUmW1yo/edit?usp=sharing"",""ลำปาง!J365"")"),314)</f>
        <v>314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IFERROR(__xludf.DUMMYFUNCTION("IMPORTRANGE(""https://docs.google.com/spreadsheets/d/11923uPwbBZFjjGgGUA6NLw09EwE0CqkOc4q9oUmW1yo/edit?usp=sharing"",""ลำปาง!I366"")"),0)</f>
        <v>0</v>
      </c>
      <c r="J471" s="198">
        <f ca="1">IFERROR(__xludf.DUMMYFUNCTION("IMPORTRANGE(""https://docs.google.com/spreadsheets/d/11923uPwbBZFjjGgGUA6NLw09EwE0CqkOc4q9oUmW1yo/edit?usp=sharing"",""ลำปาง!J366"")"),713)</f>
        <v>713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IFERROR(__xludf.DUMMYFUNCTION("IMPORTRANGE(""https://docs.google.com/spreadsheets/d/11923uPwbBZFjjGgGUA6NLw09EwE0CqkOc4q9oUmW1yo/edit?usp=sharing"",""ลำปาง!I367"")"),0)</f>
        <v>0</v>
      </c>
      <c r="J472" s="198">
        <f ca="1">IFERROR(__xludf.DUMMYFUNCTION("IMPORTRANGE(""https://docs.google.com/spreadsheets/d/11923uPwbBZFjjGgGUA6NLw09EwE0CqkOc4q9oUmW1yo/edit?usp=sharing"",""ลำปาง!J367"")"),124)</f>
        <v>124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IFERROR(__xludf.DUMMYFUNCTION("IMPORTRANGE(""https://docs.google.com/spreadsheets/d/11923uPwbBZFjjGgGUA6NLw09EwE0CqkOc4q9oUmW1yo/edit?usp=sharing"",""ลำปาง!I368"")"),39762)</f>
        <v>39762</v>
      </c>
      <c r="J473" s="428">
        <f ca="1">IFERROR(__xludf.DUMMYFUNCTION("IMPORTRANGE(""https://docs.google.com/spreadsheets/d/11923uPwbBZFjjGgGUA6NLw09EwE0CqkOc4q9oUmW1yo/edit?usp=sharing"",""ลำปาง!J368"")"),0)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IFERROR(__xludf.DUMMYFUNCTION("IMPORTRANGE(""https://docs.google.com/spreadsheets/d/11923uPwbBZFjjGgGUA6NLw09EwE0CqkOc4q9oUmW1yo/edit?usp=sharing"",""ลำปาง!I369"")"),10122)</f>
        <v>10122</v>
      </c>
      <c r="J474" s="428">
        <f ca="1">IFERROR(__xludf.DUMMYFUNCTION("IMPORTRANGE(""https://docs.google.com/spreadsheets/d/11923uPwbBZFjjGgGUA6NLw09EwE0CqkOc4q9oUmW1yo/edit?usp=sharing"",""ลำปาง!J369"")"),0)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IFERROR(__xludf.DUMMYFUNCTION("IMPORTRANGE(""https://docs.google.com/spreadsheets/d/11923uPwbBZFjjGgGUA6NLw09EwE0CqkOc4q9oUmW1yo/edit?usp=sharing"",""ลำปาง!I370"")"),0)</f>
        <v>0</v>
      </c>
      <c r="J475" s="198">
        <f ca="1">IFERROR(__xludf.DUMMYFUNCTION("IMPORTRANGE(""https://docs.google.com/spreadsheets/d/11923uPwbBZFjjGgGUA6NLw09EwE0CqkOc4q9oUmW1yo/edit?usp=sharing"",""ลำปาง!J370"")"),0)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IFERROR(__xludf.DUMMYFUNCTION("IMPORTRANGE(""https://docs.google.com/spreadsheets/d/11923uPwbBZFjjGgGUA6NLw09EwE0CqkOc4q9oUmW1yo/edit?usp=sharing"",""ลำปาง!I371"")"),0)</f>
        <v>0</v>
      </c>
      <c r="J476" s="198">
        <f ca="1">IFERROR(__xludf.DUMMYFUNCTION("IMPORTRANGE(""https://docs.google.com/spreadsheets/d/11923uPwbBZFjjGgGUA6NLw09EwE0CqkOc4q9oUmW1yo/edit?usp=sharing"",""ลำปาง!J371"")"),0)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IFERROR(__xludf.DUMMYFUNCTION("IMPORTRANGE(""https://docs.google.com/spreadsheets/d/11923uPwbBZFjjGgGUA6NLw09EwE0CqkOc4q9oUmW1yo/edit?usp=sharing"",""ลำปาง!I372"")"),0)</f>
        <v>0</v>
      </c>
      <c r="J477" s="198">
        <f ca="1">IFERROR(__xludf.DUMMYFUNCTION("IMPORTRANGE(""https://docs.google.com/spreadsheets/d/11923uPwbBZFjjGgGUA6NLw09EwE0CqkOc4q9oUmW1yo/edit?usp=sharing"",""ลำปาง!J372"")"),0)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IFERROR(__xludf.DUMMYFUNCTION("IMPORTRANGE(""https://docs.google.com/spreadsheets/d/11923uPwbBZFjjGgGUA6NLw09EwE0CqkOc4q9oUmW1yo/edit?usp=sharing"",""ลำปาง!I373"")"),0)</f>
        <v>0</v>
      </c>
      <c r="J478" s="198">
        <f ca="1">IFERROR(__xludf.DUMMYFUNCTION("IMPORTRANGE(""https://docs.google.com/spreadsheets/d/11923uPwbBZFjjGgGUA6NLw09EwE0CqkOc4q9oUmW1yo/edit?usp=sharing"",""ลำปาง!J373"")"),0)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IFERROR(__xludf.DUMMYFUNCTION("IMPORTRANGE(""https://docs.google.com/spreadsheets/d/11923uPwbBZFjjGgGUA6NLw09EwE0CqkOc4q9oUmW1yo/edit?usp=sharing"",""ลำปาง!I374"")"),0)</f>
        <v>0</v>
      </c>
      <c r="J479" s="198">
        <f ca="1">IFERROR(__xludf.DUMMYFUNCTION("IMPORTRANGE(""https://docs.google.com/spreadsheets/d/11923uPwbBZFjjGgGUA6NLw09EwE0CqkOc4q9oUmW1yo/edit?usp=sharing"",""ลำปาง!J374"")"),0)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IFERROR(__xludf.DUMMYFUNCTION("IMPORTRANGE(""https://docs.google.com/spreadsheets/d/11923uPwbBZFjjGgGUA6NLw09EwE0CqkOc4q9oUmW1yo/edit?usp=sharing"",""ลำปาง!I375"")"),0)</f>
        <v>0</v>
      </c>
      <c r="J480" s="198">
        <f ca="1">IFERROR(__xludf.DUMMYFUNCTION("IMPORTRANGE(""https://docs.google.com/spreadsheets/d/11923uPwbBZFjjGgGUA6NLw09EwE0CqkOc4q9oUmW1yo/edit?usp=sharing"",""ลำปาง!J375"")"),0)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IFERROR(__xludf.DUMMYFUNCTION("IMPORTRANGE(""https://docs.google.com/spreadsheets/d/11923uPwbBZFjjGgGUA6NLw09EwE0CqkOc4q9oUmW1yo/edit?usp=sharing"",""ลำปาง!I376"")"),39762)</f>
        <v>39762</v>
      </c>
      <c r="J481" s="428">
        <f ca="1">IFERROR(__xludf.DUMMYFUNCTION("IMPORTRANGE(""https://docs.google.com/spreadsheets/d/11923uPwbBZFjjGgGUA6NLw09EwE0CqkOc4q9oUmW1yo/edit?usp=sharing"",""ลำปาง!J376"")"),0)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IFERROR(__xludf.DUMMYFUNCTION("IMPORTRANGE(""https://docs.google.com/spreadsheets/d/11923uPwbBZFjjGgGUA6NLw09EwE0CqkOc4q9oUmW1yo/edit?usp=sharing"",""ลำปาง!I377"")"),10122)</f>
        <v>10122</v>
      </c>
      <c r="J482" s="428">
        <f ca="1">IFERROR(__xludf.DUMMYFUNCTION("IMPORTRANGE(""https://docs.google.com/spreadsheets/d/11923uPwbBZFjjGgGUA6NLw09EwE0CqkOc4q9oUmW1yo/edit?usp=sharing"",""ลำปาง!J377"")"),0)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IFERROR(__xludf.DUMMYFUNCTION("IMPORTRANGE(""https://docs.google.com/spreadsheets/d/11923uPwbBZFjjGgGUA6NLw09EwE0CqkOc4q9oUmW1yo/edit?usp=sharing"",""ลำปาง!I378"")"),0)</f>
        <v>0</v>
      </c>
      <c r="J483" s="198">
        <f ca="1">IFERROR(__xludf.DUMMYFUNCTION("IMPORTRANGE(""https://docs.google.com/spreadsheets/d/11923uPwbBZFjjGgGUA6NLw09EwE0CqkOc4q9oUmW1yo/edit?usp=sharing"",""ลำปาง!J378"")"),0)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IFERROR(__xludf.DUMMYFUNCTION("IMPORTRANGE(""https://docs.google.com/spreadsheets/d/11923uPwbBZFjjGgGUA6NLw09EwE0CqkOc4q9oUmW1yo/edit?usp=sharing"",""ลำปาง!I379"")"),0)</f>
        <v>0</v>
      </c>
      <c r="J484" s="198">
        <f ca="1">IFERROR(__xludf.DUMMYFUNCTION("IMPORTRANGE(""https://docs.google.com/spreadsheets/d/11923uPwbBZFjjGgGUA6NLw09EwE0CqkOc4q9oUmW1yo/edit?usp=sharing"",""ลำปาง!J379"")"),0)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IFERROR(__xludf.DUMMYFUNCTION("IMPORTRANGE(""https://docs.google.com/spreadsheets/d/11923uPwbBZFjjGgGUA6NLw09EwE0CqkOc4q9oUmW1yo/edit?usp=sharing"",""ลำปาง!I380"")"),0)</f>
        <v>0</v>
      </c>
      <c r="J485" s="198">
        <f ca="1">IFERROR(__xludf.DUMMYFUNCTION("IMPORTRANGE(""https://docs.google.com/spreadsheets/d/11923uPwbBZFjjGgGUA6NLw09EwE0CqkOc4q9oUmW1yo/edit?usp=sharing"",""ลำปาง!J380"")"),0)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IFERROR(__xludf.DUMMYFUNCTION("IMPORTRANGE(""https://docs.google.com/spreadsheets/d/11923uPwbBZFjjGgGUA6NLw09EwE0CqkOc4q9oUmW1yo/edit?usp=sharing"",""ลำปาง!I381"")"),0)</f>
        <v>0</v>
      </c>
      <c r="J486" s="198">
        <f ca="1">IFERROR(__xludf.DUMMYFUNCTION("IMPORTRANGE(""https://docs.google.com/spreadsheets/d/11923uPwbBZFjjGgGUA6NLw09EwE0CqkOc4q9oUmW1yo/edit?usp=sharing"",""ลำปาง!J381"")"),0)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IFERROR(__xludf.DUMMYFUNCTION("IMPORTRANGE(""https://docs.google.com/spreadsheets/d/11923uPwbBZFjjGgGUA6NLw09EwE0CqkOc4q9oUmW1yo/edit?usp=sharing"",""ลำปาง!I382"")"),0)</f>
        <v>0</v>
      </c>
      <c r="J487" s="428">
        <f ca="1">IFERROR(__xludf.DUMMYFUNCTION("IMPORTRANGE(""https://docs.google.com/spreadsheets/d/11923uPwbBZFjjGgGUA6NLw09EwE0CqkOc4q9oUmW1yo/edit?usp=sharing"",""ลำปาง!J382"")"),0)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IFERROR(__xludf.DUMMYFUNCTION("IMPORTRANGE(""https://docs.google.com/spreadsheets/d/11923uPwbBZFjjGgGUA6NLw09EwE0CqkOc4q9oUmW1yo/edit?usp=sharing"",""ลำปาง!I383"")"),0)</f>
        <v>0</v>
      </c>
      <c r="J488" s="428">
        <f ca="1">IFERROR(__xludf.DUMMYFUNCTION("IMPORTRANGE(""https://docs.google.com/spreadsheets/d/11923uPwbBZFjjGgGUA6NLw09EwE0CqkOc4q9oUmW1yo/edit?usp=sharing"",""ลำปาง!J383"")"),0)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IFERROR(__xludf.DUMMYFUNCTION("IMPORTRANGE(""https://docs.google.com/spreadsheets/d/11923uPwbBZFjjGgGUA6NLw09EwE0CqkOc4q9oUmW1yo/edit?usp=sharing"",""ลำปาง!I384"")"),0)</f>
        <v>0</v>
      </c>
      <c r="J489" s="198">
        <f ca="1">IFERROR(__xludf.DUMMYFUNCTION("IMPORTRANGE(""https://docs.google.com/spreadsheets/d/11923uPwbBZFjjGgGUA6NLw09EwE0CqkOc4q9oUmW1yo/edit?usp=sharing"",""ลำปาง!J384"")"),0)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IFERROR(__xludf.DUMMYFUNCTION("IMPORTRANGE(""https://docs.google.com/spreadsheets/d/11923uPwbBZFjjGgGUA6NLw09EwE0CqkOc4q9oUmW1yo/edit?usp=sharing"",""ลำปาง!I385"")"),0)</f>
        <v>0</v>
      </c>
      <c r="J490" s="198">
        <f ca="1">IFERROR(__xludf.DUMMYFUNCTION("IMPORTRANGE(""https://docs.google.com/spreadsheets/d/11923uPwbBZFjjGgGUA6NLw09EwE0CqkOc4q9oUmW1yo/edit?usp=sharing"",""ลำปาง!J385"")"),0)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IFERROR(__xludf.DUMMYFUNCTION("IMPORTRANGE(""https://docs.google.com/spreadsheets/d/11923uPwbBZFjjGgGUA6NLw09EwE0CqkOc4q9oUmW1yo/edit?usp=sharing"",""ลำปาง!I386"")"),0)</f>
        <v>0</v>
      </c>
      <c r="J491" s="198">
        <f ca="1">IFERROR(__xludf.DUMMYFUNCTION("IMPORTRANGE(""https://docs.google.com/spreadsheets/d/11923uPwbBZFjjGgGUA6NLw09EwE0CqkOc4q9oUmW1yo/edit?usp=sharing"",""ลำปาง!J386"")"),0)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IFERROR(__xludf.DUMMYFUNCTION("IMPORTRANGE(""https://docs.google.com/spreadsheets/d/11923uPwbBZFjjGgGUA6NLw09EwE0CqkOc4q9oUmW1yo/edit?usp=sharing"",""ลำปาง!I387"")"),0)</f>
        <v>0</v>
      </c>
      <c r="J492" s="198">
        <f ca="1">IFERROR(__xludf.DUMMYFUNCTION("IMPORTRANGE(""https://docs.google.com/spreadsheets/d/11923uPwbBZFjjGgGUA6NLw09EwE0CqkOc4q9oUmW1yo/edit?usp=sharing"",""ลำปาง!J387"")"),0)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IFERROR(__xludf.DUMMYFUNCTION("IMPORTRANGE(""https://docs.google.com/spreadsheets/d/11923uPwbBZFjjGgGUA6NLw09EwE0CqkOc4q9oUmW1yo/edit?usp=sharing"",""ลำปาง!I388"")"),0)</f>
        <v>0</v>
      </c>
      <c r="J493" s="198">
        <f ca="1">IFERROR(__xludf.DUMMYFUNCTION("IMPORTRANGE(""https://docs.google.com/spreadsheets/d/11923uPwbBZFjjGgGUA6NLw09EwE0CqkOc4q9oUmW1yo/edit?usp=sharing"",""ลำปาง!J388"")"),0)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IFERROR(__xludf.DUMMYFUNCTION("IMPORTRANGE(""https://docs.google.com/spreadsheets/d/11923uPwbBZFjjGgGUA6NLw09EwE0CqkOc4q9oUmW1yo/edit?usp=sharing"",""ลำปาง!I389"")"),0)</f>
        <v>0</v>
      </c>
      <c r="J494" s="444">
        <f ca="1">IFERROR(__xludf.DUMMYFUNCTION("IMPORTRANGE(""https://docs.google.com/spreadsheets/d/11923uPwbBZFjjGgGUA6NLw09EwE0CqkOc4q9oUmW1yo/edit?usp=sharing"",""ลำปาง!J389"")"),0)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IFERROR(__xludf.DUMMYFUNCTION("IMPORTRANGE(""https://docs.google.com/spreadsheets/d/11923uPwbBZFjjGgGUA6NLw09EwE0CqkOc4q9oUmW1yo/edit?usp=sharing"",""ลำปาง!I390"")"),0)</f>
        <v>0</v>
      </c>
      <c r="J495" s="444">
        <f ca="1">IFERROR(__xludf.DUMMYFUNCTION("IMPORTRANGE(""https://docs.google.com/spreadsheets/d/11923uPwbBZFjjGgGUA6NLw09EwE0CqkOc4q9oUmW1yo/edit?usp=sharing"",""ลำปาง!J390"")"),0)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IFERROR(__xludf.DUMMYFUNCTION("IMPORTRANGE(""https://docs.google.com/spreadsheets/d/11923uPwbBZFjjGgGUA6NLw09EwE0CqkOc4q9oUmW1yo/edit?usp=sharing"",""ลำปาง!I391"")"),0)</f>
        <v>0</v>
      </c>
      <c r="J496" s="444">
        <f ca="1">IFERROR(__xludf.DUMMYFUNCTION("IMPORTRANGE(""https://docs.google.com/spreadsheets/d/11923uPwbBZFjjGgGUA6NLw09EwE0CqkOc4q9oUmW1yo/edit?usp=sharing"",""ลำปาง!J391"")"),0)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IFERROR(__xludf.DUMMYFUNCTION("IMPORTRANGE(""https://docs.google.com/spreadsheets/d/11923uPwbBZFjjGgGUA6NLw09EwE0CqkOc4q9oUmW1yo/edit?usp=sharing"",""ลำปาง!I392"")"),2846)</f>
        <v>2846</v>
      </c>
      <c r="J497" s="451">
        <f ca="1">IFERROR(__xludf.DUMMYFUNCTION("IMPORTRANGE(""https://docs.google.com/spreadsheets/d/11923uPwbBZFjjGgGUA6NLw09EwE0CqkOc4q9oUmW1yo/edit?usp=sharing"",""ลำปาง!J392"")"),730)</f>
        <v>730</v>
      </c>
      <c r="K497" s="452">
        <f t="shared" ca="1" si="117"/>
        <v>25.650035137034433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IFERROR(__xludf.DUMMYFUNCTION("IMPORTRANGE(""https://docs.google.com/spreadsheets/d/11923uPwbBZFjjGgGUA6NLw09EwE0CqkOc4q9oUmW1yo/edit?usp=sharing"",""ลำปาง!I393"")"),2846)</f>
        <v>2846</v>
      </c>
      <c r="J498" s="428">
        <f ca="1">IFERROR(__xludf.DUMMYFUNCTION("IMPORTRANGE(""https://docs.google.com/spreadsheets/d/11923uPwbBZFjjGgGUA6NLw09EwE0CqkOc4q9oUmW1yo/edit?usp=sharing"",""ลำปาง!J393"")"),730)</f>
        <v>730</v>
      </c>
      <c r="K498" s="171">
        <f t="shared" ca="1" si="117"/>
        <v>25.650035137034433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IFERROR(__xludf.DUMMYFUNCTION("IMPORTRANGE(""https://docs.google.com/spreadsheets/d/11923uPwbBZFjjGgGUA6NLw09EwE0CqkOc4q9oUmW1yo/edit?usp=sharing"",""ลำปาง!I394"")"),354)</f>
        <v>354</v>
      </c>
      <c r="J499" s="428">
        <f ca="1">IFERROR(__xludf.DUMMYFUNCTION("IMPORTRANGE(""https://docs.google.com/spreadsheets/d/11923uPwbBZFjjGgGUA6NLw09EwE0CqkOc4q9oUmW1yo/edit?usp=sharing"",""ลำปาง!J394"")"),97)</f>
        <v>97</v>
      </c>
      <c r="K499" s="211">
        <f t="shared" ca="1" si="117"/>
        <v>27.401129943502823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IFERROR(__xludf.DUMMYFUNCTION("IMPORTRANGE(""https://docs.google.com/spreadsheets/d/11923uPwbBZFjjGgGUA6NLw09EwE0CqkOc4q9oUmW1yo/edit?usp=sharing"",""ลำปาง!I395"")"),0)</f>
        <v>0</v>
      </c>
      <c r="J500" s="170">
        <f ca="1">IFERROR(__xludf.DUMMYFUNCTION("IMPORTRANGE(""https://docs.google.com/spreadsheets/d/11923uPwbBZFjjGgGUA6NLw09EwE0CqkOc4q9oUmW1yo/edit?usp=sharing"",""ลำปาง!J395"")"),730)</f>
        <v>730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IFERROR(__xludf.DUMMYFUNCTION("IMPORTRANGE(""https://docs.google.com/spreadsheets/d/11923uPwbBZFjjGgGUA6NLw09EwE0CqkOc4q9oUmW1yo/edit?usp=sharing"",""ลำปาง!I396"")"),0)</f>
        <v>0</v>
      </c>
      <c r="J501" s="170">
        <f ca="1">IFERROR(__xludf.DUMMYFUNCTION("IMPORTRANGE(""https://docs.google.com/spreadsheets/d/11923uPwbBZFjjGgGUA6NLw09EwE0CqkOc4q9oUmW1yo/edit?usp=sharing"",""ลำปาง!J396"")"),97)</f>
        <v>97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IFERROR(__xludf.DUMMYFUNCTION("IMPORTRANGE(""https://docs.google.com/spreadsheets/d/11923uPwbBZFjjGgGUA6NLw09EwE0CqkOc4q9oUmW1yo/edit?usp=sharing"",""ลำปาง!I397"")"),0)</f>
        <v>0</v>
      </c>
      <c r="J502" s="198">
        <f ca="1">IFERROR(__xludf.DUMMYFUNCTION("IMPORTRANGE(""https://docs.google.com/spreadsheets/d/11923uPwbBZFjjGgGUA6NLw09EwE0CqkOc4q9oUmW1yo/edit?usp=sharing"",""ลำปาง!J397"")"),730)</f>
        <v>730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IFERROR(__xludf.DUMMYFUNCTION("IMPORTRANGE(""https://docs.google.com/spreadsheets/d/11923uPwbBZFjjGgGUA6NLw09EwE0CqkOc4q9oUmW1yo/edit?usp=sharing"",""ลำปาง!I398"")"),0)</f>
        <v>0</v>
      </c>
      <c r="J503" s="207">
        <f ca="1">IFERROR(__xludf.DUMMYFUNCTION("IMPORTRANGE(""https://docs.google.com/spreadsheets/d/11923uPwbBZFjjGgGUA6NLw09EwE0CqkOc4q9oUmW1yo/edit?usp=sharing"",""ลำปาง!J398"")"),97)</f>
        <v>97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IFERROR(__xludf.DUMMYFUNCTION("IMPORTRANGE(""https://docs.google.com/spreadsheets/d/11923uPwbBZFjjGgGUA6NLw09EwE0CqkOc4q9oUmW1yo/edit?usp=sharing"",""ลำปาง!I399"")"),0)</f>
        <v>0</v>
      </c>
      <c r="J504" s="198">
        <f ca="1">IFERROR(__xludf.DUMMYFUNCTION("IMPORTRANGE(""https://docs.google.com/spreadsheets/d/11923uPwbBZFjjGgGUA6NLw09EwE0CqkOc4q9oUmW1yo/edit?usp=sharing"",""ลำปาง!J399"")"),0)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IFERROR(__xludf.DUMMYFUNCTION("IMPORTRANGE(""https://docs.google.com/spreadsheets/d/11923uPwbBZFjjGgGUA6NLw09EwE0CqkOc4q9oUmW1yo/edit?usp=sharing"",""ลำปาง!I400"")"),0)</f>
        <v>0</v>
      </c>
      <c r="J505" s="207">
        <f ca="1">IFERROR(__xludf.DUMMYFUNCTION("IMPORTRANGE(""https://docs.google.com/spreadsheets/d/11923uPwbBZFjjGgGUA6NLw09EwE0CqkOc4q9oUmW1yo/edit?usp=sharing"",""ลำปาง!J400"")"),0)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IFERROR(__xludf.DUMMYFUNCTION("IMPORTRANGE(""https://docs.google.com/spreadsheets/d/11923uPwbBZFjjGgGUA6NLw09EwE0CqkOc4q9oUmW1yo/edit?usp=sharing"",""ลำปาง!I401"")"),0)</f>
        <v>0</v>
      </c>
      <c r="J506" s="198">
        <f ca="1">IFERROR(__xludf.DUMMYFUNCTION("IMPORTRANGE(""https://docs.google.com/spreadsheets/d/11923uPwbBZFjjGgGUA6NLw09EwE0CqkOc4q9oUmW1yo/edit?usp=sharing"",""ลำปาง!J401"")"),0)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IFERROR(__xludf.DUMMYFUNCTION("IMPORTRANGE(""https://docs.google.com/spreadsheets/d/11923uPwbBZFjjGgGUA6NLw09EwE0CqkOc4q9oUmW1yo/edit?usp=sharing"",""ลำปาง!I402"")"),0)</f>
        <v>0</v>
      </c>
      <c r="J507" s="207">
        <f ca="1">IFERROR(__xludf.DUMMYFUNCTION("IMPORTRANGE(""https://docs.google.com/spreadsheets/d/11923uPwbBZFjjGgGUA6NLw09EwE0CqkOc4q9oUmW1yo/edit?usp=sharing"",""ลำปาง!J402"")"),0)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IFERROR(__xludf.DUMMYFUNCTION("IMPORTRANGE(""https://docs.google.com/spreadsheets/d/11923uPwbBZFjjGgGUA6NLw09EwE0CqkOc4q9oUmW1yo/edit?usp=sharing"",""ลำปาง!I403"")"),0)</f>
        <v>0</v>
      </c>
      <c r="J508" s="170">
        <f ca="1">IFERROR(__xludf.DUMMYFUNCTION("IMPORTRANGE(""https://docs.google.com/spreadsheets/d/11923uPwbBZFjjGgGUA6NLw09EwE0CqkOc4q9oUmW1yo/edit?usp=sharing"",""ลำปาง!J403"")"),0)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IFERROR(__xludf.DUMMYFUNCTION("IMPORTRANGE(""https://docs.google.com/spreadsheets/d/11923uPwbBZFjjGgGUA6NLw09EwE0CqkOc4q9oUmW1yo/edit?usp=sharing"",""ลำปาง!I404"")"),0)</f>
        <v>0</v>
      </c>
      <c r="J509" s="170">
        <f ca="1">IFERROR(__xludf.DUMMYFUNCTION("IMPORTRANGE(""https://docs.google.com/spreadsheets/d/11923uPwbBZFjjGgGUA6NLw09EwE0CqkOc4q9oUmW1yo/edit?usp=sharing"",""ลำปาง!J404"")"),0)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IFERROR(__xludf.DUMMYFUNCTION("IMPORTRANGE(""https://docs.google.com/spreadsheets/d/11923uPwbBZFjjGgGUA6NLw09EwE0CqkOc4q9oUmW1yo/edit?usp=sharing"",""ลำปาง!I405"")"),0)</f>
        <v>0</v>
      </c>
      <c r="J510" s="207">
        <f ca="1">IFERROR(__xludf.DUMMYFUNCTION("IMPORTRANGE(""https://docs.google.com/spreadsheets/d/11923uPwbBZFjjGgGUA6NLw09EwE0CqkOc4q9oUmW1yo/edit?usp=sharing"",""ลำปาง!J405"")"),0)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IFERROR(__xludf.DUMMYFUNCTION("IMPORTRANGE(""https://docs.google.com/spreadsheets/d/11923uPwbBZFjjGgGUA6NLw09EwE0CqkOc4q9oUmW1yo/edit?usp=sharing"",""ลำปาง!I406"")"),0)</f>
        <v>0</v>
      </c>
      <c r="J511" s="207">
        <f ca="1">IFERROR(__xludf.DUMMYFUNCTION("IMPORTRANGE(""https://docs.google.com/spreadsheets/d/11923uPwbBZFjjGgGUA6NLw09EwE0CqkOc4q9oUmW1yo/edit?usp=sharing"",""ลำปาง!J406"")"),0)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IFERROR(__xludf.DUMMYFUNCTION("IMPORTRANGE(""https://docs.google.com/spreadsheets/d/11923uPwbBZFjjGgGUA6NLw09EwE0CqkOc4q9oUmW1yo/edit?usp=sharing"",""ลำปาง!I407"")"),0)</f>
        <v>0</v>
      </c>
      <c r="J512" s="207">
        <f ca="1">IFERROR(__xludf.DUMMYFUNCTION("IMPORTRANGE(""https://docs.google.com/spreadsheets/d/11923uPwbBZFjjGgGUA6NLw09EwE0CqkOc4q9oUmW1yo/edit?usp=sharing"",""ลำปาง!J407"")"),0)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IFERROR(__xludf.DUMMYFUNCTION("IMPORTRANGE(""https://docs.google.com/spreadsheets/d/11923uPwbBZFjjGgGUA6NLw09EwE0CqkOc4q9oUmW1yo/edit?usp=sharing"",""ลำปาง!I408"")"),0)</f>
        <v>0</v>
      </c>
      <c r="J513" s="207">
        <f ca="1">IFERROR(__xludf.DUMMYFUNCTION("IMPORTRANGE(""https://docs.google.com/spreadsheets/d/11923uPwbBZFjjGgGUA6NLw09EwE0CqkOc4q9oUmW1yo/edit?usp=sharing"",""ลำปาง!J408"")"),0)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IFERROR(__xludf.DUMMYFUNCTION("IMPORTRANGE(""https://docs.google.com/spreadsheets/d/11923uPwbBZFjjGgGUA6NLw09EwE0CqkOc4q9oUmW1yo/edit?usp=sharing"",""ลำปาง!I409"")"),0)</f>
        <v>0</v>
      </c>
      <c r="J514" s="207">
        <f ca="1">IFERROR(__xludf.DUMMYFUNCTION("IMPORTRANGE(""https://docs.google.com/spreadsheets/d/11923uPwbBZFjjGgGUA6NLw09EwE0CqkOc4q9oUmW1yo/edit?usp=sharing"",""ลำปาง!J409"")"),0)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IFERROR(__xludf.DUMMYFUNCTION("IMPORTRANGE(""https://docs.google.com/spreadsheets/d/11923uPwbBZFjjGgGUA6NLw09EwE0CqkOc4q9oUmW1yo/edit?usp=sharing"",""ลำปาง!I410"")"),0)</f>
        <v>0</v>
      </c>
      <c r="J515" s="207">
        <f ca="1">IFERROR(__xludf.DUMMYFUNCTION("IMPORTRANGE(""https://docs.google.com/spreadsheets/d/11923uPwbBZFjjGgGUA6NLw09EwE0CqkOc4q9oUmW1yo/edit?usp=sharing"",""ลำปาง!J410"")"),0)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IFERROR(__xludf.DUMMYFUNCTION("IMPORTRANGE(""https://docs.google.com/spreadsheets/d/11923uPwbBZFjjGgGUA6NLw09EwE0CqkOc4q9oUmW1yo/edit?usp=sharing"",""ลำปาง!I411"")"),0)</f>
        <v>0</v>
      </c>
      <c r="J516" s="276">
        <f ca="1">IFERROR(__xludf.DUMMYFUNCTION("IMPORTRANGE(""https://docs.google.com/spreadsheets/d/11923uPwbBZFjjGgGUA6NLw09EwE0CqkOc4q9oUmW1yo/edit?usp=sharing"",""ลำปาง!J411"")"),0)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IFERROR(__xludf.DUMMYFUNCTION("IMPORTRANGE(""https://docs.google.com/spreadsheets/d/11923uPwbBZFjjGgGUA6NLw09EwE0CqkOc4q9oUmW1yo/edit?usp=sharing"",""ลำปาง!I412"")"),0)</f>
        <v>0</v>
      </c>
      <c r="J517" s="292">
        <f ca="1">IFERROR(__xludf.DUMMYFUNCTION("IMPORTRANGE(""https://docs.google.com/spreadsheets/d/11923uPwbBZFjjGgGUA6NLw09EwE0CqkOc4q9oUmW1yo/edit?usp=sharing"",""ลำปาง!J412"")"),0)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IFERROR(__xludf.DUMMYFUNCTION("IMPORTRANGE(""https://docs.google.com/spreadsheets/d/11923uPwbBZFjjGgGUA6NLw09EwE0CqkOc4q9oUmW1yo/edit?usp=sharing"",""ลำปาง!I413"")"),0)</f>
        <v>0</v>
      </c>
      <c r="J518" s="292">
        <f ca="1">IFERROR(__xludf.DUMMYFUNCTION("IMPORTRANGE(""https://docs.google.com/spreadsheets/d/11923uPwbBZFjjGgGUA6NLw09EwE0CqkOc4q9oUmW1yo/edit?usp=sharing"",""ลำปาง!J413"")"),0)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IFERROR(__xludf.DUMMYFUNCTION("IMPORTRANGE(""https://docs.google.com/spreadsheets/d/11923uPwbBZFjjGgGUA6NLw09EwE0CqkOc4q9oUmW1yo/edit?usp=sharing"",""ลำปาง!I414"")"),0)</f>
        <v>0</v>
      </c>
      <c r="J519" s="197">
        <f ca="1">IFERROR(__xludf.DUMMYFUNCTION("IMPORTRANGE(""https://docs.google.com/spreadsheets/d/11923uPwbBZFjjGgGUA6NLw09EwE0CqkOc4q9oUmW1yo/edit?usp=sharing"",""ลำปาง!J414"")"),0)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IFERROR(__xludf.DUMMYFUNCTION("IMPORTRANGE(""https://docs.google.com/spreadsheets/d/11923uPwbBZFjjGgGUA6NLw09EwE0CqkOc4q9oUmW1yo/edit?usp=sharing"",""ลำปาง!I415"")"),0)</f>
        <v>0</v>
      </c>
      <c r="J520" s="197">
        <f ca="1">IFERROR(__xludf.DUMMYFUNCTION("IMPORTRANGE(""https://docs.google.com/spreadsheets/d/11923uPwbBZFjjGgGUA6NLw09EwE0CqkOc4q9oUmW1yo/edit?usp=sharing"",""ลำปาง!J415"")"),0)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IFERROR(__xludf.DUMMYFUNCTION("IMPORTRANGE(""https://docs.google.com/spreadsheets/d/11923uPwbBZFjjGgGUA6NLw09EwE0CqkOc4q9oUmW1yo/edit?usp=sharing"",""ลำปาง!I416"")"),0)</f>
        <v>0</v>
      </c>
      <c r="J521" s="197">
        <f ca="1">IFERROR(__xludf.DUMMYFUNCTION("IMPORTRANGE(""https://docs.google.com/spreadsheets/d/11923uPwbBZFjjGgGUA6NLw09EwE0CqkOc4q9oUmW1yo/edit?usp=sharing"",""ลำปาง!J416"")"),0)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IFERROR(__xludf.DUMMYFUNCTION("IMPORTRANGE(""https://docs.google.com/spreadsheets/d/11923uPwbBZFjjGgGUA6NLw09EwE0CqkOc4q9oUmW1yo/edit?usp=sharing"",""ลำปาง!I417"")"),0)</f>
        <v>0</v>
      </c>
      <c r="J522" s="197">
        <f ca="1">IFERROR(__xludf.DUMMYFUNCTION("IMPORTRANGE(""https://docs.google.com/spreadsheets/d/11923uPwbBZFjjGgGUA6NLw09EwE0CqkOc4q9oUmW1yo/edit?usp=sharing"",""ลำปาง!J417"")"),0)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IFERROR(__xludf.DUMMYFUNCTION("IMPORTRANGE(""https://docs.google.com/spreadsheets/d/11923uPwbBZFjjGgGUA6NLw09EwE0CqkOc4q9oUmW1yo/edit?usp=sharing"",""ลำปาง!I418"")"),0)</f>
        <v>0</v>
      </c>
      <c r="J523" s="197">
        <f ca="1">IFERROR(__xludf.DUMMYFUNCTION("IMPORTRANGE(""https://docs.google.com/spreadsheets/d/11923uPwbBZFjjGgGUA6NLw09EwE0CqkOc4q9oUmW1yo/edit?usp=sharing"",""ลำปาง!J418"")"),0)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IFERROR(__xludf.DUMMYFUNCTION("IMPORTRANGE(""https://docs.google.com/spreadsheets/d/11923uPwbBZFjjGgGUA6NLw09EwE0CqkOc4q9oUmW1yo/edit?usp=sharing"",""ลำปาง!I419"")"),0)</f>
        <v>0</v>
      </c>
      <c r="J524" s="197">
        <f ca="1">IFERROR(__xludf.DUMMYFUNCTION("IMPORTRANGE(""https://docs.google.com/spreadsheets/d/11923uPwbBZFjjGgGUA6NLw09EwE0CqkOc4q9oUmW1yo/edit?usp=sharing"",""ลำปาง!J419"")"),0)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IFERROR(__xludf.DUMMYFUNCTION("IMPORTRANGE(""https://docs.google.com/spreadsheets/d/11923uPwbBZFjjGgGUA6NLw09EwE0CqkOc4q9oUmW1yo/edit?usp=sharing"",""ลำปาง!I420"")"),0)</f>
        <v>0</v>
      </c>
      <c r="J525" s="292">
        <f ca="1">IFERROR(__xludf.DUMMYFUNCTION("IMPORTRANGE(""https://docs.google.com/spreadsheets/d/11923uPwbBZFjjGgGUA6NLw09EwE0CqkOc4q9oUmW1yo/edit?usp=sharing"",""ลำปาง!J420"")"),0)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IFERROR(__xludf.DUMMYFUNCTION("IMPORTRANGE(""https://docs.google.com/spreadsheets/d/11923uPwbBZFjjGgGUA6NLw09EwE0CqkOc4q9oUmW1yo/edit?usp=sharing"",""ลำปาง!I421"")"),0)</f>
        <v>0</v>
      </c>
      <c r="J526" s="292">
        <f ca="1">IFERROR(__xludf.DUMMYFUNCTION("IMPORTRANGE(""https://docs.google.com/spreadsheets/d/11923uPwbBZFjjGgGUA6NLw09EwE0CqkOc4q9oUmW1yo/edit?usp=sharing"",""ลำปาง!J421"")"),0)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IFERROR(__xludf.DUMMYFUNCTION("IMPORTRANGE(""https://docs.google.com/spreadsheets/d/11923uPwbBZFjjGgGUA6NLw09EwE0CqkOc4q9oUmW1yo/edit?usp=sharing"",""ลำปาง!I422"")"),0)</f>
        <v>0</v>
      </c>
      <c r="J527" s="207">
        <f ca="1">IFERROR(__xludf.DUMMYFUNCTION("IMPORTRANGE(""https://docs.google.com/spreadsheets/d/11923uPwbBZFjjGgGUA6NLw09EwE0CqkOc4q9oUmW1yo/edit?usp=sharing"",""ลำปาง!J422"")"),0)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IFERROR(__xludf.DUMMYFUNCTION("IMPORTRANGE(""https://docs.google.com/spreadsheets/d/11923uPwbBZFjjGgGUA6NLw09EwE0CqkOc4q9oUmW1yo/edit?usp=sharing"",""ลำปาง!I423"")"),0)</f>
        <v>0</v>
      </c>
      <c r="J528" s="207">
        <f ca="1">IFERROR(__xludf.DUMMYFUNCTION("IMPORTRANGE(""https://docs.google.com/spreadsheets/d/11923uPwbBZFjjGgGUA6NLw09EwE0CqkOc4q9oUmW1yo/edit?usp=sharing"",""ลำปาง!J423"")"),0)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IFERROR(__xludf.DUMMYFUNCTION("IMPORTRANGE(""https://docs.google.com/spreadsheets/d/11923uPwbBZFjjGgGUA6NLw09EwE0CqkOc4q9oUmW1yo/edit?usp=sharing"",""ลำปาง!I424"")"),0)</f>
        <v>0</v>
      </c>
      <c r="J529" s="207">
        <f ca="1">IFERROR(__xludf.DUMMYFUNCTION("IMPORTRANGE(""https://docs.google.com/spreadsheets/d/11923uPwbBZFjjGgGUA6NLw09EwE0CqkOc4q9oUmW1yo/edit?usp=sharing"",""ลำปาง!J424"")"),0)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IFERROR(__xludf.DUMMYFUNCTION("IMPORTRANGE(""https://docs.google.com/spreadsheets/d/11923uPwbBZFjjGgGUA6NLw09EwE0CqkOc4q9oUmW1yo/edit?usp=sharing"",""ลำปาง!I425"")"),0)</f>
        <v>0</v>
      </c>
      <c r="J530" s="207">
        <f ca="1">IFERROR(__xludf.DUMMYFUNCTION("IMPORTRANGE(""https://docs.google.com/spreadsheets/d/11923uPwbBZFjjGgGUA6NLw09EwE0CqkOc4q9oUmW1yo/edit?usp=sharing"",""ลำปาง!J425"")"),0)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IFERROR(__xludf.DUMMYFUNCTION("IMPORTRANGE(""https://docs.google.com/spreadsheets/d/11923uPwbBZFjjGgGUA6NLw09EwE0CqkOc4q9oUmW1yo/edit?usp=sharing"",""ลำปาง!I426"")"),0)</f>
        <v>0</v>
      </c>
      <c r="J531" s="207">
        <f ca="1">IFERROR(__xludf.DUMMYFUNCTION("IMPORTRANGE(""https://docs.google.com/spreadsheets/d/11923uPwbBZFjjGgGUA6NLw09EwE0CqkOc4q9oUmW1yo/edit?usp=sharing"",""ลำปาง!J426"")"),0)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IFERROR(__xludf.DUMMYFUNCTION("IMPORTRANGE(""https://docs.google.com/spreadsheets/d/11923uPwbBZFjjGgGUA6NLw09EwE0CqkOc4q9oUmW1yo/edit?usp=sharing"",""ลำปาง!I427"")"),0)</f>
        <v>0</v>
      </c>
      <c r="J532" s="474">
        <f ca="1">IFERROR(__xludf.DUMMYFUNCTION("IMPORTRANGE(""https://docs.google.com/spreadsheets/d/11923uPwbBZFjjGgGUA6NLw09EwE0CqkOc4q9oUmW1yo/edit?usp=sharing"",""ลำปาง!J427"")"),0)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IFERROR(__xludf.DUMMYFUNCTION("IMPORTRANGE(""https://docs.google.com/spreadsheets/d/11923uPwbBZFjjGgGUA6NLw09EwE0CqkOc4q9oUmW1yo/edit?usp=sharing"",""ลำปาง!I428"")"),22)</f>
        <v>22</v>
      </c>
      <c r="J533" s="418">
        <f ca="1">IFERROR(__xludf.DUMMYFUNCTION("IMPORTRANGE(""https://docs.google.com/spreadsheets/d/11923uPwbBZFjjGgGUA6NLw09EwE0CqkOc4q9oUmW1yo/edit?usp=sharing"",""ลำปาง!J428"")"),22)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IFERROR(__xludf.DUMMYFUNCTION("IMPORTRANGE(""https://docs.google.com/spreadsheets/d/11923uPwbBZFjjGgGUA6NLw09EwE0CqkOc4q9oUmW1yo/edit?usp=sharing"",""ลำปาง!L428"")"),34340)</f>
        <v>34340</v>
      </c>
      <c r="M533" s="420"/>
      <c r="N533" s="420">
        <f ca="1">IFERROR(__xludf.DUMMYFUNCTION("IMPORTRANGE(""https://docs.google.com/spreadsheets/d/11923uPwbBZFjjGgGUA6NLw09EwE0CqkOc4q9oUmW1yo/edit?usp=sharing"",""ลำปาง!M428"")"),28015.2399999999)</f>
        <v>28015.2399999999</v>
      </c>
      <c r="O533" s="420">
        <f t="shared" ref="O533:O537" ca="1" si="118">+IF(L533&gt;0,N533*100/L533,0)</f>
        <v>81.581945253348565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IFERROR(__xludf.DUMMYFUNCTION("IMPORTRANGE(""https://docs.google.com/spreadsheets/d/11923uPwbBZFjjGgGUA6NLw09EwE0CqkOc4q9oUmW1yo/edit?usp=sharing"",""ลำปาง!L429"")"),0)</f>
        <v>0</v>
      </c>
      <c r="M534" s="172"/>
      <c r="N534" s="178">
        <f ca="1">IFERROR(__xludf.DUMMYFUNCTION("IMPORTRANGE(""https://docs.google.com/spreadsheets/d/11923uPwbBZFjjGgGUA6NLw09EwE0CqkOc4q9oUmW1yo/edit?usp=sharing"",""ลำปาง!M429"")"),0)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IFERROR(__xludf.DUMMYFUNCTION("IMPORTRANGE(""https://docs.google.com/spreadsheets/d/11923uPwbBZFjjGgGUA6NLw09EwE0CqkOc4q9oUmW1yo/edit?usp=sharing"",""ลำปาง!L430"")"),34340)</f>
        <v>34340</v>
      </c>
      <c r="M535" s="173"/>
      <c r="N535" s="178">
        <f ca="1">IFERROR(__xludf.DUMMYFUNCTION("IMPORTRANGE(""https://docs.google.com/spreadsheets/d/11923uPwbBZFjjGgGUA6NLw09EwE0CqkOc4q9oUmW1yo/edit?usp=sharing"",""ลำปาง!M430"")"),28015.2399999999)</f>
        <v>28015.2399999999</v>
      </c>
      <c r="O535" s="178">
        <f t="shared" ca="1" si="118"/>
        <v>81.581945253348565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IFERROR(__xludf.DUMMYFUNCTION("IMPORTRANGE(""https://docs.google.com/spreadsheets/d/11923uPwbBZFjjGgGUA6NLw09EwE0CqkOc4q9oUmW1yo/edit?usp=sharing"",""ลำปาง!L431"")"),0)</f>
        <v>0</v>
      </c>
      <c r="M536" s="178"/>
      <c r="N536" s="178">
        <f ca="1">IFERROR(__xludf.DUMMYFUNCTION("IMPORTRANGE(""https://docs.google.com/spreadsheets/d/11923uPwbBZFjjGgGUA6NLw09EwE0CqkOc4q9oUmW1yo/edit?usp=sharing"",""ลำปาง!M431"")"),0)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IFERROR(__xludf.DUMMYFUNCTION("IMPORTRANGE(""https://docs.google.com/spreadsheets/d/11923uPwbBZFjjGgGUA6NLw09EwE0CqkOc4q9oUmW1yo/edit?usp=sharing"",""ลำปาง!L432"")"),34340)</f>
        <v>34340</v>
      </c>
      <c r="M537" s="178"/>
      <c r="N537" s="178">
        <f ca="1">IFERROR(__xludf.DUMMYFUNCTION("IMPORTRANGE(""https://docs.google.com/spreadsheets/d/11923uPwbBZFjjGgGUA6NLw09EwE0CqkOc4q9oUmW1yo/edit?usp=sharing"",""ลำปาง!M432"")"),28015.2399999999)</f>
        <v>28015.2399999999</v>
      </c>
      <c r="O537" s="178">
        <f t="shared" ca="1" si="118"/>
        <v>81.581945253348565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IFERROR(__xludf.DUMMYFUNCTION("IMPORTRANGE(""https://docs.google.com/spreadsheets/d/11923uPwbBZFjjGgGUA6NLw09EwE0CqkOc4q9oUmW1yo/edit?usp=sharing"",""ลำปาง!M433"")"),18740)</f>
        <v>18740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IFERROR(__xludf.DUMMYFUNCTION("IMPORTRANGE(""https://docs.google.com/spreadsheets/d/11923uPwbBZFjjGgGUA6NLw09EwE0CqkOc4q9oUmW1yo/edit?usp=sharing"",""ลำปาง!M434"")"),0)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IFERROR(__xludf.DUMMYFUNCTION("IMPORTRANGE(""https://docs.google.com/spreadsheets/d/11923uPwbBZFjjGgGUA6NLw09EwE0CqkOc4q9oUmW1yo/edit?usp=sharing"",""ลำปาง!M435"")"),0)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IFERROR(__xludf.DUMMYFUNCTION("IMPORTRANGE(""https://docs.google.com/spreadsheets/d/11923uPwbBZFjjGgGUA6NLw09EwE0CqkOc4q9oUmW1yo/edit?usp=sharing"",""ลำปาง!M436"")"),9275.24)</f>
        <v>9275.24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IFERROR(__xludf.DUMMYFUNCTION("IMPORTRANGE(""https://docs.google.com/spreadsheets/d/11923uPwbBZFjjGgGUA6NLw09EwE0CqkOc4q9oUmW1yo/edit?usp=sharing"",""ลำปาง!J438"")"),0)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IFERROR(__xludf.DUMMYFUNCTION("IMPORTRANGE(""https://docs.google.com/spreadsheets/d/11923uPwbBZFjjGgGUA6NLw09EwE0CqkOc4q9oUmW1yo/edit?usp=sharing"",""ลำปาง!J439"")"),1)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IFERROR(__xludf.DUMMYFUNCTION("IMPORTRANGE(""https://docs.google.com/spreadsheets/d/11923uPwbBZFjjGgGUA6NLw09EwE0CqkOc4q9oUmW1yo/edit?usp=sharing"",""ลำปาง!J440"")"),1)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IFERROR(__xludf.DUMMYFUNCTION("IMPORTRANGE(""https://docs.google.com/spreadsheets/d/11923uPwbBZFjjGgGUA6NLw09EwE0CqkOc4q9oUmW1yo/edit?usp=sharing"",""ลำปาง!J441"")"),1)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IFERROR(__xludf.DUMMYFUNCTION("IMPORTRANGE(""https://docs.google.com/spreadsheets/d/11923uPwbBZFjjGgGUA6NLw09EwE0CqkOc4q9oUmW1yo/edit?usp=sharing"",""ลำปาง!I442"")"),22)</f>
        <v>22</v>
      </c>
      <c r="J547" s="198">
        <f ca="1">IFERROR(__xludf.DUMMYFUNCTION("IMPORTRANGE(""https://docs.google.com/spreadsheets/d/11923uPwbBZFjjGgGUA6NLw09EwE0CqkOc4q9oUmW1yo/edit?usp=sharing"",""ลำปาง!J442"")"),22)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IFERROR(__xludf.DUMMYFUNCTION("IMPORTRANGE(""https://docs.google.com/spreadsheets/d/11923uPwbBZFjjGgGUA6NLw09EwE0CqkOc4q9oUmW1yo/edit?usp=sharing"",""ลำปาง!J166"")"),0)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IFERROR(__xludf.DUMMYFUNCTION("IMPORTRANGE(""https://docs.google.com/spreadsheets/d/11923uPwbBZFjjGgGUA6NLw09EwE0CqkOc4q9oUmW1yo/edit?usp=sharing"",""ลำปาง!J444"")"),0)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IFERROR(__xludf.DUMMYFUNCTION("IMPORTRANGE(""https://docs.google.com/spreadsheets/d/11923uPwbBZFjjGgGUA6NLw09EwE0CqkOc4q9oUmW1yo/edit?usp=sharing"",""ลำปาง!J445"")"),0)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IFERROR(__xludf.DUMMYFUNCTION("IMPORTRANGE(""https://docs.google.com/spreadsheets/d/11923uPwbBZFjjGgGUA6NLw09EwE0CqkOc4q9oUmW1yo/edit?usp=sharing"",""ลำปาง!I446"")"),3000)</f>
        <v>3000</v>
      </c>
      <c r="J551" s="418">
        <f ca="1">IFERROR(__xludf.DUMMYFUNCTION("IMPORTRANGE(""https://docs.google.com/spreadsheets/d/11923uPwbBZFjjGgGUA6NLw09EwE0CqkOc4q9oUmW1yo/edit?usp=sharing"",""ลำปาง!J446"")"),118)</f>
        <v>118</v>
      </c>
      <c r="K551" s="419">
        <f ca="1">IF(I551&gt;0,J551*100/I551,0)</f>
        <v>3.9333333333333331</v>
      </c>
      <c r="L551" s="420">
        <f ca="1">IFERROR(__xludf.DUMMYFUNCTION("IMPORTRANGE(""https://docs.google.com/spreadsheets/d/11923uPwbBZFjjGgGUA6NLw09EwE0CqkOc4q9oUmW1yo/edit?usp=sharing"",""ลำปาง!L446"")"),188000)</f>
        <v>188000</v>
      </c>
      <c r="M551" s="420"/>
      <c r="N551" s="420">
        <f ca="1">IFERROR(__xludf.DUMMYFUNCTION("IMPORTRANGE(""https://docs.google.com/spreadsheets/d/11923uPwbBZFjjGgGUA6NLw09EwE0CqkOc4q9oUmW1yo/edit?usp=sharing"",""ลำปาง!M446"")"),7604.24)</f>
        <v>7604.24</v>
      </c>
      <c r="O551" s="420">
        <f t="shared" ref="O551:O555" ca="1" si="120">+IF(L551&gt;0,N551*100/L551,0)</f>
        <v>4.0448085106382976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IFERROR(__xludf.DUMMYFUNCTION("IMPORTRANGE(""https://docs.google.com/spreadsheets/d/11923uPwbBZFjjGgGUA6NLw09EwE0CqkOc4q9oUmW1yo/edit?usp=sharing"",""ลำปาง!L447"")"),0)</f>
        <v>0</v>
      </c>
      <c r="M552" s="172"/>
      <c r="N552" s="178">
        <f ca="1">IFERROR(__xludf.DUMMYFUNCTION("IMPORTRANGE(""https://docs.google.com/spreadsheets/d/11923uPwbBZFjjGgGUA6NLw09EwE0CqkOc4q9oUmW1yo/edit?usp=sharing"",""ลำปาง!M447"")"),0)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IFERROR(__xludf.DUMMYFUNCTION("IMPORTRANGE(""https://docs.google.com/spreadsheets/d/11923uPwbBZFjjGgGUA6NLw09EwE0CqkOc4q9oUmW1yo/edit?usp=sharing"",""ลำปาง!L448"")"),188000)</f>
        <v>188000</v>
      </c>
      <c r="M553" s="173"/>
      <c r="N553" s="178">
        <f ca="1">IFERROR(__xludf.DUMMYFUNCTION("IMPORTRANGE(""https://docs.google.com/spreadsheets/d/11923uPwbBZFjjGgGUA6NLw09EwE0CqkOc4q9oUmW1yo/edit?usp=sharing"",""ลำปาง!M448"")"),7604.24)</f>
        <v>7604.24</v>
      </c>
      <c r="O553" s="178">
        <f t="shared" ca="1" si="120"/>
        <v>4.0448085106382976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IFERROR(__xludf.DUMMYFUNCTION("IMPORTRANGE(""https://docs.google.com/spreadsheets/d/11923uPwbBZFjjGgGUA6NLw09EwE0CqkOc4q9oUmW1yo/edit?usp=sharing"",""ลำปาง!L449"")"),0)</f>
        <v>0</v>
      </c>
      <c r="M554" s="178"/>
      <c r="N554" s="178">
        <f ca="1">IFERROR(__xludf.DUMMYFUNCTION("IMPORTRANGE(""https://docs.google.com/spreadsheets/d/11923uPwbBZFjjGgGUA6NLw09EwE0CqkOc4q9oUmW1yo/edit?usp=sharing"",""ลำปาง!M449"")"),0)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IFERROR(__xludf.DUMMYFUNCTION("IMPORTRANGE(""https://docs.google.com/spreadsheets/d/11923uPwbBZFjjGgGUA6NLw09EwE0CqkOc4q9oUmW1yo/edit?usp=sharing"",""ลำปาง!L450"")"),188000)</f>
        <v>188000</v>
      </c>
      <c r="M555" s="178"/>
      <c r="N555" s="178">
        <f ca="1">IFERROR(__xludf.DUMMYFUNCTION("IMPORTRANGE(""https://docs.google.com/spreadsheets/d/11923uPwbBZFjjGgGUA6NLw09EwE0CqkOc4q9oUmW1yo/edit?usp=sharing"",""ลำปาง!M450"")"),7604.24)</f>
        <v>7604.24</v>
      </c>
      <c r="O555" s="178">
        <f t="shared" ca="1" si="120"/>
        <v>4.0448085106382976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IFERROR(__xludf.DUMMYFUNCTION("IMPORTRANGE(""https://docs.google.com/spreadsheets/d/11923uPwbBZFjjGgGUA6NLw09EwE0CqkOc4q9oUmW1yo/edit?usp=sharing"",""ลำปาง!M451"")"),0)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IFERROR(__xludf.DUMMYFUNCTION("IMPORTRANGE(""https://docs.google.com/spreadsheets/d/11923uPwbBZFjjGgGUA6NLw09EwE0CqkOc4q9oUmW1yo/edit?usp=sharing"",""ลำปาง!M452"")"),0)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IFERROR(__xludf.DUMMYFUNCTION("IMPORTRANGE(""https://docs.google.com/spreadsheets/d/11923uPwbBZFjjGgGUA6NLw09EwE0CqkOc4q9oUmW1yo/edit?usp=sharing"",""ลำปาง!M453"")"),0)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IFERROR(__xludf.DUMMYFUNCTION("IMPORTRANGE(""https://docs.google.com/spreadsheets/d/11923uPwbBZFjjGgGUA6NLw09EwE0CqkOc4q9oUmW1yo/edit?usp=sharing"",""ลำปาง!M454"")"),7604.24)</f>
        <v>7604.24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IFERROR(__xludf.DUMMYFUNCTION("IMPORTRANGE(""https://docs.google.com/spreadsheets/d/11923uPwbBZFjjGgGUA6NLw09EwE0CqkOc4q9oUmW1yo/edit?usp=sharing"",""ลำปาง!I455"")"),3000)</f>
        <v>3000</v>
      </c>
      <c r="J560" s="170">
        <f ca="1">IFERROR(__xludf.DUMMYFUNCTION("IMPORTRANGE(""https://docs.google.com/spreadsheets/d/11923uPwbBZFjjGgGUA6NLw09EwE0CqkOc4q9oUmW1yo/edit?usp=sharing"",""ลำปาง!J455"")"),118)</f>
        <v>118</v>
      </c>
      <c r="K560" s="233">
        <f t="shared" ref="K560:K564" ca="1" si="121">IF(I560&gt;0,J560*100/I560,0)</f>
        <v>3.9333333333333331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IFERROR(__xludf.DUMMYFUNCTION("IMPORTRANGE(""https://docs.google.com/spreadsheets/d/11923uPwbBZFjjGgGUA6NLw09EwE0CqkOc4q9oUmW1yo/edit?usp=sharing"",""ลำปาง!I456"")"),0)</f>
        <v>0</v>
      </c>
      <c r="J561" s="213">
        <f ca="1">IFERROR(__xludf.DUMMYFUNCTION("IMPORTRANGE(""https://docs.google.com/spreadsheets/d/11923uPwbBZFjjGgGUA6NLw09EwE0CqkOc4q9oUmW1yo/edit?usp=sharing"",""ลำปาง!J456"")"),10)</f>
        <v>10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IFERROR(__xludf.DUMMYFUNCTION("IMPORTRANGE(""https://docs.google.com/spreadsheets/d/11923uPwbBZFjjGgGUA6NLw09EwE0CqkOc4q9oUmW1yo/edit?usp=sharing"",""ลำปาง!I457"")"),"")</f>
        <v/>
      </c>
      <c r="J562" s="213" t="str">
        <f ca="1">IFERROR(__xludf.DUMMYFUNCTION("IMPORTRANGE(""https://docs.google.com/spreadsheets/d/11923uPwbBZFjjGgGUA6NLw09EwE0CqkOc4q9oUmW1yo/edit?usp=sharing"",""ลำปาง!J457"")"),"")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IFERROR(__xludf.DUMMYFUNCTION("IMPORTRANGE(""https://docs.google.com/spreadsheets/d/11923uPwbBZFjjGgGUA6NLw09EwE0CqkOc4q9oUmW1yo/edit?usp=sharing"",""ลำปาง!I458"")"),"")</f>
        <v/>
      </c>
      <c r="J563" s="197" t="str">
        <f ca="1">IFERROR(__xludf.DUMMYFUNCTION("IMPORTRANGE(""https://docs.google.com/spreadsheets/d/11923uPwbBZFjjGgGUA6NLw09EwE0CqkOc4q9oUmW1yo/edit?usp=sharing"",""ลำปาง!J458"")"),"")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IFERROR(__xludf.DUMMYFUNCTION("IMPORTRANGE(""https://docs.google.com/spreadsheets/d/11923uPwbBZFjjGgGUA6NLw09EwE0CqkOc4q9oUmW1yo/edit?usp=sharing"",""ลำปาง!I459"")"),1800)</f>
        <v>1800</v>
      </c>
      <c r="J564" s="379">
        <f ca="1">IFERROR(__xludf.DUMMYFUNCTION("IMPORTRANGE(""https://docs.google.com/spreadsheets/d/11923uPwbBZFjjGgGUA6NLw09EwE0CqkOc4q9oUmW1yo/edit?usp=sharing"",""ลำปาง!J459"")"),971)</f>
        <v>971</v>
      </c>
      <c r="K564" s="380">
        <f t="shared" ca="1" si="121"/>
        <v>53.944444444444443</v>
      </c>
      <c r="L564" s="381">
        <f ca="1">IFERROR(__xludf.DUMMYFUNCTION("IMPORTRANGE(""https://docs.google.com/spreadsheets/d/11923uPwbBZFjjGgGUA6NLw09EwE0CqkOc4q9oUmW1yo/edit?usp=sharing"",""ลำปาง!L459"")"),145040)</f>
        <v>145040</v>
      </c>
      <c r="M564" s="381"/>
      <c r="N564" s="381">
        <f ca="1">IFERROR(__xludf.DUMMYFUNCTION("IMPORTRANGE(""https://docs.google.com/spreadsheets/d/11923uPwbBZFjjGgGUA6NLw09EwE0CqkOc4q9oUmW1yo/edit?usp=sharing"",""ลำปาง!M459"")"),33400)</f>
        <v>33400</v>
      </c>
      <c r="O564" s="381">
        <f t="shared" ref="O564:O568" ca="1" si="122">+IF(L564&gt;0,N564*100/L564,0)</f>
        <v>23.028130170987314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IFERROR(__xludf.DUMMYFUNCTION("IMPORTRANGE(""https://docs.google.com/spreadsheets/d/11923uPwbBZFjjGgGUA6NLw09EwE0CqkOc4q9oUmW1yo/edit?usp=sharing"",""ลำปาง!L460"")"),0)</f>
        <v>0</v>
      </c>
      <c r="M565" s="172"/>
      <c r="N565" s="178">
        <f ca="1">IFERROR(__xludf.DUMMYFUNCTION("IMPORTRANGE(""https://docs.google.com/spreadsheets/d/11923uPwbBZFjjGgGUA6NLw09EwE0CqkOc4q9oUmW1yo/edit?usp=sharing"",""ลำปาง!M460"")"),0)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IFERROR(__xludf.DUMMYFUNCTION("IMPORTRANGE(""https://docs.google.com/spreadsheets/d/11923uPwbBZFjjGgGUA6NLw09EwE0CqkOc4q9oUmW1yo/edit?usp=sharing"",""ลำปาง!L461"")"),145040)</f>
        <v>145040</v>
      </c>
      <c r="M566" s="173"/>
      <c r="N566" s="178">
        <f ca="1">IFERROR(__xludf.DUMMYFUNCTION("IMPORTRANGE(""https://docs.google.com/spreadsheets/d/11923uPwbBZFjjGgGUA6NLw09EwE0CqkOc4q9oUmW1yo/edit?usp=sharing"",""ลำปาง!M461"")"),33400)</f>
        <v>33400</v>
      </c>
      <c r="O566" s="178">
        <f t="shared" ca="1" si="122"/>
        <v>23.028130170987314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IFERROR(__xludf.DUMMYFUNCTION("IMPORTRANGE(""https://docs.google.com/spreadsheets/d/11923uPwbBZFjjGgGUA6NLw09EwE0CqkOc4q9oUmW1yo/edit?usp=sharing"",""ลำปาง!L462"")"),0)</f>
        <v>0</v>
      </c>
      <c r="M567" s="178"/>
      <c r="N567" s="178">
        <f ca="1">IFERROR(__xludf.DUMMYFUNCTION("IMPORTRANGE(""https://docs.google.com/spreadsheets/d/11923uPwbBZFjjGgGUA6NLw09EwE0CqkOc4q9oUmW1yo/edit?usp=sharing"",""ลำปาง!M462"")"),0)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IFERROR(__xludf.DUMMYFUNCTION("IMPORTRANGE(""https://docs.google.com/spreadsheets/d/11923uPwbBZFjjGgGUA6NLw09EwE0CqkOc4q9oUmW1yo/edit?usp=sharing"",""ลำปาง!L463"")"),145040)</f>
        <v>145040</v>
      </c>
      <c r="M568" s="178"/>
      <c r="N568" s="178">
        <f ca="1">IFERROR(__xludf.DUMMYFUNCTION("IMPORTRANGE(""https://docs.google.com/spreadsheets/d/11923uPwbBZFjjGgGUA6NLw09EwE0CqkOc4q9oUmW1yo/edit?usp=sharing"",""ลำปาง!M463"")"),33400)</f>
        <v>33400</v>
      </c>
      <c r="O568" s="178">
        <f t="shared" ca="1" si="122"/>
        <v>23.028130170987314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IFERROR(__xludf.DUMMYFUNCTION("IMPORTRANGE(""https://docs.google.com/spreadsheets/d/11923uPwbBZFjjGgGUA6NLw09EwE0CqkOc4q9oUmW1yo/edit?usp=sharing"",""ลำปาง!M464"")"),0)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IFERROR(__xludf.DUMMYFUNCTION("IMPORTRANGE(""https://docs.google.com/spreadsheets/d/11923uPwbBZFjjGgGUA6NLw09EwE0CqkOc4q9oUmW1yo/edit?usp=sharing"",""ลำปาง!M465"")"),0)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IFERROR(__xludf.DUMMYFUNCTION("IMPORTRANGE(""https://docs.google.com/spreadsheets/d/11923uPwbBZFjjGgGUA6NLw09EwE0CqkOc4q9oUmW1yo/edit?usp=sharing"",""ลำปาง!M466"")"),11000)</f>
        <v>11000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IFERROR(__xludf.DUMMYFUNCTION("IMPORTRANGE(""https://docs.google.com/spreadsheets/d/11923uPwbBZFjjGgGUA6NLw09EwE0CqkOc4q9oUmW1yo/edit?usp=sharing"",""ลำปาง!M467"")"),22400)</f>
        <v>22400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IFERROR(__xludf.DUMMYFUNCTION("IMPORTRANGE(""https://docs.google.com/spreadsheets/d/11923uPwbBZFjjGgGUA6NLw09EwE0CqkOc4q9oUmW1yo/edit?usp=sharing"",""ลำปาง!I468"")"),1800)</f>
        <v>1800</v>
      </c>
      <c r="J573" s="428">
        <f ca="1">IFERROR(__xludf.DUMMYFUNCTION("IMPORTRANGE(""https://docs.google.com/spreadsheets/d/11923uPwbBZFjjGgGUA6NLw09EwE0CqkOc4q9oUmW1yo/edit?usp=sharing"",""ลำปาง!J468"")"),971)</f>
        <v>971</v>
      </c>
      <c r="K573" s="211">
        <f ca="1">IF(I573&gt;0,J573*100/I573,0)</f>
        <v>53.944444444444443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IFERROR(__xludf.DUMMYFUNCTION("IMPORTRANGE(""https://docs.google.com/spreadsheets/d/11923uPwbBZFjjGgGUA6NLw09EwE0CqkOc4q9oUmW1yo/edit?usp=sharing"",""ลำปาง!I470"")"),0)</f>
        <v>0</v>
      </c>
      <c r="J575" s="207">
        <f ca="1">IFERROR(__xludf.DUMMYFUNCTION("IMPORTRANGE(""https://docs.google.com/spreadsheets/d/11923uPwbBZFjjGgGUA6NLw09EwE0CqkOc4q9oUmW1yo/edit?usp=sharing"",""ลำปาง!J470"")"),1)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IFERROR(__xludf.DUMMYFUNCTION("IMPORTRANGE(""https://docs.google.com/spreadsheets/d/11923uPwbBZFjjGgGUA6NLw09EwE0CqkOc4q9oUmW1yo/edit?usp=sharing"",""ลำปาง!I471"")"),0)</f>
        <v>0</v>
      </c>
      <c r="J576" s="207">
        <f ca="1">IFERROR(__xludf.DUMMYFUNCTION("IMPORTRANGE(""https://docs.google.com/spreadsheets/d/11923uPwbBZFjjGgGUA6NLw09EwE0CqkOc4q9oUmW1yo/edit?usp=sharing"",""ลำปาง!J471"")"),48)</f>
        <v>48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IFERROR(__xludf.DUMMYFUNCTION("IMPORTRANGE(""https://docs.google.com/spreadsheets/d/11923uPwbBZFjjGgGUA6NLw09EwE0CqkOc4q9oUmW1yo/edit?usp=sharing"",""ลำปาง!I472"")"),0)</f>
        <v>0</v>
      </c>
      <c r="J577" s="198">
        <f ca="1">IFERROR(__xludf.DUMMYFUNCTION("IMPORTRANGE(""https://docs.google.com/spreadsheets/d/11923uPwbBZFjjGgGUA6NLw09EwE0CqkOc4q9oUmW1yo/edit?usp=sharing"",""ลำปาง!J472"")"),923)</f>
        <v>923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IFERROR(__xludf.DUMMYFUNCTION("IMPORTRANGE(""https://docs.google.com/spreadsheets/d/11923uPwbBZFjjGgGUA6NLw09EwE0CqkOc4q9oUmW1yo/edit?usp=sharing"",""ลำปาง!I473"")"),0)</f>
        <v>0</v>
      </c>
      <c r="J578" s="207">
        <f ca="1">IFERROR(__xludf.DUMMYFUNCTION("IMPORTRANGE(""https://docs.google.com/spreadsheets/d/11923uPwbBZFjjGgGUA6NLw09EwE0CqkOc4q9oUmW1yo/edit?usp=sharing"",""ลำปาง!J473"")"),0)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IFERROR(__xludf.DUMMYFUNCTION("IMPORTRANGE(""https://docs.google.com/spreadsheets/d/11923uPwbBZFjjGgGUA6NLw09EwE0CqkOc4q9oUmW1yo/edit?usp=sharing"",""ลำปาง!I474"")"),0)</f>
        <v>0</v>
      </c>
      <c r="J579" s="207">
        <f ca="1">IFERROR(__xludf.DUMMYFUNCTION("IMPORTRANGE(""https://docs.google.com/spreadsheets/d/11923uPwbBZFjjGgGUA6NLw09EwE0CqkOc4q9oUmW1yo/edit?usp=sharing"",""ลำปาง!J474"")"),0)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IFERROR(__xludf.DUMMYFUNCTION("IMPORTRANGE(""https://docs.google.com/spreadsheets/d/11923uPwbBZFjjGgGUA6NLw09EwE0CqkOc4q9oUmW1yo/edit?usp=sharing"",""ลำปาง!I475"")"),5)</f>
        <v>5</v>
      </c>
      <c r="J580" s="379">
        <f ca="1">IFERROR(__xludf.DUMMYFUNCTION("IMPORTRANGE(""https://docs.google.com/spreadsheets/d/11923uPwbBZFjjGgGUA6NLw09EwE0CqkOc4q9oUmW1yo/edit?usp=sharing"",""ลำปาง!J475"")"),4)</f>
        <v>4</v>
      </c>
      <c r="K580" s="380">
        <f ca="1">IF(I580&gt;0,J580*100/I580,0)</f>
        <v>80</v>
      </c>
      <c r="L580" s="381">
        <f ca="1">IFERROR(__xludf.DUMMYFUNCTION("IMPORTRANGE(""https://docs.google.com/spreadsheets/d/11923uPwbBZFjjGgGUA6NLw09EwE0CqkOc4q9oUmW1yo/edit?usp=sharing"",""ลำปาง!L475"")"),130655)</f>
        <v>130655</v>
      </c>
      <c r="M580" s="381"/>
      <c r="N580" s="381">
        <f ca="1">IFERROR(__xludf.DUMMYFUNCTION("IMPORTRANGE(""https://docs.google.com/spreadsheets/d/11923uPwbBZFjjGgGUA6NLw09EwE0CqkOc4q9oUmW1yo/edit?usp=sharing"",""ลำปาง!M475"")"),0)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IFERROR(__xludf.DUMMYFUNCTION("IMPORTRANGE(""https://docs.google.com/spreadsheets/d/11923uPwbBZFjjGgGUA6NLw09EwE0CqkOc4q9oUmW1yo/edit?usp=sharing"",""ลำปาง!L476"")"),0)</f>
        <v>0</v>
      </c>
      <c r="M581" s="172"/>
      <c r="N581" s="178">
        <f ca="1">IFERROR(__xludf.DUMMYFUNCTION("IMPORTRANGE(""https://docs.google.com/spreadsheets/d/11923uPwbBZFjjGgGUA6NLw09EwE0CqkOc4q9oUmW1yo/edit?usp=sharing"",""ลำปาง!M476"")"),0)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IFERROR(__xludf.DUMMYFUNCTION("IMPORTRANGE(""https://docs.google.com/spreadsheets/d/11923uPwbBZFjjGgGUA6NLw09EwE0CqkOc4q9oUmW1yo/edit?usp=sharing"",""ลำปาง!L477"")"),130655)</f>
        <v>130655</v>
      </c>
      <c r="M582" s="173"/>
      <c r="N582" s="178">
        <f ca="1">IFERROR(__xludf.DUMMYFUNCTION("IMPORTRANGE(""https://docs.google.com/spreadsheets/d/11923uPwbBZFjjGgGUA6NLw09EwE0CqkOc4q9oUmW1yo/edit?usp=sharing"",""ลำปาง!M477"")"),0)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IFERROR(__xludf.DUMMYFUNCTION("IMPORTRANGE(""https://docs.google.com/spreadsheets/d/11923uPwbBZFjjGgGUA6NLw09EwE0CqkOc4q9oUmW1yo/edit?usp=sharing"",""ลำปาง!L478"")"),0)</f>
        <v>0</v>
      </c>
      <c r="M583" s="178"/>
      <c r="N583" s="178">
        <f ca="1">IFERROR(__xludf.DUMMYFUNCTION("IMPORTRANGE(""https://docs.google.com/spreadsheets/d/11923uPwbBZFjjGgGUA6NLw09EwE0CqkOc4q9oUmW1yo/edit?usp=sharing"",""ลำปาง!M478"")"),0)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IFERROR(__xludf.DUMMYFUNCTION("IMPORTRANGE(""https://docs.google.com/spreadsheets/d/11923uPwbBZFjjGgGUA6NLw09EwE0CqkOc4q9oUmW1yo/edit?usp=sharing"",""ลำปาง!L479"")"),130655)</f>
        <v>130655</v>
      </c>
      <c r="M584" s="178"/>
      <c r="N584" s="178">
        <f ca="1">IFERROR(__xludf.DUMMYFUNCTION("IMPORTRANGE(""https://docs.google.com/spreadsheets/d/11923uPwbBZFjjGgGUA6NLw09EwE0CqkOc4q9oUmW1yo/edit?usp=sharing"",""ลำปาง!M479"")"),0)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IFERROR(__xludf.DUMMYFUNCTION("IMPORTRANGE(""https://docs.google.com/spreadsheets/d/11923uPwbBZFjjGgGUA6NLw09EwE0CqkOc4q9oUmW1yo/edit?usp=sharing"",""ลำปาง!M480"")"),0)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IFERROR(__xludf.DUMMYFUNCTION("IMPORTRANGE(""https://docs.google.com/spreadsheets/d/11923uPwbBZFjjGgGUA6NLw09EwE0CqkOc4q9oUmW1yo/edit?usp=sharing"",""ลำปาง!M481"")"),0)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IFERROR(__xludf.DUMMYFUNCTION("IMPORTRANGE(""https://docs.google.com/spreadsheets/d/11923uPwbBZFjjGgGUA6NLw09EwE0CqkOc4q9oUmW1yo/edit?usp=sharing"",""ลำปาง!M482"")"),0)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IFERROR(__xludf.DUMMYFUNCTION("IMPORTRANGE(""https://docs.google.com/spreadsheets/d/11923uPwbBZFjjGgGUA6NLw09EwE0CqkOc4q9oUmW1yo/edit?usp=sharing"",""ลำปาง!M483"")"),0)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IFERROR(__xludf.DUMMYFUNCTION("IMPORTRANGE(""https://docs.google.com/spreadsheets/d/11923uPwbBZFjjGgGUA6NLw09EwE0CqkOc4q9oUmW1yo/edit?usp=sharing"",""ลำปาง!I484"")"),5)</f>
        <v>5</v>
      </c>
      <c r="J589" s="197">
        <f ca="1">IFERROR(__xludf.DUMMYFUNCTION("IMPORTRANGE(""https://docs.google.com/spreadsheets/d/11923uPwbBZFjjGgGUA6NLw09EwE0CqkOc4q9oUmW1yo/edit?usp=sharing"",""ลำปาง!J484"")"),7)</f>
        <v>7</v>
      </c>
      <c r="K589" s="171">
        <f t="shared" ref="K589:K596" ca="1" si="125">IF(I589&gt;0,J589*100/I589,0)</f>
        <v>140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IFERROR(__xludf.DUMMYFUNCTION("IMPORTRANGE(""https://docs.google.com/spreadsheets/d/11923uPwbBZFjjGgGUA6NLw09EwE0CqkOc4q9oUmW1yo/edit?usp=sharing"",""ลำปาง!I485"")"),0)</f>
        <v>0</v>
      </c>
      <c r="J590" s="197">
        <f ca="1">IFERROR(__xludf.DUMMYFUNCTION("IMPORTRANGE(""https://docs.google.com/spreadsheets/d/11923uPwbBZFjjGgGUA6NLw09EwE0CqkOc4q9oUmW1yo/edit?usp=sharing"",""ลำปาง!J485"")"),4.37)</f>
        <v>4.37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IFERROR(__xludf.DUMMYFUNCTION("IMPORTRANGE(""https://docs.google.com/spreadsheets/d/11923uPwbBZFjjGgGUA6NLw09EwE0CqkOc4q9oUmW1yo/edit?usp=sharing"",""ลำปาง!I486"")"),5)</f>
        <v>5</v>
      </c>
      <c r="J591" s="197">
        <f ca="1">IFERROR(__xludf.DUMMYFUNCTION("IMPORTRANGE(""https://docs.google.com/spreadsheets/d/11923uPwbBZFjjGgGUA6NLw09EwE0CqkOc4q9oUmW1yo/edit?usp=sharing"",""ลำปาง!J486"")"),4)</f>
        <v>4</v>
      </c>
      <c r="K591" s="171">
        <f t="shared" ca="1" si="125"/>
        <v>80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IFERROR(__xludf.DUMMYFUNCTION("IMPORTRANGE(""https://docs.google.com/spreadsheets/d/11923uPwbBZFjjGgGUA6NLw09EwE0CqkOc4q9oUmW1yo/edit?usp=sharing"",""ลำปาง!I487"")"),0)</f>
        <v>0</v>
      </c>
      <c r="J592" s="197">
        <f ca="1">IFERROR(__xludf.DUMMYFUNCTION("IMPORTRANGE(""https://docs.google.com/spreadsheets/d/11923uPwbBZFjjGgGUA6NLw09EwE0CqkOc4q9oUmW1yo/edit?usp=sharing"",""ลำปาง!J487"")"),3.23)</f>
        <v>3.23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IFERROR(__xludf.DUMMYFUNCTION("IMPORTRANGE(""https://docs.google.com/spreadsheets/d/11923uPwbBZFjjGgGUA6NLw09EwE0CqkOc4q9oUmW1yo/edit?usp=sharing"",""ลำปาง!I488"")"),5)</f>
        <v>5</v>
      </c>
      <c r="J593" s="197">
        <f ca="1">IFERROR(__xludf.DUMMYFUNCTION("IMPORTRANGE(""https://docs.google.com/spreadsheets/d/11923uPwbBZFjjGgGUA6NLw09EwE0CqkOc4q9oUmW1yo/edit?usp=sharing"",""ลำปาง!J488"")"),0)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IFERROR(__xludf.DUMMYFUNCTION("IMPORTRANGE(""https://docs.google.com/spreadsheets/d/11923uPwbBZFjjGgGUA6NLw09EwE0CqkOc4q9oUmW1yo/edit?usp=sharing"",""ลำปาง!I489"")"),0)</f>
        <v>0</v>
      </c>
      <c r="J594" s="197">
        <f ca="1">IFERROR(__xludf.DUMMYFUNCTION("IMPORTRANGE(""https://docs.google.com/spreadsheets/d/11923uPwbBZFjjGgGUA6NLw09EwE0CqkOc4q9oUmW1yo/edit?usp=sharing"",""ลำปาง!J489"")"),0)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IFERROR(__xludf.DUMMYFUNCTION("IMPORTRANGE(""https://docs.google.com/spreadsheets/d/11923uPwbBZFjjGgGUA6NLw09EwE0CqkOc4q9oUmW1yo/edit?usp=sharing"",""ลำปาง!I490"")"),5)</f>
        <v>5</v>
      </c>
      <c r="J595" s="197">
        <f ca="1">IFERROR(__xludf.DUMMYFUNCTION("IMPORTRANGE(""https://docs.google.com/spreadsheets/d/11923uPwbBZFjjGgGUA6NLw09EwE0CqkOc4q9oUmW1yo/edit?usp=sharing"",""ลำปาง!J490"")"),4)</f>
        <v>4</v>
      </c>
      <c r="K595" s="171">
        <f t="shared" ca="1" si="125"/>
        <v>80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IFERROR(__xludf.DUMMYFUNCTION("IMPORTRANGE(""https://docs.google.com/spreadsheets/d/11923uPwbBZFjjGgGUA6NLw09EwE0CqkOc4q9oUmW1yo/edit?usp=sharing"",""ลำปาง!I491"")"),0)</f>
        <v>0</v>
      </c>
      <c r="J596" s="250">
        <f ca="1">IFERROR(__xludf.DUMMYFUNCTION("IMPORTRANGE(""https://docs.google.com/spreadsheets/d/11923uPwbBZFjjGgGUA6NLw09EwE0CqkOc4q9oUmW1yo/edit?usp=sharing"",""ลำปาง!J491"")"),3.23)</f>
        <v>3.23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IFERROR(__xludf.DUMMYFUNCTION("IMPORTRANGE(""https://docs.google.com/spreadsheets/d/11923uPwbBZFjjGgGUA6NLw09EwE0CqkOc4q9oUmW1yo/edit?usp=sharing"",""ลำปาง!I492"")"),100)</f>
        <v>100</v>
      </c>
      <c r="J597" s="495">
        <f ca="1">IFERROR(__xludf.DUMMYFUNCTION("IMPORTRANGE(""https://docs.google.com/spreadsheets/d/11923uPwbBZFjjGgGUA6NLw09EwE0CqkOc4q9oUmW1yo/edit?usp=sharing"",""ลำปาง!J492"")"),0)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IFERROR(__xludf.DUMMYFUNCTION("IMPORTRANGE(""https://docs.google.com/spreadsheets/d/11923uPwbBZFjjGgGUA6NLw09EwE0CqkOc4q9oUmW1yo/edit?usp=sharing"",""ลำปาง!L492"")"),8900)</f>
        <v>8900</v>
      </c>
      <c r="M597" s="420"/>
      <c r="N597" s="420">
        <f ca="1">IFERROR(__xludf.DUMMYFUNCTION("IMPORTRANGE(""https://docs.google.com/spreadsheets/d/11923uPwbBZFjjGgGUA6NLw09EwE0CqkOc4q9oUmW1yo/edit?usp=sharing"",""ลำปาง!M492"")"),3400)</f>
        <v>3400</v>
      </c>
      <c r="O597" s="420">
        <f t="shared" ref="O597:O601" ca="1" si="126">+IF(L597&gt;0,N597*100/L597,0)</f>
        <v>38.202247191011239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IFERROR(__xludf.DUMMYFUNCTION("IMPORTRANGE(""https://docs.google.com/spreadsheets/d/11923uPwbBZFjjGgGUA6NLw09EwE0CqkOc4q9oUmW1yo/edit?usp=sharing"",""ลำปาง!L493"")"),0)</f>
        <v>0</v>
      </c>
      <c r="M598" s="172"/>
      <c r="N598" s="178">
        <f ca="1">IFERROR(__xludf.DUMMYFUNCTION("IMPORTRANGE(""https://docs.google.com/spreadsheets/d/11923uPwbBZFjjGgGUA6NLw09EwE0CqkOc4q9oUmW1yo/edit?usp=sharing"",""ลำปาง!M493"")"),0)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IFERROR(__xludf.DUMMYFUNCTION("IMPORTRANGE(""https://docs.google.com/spreadsheets/d/11923uPwbBZFjjGgGUA6NLw09EwE0CqkOc4q9oUmW1yo/edit?usp=sharing"",""ลำปาง!L494"")"),8900)</f>
        <v>8900</v>
      </c>
      <c r="M599" s="173"/>
      <c r="N599" s="178">
        <f ca="1">IFERROR(__xludf.DUMMYFUNCTION("IMPORTRANGE(""https://docs.google.com/spreadsheets/d/11923uPwbBZFjjGgGUA6NLw09EwE0CqkOc4q9oUmW1yo/edit?usp=sharing"",""ลำปาง!M494"")"),3400)</f>
        <v>3400</v>
      </c>
      <c r="O599" s="178">
        <f t="shared" ca="1" si="126"/>
        <v>38.202247191011239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IFERROR(__xludf.DUMMYFUNCTION("IMPORTRANGE(""https://docs.google.com/spreadsheets/d/11923uPwbBZFjjGgGUA6NLw09EwE0CqkOc4q9oUmW1yo/edit?usp=sharing"",""ลำปาง!L495"")"),0)</f>
        <v>0</v>
      </c>
      <c r="M600" s="178"/>
      <c r="N600" s="178">
        <f ca="1">IFERROR(__xludf.DUMMYFUNCTION("IMPORTRANGE(""https://docs.google.com/spreadsheets/d/11923uPwbBZFjjGgGUA6NLw09EwE0CqkOc4q9oUmW1yo/edit?usp=sharing"",""ลำปาง!M495"")"),0)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IFERROR(__xludf.DUMMYFUNCTION("IMPORTRANGE(""https://docs.google.com/spreadsheets/d/11923uPwbBZFjjGgGUA6NLw09EwE0CqkOc4q9oUmW1yo/edit?usp=sharing"",""ลำปาง!L496"")"),8900)</f>
        <v>8900</v>
      </c>
      <c r="M601" s="178"/>
      <c r="N601" s="178">
        <f ca="1">IFERROR(__xludf.DUMMYFUNCTION("IMPORTRANGE(""https://docs.google.com/spreadsheets/d/11923uPwbBZFjjGgGUA6NLw09EwE0CqkOc4q9oUmW1yo/edit?usp=sharing"",""ลำปาง!M496"")"),3400)</f>
        <v>3400</v>
      </c>
      <c r="O601" s="178">
        <f t="shared" ca="1" si="126"/>
        <v>38.202247191011239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IFERROR(__xludf.DUMMYFUNCTION("IMPORTRANGE(""https://docs.google.com/spreadsheets/d/11923uPwbBZFjjGgGUA6NLw09EwE0CqkOc4q9oUmW1yo/edit?usp=sharing"",""ลำปาง!M497"")"),0)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IFERROR(__xludf.DUMMYFUNCTION("IMPORTRANGE(""https://docs.google.com/spreadsheets/d/11923uPwbBZFjjGgGUA6NLw09EwE0CqkOc4q9oUmW1yo/edit?usp=sharing"",""ลำปาง!M498"")"),0)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IFERROR(__xludf.DUMMYFUNCTION("IMPORTRANGE(""https://docs.google.com/spreadsheets/d/11923uPwbBZFjjGgGUA6NLw09EwE0CqkOc4q9oUmW1yo/edit?usp=sharing"",""ลำปาง!M499"")"),0)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IFERROR(__xludf.DUMMYFUNCTION("IMPORTRANGE(""https://docs.google.com/spreadsheets/d/11923uPwbBZFjjGgGUA6NLw09EwE0CqkOc4q9oUmW1yo/edit?usp=sharing"",""ลำปาง!M500"")"),3400)</f>
        <v>3400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IFERROR(__xludf.DUMMYFUNCTION("IMPORTRANGE(""https://docs.google.com/spreadsheets/d/11923uPwbBZFjjGgGUA6NLw09EwE0CqkOc4q9oUmW1yo/edit?usp=sharing"",""ลำปาง!J502"")"),0)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IFERROR(__xludf.DUMMYFUNCTION("IMPORTRANGE(""https://docs.google.com/spreadsheets/d/11923uPwbBZFjjGgGUA6NLw09EwE0CqkOc4q9oUmW1yo/edit?usp=sharing"",""ลำปาง!J503"")"),1)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IFERROR(__xludf.DUMMYFUNCTION("IMPORTRANGE(""https://docs.google.com/spreadsheets/d/11923uPwbBZFjjGgGUA6NLw09EwE0CqkOc4q9oUmW1yo/edit?usp=sharing"",""ลำปาง!J166"")"),0)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IFERROR(__xludf.DUMMYFUNCTION("IMPORTRANGE(""https://docs.google.com/spreadsheets/d/11923uPwbBZFjjGgGUA6NLw09EwE0CqkOc4q9oUmW1yo/edit?usp=sharing"",""ลำปาง!J166"")"),0)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IFERROR(__xludf.DUMMYFUNCTION("IMPORTRANGE(""https://docs.google.com/spreadsheets/d/11923uPwbBZFjjGgGUA6NLw09EwE0CqkOc4q9oUmW1yo/edit?usp=sharing"",""ลำปาง!I506"")"),100)</f>
        <v>100</v>
      </c>
      <c r="J611" s="170">
        <f ca="1">IFERROR(__xludf.DUMMYFUNCTION("IMPORTRANGE(""https://docs.google.com/spreadsheets/d/11923uPwbBZFjjGgGUA6NLw09EwE0CqkOc4q9oUmW1yo/edit?usp=sharing"",""ลำปาง!J506"")"),0)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IFERROR(__xludf.DUMMYFUNCTION("IMPORTRANGE(""https://docs.google.com/spreadsheets/d/11923uPwbBZFjjGgGUA6NLw09EwE0CqkOc4q9oUmW1yo/edit?usp=sharing"",""ลำปาง!I507"")"),0)</f>
        <v>0</v>
      </c>
      <c r="J612" s="207">
        <f ca="1">IFERROR(__xludf.DUMMYFUNCTION("IMPORTRANGE(""https://docs.google.com/spreadsheets/d/11923uPwbBZFjjGgGUA6NLw09EwE0CqkOc4q9oUmW1yo/edit?usp=sharing"",""ลำปาง!J507"")"),0)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IFERROR(__xludf.DUMMYFUNCTION("IMPORTRANGE(""https://docs.google.com/spreadsheets/d/11923uPwbBZFjjGgGUA6NLw09EwE0CqkOc4q9oUmW1yo/edit?usp=sharing"",""ลำปาง!I508"")"),0)</f>
        <v>0</v>
      </c>
      <c r="J613" s="207">
        <f ca="1">IFERROR(__xludf.DUMMYFUNCTION("IMPORTRANGE(""https://docs.google.com/spreadsheets/d/11923uPwbBZFjjGgGUA6NLw09EwE0CqkOc4q9oUmW1yo/edit?usp=sharing"",""ลำปาง!J508"")"),0)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IFERROR(__xludf.DUMMYFUNCTION("IMPORTRANGE(""https://docs.google.com/spreadsheets/d/11923uPwbBZFjjGgGUA6NLw09EwE0CqkOc4q9oUmW1yo/edit?usp=sharing"",""ลำปาง!I509"")"),0)</f>
        <v>0</v>
      </c>
      <c r="J614" s="207">
        <f ca="1">IFERROR(__xludf.DUMMYFUNCTION("IMPORTRANGE(""https://docs.google.com/spreadsheets/d/11923uPwbBZFjjGgGUA6NLw09EwE0CqkOc4q9oUmW1yo/edit?usp=sharing"",""ลำปาง!J509"")"),0)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IFERROR(__xludf.DUMMYFUNCTION("IMPORTRANGE(""https://docs.google.com/spreadsheets/d/11923uPwbBZFjjGgGUA6NLw09EwE0CqkOc4q9oUmW1yo/edit?usp=sharing"",""ลำปาง!I510"")"),0)</f>
        <v>0</v>
      </c>
      <c r="J615" s="207">
        <f ca="1">IFERROR(__xludf.DUMMYFUNCTION("IMPORTRANGE(""https://docs.google.com/spreadsheets/d/11923uPwbBZFjjGgGUA6NLw09EwE0CqkOc4q9oUmW1yo/edit?usp=sharing"",""ลำปาง!J510"")"),0)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IFERROR(__xludf.DUMMYFUNCTION("IMPORTRANGE(""https://docs.google.com/spreadsheets/d/11923uPwbBZFjjGgGUA6NLw09EwE0CqkOc4q9oUmW1yo/edit?usp=sharing"",""ลำปาง!I511"")"),0)</f>
        <v>0</v>
      </c>
      <c r="J616" s="207">
        <f ca="1">IFERROR(__xludf.DUMMYFUNCTION("IMPORTRANGE(""https://docs.google.com/spreadsheets/d/11923uPwbBZFjjGgGUA6NLw09EwE0CqkOc4q9oUmW1yo/edit?usp=sharing"",""ลำปาง!J511"")"),0)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IFERROR(__xludf.DUMMYFUNCTION("IMPORTRANGE(""https://docs.google.com/spreadsheets/d/11923uPwbBZFjjGgGUA6NLw09EwE0CqkOc4q9oUmW1yo/edit?usp=sharing"",""ลำปาง!I512"")"),0)</f>
        <v>0</v>
      </c>
      <c r="J617" s="197">
        <f ca="1">IFERROR(__xludf.DUMMYFUNCTION("IMPORTRANGE(""https://docs.google.com/spreadsheets/d/11923uPwbBZFjjGgGUA6NLw09EwE0CqkOc4q9oUmW1yo/edit?usp=sharing"",""ลำปาง!J512"")"),0)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IFERROR(__xludf.DUMMYFUNCTION("IMPORTRANGE(""https://docs.google.com/spreadsheets/d/11923uPwbBZFjjGgGUA6NLw09EwE0CqkOc4q9oUmW1yo/edit?usp=sharing"",""ลำปาง!I513"")"),0)</f>
        <v>0</v>
      </c>
      <c r="J618" s="198">
        <f ca="1">IFERROR(__xludf.DUMMYFUNCTION("IMPORTRANGE(""https://docs.google.com/spreadsheets/d/11923uPwbBZFjjGgGUA6NLw09EwE0CqkOc4q9oUmW1yo/edit?usp=sharing"",""ลำปาง!J513"")"),0)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IFERROR(__xludf.DUMMYFUNCTION("IMPORTRANGE(""https://docs.google.com/spreadsheets/d/11923uPwbBZFjjGgGUA6NLw09EwE0CqkOc4q9oUmW1yo/edit?usp=sharing"",""ลำปาง!I514"")"),0)</f>
        <v>0</v>
      </c>
      <c r="J619" s="198">
        <f ca="1">IFERROR(__xludf.DUMMYFUNCTION("IMPORTRANGE(""https://docs.google.com/spreadsheets/d/11923uPwbBZFjjGgGUA6NLw09EwE0CqkOc4q9oUmW1yo/edit?usp=sharing"",""ลำปาง!J514"")"),0)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IFERROR(__xludf.DUMMYFUNCTION("IMPORTRANGE(""https://docs.google.com/spreadsheets/d/11923uPwbBZFjjGgGUA6NLw09EwE0CqkOc4q9oUmW1yo/edit?usp=sharing"",""ลำปาง!I515"")"),0)</f>
        <v>0</v>
      </c>
      <c r="J620" s="212">
        <f ca="1">IFERROR(__xludf.DUMMYFUNCTION("IMPORTRANGE(""https://docs.google.com/spreadsheets/d/11923uPwbBZFjjGgGUA6NLw09EwE0CqkOc4q9oUmW1yo/edit?usp=sharing"",""ลำปาง!J515"")"),0)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IFERROR(__xludf.DUMMYFUNCTION("IMPORTRANGE(""https://docs.google.com/spreadsheets/d/11923uPwbBZFjjGgGUA6NLw09EwE0CqkOc4q9oUmW1yo/edit?usp=sharing"",""ลำปาง!I516"")"),0)</f>
        <v>0</v>
      </c>
      <c r="J621" s="212">
        <f ca="1">IFERROR(__xludf.DUMMYFUNCTION("IMPORTRANGE(""https://docs.google.com/spreadsheets/d/11923uPwbBZFjjGgGUA6NLw09EwE0CqkOc4q9oUmW1yo/edit?usp=sharing"",""ลำปาง!J516"")"),0)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IFERROR(__xludf.DUMMYFUNCTION("IMPORTRANGE(""https://docs.google.com/spreadsheets/d/11923uPwbBZFjjGgGUA6NLw09EwE0CqkOc4q9oUmW1yo/edit?usp=sharing"",""ลำปาง!I517"")"),0)</f>
        <v>0</v>
      </c>
      <c r="J622" s="198">
        <f ca="1">IFERROR(__xludf.DUMMYFUNCTION("IMPORTRANGE(""https://docs.google.com/spreadsheets/d/11923uPwbBZFjjGgGUA6NLw09EwE0CqkOc4q9oUmW1yo/edit?usp=sharing"",""ลำปาง!J517"")"),0)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IFERROR(__xludf.DUMMYFUNCTION("IMPORTRANGE(""https://docs.google.com/spreadsheets/d/11923uPwbBZFjjGgGUA6NLw09EwE0CqkOc4q9oUmW1yo/edit?usp=sharing"",""ลำปาง!I518"")"),0)</f>
        <v>0</v>
      </c>
      <c r="J623" s="198">
        <f ca="1">IFERROR(__xludf.DUMMYFUNCTION("IMPORTRANGE(""https://docs.google.com/spreadsheets/d/11923uPwbBZFjjGgGUA6NLw09EwE0CqkOc4q9oUmW1yo/edit?usp=sharing"",""ลำปาง!J518"")"),0)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IFERROR(__xludf.DUMMYFUNCTION("IMPORTRANGE(""https://docs.google.com/spreadsheets/d/11923uPwbBZFjjGgGUA6NLw09EwE0CqkOc4q9oUmW1yo/edit?usp=sharing"",""ลำปาง!I519"")"),0)</f>
        <v>0</v>
      </c>
      <c r="J624" s="197">
        <f ca="1">IFERROR(__xludf.DUMMYFUNCTION("IMPORTRANGE(""https://docs.google.com/spreadsheets/d/11923uPwbBZFjjGgGUA6NLw09EwE0CqkOc4q9oUmW1yo/edit?usp=sharing"",""ลำปาง!J519"")"),0)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IFERROR(__xludf.DUMMYFUNCTION("IMPORTRANGE(""https://docs.google.com/spreadsheets/d/11923uPwbBZFjjGgGUA6NLw09EwE0CqkOc4q9oUmW1yo/edit?usp=sharing"",""ลำปาง!I520"")"),0)</f>
        <v>0</v>
      </c>
      <c r="J625" s="198">
        <f ca="1">IFERROR(__xludf.DUMMYFUNCTION("IMPORTRANGE(""https://docs.google.com/spreadsheets/d/11923uPwbBZFjjGgGUA6NLw09EwE0CqkOc4q9oUmW1yo/edit?usp=sharing"",""ลำปาง!J520"")"),0)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IFERROR(__xludf.DUMMYFUNCTION("IMPORTRANGE(""https://docs.google.com/spreadsheets/d/11923uPwbBZFjjGgGUA6NLw09EwE0CqkOc4q9oUmW1yo/edit?usp=sharing"",""ลำปาง!I521"")"),0)</f>
        <v>0</v>
      </c>
      <c r="J626" s="198">
        <f ca="1">IFERROR(__xludf.DUMMYFUNCTION("IMPORTRANGE(""https://docs.google.com/spreadsheets/d/11923uPwbBZFjjGgGUA6NLw09EwE0CqkOc4q9oUmW1yo/edit?usp=sharing"",""ลำปาง!J521"")"),0)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9">
        <f ca="1">IFERROR(__xludf.DUMMYFUNCTION("IMPORTRANGE(""https://docs.google.com/spreadsheets/d/11923uPwbBZFjjGgGUA6NLw09EwE0CqkOc4q9oUmW1yo/edit?usp=sharing"",""ลำปาง!J523"")"),1459056.73)</f>
        <v>1459056.73</v>
      </c>
      <c r="K628" s="350">
        <f t="shared" ref="K628:K635" ca="1" si="129">IF(I628&gt;0,J628*100/I628,0)</f>
        <v>18.146166483524574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IFERROR(__xludf.DUMMYFUNCTION("IMPORTRANGE(""https://docs.google.com/spreadsheets/d/11923uPwbBZFjjGgGUA6NLw09EwE0CqkOc4q9oUmW1yo/edit?usp=sharing"",""ลำปาง!I524"")"),318)</f>
        <v>318</v>
      </c>
      <c r="J629" s="349">
        <f ca="1">IFERROR(__xludf.DUMMYFUNCTION("IMPORTRANGE(""https://docs.google.com/spreadsheets/d/11923uPwbBZFjjGgGUA6NLw09EwE0CqkOc4q9oUmW1yo/edit?usp=sharing"",""ลำปาง!J524"")"),68)</f>
        <v>68</v>
      </c>
      <c r="K629" s="350">
        <f t="shared" ca="1" si="129"/>
        <v>21.383647798742139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IFERROR(__xludf.DUMMYFUNCTION("IMPORTRANGE(""https://docs.google.com/spreadsheets/d/11923uPwbBZFjjGgGUA6NLw09EwE0CqkOc4q9oUmW1yo/edit?usp=sharing"",""ลำปาง!I525"")"),17310.57)</f>
        <v>17310.57</v>
      </c>
      <c r="J630" s="349">
        <f ca="1">IFERROR(__xludf.DUMMYFUNCTION("IMPORTRANGE(""https://docs.google.com/spreadsheets/d/11923uPwbBZFjjGgGUA6NLw09EwE0CqkOc4q9oUmW1yo/edit?usp=sharing"",""ลำปาง!J525"")"),857.71)</f>
        <v>857.71</v>
      </c>
      <c r="K630" s="350">
        <f t="shared" ca="1" si="129"/>
        <v>4.9548339540523507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IFERROR(__xludf.DUMMYFUNCTION("IMPORTRANGE(""https://docs.google.com/spreadsheets/d/11923uPwbBZFjjGgGUA6NLw09EwE0CqkOc4q9oUmW1yo/edit?usp=sharing"",""ลำปาง!I526"")"),1)</f>
        <v>1</v>
      </c>
      <c r="J631" s="349">
        <f ca="1">IFERROR(__xludf.DUMMYFUNCTION("IMPORTRANGE(""https://docs.google.com/spreadsheets/d/11923uPwbBZFjjGgGUA6NLw09EwE0CqkOc4q9oUmW1yo/edit?usp=sharing"",""ลำปาง!J526"")"),1)</f>
        <v>1</v>
      </c>
      <c r="K631" s="350">
        <f t="shared" ca="1" si="129"/>
        <v>100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IFERROR(__xludf.DUMMYFUNCTION("IMPORTRANGE(""https://docs.google.com/spreadsheets/d/11923uPwbBZFjjGgGUA6NLw09EwE0CqkOc4q9oUmW1yo/edit?usp=sharing"",""ลำปาง!I527"")"),0)</f>
        <v>0</v>
      </c>
      <c r="J632" s="349">
        <f ca="1">IFERROR(__xludf.DUMMYFUNCTION("IMPORTRANGE(""https://docs.google.com/spreadsheets/d/11923uPwbBZFjjGgGUA6NLw09EwE0CqkOc4q9oUmW1yo/edit?usp=sharing"",""ลำปาง!J527"")"),0)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IFERROR(__xludf.DUMMYFUNCTION("IMPORTRANGE(""https://docs.google.com/spreadsheets/d/11923uPwbBZFjjGgGUA6NLw09EwE0CqkOc4q9oUmW1yo/edit?usp=sharing"",""ลำปาง!I528"")"),0)</f>
        <v>0</v>
      </c>
      <c r="J633" s="349">
        <f ca="1">IFERROR(__xludf.DUMMYFUNCTION("IMPORTRANGE(""https://docs.google.com/spreadsheets/d/11923uPwbBZFjjGgGUA6NLw09EwE0CqkOc4q9oUmW1yo/edit?usp=sharing"",""ลำปาง!J528"")"),0)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IFERROR(__xludf.DUMMYFUNCTION("IMPORTRANGE(""https://docs.google.com/spreadsheets/d/11923uPwbBZFjjGgGUA6NLw09EwE0CqkOc4q9oUmW1yo/edit?usp=sharing"",""ลำปาง!I529"")"),6665000)</f>
        <v>6665000</v>
      </c>
      <c r="J634" s="349">
        <f ca="1">IFERROR(__xludf.DUMMYFUNCTION("IMPORTRANGE(""https://docs.google.com/spreadsheets/d/11923uPwbBZFjjGgGUA6NLw09EwE0CqkOc4q9oUmW1yo/edit?usp=sharing"",""ลำปาง!J529"")"),0)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IFERROR(__xludf.DUMMYFUNCTION("IMPORTRANGE(""https://docs.google.com/spreadsheets/d/11923uPwbBZFjjGgGUA6NLw09EwE0CqkOc4q9oUmW1yo/edit?usp=sharing"",""ลำปาง!I530"")"),173)</f>
        <v>173</v>
      </c>
      <c r="J635" s="519">
        <f ca="1">IFERROR(__xludf.DUMMYFUNCTION("IMPORTRANGE(""https://docs.google.com/spreadsheets/d/11923uPwbBZFjjGgGUA6NLw09EwE0CqkOc4q9oUmW1yo/edit?usp=sharing"",""ลำปาง!J530"")"),0)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265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6579655</v>
      </c>
      <c r="M8" s="25">
        <f t="shared" ca="1" si="0"/>
        <v>2198325</v>
      </c>
      <c r="N8" s="25">
        <f t="shared" ca="1" si="0"/>
        <v>2139606</v>
      </c>
      <c r="O8" s="24">
        <f t="shared" ref="O8:O16" ca="1" si="1">IF(L8&gt;0,N8*100/L8,0)</f>
        <v>32.518513508687008</v>
      </c>
      <c r="P8" s="24">
        <f t="shared" ref="P8:P16" ca="1" si="2">IF(M8&gt;0,N8*100/M8,0)</f>
        <v>97.328920882944971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6579655</v>
      </c>
      <c r="M10" s="32">
        <f t="shared" ca="1" si="4"/>
        <v>2198325</v>
      </c>
      <c r="N10" s="32">
        <f t="shared" ca="1" si="4"/>
        <v>2139606</v>
      </c>
      <c r="O10" s="31">
        <f t="shared" ca="1" si="1"/>
        <v>32.518513508687008</v>
      </c>
      <c r="P10" s="31">
        <f t="shared" ca="1" si="2"/>
        <v>97.328920882944971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6330255</v>
      </c>
      <c r="M12" s="40">
        <f t="shared" ca="1" si="6"/>
        <v>2198325</v>
      </c>
      <c r="N12" s="40">
        <f t="shared" ca="1" si="6"/>
        <v>1890206</v>
      </c>
      <c r="O12" s="40">
        <f t="shared" ca="1" si="1"/>
        <v>29.859871363791822</v>
      </c>
      <c r="P12" s="40">
        <f t="shared" ca="1" si="2"/>
        <v>85.983919575131068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2233700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4096555</v>
      </c>
      <c r="M14" s="40">
        <f t="shared" si="8"/>
        <v>0</v>
      </c>
      <c r="N14" s="40">
        <f t="shared" ca="1" si="8"/>
        <v>511389</v>
      </c>
      <c r="O14" s="43">
        <f t="shared" ca="1" si="1"/>
        <v>12.483391532641452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249400</v>
      </c>
      <c r="M16" s="40">
        <f t="shared" si="10"/>
        <v>0</v>
      </c>
      <c r="N16" s="40">
        <f t="shared" ca="1" si="10"/>
        <v>249400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4195545</v>
      </c>
      <c r="M18" s="25">
        <f t="shared" ca="1" si="11"/>
        <v>2198325</v>
      </c>
      <c r="N18" s="25">
        <f t="shared" ca="1" si="11"/>
        <v>1628217</v>
      </c>
      <c r="O18" s="24">
        <f t="shared" ref="O18:O20" ca="1" si="12">IF(L18&gt;0,N18*100/L18,0)</f>
        <v>38.808235878771413</v>
      </c>
      <c r="P18" s="24">
        <f t="shared" ref="P18:P26" ca="1" si="13">IF(M18&gt;0,N18*100/M18,0)</f>
        <v>74.066254989594356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4195545</v>
      </c>
      <c r="M20" s="32">
        <f t="shared" ca="1" si="15"/>
        <v>2198325</v>
      </c>
      <c r="N20" s="32">
        <f t="shared" ca="1" si="15"/>
        <v>1628217</v>
      </c>
      <c r="O20" s="31">
        <f t="shared" ca="1" si="12"/>
        <v>38.808235878771413</v>
      </c>
      <c r="P20" s="31">
        <f t="shared" ca="1" si="13"/>
        <v>74.066254989594356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3946145</v>
      </c>
      <c r="M22" s="44">
        <f t="shared" ca="1" si="18"/>
        <v>2198325</v>
      </c>
      <c r="N22" s="43">
        <f t="shared" ca="1" si="18"/>
        <v>1378817</v>
      </c>
      <c r="O22" s="43">
        <f t="shared" ca="1" si="17"/>
        <v>34.940860003877205</v>
      </c>
      <c r="P22" s="43">
        <f t="shared" ca="1" si="13"/>
        <v>62.721253681780446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2233700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1712445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249400</v>
      </c>
      <c r="M26" s="52">
        <f t="shared" si="22"/>
        <v>0</v>
      </c>
      <c r="N26" s="52">
        <f t="shared" ca="1" si="22"/>
        <v>249400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2384110</v>
      </c>
      <c r="M28" s="25">
        <f t="shared" si="23"/>
        <v>0</v>
      </c>
      <c r="N28" s="25">
        <f t="shared" ca="1" si="23"/>
        <v>511389</v>
      </c>
      <c r="O28" s="24">
        <f t="shared" ref="O28:O30" ca="1" si="24">IF(L28&gt;0,N28*100/L28,0)</f>
        <v>21.4498911543511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2384110</v>
      </c>
      <c r="M30" s="32">
        <f t="shared" si="27"/>
        <v>0</v>
      </c>
      <c r="N30" s="32">
        <f t="shared" ca="1" si="27"/>
        <v>511389</v>
      </c>
      <c r="O30" s="31">
        <f t="shared" ca="1" si="24"/>
        <v>21.4498911543511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2384110</v>
      </c>
      <c r="M32" s="43">
        <f t="shared" si="30"/>
        <v>0</v>
      </c>
      <c r="N32" s="43">
        <f t="shared" ca="1" si="30"/>
        <v>511389</v>
      </c>
      <c r="O32" s="43">
        <f t="shared" ca="1" si="29"/>
        <v>21.4498911543511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2384110</v>
      </c>
      <c r="M34" s="43">
        <f t="shared" si="32"/>
        <v>0</v>
      </c>
      <c r="N34" s="43">
        <f t="shared" ca="1" si="32"/>
        <v>511389</v>
      </c>
      <c r="O34" s="43">
        <f t="shared" ca="1" si="29"/>
        <v>21.4498911543511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4195545</v>
      </c>
      <c r="M37" s="57">
        <f t="shared" ca="1" si="33"/>
        <v>2198325</v>
      </c>
      <c r="N37" s="57">
        <f t="shared" ca="1" si="33"/>
        <v>1628217</v>
      </c>
      <c r="O37" s="58">
        <f t="shared" ca="1" si="29"/>
        <v>38.808235878771413</v>
      </c>
      <c r="P37" s="58">
        <f t="shared" ca="1" si="25"/>
        <v>74.066254989594356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758700</v>
      </c>
      <c r="M41" s="81">
        <f t="shared" ca="1" si="34"/>
        <v>379300</v>
      </c>
      <c r="N41" s="81">
        <f t="shared" ca="1" si="34"/>
        <v>332490</v>
      </c>
      <c r="O41" s="80">
        <f t="shared" ref="O41:O43" ca="1" si="35">IF(L41&gt;0,N41*100/L41,0)</f>
        <v>43.823645709766708</v>
      </c>
      <c r="P41" s="80">
        <f t="shared" ref="P41:P43" ca="1" si="36">IF(M41&gt;0,N41*100/M41,0)</f>
        <v>87.658845241233848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758700</v>
      </c>
      <c r="M43" s="81">
        <f t="shared" ca="1" si="38"/>
        <v>379300</v>
      </c>
      <c r="N43" s="81">
        <f t="shared" ca="1" si="38"/>
        <v>332490</v>
      </c>
      <c r="O43" s="80">
        <f t="shared" ca="1" si="35"/>
        <v>43.823645709766708</v>
      </c>
      <c r="P43" s="80">
        <f t="shared" ca="1" si="36"/>
        <v>87.658845241233848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758700</v>
      </c>
      <c r="M45" s="93">
        <f ca="1">IFERROR(__xludf.DUMMYFUNCTION("IMPORTRANGE(""https://docs.google.com/spreadsheets/d/1Yj_ptqi66GCucihVvJfMjLAmec39IyEx_6qawtMGysU/edit?usp=sharing"",""สบก!Q33"")"),379300)</f>
        <v>379300</v>
      </c>
      <c r="N45" s="93">
        <f ca="1">IFERROR(__xludf.DUMMYFUNCTION("IMPORTRANGE(""https://docs.google.com/spreadsheets/d/1Yj_ptqi66GCucihVvJfMjLAmec39IyEx_6qawtMGysU/edit?usp=sharing"",""สบก!R33"")"),332490)</f>
        <v>332490</v>
      </c>
      <c r="O45" s="94">
        <f ca="1">IF(L45&gt;0,N45*100/L45,0)</f>
        <v>43.823645709766708</v>
      </c>
      <c r="P45" s="94">
        <f ca="1">IF(M45&gt;0,N45*100/M45,0)</f>
        <v>87.658845241233848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IFERROR(__xludf.DUMMYFUNCTION("IMPORTRANGE(""https://docs.google.com/spreadsheets/d/1Yj_ptqi66GCucihVvJfMjLAmec39IyEx_6qawtMGysU/edit?usp=sharing"",""สบก!M33"")"),758700)</f>
        <v>758700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IFERROR(__xludf.DUMMYFUNCTION("IMPORTRANGE(""https://docs.google.com/spreadsheets/d/1Yj_ptqi66GCucihVvJfMjLAmec39IyEx_6qawtMGysU/edit?usp=sharing"",""สบก!N33"")"),0)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IFERROR(__xludf.DUMMYFUNCTION("IMPORTRANGE(""https://docs.google.com/spreadsheets/d/1Yj_ptqi66GCucihVvJfMjLAmec39IyEx_6qawtMGysU/edit?usp=sharing"",""สบก!O33"")"),0)</f>
        <v>0</v>
      </c>
      <c r="M49" s="103"/>
      <c r="N49" s="93">
        <f ca="1">IFERROR(__xludf.DUMMYFUNCTION("IMPORTRANGE(""https://docs.google.com/spreadsheets/d/1Yj_ptqi66GCucihVvJfMjLAmec39IyEx_6qawtMGysU/edit?usp=sharing"",""สบก!S33"")"),0)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600000</v>
      </c>
      <c r="M53" s="127">
        <f t="shared" ca="1" si="39"/>
        <v>322500</v>
      </c>
      <c r="N53" s="127">
        <f t="shared" ca="1" si="39"/>
        <v>200041</v>
      </c>
      <c r="O53" s="126">
        <f t="shared" ref="O53:O55" ca="1" si="40">IF(L53&gt;0,N53*100/L53,0)</f>
        <v>33.340166666666669</v>
      </c>
      <c r="P53" s="126">
        <f t="shared" ref="P53:P55" ca="1" si="41">IF(M53&gt;0,N53*100/M53,0)</f>
        <v>62.028217054263564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600000</v>
      </c>
      <c r="M55" s="127">
        <f t="shared" ca="1" si="43"/>
        <v>322500</v>
      </c>
      <c r="N55" s="127">
        <f t="shared" ca="1" si="43"/>
        <v>200041</v>
      </c>
      <c r="O55" s="126">
        <f t="shared" ca="1" si="40"/>
        <v>33.340166666666669</v>
      </c>
      <c r="P55" s="126">
        <f t="shared" ca="1" si="41"/>
        <v>62.028217054263564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600000</v>
      </c>
      <c r="M57" s="93">
        <f ca="1">IFERROR(__xludf.DUMMYFUNCTION("IMPORTRANGE(""https://docs.google.com/spreadsheets/d/1Yj_ptqi66GCucihVvJfMjLAmec39IyEx_6qawtMGysU/edit?usp=sharing"",""สบก!Z33"")"),322500)</f>
        <v>322500</v>
      </c>
      <c r="N57" s="93">
        <f ca="1">IFERROR(__xludf.DUMMYFUNCTION("IMPORTRANGE(""https://docs.google.com/spreadsheets/d/1Yj_ptqi66GCucihVvJfMjLAmec39IyEx_6qawtMGysU/edit?usp=sharing"",""สบก!AA33"")"),200041)</f>
        <v>200041</v>
      </c>
      <c r="O57" s="94">
        <f ca="1">IF(L57&gt;0,N57*100/L57,0)</f>
        <v>33.340166666666669</v>
      </c>
      <c r="P57" s="94">
        <f ca="1">IF(M57&gt;0,N57*100/M57,0)</f>
        <v>62.028217054263564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IFERROR(__xludf.DUMMYFUNCTION("IMPORTRANGE(""https://docs.google.com/spreadsheets/d/1Yj_ptqi66GCucihVvJfMjLAmec39IyEx_6qawtMGysU/edit?usp=sharing"",""สบก!V33"")"),600000)</f>
        <v>600000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IFERROR(__xludf.DUMMYFUNCTION("IMPORTRANGE(""https://docs.google.com/spreadsheets/d/1Yj_ptqi66GCucihVvJfMjLAmec39IyEx_6qawtMGysU/edit?usp=sharing"",""สบก!W33"")"),0)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IFERROR(__xludf.DUMMYFUNCTION("IMPORTRANGE(""https://docs.google.com/spreadsheets/d/1Yj_ptqi66GCucihVvJfMjLAmec39IyEx_6qawtMGysU/edit?usp=sharing"",""สบก!X33"")"),0)</f>
        <v>0</v>
      </c>
      <c r="M61" s="103"/>
      <c r="N61" s="93">
        <f ca="1">IFERROR(__xludf.DUMMYFUNCTION("IMPORTRANGE(""https://docs.google.com/spreadsheets/d/1Yj_ptqi66GCucihVvJfMjLAmec39IyEx_6qawtMGysU/edit?usp=sharing"",""สบก!AB33"")"),0)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IFERROR(__xludf.DUMMYFUNCTION("IMPORTRANGE(""https://docs.google.com/spreadsheets/d/11923uPwbBZFjjGgGUA6NLw09EwE0CqkOc4q9oUmW1yo/edit?usp=sharing"",""ลำพูน!I9"")"),1)</f>
        <v>1</v>
      </c>
      <c r="J64" s="148">
        <f ca="1">IFERROR(__xludf.DUMMYFUNCTION("IMPORTRANGE(""https://docs.google.com/spreadsheets/d/11923uPwbBZFjjGgGUA6NLw09EwE0CqkOc4q9oUmW1yo/edit?usp=sharing"",""ลำพูน!J9"")"),1)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IFERROR(__xludf.DUMMYFUNCTION("IMPORTRANGE(""https://docs.google.com/spreadsheets/d/11923uPwbBZFjjGgGUA6NLw09EwE0CqkOc4q9oUmW1yo/edit?usp=sharing"",""ลำพูน!I10"")"),35)</f>
        <v>35</v>
      </c>
      <c r="J65" s="148">
        <f ca="1">IFERROR(__xludf.DUMMYFUNCTION("IMPORTRANGE(""https://docs.google.com/spreadsheets/d/11923uPwbBZFjjGgGUA6NLw09EwE0CqkOc4q9oUmW1yo/edit?usp=sharing"",""ลำพูน!J10"")"),35)</f>
        <v>35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591400</v>
      </c>
      <c r="M66" s="158">
        <f t="shared" ca="1" si="45"/>
        <v>332320</v>
      </c>
      <c r="N66" s="158">
        <f t="shared" ca="1" si="45"/>
        <v>226749</v>
      </c>
      <c r="O66" s="157">
        <f t="shared" ref="O66:O68" ca="1" si="46">IF(L66&gt;0,N66*100/L66,0)</f>
        <v>38.341055123435915</v>
      </c>
      <c r="P66" s="157">
        <f t="shared" ref="P66:P68" ca="1" si="47">IF(M66&gt;0,N66*100/M66,0)</f>
        <v>68.232125662012521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591400</v>
      </c>
      <c r="M68" s="163">
        <f t="shared" ca="1" si="49"/>
        <v>332320</v>
      </c>
      <c r="N68" s="163">
        <f t="shared" ca="1" si="49"/>
        <v>226749</v>
      </c>
      <c r="O68" s="162">
        <f t="shared" ca="1" si="46"/>
        <v>38.341055123435915</v>
      </c>
      <c r="P68" s="162">
        <f t="shared" ca="1" si="47"/>
        <v>68.232125662012521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591400</v>
      </c>
      <c r="M70" s="176">
        <f ca="1">IFERROR(__xludf.DUMMYFUNCTION("IMPORTRANGE(""https://docs.google.com/spreadsheets/d/1Yj_ptqi66GCucihVvJfMjLAmec39IyEx_6qawtMGysU/edit?usp=sharing"",""สบก!AI33"")"),332320)</f>
        <v>332320</v>
      </c>
      <c r="N70" s="177">
        <f ca="1">IFERROR(__xludf.DUMMYFUNCTION("IMPORTRANGE(""https://docs.google.com/spreadsheets/d/1Yj_ptqi66GCucihVvJfMjLAmec39IyEx_6qawtMGysU/edit?usp=sharing"",""สบก!AJ33"")"),226749)</f>
        <v>226749</v>
      </c>
      <c r="O70" s="178">
        <f ca="1">IF(L70&gt;0,N70*100/L70,0)</f>
        <v>38.341055123435915</v>
      </c>
      <c r="P70" s="178">
        <f ca="1">IF(M70&gt;0,N70*100/M70,0)</f>
        <v>68.232125662012521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IFERROR(__xludf.DUMMYFUNCTION("IMPORTRANGE(""https://docs.google.com/spreadsheets/d/1Yj_ptqi66GCucihVvJfMjLAmec39IyEx_6qawtMGysU/edit?usp=sharing"",""สบก!AE33"")"),193400)</f>
        <v>193400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IFERROR(__xludf.DUMMYFUNCTION("IMPORTRANGE(""https://docs.google.com/spreadsheets/d/1Yj_ptqi66GCucihVvJfMjLAmec39IyEx_6qawtMGysU/edit?usp=sharing"",""สบก!AF33"")"),398000)</f>
        <v>398000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IFERROR(__xludf.DUMMYFUNCTION("IMPORTRANGE(""https://docs.google.com/spreadsheets/d/1Yj_ptqi66GCucihVvJfMjLAmec39IyEx_6qawtMGysU/edit?usp=sharing"",""สบก!AG33"")"),0)</f>
        <v>0</v>
      </c>
      <c r="M74" s="103"/>
      <c r="N74" s="93">
        <f ca="1">IFERROR(__xludf.DUMMYFUNCTION("IMPORTRANGE(""https://docs.google.com/spreadsheets/d/1Yj_ptqi66GCucihVvJfMjLAmec39IyEx_6qawtMGysU/edit?usp=sharing"",""สบก!AK33"")"),0)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IFERROR(__xludf.DUMMYFUNCTION("IMPORTRANGE(""https://docs.google.com/spreadsheets/d/11923uPwbBZFjjGgGUA6NLw09EwE0CqkOc4q9oUmW1yo/edit?usp=sharing"",""ลำพูน!J16"")"),0)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IFERROR(__xludf.DUMMYFUNCTION("IMPORTRANGE(""https://docs.google.com/spreadsheets/d/11923uPwbBZFjjGgGUA6NLw09EwE0CqkOc4q9oUmW1yo/edit?usp=sharing"",""ลำพูน!J17"")"),1)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IFERROR(__xludf.DUMMYFUNCTION("IMPORTRANGE(""https://docs.google.com/spreadsheets/d/11923uPwbBZFjjGgGUA6NLw09EwE0CqkOc4q9oUmW1yo/edit?usp=sharing"",""ลำพูน!J18"")"),1)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IFERROR(__xludf.DUMMYFUNCTION("IMPORTRANGE(""https://docs.google.com/spreadsheets/d/11923uPwbBZFjjGgGUA6NLw09EwE0CqkOc4q9oUmW1yo/edit?usp=sharing"",""ลำพูน!J19"")"),1)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IFERROR(__xludf.DUMMYFUNCTION("IMPORTRANGE(""https://docs.google.com/spreadsheets/d/11923uPwbBZFjjGgGUA6NLw09EwE0CqkOc4q9oUmW1yo/edit?usp=sharing"",""ลำพูน!I20"")"),1)</f>
        <v>1</v>
      </c>
      <c r="J80" s="210">
        <f ca="1">IFERROR(__xludf.DUMMYFUNCTION("IMPORTRANGE(""https://docs.google.com/spreadsheets/d/11923uPwbBZFjjGgGUA6NLw09EwE0CqkOc4q9oUmW1yo/edit?usp=sharing"",""ลำพูน!J20"")"),1)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IFERROR(__xludf.DUMMYFUNCTION("IMPORTRANGE(""https://docs.google.com/spreadsheets/d/11923uPwbBZFjjGgGUA6NLw09EwE0CqkOc4q9oUmW1yo/edit?usp=sharing"",""ลำพูน!I21"")"),35)</f>
        <v>35</v>
      </c>
      <c r="J81" s="210">
        <f ca="1">IFERROR(__xludf.DUMMYFUNCTION("IMPORTRANGE(""https://docs.google.com/spreadsheets/d/11923uPwbBZFjjGgGUA6NLw09EwE0CqkOc4q9oUmW1yo/edit?usp=sharing"",""ลำพูน!J21"")"),35)</f>
        <v>35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IFERROR(__xludf.DUMMYFUNCTION("IMPORTRANGE(""https://docs.google.com/spreadsheets/d/11923uPwbBZFjjGgGUA6NLw09EwE0CqkOc4q9oUmW1yo/edit?usp=sharing"",""ลำพูน!I22"")"),1)</f>
        <v>1</v>
      </c>
      <c r="J82" s="213">
        <f ca="1">IFERROR(__xludf.DUMMYFUNCTION("IMPORTRANGE(""https://docs.google.com/spreadsheets/d/11923uPwbBZFjjGgGUA6NLw09EwE0CqkOc4q9oUmW1yo/edit?usp=sharing"",""ลำพูน!J22"")"),1)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IFERROR(__xludf.DUMMYFUNCTION("IMPORTRANGE(""https://docs.google.com/spreadsheets/d/11923uPwbBZFjjGgGUA6NLw09EwE0CqkOc4q9oUmW1yo/edit?usp=sharing"",""ลำพูน!I23"")"),35)</f>
        <v>35</v>
      </c>
      <c r="J83" s="213">
        <f ca="1">IFERROR(__xludf.DUMMYFUNCTION("IMPORTRANGE(""https://docs.google.com/spreadsheets/d/11923uPwbBZFjjGgGUA6NLw09EwE0CqkOc4q9oUmW1yo/edit?usp=sharing"",""ลำพูน!J23"")"),35)</f>
        <v>35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IFERROR(__xludf.DUMMYFUNCTION("IMPORTRANGE(""https://docs.google.com/spreadsheets/d/11923uPwbBZFjjGgGUA6NLw09EwE0CqkOc4q9oUmW1yo/edit?usp=sharing"",""ลำพูน!I24"")"),0)</f>
        <v>0</v>
      </c>
      <c r="J84" s="198">
        <f ca="1">IFERROR(__xludf.DUMMYFUNCTION("IMPORTRANGE(""https://docs.google.com/spreadsheets/d/11923uPwbBZFjjGgGUA6NLw09EwE0CqkOc4q9oUmW1yo/edit?usp=sharing"",""ลำพูน!J24"")"),0)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IFERROR(__xludf.DUMMYFUNCTION("IMPORTRANGE(""https://docs.google.com/spreadsheets/d/11923uPwbBZFjjGgGUA6NLw09EwE0CqkOc4q9oUmW1yo/edit?usp=sharing"",""ลำพูน!I25"")"),0)</f>
        <v>0</v>
      </c>
      <c r="J85" s="198">
        <f ca="1">IFERROR(__xludf.DUMMYFUNCTION("IMPORTRANGE(""https://docs.google.com/spreadsheets/d/11923uPwbBZFjjGgGUA6NLw09EwE0CqkOc4q9oUmW1yo/edit?usp=sharing"",""ลำพูน!J25"")"),0)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IFERROR(__xludf.DUMMYFUNCTION("IMPORTRANGE(""https://docs.google.com/spreadsheets/d/11923uPwbBZFjjGgGUA6NLw09EwE0CqkOc4q9oUmW1yo/edit?usp=sharing"",""ลำพูน!I26"")"),0)</f>
        <v>0</v>
      </c>
      <c r="J86" s="213">
        <f ca="1">IFERROR(__xludf.DUMMYFUNCTION("IMPORTRANGE(""https://docs.google.com/spreadsheets/d/11923uPwbBZFjjGgGUA6NLw09EwE0CqkOc4q9oUmW1yo/edit?usp=sharing"",""ลำพูน!J26"")"),0)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IFERROR(__xludf.DUMMYFUNCTION("IMPORTRANGE(""https://docs.google.com/spreadsheets/d/11923uPwbBZFjjGgGUA6NLw09EwE0CqkOc4q9oUmW1yo/edit?usp=sharing"",""ลำพูน!I27"")"),0)</f>
        <v>0</v>
      </c>
      <c r="J87" s="213">
        <f ca="1">IFERROR(__xludf.DUMMYFUNCTION("IMPORTRANGE(""https://docs.google.com/spreadsheets/d/11923uPwbBZFjjGgGUA6NLw09EwE0CqkOc4q9oUmW1yo/edit?usp=sharing"",""ลำพูน!J27"")"),0)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IFERROR(__xludf.DUMMYFUNCTION("IMPORTRANGE(""https://docs.google.com/spreadsheets/d/11923uPwbBZFjjGgGUA6NLw09EwE0CqkOc4q9oUmW1yo/edit?usp=sharing"",""ลำพูน!I28"")"),35)</f>
        <v>35</v>
      </c>
      <c r="J88" s="213">
        <f ca="1">IFERROR(__xludf.DUMMYFUNCTION("IMPORTRANGE(""https://docs.google.com/spreadsheets/d/11923uPwbBZFjjGgGUA6NLw09EwE0CqkOc4q9oUmW1yo/edit?usp=sharing"",""ลำพูน!J28"")"),0)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IFERROR(__xludf.DUMMYFUNCTION("IMPORTRANGE(""https://docs.google.com/spreadsheets/d/11923uPwbBZFjjGgGUA6NLw09EwE0CqkOc4q9oUmW1yo/edit?usp=sharing"",""ลำพูน!J29"")"),0)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IFERROR(__xludf.DUMMYFUNCTION("IMPORTRANGE(""https://docs.google.com/spreadsheets/d/11923uPwbBZFjjGgGUA6NLw09EwE0CqkOc4q9oUmW1yo/edit?usp=sharing"",""ลำพูน!J30"")"),0)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IFERROR(__xludf.DUMMYFUNCTION("IMPORTRANGE(""https://docs.google.com/spreadsheets/d/11923uPwbBZFjjGgGUA6NLw09EwE0CqkOc4q9oUmW1yo/edit?usp=sharing"",""ลำพูน!I32"")"),0)</f>
        <v>0</v>
      </c>
      <c r="J92" s="148">
        <f ca="1">IFERROR(__xludf.DUMMYFUNCTION("IMPORTRANGE(""https://docs.google.com/spreadsheets/d/11923uPwbBZFjjGgGUA6NLw09EwE0CqkOc4q9oUmW1yo/edit?usp=sharing"",""ลำพูน!J32"")"),0)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IFERROR(__xludf.DUMMYFUNCTION("IMPORTRANGE(""https://docs.google.com/spreadsheets/d/11923uPwbBZFjjGgGUA6NLw09EwE0CqkOc4q9oUmW1yo/edit?usp=sharing"",""ลำพูน!I33"")"),0)</f>
        <v>0</v>
      </c>
      <c r="J93" s="148">
        <f ca="1">IFERROR(__xludf.DUMMYFUNCTION("IMPORTRANGE(""https://docs.google.com/spreadsheets/d/11923uPwbBZFjjGgGUA6NLw09EwE0CqkOc4q9oUmW1yo/edit?usp=sharing"",""ลำพูน!J33"")"),0)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IFERROR(__xludf.DUMMYFUNCTION("IMPORTRANGE(""https://docs.google.com/spreadsheets/d/1Yj_ptqi66GCucihVvJfMjLAmec39IyEx_6qawtMGysU/edit?usp=sharing"",""สบก!AR33"")"),0)</f>
        <v>0</v>
      </c>
      <c r="N98" s="177">
        <f ca="1">IFERROR(__xludf.DUMMYFUNCTION("IMPORTRANGE(""https://docs.google.com/spreadsheets/d/1Yj_ptqi66GCucihVvJfMjLAmec39IyEx_6qawtMGysU/edit?usp=sharing"",""สบก!AS33"")"),0)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IFERROR(__xludf.DUMMYFUNCTION("IMPORTRANGE(""https://docs.google.com/spreadsheets/d/1Yj_ptqi66GCucihVvJfMjLAmec39IyEx_6qawtMGysU/edit?usp=sharing"",""สบก!AN33"")"),0)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IFERROR(__xludf.DUMMYFUNCTION("IMPORTRANGE(""https://docs.google.com/spreadsheets/d/1Yj_ptqi66GCucihVvJfMjLAmec39IyEx_6qawtMGysU/edit?usp=sharing"",""สบก!AO33"")"),0)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IFERROR(__xludf.DUMMYFUNCTION("IMPORTRANGE(""https://docs.google.com/spreadsheets/d/1Yj_ptqi66GCucihVvJfMjLAmec39IyEx_6qawtMGysU/edit?usp=sharing"",""สบก!AP33"")"),0)</f>
        <v>0</v>
      </c>
      <c r="M102" s="103"/>
      <c r="N102" s="93">
        <f ca="1">IFERROR(__xludf.DUMMYFUNCTION("IMPORTRANGE(""https://docs.google.com/spreadsheets/d/1Yj_ptqi66GCucihVvJfMjLAmec39IyEx_6qawtMGysU/edit?usp=sharing"",""สบก!AT33"")"),0)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IFERROR(__xludf.DUMMYFUNCTION("IMPORTRANGE(""https://docs.google.com/spreadsheets/d/11923uPwbBZFjjGgGUA6NLw09EwE0CqkOc4q9oUmW1yo/edit?usp=sharing"",""ลำพูน!J39"")"),0)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IFERROR(__xludf.DUMMYFUNCTION("IMPORTRANGE(""https://docs.google.com/spreadsheets/d/11923uPwbBZFjjGgGUA6NLw09EwE0CqkOc4q9oUmW1yo/edit?usp=sharing"",""ลำพูน!J40"")"),0)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IFERROR(__xludf.DUMMYFUNCTION("IMPORTRANGE(""https://docs.google.com/spreadsheets/d/11923uPwbBZFjjGgGUA6NLw09EwE0CqkOc4q9oUmW1yo/edit?usp=sharing"",""ลำพูน!J41"")"),0)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IFERROR(__xludf.DUMMYFUNCTION("IMPORTRANGE(""https://docs.google.com/spreadsheets/d/11923uPwbBZFjjGgGUA6NLw09EwE0CqkOc4q9oUmW1yo/edit?usp=sharing"",""ลำพูน!J42"")"),0)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IFERROR(__xludf.DUMMYFUNCTION("IMPORTRANGE(""https://docs.google.com/spreadsheets/d/11923uPwbBZFjjGgGUA6NLw09EwE0CqkOc4q9oUmW1yo/edit?usp=sharing"",""ลำพูน!I43"")"),0)</f>
        <v>0</v>
      </c>
      <c r="J108" s="213">
        <f ca="1">IFERROR(__xludf.DUMMYFUNCTION("IMPORTRANGE(""https://docs.google.com/spreadsheets/d/11923uPwbBZFjjGgGUA6NLw09EwE0CqkOc4q9oUmW1yo/edit?usp=sharing"",""ลำพูน!J43"")"),0)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IFERROR(__xludf.DUMMYFUNCTION("IMPORTRANGE(""https://docs.google.com/spreadsheets/d/11923uPwbBZFjjGgGUA6NLw09EwE0CqkOc4q9oUmW1yo/edit?usp=sharing"",""ลำพูน!I44"")"),0)</f>
        <v>0</v>
      </c>
      <c r="J109" s="213">
        <f ca="1">IFERROR(__xludf.DUMMYFUNCTION("IMPORTRANGE(""https://docs.google.com/spreadsheets/d/11923uPwbBZFjjGgGUA6NLw09EwE0CqkOc4q9oUmW1yo/edit?usp=sharing"",""ลำพูน!J44"")"),0)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IFERROR(__xludf.DUMMYFUNCTION("IMPORTRANGE(""https://docs.google.com/spreadsheets/d/11923uPwbBZFjjGgGUA6NLw09EwE0CqkOc4q9oUmW1yo/edit?usp=sharing"",""ลำพูน!I45"")"),0)</f>
        <v>0</v>
      </c>
      <c r="J110" s="213">
        <f ca="1">IFERROR(__xludf.DUMMYFUNCTION("IMPORTRANGE(""https://docs.google.com/spreadsheets/d/11923uPwbBZFjjGgGUA6NLw09EwE0CqkOc4q9oUmW1yo/edit?usp=sharing"",""ลำพูน!J45"")"),0)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IFERROR(__xludf.DUMMYFUNCTION("IMPORTRANGE(""https://docs.google.com/spreadsheets/d/11923uPwbBZFjjGgGUA6NLw09EwE0CqkOc4q9oUmW1yo/edit?usp=sharing"",""ลำพูน!I46"")"),0)</f>
        <v>0</v>
      </c>
      <c r="J111" s="213">
        <f ca="1">IFERROR(__xludf.DUMMYFUNCTION("IMPORTRANGE(""https://docs.google.com/spreadsheets/d/11923uPwbBZFjjGgGUA6NLw09EwE0CqkOc4q9oUmW1yo/edit?usp=sharing"",""ลำพูน!J46"")"),0)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IFERROR(__xludf.DUMMYFUNCTION("IMPORTRANGE(""https://docs.google.com/spreadsheets/d/11923uPwbBZFjjGgGUA6NLw09EwE0CqkOc4q9oUmW1yo/edit?usp=sharing"",""ลำพูน!I47"")"),0)</f>
        <v>0</v>
      </c>
      <c r="J112" s="213">
        <f ca="1">IFERROR(__xludf.DUMMYFUNCTION("IMPORTRANGE(""https://docs.google.com/spreadsheets/d/11923uPwbBZFjjGgGUA6NLw09EwE0CqkOc4q9oUmW1yo/edit?usp=sharing"",""ลำพูน!J47"")"),0)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IFERROR(__xludf.DUMMYFUNCTION("IMPORTRANGE(""https://docs.google.com/spreadsheets/d/11923uPwbBZFjjGgGUA6NLw09EwE0CqkOc4q9oUmW1yo/edit?usp=sharing"",""ลำพูน!I48"")"),0)</f>
        <v>0</v>
      </c>
      <c r="J113" s="213">
        <f ca="1">IFERROR(__xludf.DUMMYFUNCTION("IMPORTRANGE(""https://docs.google.com/spreadsheets/d/11923uPwbBZFjjGgGUA6NLw09EwE0CqkOc4q9oUmW1yo/edit?usp=sharing"",""ลำพูน!J48"")"),0)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IFERROR(__xludf.DUMMYFUNCTION("IMPORTRANGE(""https://docs.google.com/spreadsheets/d/11923uPwbBZFjjGgGUA6NLw09EwE0CqkOc4q9oUmW1yo/edit?usp=sharing"",""ลำพูน!J49"")"),0)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IFERROR(__xludf.DUMMYFUNCTION("IMPORTRANGE(""https://docs.google.com/spreadsheets/d/11923uPwbBZFjjGgGUA6NLw09EwE0CqkOc4q9oUmW1yo/edit?usp=sharing"",""ลำพูน!J50"")"),0)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IFERROR(__xludf.DUMMYFUNCTION("IMPORTRANGE(""https://docs.google.com/spreadsheets/d/11923uPwbBZFjjGgGUA6NLw09EwE0CqkOc4q9oUmW1yo/edit?usp=sharing"",""ลำพูน!I52"")"),20)</f>
        <v>20</v>
      </c>
      <c r="J117" s="148">
        <f ca="1">IFERROR(__xludf.DUMMYFUNCTION("IMPORTRANGE(""https://docs.google.com/spreadsheets/d/11923uPwbBZFjjGgGUA6NLw09EwE0CqkOc4q9oUmW1yo/edit?usp=sharing"",""ลำพูน!J52"")"),20)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43410</v>
      </c>
      <c r="O118" s="157">
        <f t="shared" ref="O118:O120" ca="1" si="59">IF(L118&gt;0,N118*100/L118,0)</f>
        <v>52.656477438136825</v>
      </c>
      <c r="P118" s="157">
        <f t="shared" ref="P118:P120" ca="1" si="60">IF(M118&gt;0,N118*100/M118,0)</f>
        <v>65.337146297411195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43410</v>
      </c>
      <c r="O120" s="162">
        <f t="shared" ca="1" si="59"/>
        <v>52.656477438136825</v>
      </c>
      <c r="P120" s="162">
        <f t="shared" ca="1" si="60"/>
        <v>65.337146297411195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IFERROR(__xludf.DUMMYFUNCTION("IMPORTRANGE(""https://docs.google.com/spreadsheets/d/1Yj_ptqi66GCucihVvJfMjLAmec39IyEx_6qawtMGysU/edit?usp=sharing"",""สบก!BA33"")"),66440)</f>
        <v>66440</v>
      </c>
      <c r="N122" s="177">
        <f ca="1">IFERROR(__xludf.DUMMYFUNCTION("IMPORTRANGE(""https://docs.google.com/spreadsheets/d/1Yj_ptqi66GCucihVvJfMjLAmec39IyEx_6qawtMGysU/edit?usp=sharing"",""สบก!BB33"")"),43410)</f>
        <v>43410</v>
      </c>
      <c r="O122" s="178">
        <f ca="1">IF(L122&gt;0,N122*100/L122,0)</f>
        <v>52.656477438136825</v>
      </c>
      <c r="P122" s="178">
        <f ca="1">IF(M122&gt;0,N122*100/M122,0)</f>
        <v>65.337146297411195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IFERROR(__xludf.DUMMYFUNCTION("IMPORTRANGE(""https://docs.google.com/spreadsheets/d/1Yj_ptqi66GCucihVvJfMjLAmec39IyEx_6qawtMGysU/edit?usp=sharing"",""สบก!AW33"")"),0)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IFERROR(__xludf.DUMMYFUNCTION("IMPORTRANGE(""https://docs.google.com/spreadsheets/d/1Yj_ptqi66GCucihVvJfMjLAmec39IyEx_6qawtMGysU/edit?usp=sharing"",""สบก!AX33"")"),82440)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IFERROR(__xludf.DUMMYFUNCTION("IMPORTRANGE(""https://docs.google.com/spreadsheets/d/1Yj_ptqi66GCucihVvJfMjLAmec39IyEx_6qawtMGysU/edit?usp=sharing"",""สบก!AY33"")"),0)</f>
        <v>0</v>
      </c>
      <c r="M126" s="103"/>
      <c r="N126" s="93">
        <f ca="1">IFERROR(__xludf.DUMMYFUNCTION("IMPORTRANGE(""https://docs.google.com/spreadsheets/d/1Yj_ptqi66GCucihVvJfMjLAmec39IyEx_6qawtMGysU/edit?usp=sharing"",""สบก!BC33"")"),0)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266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IFERROR(__xludf.DUMMYFUNCTION("IMPORTRANGE(""https://docs.google.com/spreadsheets/d/11923uPwbBZFjjGgGUA6NLw09EwE0CqkOc4q9oUmW1yo/edit?usp=sharing"",""ลำพูน!J58"")"),0)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IFERROR(__xludf.DUMMYFUNCTION("IMPORTRANGE(""https://docs.google.com/spreadsheets/d/11923uPwbBZFjjGgGUA6NLw09EwE0CqkOc4q9oUmW1yo/edit?usp=sharing"",""ลำพูน!J59"")"),1)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IFERROR(__xludf.DUMMYFUNCTION("IMPORTRANGE(""https://docs.google.com/spreadsheets/d/11923uPwbBZFjjGgGUA6NLw09EwE0CqkOc4q9oUmW1yo/edit?usp=sharing"",""ลำพูน!J60"")"),1)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IFERROR(__xludf.DUMMYFUNCTION("IMPORTRANGE(""https://docs.google.com/spreadsheets/d/11923uPwbBZFjjGgGUA6NLw09EwE0CqkOc4q9oUmW1yo/edit?usp=sharing"",""ลำพูน!J61"")"),1)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IFERROR(__xludf.DUMMYFUNCTION("IMPORTRANGE(""https://docs.google.com/spreadsheets/d/11923uPwbBZFjjGgGUA6NLw09EwE0CqkOc4q9oUmW1yo/edit?usp=sharing"",""ลำพูน!I62"")"),20)</f>
        <v>20</v>
      </c>
      <c r="J132" s="213">
        <f ca="1">IFERROR(__xludf.DUMMYFUNCTION("IMPORTRANGE(""https://docs.google.com/spreadsheets/d/11923uPwbBZFjjGgGUA6NLw09EwE0CqkOc4q9oUmW1yo/edit?usp=sharing"",""ลำพูน!J62"")"),20)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IFERROR(__xludf.DUMMYFUNCTION("IMPORTRANGE(""https://docs.google.com/spreadsheets/d/11923uPwbBZFjjGgGUA6NLw09EwE0CqkOc4q9oUmW1yo/edit?usp=sharing"",""ลำพูน!I63"")"),20)</f>
        <v>20</v>
      </c>
      <c r="J133" s="213">
        <f ca="1">IFERROR(__xludf.DUMMYFUNCTION("IMPORTRANGE(""https://docs.google.com/spreadsheets/d/11923uPwbBZFjjGgGUA6NLw09EwE0CqkOc4q9oUmW1yo/edit?usp=sharing"",""ลำพูน!J63"")"),0)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IFERROR(__xludf.DUMMYFUNCTION("IMPORTRANGE(""https://docs.google.com/spreadsheets/d/11923uPwbBZFjjGgGUA6NLw09EwE0CqkOc4q9oUmW1yo/edit?usp=sharing"",""ลำพูน!J64"")"),0)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IFERROR(__xludf.DUMMYFUNCTION("IMPORTRANGE(""https://docs.google.com/spreadsheets/d/11923uPwbBZFjjGgGUA6NLw09EwE0CqkOc4q9oUmW1yo/edit?usp=sharing"",""ลำพูน!J65"")"),0)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IFERROR(__xludf.DUMMYFUNCTION("IMPORTRANGE(""https://docs.google.com/spreadsheets/d/11923uPwbBZFjjGgGUA6NLw09EwE0CqkOc4q9oUmW1yo/edit?usp=sharing"",""ลำพูน!I68"")"),150)</f>
        <v>150</v>
      </c>
      <c r="J138" s="276">
        <f ca="1">IFERROR(__xludf.DUMMYFUNCTION("IMPORTRANGE(""https://docs.google.com/spreadsheets/d/11923uPwbBZFjjGgGUA6NLw09EwE0CqkOc4q9oUmW1yo/edit?usp=sharing"",""ลำพูน!J68"")"),115)</f>
        <v>115</v>
      </c>
      <c r="K138" s="277">
        <f ca="1">IF(I138&gt;0,J138*100/I138,0)</f>
        <v>76.666666666666671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1352900</v>
      </c>
      <c r="M140" s="158">
        <f t="shared" ca="1" si="64"/>
        <v>668950</v>
      </c>
      <c r="N140" s="158">
        <f t="shared" ca="1" si="64"/>
        <v>598717</v>
      </c>
      <c r="O140" s="157">
        <f t="shared" ref="O140:O142" ca="1" si="65">IF(L140&gt;0,N140*100/L140,0)</f>
        <v>44.254342523468104</v>
      </c>
      <c r="P140" s="157">
        <f t="shared" ref="P140:P142" ca="1" si="66">IF(M140&gt;0,N140*100/M140,0)</f>
        <v>89.501009044024215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1352900</v>
      </c>
      <c r="M142" s="163">
        <f t="shared" ca="1" si="68"/>
        <v>668950</v>
      </c>
      <c r="N142" s="163">
        <f t="shared" ca="1" si="68"/>
        <v>598717</v>
      </c>
      <c r="O142" s="162">
        <f t="shared" ca="1" si="65"/>
        <v>44.254342523468104</v>
      </c>
      <c r="P142" s="162">
        <f t="shared" ca="1" si="66"/>
        <v>89.501009044024215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1114900</v>
      </c>
      <c r="M144" s="176">
        <f ca="1">IFERROR(__xludf.DUMMYFUNCTION("IMPORTRANGE(""https://docs.google.com/spreadsheets/d/1Yj_ptqi66GCucihVvJfMjLAmec39IyEx_6qawtMGysU/edit?usp=sharing"",""สบก!BJ33"")"),668950)</f>
        <v>668950</v>
      </c>
      <c r="N144" s="177">
        <f ca="1">IFERROR(__xludf.DUMMYFUNCTION("IMPORTRANGE(""https://docs.google.com/spreadsheets/d/1Yj_ptqi66GCucihVvJfMjLAmec39IyEx_6qawtMGysU/edit?usp=sharing"",""สบก!BK33"")"),360717)</f>
        <v>360717</v>
      </c>
      <c r="O144" s="178">
        <f ca="1">IF(L144&gt;0,N144*100/L144,0)</f>
        <v>32.354202170598263</v>
      </c>
      <c r="P144" s="178">
        <f ca="1">IF(M144&gt;0,N144*100/M144,0)</f>
        <v>53.922864190148744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IFERROR(__xludf.DUMMYFUNCTION("IMPORTRANGE(""https://docs.google.com/spreadsheets/d/1Yj_ptqi66GCucihVvJfMjLAmec39IyEx_6qawtMGysU/edit?usp=sharing"",""สบก!BF33"")"),264000)</f>
        <v>264000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IFERROR(__xludf.DUMMYFUNCTION("IMPORTRANGE(""https://docs.google.com/spreadsheets/d/1Yj_ptqi66GCucihVvJfMjLAmec39IyEx_6qawtMGysU/edit?usp=sharing"",""สบก!BG33"")"),850900)</f>
        <v>850900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IFERROR(__xludf.DUMMYFUNCTION("IMPORTRANGE(""https://docs.google.com/spreadsheets/d/1Yj_ptqi66GCucihVvJfMjLAmec39IyEx_6qawtMGysU/edit?usp=sharing"",""สบก!BH33"")"),238000)</f>
        <v>238000</v>
      </c>
      <c r="M148" s="103"/>
      <c r="N148" s="93">
        <f ca="1">IFERROR(__xludf.DUMMYFUNCTION("IMPORTRANGE(""https://docs.google.com/spreadsheets/d/1Yj_ptqi66GCucihVvJfMjLAmec39IyEx_6qawtMGysU/edit?usp=sharing"",""สบก!BL33"")"),238000)</f>
        <v>238000</v>
      </c>
      <c r="O148" s="103">
        <f ca="1">IF(L148&gt;0,N148*100/L148,0)</f>
        <v>100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IFERROR(__xludf.DUMMYFUNCTION("IMPORTRANGE(""https://docs.google.com/spreadsheets/d/11923uPwbBZFjjGgGUA6NLw09EwE0CqkOc4q9oUmW1yo/edit?usp=sharing"",""ลำพูน!I74"")"),4)</f>
        <v>4</v>
      </c>
      <c r="J149" s="284">
        <f ca="1">IFERROR(__xludf.DUMMYFUNCTION("IMPORTRANGE(""https://docs.google.com/spreadsheets/d/11923uPwbBZFjjGgGUA6NLw09EwE0CqkOc4q9oUmW1yo/edit?usp=sharing"",""ลำพูน!J74"")"),1)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IFERROR(__xludf.DUMMYFUNCTION("IMPORTRANGE(""https://docs.google.com/spreadsheets/d/11923uPwbBZFjjGgGUA6NLw09EwE0CqkOc4q9oUmW1yo/edit?usp=sharing"",""ลำพูน!J79"")"),0)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IFERROR(__xludf.DUMMYFUNCTION("IMPORTRANGE(""https://docs.google.com/spreadsheets/d/11923uPwbBZFjjGgGUA6NLw09EwE0CqkOc4q9oUmW1yo/edit?usp=sharing"",""ลำพูน!J80"")"),1)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IFERROR(__xludf.DUMMYFUNCTION("IMPORTRANGE(""https://docs.google.com/spreadsheets/d/11923uPwbBZFjjGgGUA6NLw09EwE0CqkOc4q9oUmW1yo/edit?usp=sharing"",""ลำพูน!J81"")"),0)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IFERROR(__xludf.DUMMYFUNCTION("IMPORTRANGE(""https://docs.google.com/spreadsheets/d/11923uPwbBZFjjGgGUA6NLw09EwE0CqkOc4q9oUmW1yo/edit?usp=sharing"",""ลำพูน!J82"")"),1)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IFERROR(__xludf.DUMMYFUNCTION("IMPORTRANGE(""https://docs.google.com/spreadsheets/d/11923uPwbBZFjjGgGUA6NLw09EwE0CqkOc4q9oUmW1yo/edit?usp=sharing"",""ลำพูน!I83"")"),4)</f>
        <v>4</v>
      </c>
      <c r="J158" s="198">
        <f ca="1">IFERROR(__xludf.DUMMYFUNCTION("IMPORTRANGE(""https://docs.google.com/spreadsheets/d/11923uPwbBZFjjGgGUA6NLw09EwE0CqkOc4q9oUmW1yo/edit?usp=sharing"",""ลำพูน!J83"")"),1)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IFERROR(__xludf.DUMMYFUNCTION("IMPORTRANGE(""https://docs.google.com/spreadsheets/d/11923uPwbBZFjjGgGUA6NLw09EwE0CqkOc4q9oUmW1yo/edit?usp=sharing"",""ลำพูน!J84"")"),60)</f>
        <v>60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IFERROR(__xludf.DUMMYFUNCTION("IMPORTRANGE(""https://docs.google.com/spreadsheets/d/11923uPwbBZFjjGgGUA6NLw09EwE0CqkOc4q9oUmW1yo/edit?usp=sharing"",""ลำพูน!J85"")"),60)</f>
        <v>60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IFERROR(__xludf.DUMMYFUNCTION("IMPORTRANGE(""https://docs.google.com/spreadsheets/d/11923uPwbBZFjjGgGUA6NLw09EwE0CqkOc4q9oUmW1yo/edit?usp=sharing"",""ลำพูน!J86"")"),0)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IFERROR(__xludf.DUMMYFUNCTION("IMPORTRANGE(""https://docs.google.com/spreadsheets/d/11923uPwbBZFjjGgGUA6NLw09EwE0CqkOc4q9oUmW1yo/edit?usp=sharing"",""ลำพูน!J87"")"),0)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IFERROR(__xludf.DUMMYFUNCTION("IMPORTRANGE(""https://docs.google.com/spreadsheets/d/11923uPwbBZFjjGgGUA6NLw09EwE0CqkOc4q9oUmW1yo/edit?usp=sharing"",""ลำพูน!J88"")"),0)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IFERROR(__xludf.DUMMYFUNCTION("IMPORTRANGE(""https://docs.google.com/spreadsheets/d/11923uPwbBZFjjGgGUA6NLw09EwE0CqkOc4q9oUmW1yo/edit?usp=sharing"",""ลำพูน!I89"")"),2)</f>
        <v>2</v>
      </c>
      <c r="J164" s="292">
        <f ca="1">IFERROR(__xludf.DUMMYFUNCTION("IMPORTRANGE(""https://docs.google.com/spreadsheets/d/11923uPwbBZFjjGgGUA6NLw09EwE0CqkOc4q9oUmW1yo/edit?usp=sharing"",""ลำพูน!J89"")"),0)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IFERROR(__xludf.DUMMYFUNCTION("IMPORTRANGE(""https://docs.google.com/spreadsheets/d/11923uPwbBZFjjGgGUA6NLw09EwE0CqkOc4q9oUmW1yo/edit?usp=sharing"",""ลำพูน!J94"")"),1)</f>
        <v>1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IFERROR(__xludf.DUMMYFUNCTION("IMPORTRANGE(""https://docs.google.com/spreadsheets/d/11923uPwbBZFjjGgGUA6NLw09EwE0CqkOc4q9oUmW1yo/edit?usp=sharing"",""ลำพูน!J95"")"),0)</f>
        <v>0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IFERROR(__xludf.DUMMYFUNCTION("IMPORTRANGE(""https://docs.google.com/spreadsheets/d/11923uPwbBZFjjGgGUA6NLw09EwE0CqkOc4q9oUmW1yo/edit?usp=sharing"",""ลำพูน!J96"")"),1)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IFERROR(__xludf.DUMMYFUNCTION("IMPORTRANGE(""https://docs.google.com/spreadsheets/d/11923uPwbBZFjjGgGUA6NLw09EwE0CqkOc4q9oUmW1yo/edit?usp=sharing"",""ลำพูน!J97"")"),1)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IFERROR(__xludf.DUMMYFUNCTION("IMPORTRANGE(""https://docs.google.com/spreadsheets/d/11923uPwbBZFjjGgGUA6NLw09EwE0CqkOc4q9oUmW1yo/edit?usp=sharing"",""ลำพูน!I98"")"),2)</f>
        <v>2</v>
      </c>
      <c r="J173" s="198">
        <f ca="1">IFERROR(__xludf.DUMMYFUNCTION("IMPORTRANGE(""https://docs.google.com/spreadsheets/d/11923uPwbBZFjjGgGUA6NLw09EwE0CqkOc4q9oUmW1yo/edit?usp=sharing"",""ลำพูน!J98"")"),0)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IFERROR(__xludf.DUMMYFUNCTION("IMPORTRANGE(""https://docs.google.com/spreadsheets/d/11923uPwbBZFjjGgGUA6NLw09EwE0CqkOc4q9oUmW1yo/edit?usp=sharing"",""ลำพูน!J99"")"),0)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IFERROR(__xludf.DUMMYFUNCTION("IMPORTRANGE(""https://docs.google.com/spreadsheets/d/11923uPwbBZFjjGgGUA6NLw09EwE0CqkOc4q9oUmW1yo/edit?usp=sharing"",""ลำพูน!J100"")"),0)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IFERROR(__xludf.DUMMYFUNCTION("IMPORTRANGE(""https://docs.google.com/spreadsheets/d/11923uPwbBZFjjGgGUA6NLw09EwE0CqkOc4q9oUmW1yo/edit?usp=sharing"",""ลำพูน!I101"")"),0)</f>
        <v>0</v>
      </c>
      <c r="J176" s="292">
        <f ca="1">IFERROR(__xludf.DUMMYFUNCTION("IMPORTRANGE(""https://docs.google.com/spreadsheets/d/11923uPwbBZFjjGgGUA6NLw09EwE0CqkOc4q9oUmW1yo/edit?usp=sharing"",""ลำพูน!J101"")"),0)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IFERROR(__xludf.DUMMYFUNCTION("IMPORTRANGE(""https://docs.google.com/spreadsheets/d/11923uPwbBZFjjGgGUA6NLw09EwE0CqkOc4q9oUmW1yo/edit?usp=sharing"",""ลำพูน!J106"")"),0)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IFERROR(__xludf.DUMMYFUNCTION("IMPORTRANGE(""https://docs.google.com/spreadsheets/d/11923uPwbBZFjjGgGUA6NLw09EwE0CqkOc4q9oUmW1yo/edit?usp=sharing"",""ลำพูน!J107"")"),0)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IFERROR(__xludf.DUMMYFUNCTION("IMPORTRANGE(""https://docs.google.com/spreadsheets/d/11923uPwbBZFjjGgGUA6NLw09EwE0CqkOc4q9oUmW1yo/edit?usp=sharing"",""ลำพูน!J108"")"),0)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IFERROR(__xludf.DUMMYFUNCTION("IMPORTRANGE(""https://docs.google.com/spreadsheets/d/11923uPwbBZFjjGgGUA6NLw09EwE0CqkOc4q9oUmW1yo/edit?usp=sharing"",""ลำพูน!J109"")"),0)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IFERROR(__xludf.DUMMYFUNCTION("IMPORTRANGE(""https://docs.google.com/spreadsheets/d/11923uPwbBZFjjGgGUA6NLw09EwE0CqkOc4q9oUmW1yo/edit?usp=sharing"",""ลำพูน!I110"")"),0)</f>
        <v>0</v>
      </c>
      <c r="J185" s="213">
        <f ca="1">IFERROR(__xludf.DUMMYFUNCTION("IMPORTRANGE(""https://docs.google.com/spreadsheets/d/11923uPwbBZFjjGgGUA6NLw09EwE0CqkOc4q9oUmW1yo/edit?usp=sharing"",""ลำพูน!J110"")"),0)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IFERROR(__xludf.DUMMYFUNCTION("IMPORTRANGE(""https://docs.google.com/spreadsheets/d/11923uPwbBZFjjGgGUA6NLw09EwE0CqkOc4q9oUmW1yo/edit?usp=sharing"",""ลำพูน!I111"")"),0)</f>
        <v>0</v>
      </c>
      <c r="J186" s="213">
        <f ca="1">IFERROR(__xludf.DUMMYFUNCTION("IMPORTRANGE(""https://docs.google.com/spreadsheets/d/11923uPwbBZFjjGgGUA6NLw09EwE0CqkOc4q9oUmW1yo/edit?usp=sharing"",""ลำพูน!J111"")"),0)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IFERROR(__xludf.DUMMYFUNCTION("IMPORTRANGE(""https://docs.google.com/spreadsheets/d/11923uPwbBZFjjGgGUA6NLw09EwE0CqkOc4q9oUmW1yo/edit?usp=sharing"",""ลำพูน!J112"")"),0)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IFERROR(__xludf.DUMMYFUNCTION("IMPORTRANGE(""https://docs.google.com/spreadsheets/d/11923uPwbBZFjjGgGUA6NLw09EwE0CqkOc4q9oUmW1yo/edit?usp=sharing"",""ลำพูน!J113"")"),0)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IFERROR(__xludf.DUMMYFUNCTION("IMPORTRANGE(""https://docs.google.com/spreadsheets/d/11923uPwbBZFjjGgGUA6NLw09EwE0CqkOc4q9oUmW1yo/edit?usp=sharing"",""ลำพูน!I114"")"),100000)</f>
        <v>100000</v>
      </c>
      <c r="J189" s="292">
        <f ca="1">IFERROR(__xludf.DUMMYFUNCTION("IMPORTRANGE(""https://docs.google.com/spreadsheets/d/11923uPwbBZFjjGgGUA6NLw09EwE0CqkOc4q9oUmW1yo/edit?usp=sharing"",""ลำพูน!J114"")"),0)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IFERROR(__xludf.DUMMYFUNCTION("IMPORTRANGE(""https://docs.google.com/spreadsheets/d/11923uPwbBZFjjGgGUA6NLw09EwE0CqkOc4q9oUmW1yo/edit?usp=sharing"",""ลำพูน!J119"")"),1)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IFERROR(__xludf.DUMMYFUNCTION("IMPORTRANGE(""https://docs.google.com/spreadsheets/d/11923uPwbBZFjjGgGUA6NLw09EwE0CqkOc4q9oUmW1yo/edit?usp=sharing"",""ลำพูน!J120"")"),0)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IFERROR(__xludf.DUMMYFUNCTION("IMPORTRANGE(""https://docs.google.com/spreadsheets/d/11923uPwbBZFjjGgGUA6NLw09EwE0CqkOc4q9oUmW1yo/edit?usp=sharing"",""ลำพูน!J121"")"),0)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IFERROR(__xludf.DUMMYFUNCTION("IMPORTRANGE(""https://docs.google.com/spreadsheets/d/11923uPwbBZFjjGgGUA6NLw09EwE0CqkOc4q9oUmW1yo/edit?usp=sharing"",""ลำพูน!J122"")"),0)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IFERROR(__xludf.DUMMYFUNCTION("IMPORTRANGE(""https://docs.google.com/spreadsheets/d/11923uPwbBZFjjGgGUA6NLw09EwE0CqkOc4q9oUmW1yo/edit?usp=sharing"",""ลำพูน!I124"")"),100000)</f>
        <v>100000</v>
      </c>
      <c r="J199" s="198">
        <f ca="1">IFERROR(__xludf.DUMMYFUNCTION("IMPORTRANGE(""https://docs.google.com/spreadsheets/d/11923uPwbBZFjjGgGUA6NLw09EwE0CqkOc4q9oUmW1yo/edit?usp=sharing"",""ลำพูน!J124"")"),0)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IFERROR(__xludf.DUMMYFUNCTION("IMPORTRANGE(""https://docs.google.com/spreadsheets/d/11923uPwbBZFjjGgGUA6NLw09EwE0CqkOc4q9oUmW1yo/edit?usp=sharing"",""ลำพูน!I125"")"),100000)</f>
        <v>100000</v>
      </c>
      <c r="J200" s="198">
        <f ca="1">IFERROR(__xludf.DUMMYFUNCTION("IMPORTRANGE(""https://docs.google.com/spreadsheets/d/11923uPwbBZFjjGgGUA6NLw09EwE0CqkOc4q9oUmW1yo/edit?usp=sharing"",""ลำพูน!J125"")"),0)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IFERROR(__xludf.DUMMYFUNCTION("IMPORTRANGE(""https://docs.google.com/spreadsheets/d/11923uPwbBZFjjGgGUA6NLw09EwE0CqkOc4q9oUmW1yo/edit?usp=sharing"",""ลำพูน!I126"")"),0)</f>
        <v>0</v>
      </c>
      <c r="J201" s="198">
        <f ca="1">IFERROR(__xludf.DUMMYFUNCTION("IMPORTRANGE(""https://docs.google.com/spreadsheets/d/11923uPwbBZFjjGgGUA6NLw09EwE0CqkOc4q9oUmW1yo/edit?usp=sharing"",""ลำพูน!J126"")"),0)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IFERROR(__xludf.DUMMYFUNCTION("IMPORTRANGE(""https://docs.google.com/spreadsheets/d/11923uPwbBZFjjGgGUA6NLw09EwE0CqkOc4q9oUmW1yo/edit?usp=sharing"",""ลำพูน!J127"")"),0)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IFERROR(__xludf.DUMMYFUNCTION("IMPORTRANGE(""https://docs.google.com/spreadsheets/d/11923uPwbBZFjjGgGUA6NLw09EwE0CqkOc4q9oUmW1yo/edit?usp=sharing"",""ลำพูน!J128"")"),0)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IFERROR(__xludf.DUMMYFUNCTION("IMPORTRANGE(""https://docs.google.com/spreadsheets/d/11923uPwbBZFjjGgGUA6NLw09EwE0CqkOc4q9oUmW1yo/edit?usp=sharing"",""ลำพูน!I129"")"),150)</f>
        <v>150</v>
      </c>
      <c r="J204" s="292">
        <f ca="1">IFERROR(__xludf.DUMMYFUNCTION("IMPORTRANGE(""https://docs.google.com/spreadsheets/d/11923uPwbBZFjjGgGUA6NLw09EwE0CqkOc4q9oUmW1yo/edit?usp=sharing"",""ลำพูน!J129"")"),115)</f>
        <v>115</v>
      </c>
      <c r="K204" s="293">
        <f ca="1">IF(I204&gt;0,J204*100/I204,0)</f>
        <v>76.666666666666671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IFERROR(__xludf.DUMMYFUNCTION("IMPORTRANGE(""https://docs.google.com/spreadsheets/d/11923uPwbBZFjjGgGUA6NLw09EwE0CqkOc4q9oUmW1yo/edit?usp=sharing"",""ลำพูน!J134"")"),0)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IFERROR(__xludf.DUMMYFUNCTION("IMPORTRANGE(""https://docs.google.com/spreadsheets/d/11923uPwbBZFjjGgGUA6NLw09EwE0CqkOc4q9oUmW1yo/edit?usp=sharing"",""ลำพูน!J135"")"),1)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IFERROR(__xludf.DUMMYFUNCTION("IMPORTRANGE(""https://docs.google.com/spreadsheets/d/11923uPwbBZFjjGgGUA6NLw09EwE0CqkOc4q9oUmW1yo/edit?usp=sharing"",""ลำพูน!J136"")"),0)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IFERROR(__xludf.DUMMYFUNCTION("IMPORTRANGE(""https://docs.google.com/spreadsheets/d/11923uPwbBZFjjGgGUA6NLw09EwE0CqkOc4q9oUmW1yo/edit?usp=sharing"",""ลำพูน!J137"")"),1)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IFERROR(__xludf.DUMMYFUNCTION("IMPORTRANGE(""https://docs.google.com/spreadsheets/d/11923uPwbBZFjjGgGUA6NLw09EwE0CqkOc4q9oUmW1yo/edit?usp=sharing"",""ลำพูน!I138"")"),150)</f>
        <v>150</v>
      </c>
      <c r="J213" s="213">
        <f ca="1">IFERROR(__xludf.DUMMYFUNCTION("IMPORTRANGE(""https://docs.google.com/spreadsheets/d/11923uPwbBZFjjGgGUA6NLw09EwE0CqkOc4q9oUmW1yo/edit?usp=sharing"",""ลำพูน!J138"")"),115)</f>
        <v>115</v>
      </c>
      <c r="K213" s="233">
        <f ca="1">IF(I213&gt;0,J213*100/I213,0)</f>
        <v>76.666666666666671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IFERROR(__xludf.DUMMYFUNCTION("IMPORTRANGE(""https://docs.google.com/spreadsheets/d/11923uPwbBZFjjGgGUA6NLw09EwE0CqkOc4q9oUmW1yo/edit?usp=sharing"",""ลำพูน!I140"")"),0)</f>
        <v>0</v>
      </c>
      <c r="J215" s="213">
        <f ca="1">IFERROR(__xludf.DUMMYFUNCTION("IMPORTRANGE(""https://docs.google.com/spreadsheets/d/11923uPwbBZFjjGgGUA6NLw09EwE0CqkOc4q9oUmW1yo/edit?usp=sharing"",""ลำพูน!J140"")"),0)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IFERROR(__xludf.DUMMYFUNCTION("IMPORTRANGE(""https://docs.google.com/spreadsheets/d/11923uPwbBZFjjGgGUA6NLw09EwE0CqkOc4q9oUmW1yo/edit?usp=sharing"",""ลำพูน!I141"")"),3)</f>
        <v>3</v>
      </c>
      <c r="J216" s="213">
        <f ca="1">IFERROR(__xludf.DUMMYFUNCTION("IMPORTRANGE(""https://docs.google.com/spreadsheets/d/11923uPwbBZFjjGgGUA6NLw09EwE0CqkOc4q9oUmW1yo/edit?usp=sharing"",""ลำพูน!J141"")"),0)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IFERROR(__xludf.DUMMYFUNCTION("IMPORTRANGE(""https://docs.google.com/spreadsheets/d/11923uPwbBZFjjGgGUA6NLw09EwE0CqkOc4q9oUmW1yo/edit?usp=sharing"",""ลำพูน!J142"")"),0)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IFERROR(__xludf.DUMMYFUNCTION("IMPORTRANGE(""https://docs.google.com/spreadsheets/d/11923uPwbBZFjjGgGUA6NLw09EwE0CqkOc4q9oUmW1yo/edit?usp=sharing"",""ลำพูน!J143"")"),0)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IFERROR(__xludf.DUMMYFUNCTION("IMPORTRANGE(""https://docs.google.com/spreadsheets/d/11923uPwbBZFjjGgGUA6NLw09EwE0CqkOc4q9oUmW1yo/edit?usp=sharing"",""ลำพูน!I144"")"),15)</f>
        <v>15</v>
      </c>
      <c r="J219" s="276">
        <f ca="1">IFERROR(__xludf.DUMMYFUNCTION("IMPORTRANGE(""https://docs.google.com/spreadsheets/d/11923uPwbBZFjjGgGUA6NLw09EwE0CqkOc4q9oUmW1yo/edit?usp=sharing"",""ลำพูน!J144"")"),15)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IFERROR(__xludf.DUMMYFUNCTION("IMPORTRANGE(""https://docs.google.com/spreadsheets/d/1Yj_ptqi66GCucihVvJfMjLAmec39IyEx_6qawtMGysU/edit?usp=sharing"",""สบก!BS33"")"),21125)</f>
        <v>21125</v>
      </c>
      <c r="N224" s="177">
        <f ca="1">IFERROR(__xludf.DUMMYFUNCTION("IMPORTRANGE(""https://docs.google.com/spreadsheets/d/1Yj_ptqi66GCucihVvJfMjLAmec39IyEx_6qawtMGysU/edit?usp=sharing"",""สบก!BT33"")"),21125)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IFERROR(__xludf.DUMMYFUNCTION("IMPORTRANGE(""https://docs.google.com/spreadsheets/d/1Yj_ptqi66GCucihVvJfMjLAmec39IyEx_6qawtMGysU/edit?usp=sharing"",""สบก!BO33"")"),0)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IFERROR(__xludf.DUMMYFUNCTION("IMPORTRANGE(""https://docs.google.com/spreadsheets/d/1Yj_ptqi66GCucihVvJfMjLAmec39IyEx_6qawtMGysU/edit?usp=sharing"",""สบก!BP33"")"),21125)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IFERROR(__xludf.DUMMYFUNCTION("IMPORTRANGE(""https://docs.google.com/spreadsheets/d/1Yj_ptqi66GCucihVvJfMjLAmec39IyEx_6qawtMGysU/edit?usp=sharing"",""สบก!BQ33"")"),0)</f>
        <v>0</v>
      </c>
      <c r="M228" s="103"/>
      <c r="N228" s="93">
        <f ca="1">IFERROR(__xludf.DUMMYFUNCTION("IMPORTRANGE(""https://docs.google.com/spreadsheets/d/1Yj_ptqi66GCucihVvJfMjLAmec39IyEx_6qawtMGysU/edit?usp=sharing"",""สบก!BU33"")"),0)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IFERROR(__xludf.DUMMYFUNCTION("IMPORTRANGE(""https://docs.google.com/spreadsheets/d/11923uPwbBZFjjGgGUA6NLw09EwE0CqkOc4q9oUmW1yo/edit?usp=sharing"",""ลำพูน!I149"")"),15)</f>
        <v>15</v>
      </c>
      <c r="J229" s="276">
        <f ca="1">IFERROR(__xludf.DUMMYFUNCTION("IMPORTRANGE(""https://docs.google.com/spreadsheets/d/11923uPwbBZFjjGgGUA6NLw09EwE0CqkOc4q9oUmW1yo/edit?usp=sharing"",""ลำพูน!J149"")"),15)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IFERROR(__xludf.DUMMYFUNCTION("IMPORTRANGE(""https://docs.google.com/spreadsheets/d/11923uPwbBZFjjGgGUA6NLw09EwE0CqkOc4q9oUmW1yo/edit?usp=sharing"",""ลำพูน!J151"")"),0)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IFERROR(__xludf.DUMMYFUNCTION("IMPORTRANGE(""https://docs.google.com/spreadsheets/d/11923uPwbBZFjjGgGUA6NLw09EwE0CqkOc4q9oUmW1yo/edit?usp=sharing"",""ลำพูน!J152"")"),1)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IFERROR(__xludf.DUMMYFUNCTION("IMPORTRANGE(""https://docs.google.com/spreadsheets/d/11923uPwbBZFjjGgGUA6NLw09EwE0CqkOc4q9oUmW1yo/edit?usp=sharing"",""ลำพูน!J153"")"),1)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IFERROR(__xludf.DUMMYFUNCTION("IMPORTRANGE(""https://docs.google.com/spreadsheets/d/11923uPwbBZFjjGgGUA6NLw09EwE0CqkOc4q9oUmW1yo/edit?usp=sharing"",""ลำพูน!J154"")"),0)</f>
        <v>0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IFERROR(__xludf.DUMMYFUNCTION("IMPORTRANGE(""https://docs.google.com/spreadsheets/d/11923uPwbBZFjjGgGUA6NLw09EwE0CqkOc4q9oUmW1yo/edit?usp=sharing"",""ลำพูน!I155"")"),15)</f>
        <v>15</v>
      </c>
      <c r="J235" s="198">
        <f ca="1">IFERROR(__xludf.DUMMYFUNCTION("IMPORTRANGE(""https://docs.google.com/spreadsheets/d/11923uPwbBZFjjGgGUA6NLw09EwE0CqkOc4q9oUmW1yo/edit?usp=sharing"",""ลำพูน!J155"")"),15)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IFERROR(__xludf.DUMMYFUNCTION("IMPORTRANGE(""https://docs.google.com/spreadsheets/d/11923uPwbBZFjjGgGUA6NLw09EwE0CqkOc4q9oUmW1yo/edit?usp=sharing"",""ลำพูน!J156"")"),0)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IFERROR(__xludf.DUMMYFUNCTION("IMPORTRANGE(""https://docs.google.com/spreadsheets/d/11923uPwbBZFjjGgGUA6NLw09EwE0CqkOc4q9oUmW1yo/edit?usp=sharing"",""ลำพูน!J157"")"),0)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IFERROR(__xludf.DUMMYFUNCTION("IMPORTRANGE(""https://docs.google.com/spreadsheets/d/11923uPwbBZFjjGgGUA6NLw09EwE0CqkOc4q9oUmW1yo/edit?usp=sharing"",""ลำพูน!I158"")"),0)</f>
        <v>0</v>
      </c>
      <c r="J238" s="276">
        <f ca="1">IFERROR(__xludf.DUMMYFUNCTION("IMPORTRANGE(""https://docs.google.com/spreadsheets/d/11923uPwbBZFjjGgGUA6NLw09EwE0CqkOc4q9oUmW1yo/edit?usp=sharing"",""ลำพูน!J158"")"),0)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IFERROR(__xludf.DUMMYFUNCTION("IMPORTRANGE(""https://docs.google.com/spreadsheets/d/11923uPwbBZFjjGgGUA6NLw09EwE0CqkOc4q9oUmW1yo/edit?usp=sharing"",""ลำพูน!J159"")"),"")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IFERROR(__xludf.DUMMYFUNCTION("IMPORTRANGE(""https://docs.google.com/spreadsheets/d/11923uPwbBZFjjGgGUA6NLw09EwE0CqkOc4q9oUmW1yo/edit?usp=sharing"",""ลำพูน!J161"")"),0)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IFERROR(__xludf.DUMMYFUNCTION("IMPORTRANGE(""https://docs.google.com/spreadsheets/d/11923uPwbBZFjjGgGUA6NLw09EwE0CqkOc4q9oUmW1yo/edit?usp=sharing"",""ลำพูน!J162"")"),0)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IFERROR(__xludf.DUMMYFUNCTION("IMPORTRANGE(""https://docs.google.com/spreadsheets/d/11923uPwbBZFjjGgGUA6NLw09EwE0CqkOc4q9oUmW1yo/edit?usp=sharing"",""ลำพูน!J163"")"),0)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IFERROR(__xludf.DUMMYFUNCTION("IMPORTRANGE(""https://docs.google.com/spreadsheets/d/11923uPwbBZFjjGgGUA6NLw09EwE0CqkOc4q9oUmW1yo/edit?usp=sharing"",""ลำพูน!I164"")"),0)</f>
        <v>0</v>
      </c>
      <c r="J244" s="197">
        <f ca="1">IFERROR(__xludf.DUMMYFUNCTION("IMPORTRANGE(""https://docs.google.com/spreadsheets/d/11923uPwbBZFjjGgGUA6NLw09EwE0CqkOc4q9oUmW1yo/edit?usp=sharing"",""ลำพูน!J164"")"),0)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IFERROR(__xludf.DUMMYFUNCTION("IMPORTRANGE(""https://docs.google.com/spreadsheets/d/11923uPwbBZFjjGgGUA6NLw09EwE0CqkOc4q9oUmW1yo/edit?usp=sharing"",""ลำพูน!J165"")"),0)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IFERROR(__xludf.DUMMYFUNCTION("IMPORTRANGE(""https://docs.google.com/spreadsheets/d/11923uPwbBZFjjGgGUA6NLw09EwE0CqkOc4q9oUmW1yo/edit?usp=sharing"",""ลำพูน!J166"")"),0)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IFERROR(__xludf.DUMMYFUNCTION("IMPORTRANGE(""https://docs.google.com/spreadsheets/d/11923uPwbBZFjjGgGUA6NLw09EwE0CqkOc4q9oUmW1yo/edit?usp=sharing"",""ลำพูน!I169"")"),0)</f>
        <v>0</v>
      </c>
      <c r="J249" s="324">
        <f ca="1">IFERROR(__xludf.DUMMYFUNCTION("IMPORTRANGE(""https://docs.google.com/spreadsheets/d/11923uPwbBZFjjGgGUA6NLw09EwE0CqkOc4q9oUmW1yo/edit?usp=sharing"",""ลำพูน!J169"")"),0)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IFERROR(__xludf.DUMMYFUNCTION("IMPORTRANGE(""https://docs.google.com/spreadsheets/d/1Yj_ptqi66GCucihVvJfMjLAmec39IyEx_6qawtMGysU/edit?usp=sharing"",""สบก!CB33"")"),0)</f>
        <v>0</v>
      </c>
      <c r="N254" s="177">
        <f ca="1">IFERROR(__xludf.DUMMYFUNCTION("IMPORTRANGE(""https://docs.google.com/spreadsheets/d/1Yj_ptqi66GCucihVvJfMjLAmec39IyEx_6qawtMGysU/edit?usp=sharing"",""สบก!CC33"")"),0)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IFERROR(__xludf.DUMMYFUNCTION("IMPORTRANGE(""https://docs.google.com/spreadsheets/d/1Yj_ptqi66GCucihVvJfMjLAmec39IyEx_6qawtMGysU/edit?usp=sharing"",""สบก!BX33"")"),0)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IFERROR(__xludf.DUMMYFUNCTION("IMPORTRANGE(""https://docs.google.com/spreadsheets/d/1Yj_ptqi66GCucihVvJfMjLAmec39IyEx_6qawtMGysU/edit?usp=sharing"",""สบก!BY33"")"),0)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IFERROR(__xludf.DUMMYFUNCTION("IMPORTRANGE(""https://docs.google.com/spreadsheets/d/1Yj_ptqi66GCucihVvJfMjLAmec39IyEx_6qawtMGysU/edit?usp=sharing"",""สบก!BZ33"")"),0)</f>
        <v>0</v>
      </c>
      <c r="M258" s="103"/>
      <c r="N258" s="93">
        <f ca="1">IFERROR(__xludf.DUMMYFUNCTION("IMPORTRANGE(""https://docs.google.com/spreadsheets/d/1Yj_ptqi66GCucihVvJfMjLAmec39IyEx_6qawtMGysU/edit?usp=sharing"",""สบก!CD33"")"),0)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IFERROR(__xludf.DUMMYFUNCTION("IMPORTRANGE(""https://docs.google.com/spreadsheets/d/11923uPwbBZFjjGgGUA6NLw09EwE0CqkOc4q9oUmW1yo/edit?usp=sharing"",""ลำพูน!J175"")"),0)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IFERROR(__xludf.DUMMYFUNCTION("IMPORTRANGE(""https://docs.google.com/spreadsheets/d/11923uPwbBZFjjGgGUA6NLw09EwE0CqkOc4q9oUmW1yo/edit?usp=sharing"",""ลำพูน!J176"")"),0)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IFERROR(__xludf.DUMMYFUNCTION("IMPORTRANGE(""https://docs.google.com/spreadsheets/d/11923uPwbBZFjjGgGUA6NLw09EwE0CqkOc4q9oUmW1yo/edit?usp=sharing"",""ลำพูน!J177"")"),0)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IFERROR(__xludf.DUMMYFUNCTION("IMPORTRANGE(""https://docs.google.com/spreadsheets/d/11923uPwbBZFjjGgGUA6NLw09EwE0CqkOc4q9oUmW1yo/edit?usp=sharing"",""ลำพูน!J178"")"),0)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IFERROR(__xludf.DUMMYFUNCTION("IMPORTRANGE(""https://docs.google.com/spreadsheets/d/11923uPwbBZFjjGgGUA6NLw09EwE0CqkOc4q9oUmW1yo/edit?usp=sharing"",""ลำพูน!I179"")"),0)</f>
        <v>0</v>
      </c>
      <c r="J264" s="198">
        <f ca="1">IFERROR(__xludf.DUMMYFUNCTION("IMPORTRANGE(""https://docs.google.com/spreadsheets/d/11923uPwbBZFjjGgGUA6NLw09EwE0CqkOc4q9oUmW1yo/edit?usp=sharing"",""ลำพูน!J179"")"),0)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IFERROR(__xludf.DUMMYFUNCTION("IMPORTRANGE(""https://docs.google.com/spreadsheets/d/11923uPwbBZFjjGgGUA6NLw09EwE0CqkOc4q9oUmW1yo/edit?usp=sharing"",""ลำพูน!I180"")"),0)</f>
        <v>0</v>
      </c>
      <c r="J265" s="198">
        <f ca="1">IFERROR(__xludf.DUMMYFUNCTION("IMPORTRANGE(""https://docs.google.com/spreadsheets/d/11923uPwbBZFjjGgGUA6NLw09EwE0CqkOc4q9oUmW1yo/edit?usp=sharing"",""ลำพูน!J180"")"),0)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IFERROR(__xludf.DUMMYFUNCTION("IMPORTRANGE(""https://docs.google.com/spreadsheets/d/11923uPwbBZFjjGgGUA6NLw09EwE0CqkOc4q9oUmW1yo/edit?usp=sharing"",""ลำพูน!I181"")"),0)</f>
        <v>0</v>
      </c>
      <c r="J266" s="198">
        <f ca="1">IFERROR(__xludf.DUMMYFUNCTION("IMPORTRANGE(""https://docs.google.com/spreadsheets/d/11923uPwbBZFjjGgGUA6NLw09EwE0CqkOc4q9oUmW1yo/edit?usp=sharing"",""ลำพูน!J181"")"),0)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IFERROR(__xludf.DUMMYFUNCTION("IMPORTRANGE(""https://docs.google.com/spreadsheets/d/11923uPwbBZFjjGgGUA6NLw09EwE0CqkOc4q9oUmW1yo/edit?usp=sharing"",""ลำพูน!I182"")"),0)</f>
        <v>0</v>
      </c>
      <c r="J267" s="198">
        <f ca="1">IFERROR(__xludf.DUMMYFUNCTION("IMPORTRANGE(""https://docs.google.com/spreadsheets/d/11923uPwbBZFjjGgGUA6NLw09EwE0CqkOc4q9oUmW1yo/edit?usp=sharing"",""ลำพูน!J182"")"),0)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IFERROR(__xludf.DUMMYFUNCTION("IMPORTRANGE(""https://docs.google.com/spreadsheets/d/11923uPwbBZFjjGgGUA6NLw09EwE0CqkOc4q9oUmW1yo/edit?usp=sharing"",""ลำพูน!J183"")"),0)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IFERROR(__xludf.DUMMYFUNCTION("IMPORTRANGE(""https://docs.google.com/spreadsheets/d/11923uPwbBZFjjGgGUA6NLw09EwE0CqkOc4q9oUmW1yo/edit?usp=sharing"",""ลำพูน!J184"")"),0)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IFERROR(__xludf.DUMMYFUNCTION("IMPORTRANGE(""https://docs.google.com/spreadsheets/d/11923uPwbBZFjjGgGUA6NLw09EwE0CqkOc4q9oUmW1yo/edit?usp=sharing"",""ลำพูน!I185"")"),15)</f>
        <v>15</v>
      </c>
      <c r="J270" s="324">
        <f ca="1">IFERROR(__xludf.DUMMYFUNCTION("IMPORTRANGE(""https://docs.google.com/spreadsheets/d/11923uPwbBZFjjGgGUA6NLw09EwE0CqkOc4q9oUmW1yo/edit?usp=sharing"",""ลำพูน!J185"")"),15)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6415</v>
      </c>
      <c r="O271" s="157">
        <f t="shared" ref="O271:O273" ca="1" si="84">IF(L271&gt;0,N271*100/L271,0)</f>
        <v>11.621376811594203</v>
      </c>
      <c r="P271" s="157">
        <f t="shared" ref="P271:P273" ca="1" si="85">IF(M271&gt;0,N271*100/M271,0)</f>
        <v>19.891472868217054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6415</v>
      </c>
      <c r="O273" s="162">
        <f t="shared" ca="1" si="84"/>
        <v>11.621376811594203</v>
      </c>
      <c r="P273" s="162">
        <f t="shared" ca="1" si="85"/>
        <v>19.891472868217054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IFERROR(__xludf.DUMMYFUNCTION("IMPORTRANGE(""https://docs.google.com/spreadsheets/d/1Yj_ptqi66GCucihVvJfMjLAmec39IyEx_6qawtMGysU/edit?usp=sharing"",""สบก!CK33"")"),32250)</f>
        <v>32250</v>
      </c>
      <c r="N275" s="177">
        <f ca="1">IFERROR(__xludf.DUMMYFUNCTION("IMPORTRANGE(""https://docs.google.com/spreadsheets/d/1Yj_ptqi66GCucihVvJfMjLAmec39IyEx_6qawtMGysU/edit?usp=sharing"",""สบก!CL33"")"),6415)</f>
        <v>6415</v>
      </c>
      <c r="O275" s="178">
        <f ca="1">IF(L275&gt;0,N275*100/L275,0)</f>
        <v>11.621376811594203</v>
      </c>
      <c r="P275" s="178">
        <f ca="1">IF(M275&gt;0,N275*100/M275,0)</f>
        <v>19.891472868217054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IFERROR(__xludf.DUMMYFUNCTION("IMPORTRANGE(""https://docs.google.com/spreadsheets/d/1Yj_ptqi66GCucihVvJfMjLAmec39IyEx_6qawtMGysU/edit?usp=sharing"",""สบก!CG33"")"),0)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IFERROR(__xludf.DUMMYFUNCTION("IMPORTRANGE(""https://docs.google.com/spreadsheets/d/1Yj_ptqi66GCucihVvJfMjLAmec39IyEx_6qawtMGysU/edit?usp=sharing"",""สบก!CH33"")"),55200)</f>
        <v>55200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IFERROR(__xludf.DUMMYFUNCTION("IMPORTRANGE(""https://docs.google.com/spreadsheets/d/1Yj_ptqi66GCucihVvJfMjLAmec39IyEx_6qawtMGysU/edit?usp=sharing"",""สบก!CI33"")"),0)</f>
        <v>0</v>
      </c>
      <c r="M279" s="103"/>
      <c r="N279" s="93">
        <f ca="1">IFERROR(__xludf.DUMMYFUNCTION("IMPORTRANGE(""https://docs.google.com/spreadsheets/d/1Yj_ptqi66GCucihVvJfMjLAmec39IyEx_6qawtMGysU/edit?usp=sharing"",""สบก!CM33"")"),0)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IFERROR(__xludf.DUMMYFUNCTION("IMPORTRANGE(""https://docs.google.com/spreadsheets/d/11923uPwbBZFjjGgGUA6NLw09EwE0CqkOc4q9oUmW1yo/edit?usp=sharing"",""ลำพูน!J191"")"),0)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IFERROR(__xludf.DUMMYFUNCTION("IMPORTRANGE(""https://docs.google.com/spreadsheets/d/11923uPwbBZFjjGgGUA6NLw09EwE0CqkOc4q9oUmW1yo/edit?usp=sharing"",""ลำพูน!J192"")"),1)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IFERROR(__xludf.DUMMYFUNCTION("IMPORTRANGE(""https://docs.google.com/spreadsheets/d/11923uPwbBZFjjGgGUA6NLw09EwE0CqkOc4q9oUmW1yo/edit?usp=sharing"",""ลำพูน!J193"")"),1)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IFERROR(__xludf.DUMMYFUNCTION("IMPORTRANGE(""https://docs.google.com/spreadsheets/d/11923uPwbBZFjjGgGUA6NLw09EwE0CqkOc4q9oUmW1yo/edit?usp=sharing"",""ลำพูน!J194"")"),1)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IFERROR(__xludf.DUMMYFUNCTION("IMPORTRANGE(""https://docs.google.com/spreadsheets/d/11923uPwbBZFjjGgGUA6NLw09EwE0CqkOc4q9oUmW1yo/edit?usp=sharing"",""ลำพูน!I195"")"),15)</f>
        <v>15</v>
      </c>
      <c r="J285" s="198">
        <f ca="1">IFERROR(__xludf.DUMMYFUNCTION("IMPORTRANGE(""https://docs.google.com/spreadsheets/d/11923uPwbBZFjjGgGUA6NLw09EwE0CqkOc4q9oUmW1yo/edit?usp=sharing"",""ลำพูน!J195"")"),15)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IFERROR(__xludf.DUMMYFUNCTION("IMPORTRANGE(""https://docs.google.com/spreadsheets/d/11923uPwbBZFjjGgGUA6NLw09EwE0CqkOc4q9oUmW1yo/edit?usp=sharing"",""ลำพูน!J196"")"),0)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IFERROR(__xludf.DUMMYFUNCTION("IMPORTRANGE(""https://docs.google.com/spreadsheets/d/11923uPwbBZFjjGgGUA6NLw09EwE0CqkOc4q9oUmW1yo/edit?usp=sharing"",""ลำพูน!J197"")"),0)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IFERROR(__xludf.DUMMYFUNCTION("IMPORTRANGE(""https://docs.google.com/spreadsheets/d/11923uPwbBZFjjGgGUA6NLw09EwE0CqkOc4q9oUmW1yo/edit?usp=sharing"",""ลำพูน!I199"")"),0)</f>
        <v>0</v>
      </c>
      <c r="J289" s="324">
        <f ca="1">IFERROR(__xludf.DUMMYFUNCTION("IMPORTRANGE(""https://docs.google.com/spreadsheets/d/11923uPwbBZFjjGgGUA6NLw09EwE0CqkOc4q9oUmW1yo/edit?usp=sharing"",""ลำพูน!J199"")"),0)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IFERROR(__xludf.DUMMYFUNCTION("IMPORTRANGE(""https://docs.google.com/spreadsheets/d/1Yj_ptqi66GCucihVvJfMjLAmec39IyEx_6qawtMGysU/edit?usp=sharing"",""สบก!CT33"")"),0)</f>
        <v>0</v>
      </c>
      <c r="N294" s="177">
        <f ca="1">IFERROR(__xludf.DUMMYFUNCTION("IMPORTRANGE(""https://docs.google.com/spreadsheets/d/1Yj_ptqi66GCucihVvJfMjLAmec39IyEx_6qawtMGysU/edit?usp=sharing"",""สบก!CU33"")"),0)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IFERROR(__xludf.DUMMYFUNCTION("IMPORTRANGE(""https://docs.google.com/spreadsheets/d/1Yj_ptqi66GCucihVvJfMjLAmec39IyEx_6qawtMGysU/edit?usp=sharing"",""สบก!CP33"")"),0)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IFERROR(__xludf.DUMMYFUNCTION("IMPORTRANGE(""https://docs.google.com/spreadsheets/d/1Yj_ptqi66GCucihVvJfMjLAmec39IyEx_6qawtMGysU/edit?usp=sharing"",""สบก!CQ33"")"),0)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IFERROR(__xludf.DUMMYFUNCTION("IMPORTRANGE(""https://docs.google.com/spreadsheets/d/1Yj_ptqi66GCucihVvJfMjLAmec39IyEx_6qawtMGysU/edit?usp=sharing"",""สบก!CR33"")"),0)</f>
        <v>0</v>
      </c>
      <c r="M298" s="103"/>
      <c r="N298" s="93">
        <f ca="1">IFERROR(__xludf.DUMMYFUNCTION("IMPORTRANGE(""https://docs.google.com/spreadsheets/d/1Yj_ptqi66GCucihVvJfMjLAmec39IyEx_6qawtMGysU/edit?usp=sharing"",""สบก!CV33"")"),0)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IFERROR(__xludf.DUMMYFUNCTION("IMPORTRANGE(""https://docs.google.com/spreadsheets/d/11923uPwbBZFjjGgGUA6NLw09EwE0CqkOc4q9oUmW1yo/edit?usp=sharing"",""ลำพูน!J205"")"),0)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IFERROR(__xludf.DUMMYFUNCTION("IMPORTRANGE(""https://docs.google.com/spreadsheets/d/11923uPwbBZFjjGgGUA6NLw09EwE0CqkOc4q9oUmW1yo/edit?usp=sharing"",""ลำพูน!J206"")"),0)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IFERROR(__xludf.DUMMYFUNCTION("IMPORTRANGE(""https://docs.google.com/spreadsheets/d/11923uPwbBZFjjGgGUA6NLw09EwE0CqkOc4q9oUmW1yo/edit?usp=sharing"",""ลำพูน!J207"")"),0)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IFERROR(__xludf.DUMMYFUNCTION("IMPORTRANGE(""https://docs.google.com/spreadsheets/d/11923uPwbBZFjjGgGUA6NLw09EwE0CqkOc4q9oUmW1yo/edit?usp=sharing"",""ลำพูน!J208"")"),0)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IFERROR(__xludf.DUMMYFUNCTION("IMPORTRANGE(""https://docs.google.com/spreadsheets/d/11923uPwbBZFjjGgGUA6NLw09EwE0CqkOc4q9oUmW1yo/edit?usp=sharing"",""ลำพูน!I209"")"),0)</f>
        <v>0</v>
      </c>
      <c r="J304" s="213">
        <f ca="1">IFERROR(__xludf.DUMMYFUNCTION("IMPORTRANGE(""https://docs.google.com/spreadsheets/d/11923uPwbBZFjjGgGUA6NLw09EwE0CqkOc4q9oUmW1yo/edit?usp=sharing"",""ลำพูน!J209"")"),0)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IFERROR(__xludf.DUMMYFUNCTION("IMPORTRANGE(""https://docs.google.com/spreadsheets/d/11923uPwbBZFjjGgGUA6NLw09EwE0CqkOc4q9oUmW1yo/edit?usp=sharing"",""ลำพูน!I211"")"),0)</f>
        <v>0</v>
      </c>
      <c r="J306" s="213">
        <f ca="1">IFERROR(__xludf.DUMMYFUNCTION("IMPORTRANGE(""https://docs.google.com/spreadsheets/d/11923uPwbBZFjjGgGUA6NLw09EwE0CqkOc4q9oUmW1yo/edit?usp=sharing"",""ลำพูน!J211"")"),0)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IFERROR(__xludf.DUMMYFUNCTION("IMPORTRANGE(""https://docs.google.com/spreadsheets/d/11923uPwbBZFjjGgGUA6NLw09EwE0CqkOc4q9oUmW1yo/edit?usp=sharing"",""ลำพูน!J212"")"),0)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IFERROR(__xludf.DUMMYFUNCTION("IMPORTRANGE(""https://docs.google.com/spreadsheets/d/11923uPwbBZFjjGgGUA6NLw09EwE0CqkOc4q9oUmW1yo/edit?usp=sharing"",""ลำพูน!J213"")"),0)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IFERROR(__xludf.DUMMYFUNCTION("IMPORTRANGE(""https://docs.google.com/spreadsheets/d/11923uPwbBZFjjGgGUA6NLw09EwE0CqkOc4q9oUmW1yo/edit?usp=sharing"",""ลำพูน!I214"")"),0)</f>
        <v>0</v>
      </c>
      <c r="J309" s="341">
        <f ca="1">IFERROR(__xludf.DUMMYFUNCTION("IMPORTRANGE(""https://docs.google.com/spreadsheets/d/11923uPwbBZFjjGgGUA6NLw09EwE0CqkOc4q9oUmW1yo/edit?usp=sharing"",""ลำพูน!J214"")"),0)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IFERROR(__xludf.DUMMYFUNCTION("IMPORTRANGE(""https://docs.google.com/spreadsheets/d/1Yj_ptqi66GCucihVvJfMjLAmec39IyEx_6qawtMGysU/edit?usp=sharing"",""สบก!DC33"")"),0)</f>
        <v>0</v>
      </c>
      <c r="N314" s="177">
        <f ca="1">IFERROR(__xludf.DUMMYFUNCTION("IMPORTRANGE(""https://docs.google.com/spreadsheets/d/1Yj_ptqi66GCucihVvJfMjLAmec39IyEx_6qawtMGysU/edit?usp=sharing"",""สบก!DD33"")"),0)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IFERROR(__xludf.DUMMYFUNCTION("IMPORTRANGE(""https://docs.google.com/spreadsheets/d/1Yj_ptqi66GCucihVvJfMjLAmec39IyEx_6qawtMGysU/edit?usp=sharing"",""สบก!CY33"")"),0)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IFERROR(__xludf.DUMMYFUNCTION("IMPORTRANGE(""https://docs.google.com/spreadsheets/d/1Yj_ptqi66GCucihVvJfMjLAmec39IyEx_6qawtMGysU/edit?usp=sharing"",""สบก!CZ33"")"),0)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IFERROR(__xludf.DUMMYFUNCTION("IMPORTRANGE(""https://docs.google.com/spreadsheets/d/1Yj_ptqi66GCucihVvJfMjLAmec39IyEx_6qawtMGysU/edit?usp=sharing"",""สบก!DA33"")"),0)</f>
        <v>0</v>
      </c>
      <c r="M318" s="103"/>
      <c r="N318" s="93">
        <f ca="1">IFERROR(__xludf.DUMMYFUNCTION("IMPORTRANGE(""https://docs.google.com/spreadsheets/d/1Yj_ptqi66GCucihVvJfMjLAmec39IyEx_6qawtMGysU/edit?usp=sharing"",""สบก!DE33"")"),0)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IFERROR(__xludf.DUMMYFUNCTION("IMPORTRANGE(""https://docs.google.com/spreadsheets/d/11923uPwbBZFjjGgGUA6NLw09EwE0CqkOc4q9oUmW1yo/edit?usp=sharing"",""ลำพูน!J220"")"),0)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IFERROR(__xludf.DUMMYFUNCTION("IMPORTRANGE(""https://docs.google.com/spreadsheets/d/11923uPwbBZFjjGgGUA6NLw09EwE0CqkOc4q9oUmW1yo/edit?usp=sharing"",""ลำพูน!J221"")"),0)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IFERROR(__xludf.DUMMYFUNCTION("IMPORTRANGE(""https://docs.google.com/spreadsheets/d/11923uPwbBZFjjGgGUA6NLw09EwE0CqkOc4q9oUmW1yo/edit?usp=sharing"",""ลำพูน!J222"")"),0)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IFERROR(__xludf.DUMMYFUNCTION("IMPORTRANGE(""https://docs.google.com/spreadsheets/d/11923uPwbBZFjjGgGUA6NLw09EwE0CqkOc4q9oUmW1yo/edit?usp=sharing"",""ลำพูน!J223"")"),0)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IFERROR(__xludf.DUMMYFUNCTION("IMPORTRANGE(""https://docs.google.com/spreadsheets/d/11923uPwbBZFjjGgGUA6NLw09EwE0CqkOc4q9oUmW1yo/edit?usp=sharing"",""ลำพูน!I224"")"),0)</f>
        <v>0</v>
      </c>
      <c r="J324" s="213">
        <f ca="1">IFERROR(__xludf.DUMMYFUNCTION("IMPORTRANGE(""https://docs.google.com/spreadsheets/d/11923uPwbBZFjjGgGUA6NLw09EwE0CqkOc4q9oUmW1yo/edit?usp=sharing"",""ลำพูน!J224"")"),0)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IFERROR(__xludf.DUMMYFUNCTION("IMPORTRANGE(""https://docs.google.com/spreadsheets/d/11923uPwbBZFjjGgGUA6NLw09EwE0CqkOc4q9oUmW1yo/edit?usp=sharing"",""ลำพูน!J225"")"),0)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IFERROR(__xludf.DUMMYFUNCTION("IMPORTRANGE(""https://docs.google.com/spreadsheets/d/11923uPwbBZFjjGgGUA6NLw09EwE0CqkOc4q9oUmW1yo/edit?usp=sharing"",""ลำพูน!J226"")"),0)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IFERROR(__xludf.DUMMYFUNCTION("IMPORTRANGE(""https://docs.google.com/spreadsheets/d/11923uPwbBZFjjGgGUA6NLw09EwE0CqkOc4q9oUmW1yo/edit?usp=sharing"",""ลำพูน!I228"")"),222)</f>
        <v>222</v>
      </c>
      <c r="J328" s="347">
        <f ca="1">IFERROR(__xludf.DUMMYFUNCTION("IMPORTRANGE(""https://docs.google.com/spreadsheets/d/11923uPwbBZFjjGgGUA6NLw09EwE0CqkOc4q9oUmW1yo/edit?usp=sharing"",""ลำพูน!J228"")"),26)</f>
        <v>26</v>
      </c>
      <c r="K328" s="325">
        <f ca="1">IF(I328&gt;0,J328*100/I328,0)</f>
        <v>11.711711711711711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733780</v>
      </c>
      <c r="M329" s="158">
        <f t="shared" ca="1" si="98"/>
        <v>375440</v>
      </c>
      <c r="N329" s="158">
        <f t="shared" ca="1" si="98"/>
        <v>199270</v>
      </c>
      <c r="O329" s="157">
        <f t="shared" ref="O329:O331" ca="1" si="99">IF(L329&gt;0,N329*100/L329,0)</f>
        <v>27.156640955054648</v>
      </c>
      <c r="P329" s="157">
        <f t="shared" ref="P329:P331" ca="1" si="100">IF(M329&gt;0,N329*100/M329,0)</f>
        <v>53.076390368634137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733780</v>
      </c>
      <c r="M331" s="163">
        <f t="shared" ca="1" si="102"/>
        <v>375440</v>
      </c>
      <c r="N331" s="163">
        <f t="shared" ca="1" si="102"/>
        <v>199270</v>
      </c>
      <c r="O331" s="162">
        <f t="shared" ca="1" si="99"/>
        <v>27.156640955054648</v>
      </c>
      <c r="P331" s="162">
        <f t="shared" ca="1" si="100"/>
        <v>53.076390368634137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722380</v>
      </c>
      <c r="M333" s="176">
        <f ca="1">IFERROR(__xludf.DUMMYFUNCTION("IMPORTRANGE(""https://docs.google.com/spreadsheets/d/1Yj_ptqi66GCucihVvJfMjLAmec39IyEx_6qawtMGysU/edit?usp=sharing"",""สบก!DL33"")"),375440)</f>
        <v>375440</v>
      </c>
      <c r="N333" s="177">
        <f ca="1">IFERROR(__xludf.DUMMYFUNCTION("IMPORTRANGE(""https://docs.google.com/spreadsheets/d/1Yj_ptqi66GCucihVvJfMjLAmec39IyEx_6qawtMGysU/edit?usp=sharing"",""สบก!DM33"")"),187870)</f>
        <v>187870</v>
      </c>
      <c r="O333" s="178">
        <f ca="1">IF(L333&gt;0,N333*100/L333,0)</f>
        <v>26.007087682383233</v>
      </c>
      <c r="P333" s="178">
        <f ca="1">IF(M333&gt;0,N333*100/M333,0)</f>
        <v>50.039953121670571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IFERROR(__xludf.DUMMYFUNCTION("IMPORTRANGE(""https://docs.google.com/spreadsheets/d/1Yj_ptqi66GCucihVvJfMjLAmec39IyEx_6qawtMGysU/edit?usp=sharing"",""สบก!DH33"")"),417600)</f>
        <v>417600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IFERROR(__xludf.DUMMYFUNCTION("IMPORTRANGE(""https://docs.google.com/spreadsheets/d/1Yj_ptqi66GCucihVvJfMjLAmec39IyEx_6qawtMGysU/edit?usp=sharing"",""สบก!DI33"")"),304780)</f>
        <v>304780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IFERROR(__xludf.DUMMYFUNCTION("IMPORTRANGE(""https://docs.google.com/spreadsheets/d/1Yj_ptqi66GCucihVvJfMjLAmec39IyEx_6qawtMGysU/edit?usp=sharing"",""สบก!DJ33"")"),11400)</f>
        <v>11400</v>
      </c>
      <c r="M337" s="103"/>
      <c r="N337" s="93">
        <f ca="1">IFERROR(__xludf.DUMMYFUNCTION("IMPORTRANGE(""https://docs.google.com/spreadsheets/d/1Yj_ptqi66GCucihVvJfMjLAmec39IyEx_6qawtMGysU/edit?usp=sharing"",""สบก!DN33"")"),11400)</f>
        <v>11400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IFERROR(__xludf.DUMMYFUNCTION("IMPORTRANGE(""https://docs.google.com/spreadsheets/d/11923uPwbBZFjjGgGUA6NLw09EwE0CqkOc4q9oUmW1yo/edit?usp=sharing"",""ลำพูน!I234"")"),0)</f>
        <v>0</v>
      </c>
      <c r="J339" s="197">
        <f ca="1">IFERROR(__xludf.DUMMYFUNCTION("IMPORTRANGE(""https://docs.google.com/spreadsheets/d/11923uPwbBZFjjGgGUA6NLw09EwE0CqkOc4q9oUmW1yo/edit?usp=sharing"",""ลำพูน!J234"")"),17)</f>
        <v>17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IFERROR(__xludf.DUMMYFUNCTION("IMPORTRANGE(""https://docs.google.com/spreadsheets/d/11923uPwbBZFjjGgGUA6NLw09EwE0CqkOc4q9oUmW1yo/edit?usp=sharing"",""ลำพูน!I235"")"),700)</f>
        <v>700</v>
      </c>
      <c r="J340" s="197">
        <f ca="1">IFERROR(__xludf.DUMMYFUNCTION("IMPORTRANGE(""https://docs.google.com/spreadsheets/d/11923uPwbBZFjjGgGUA6NLw09EwE0CqkOc4q9oUmW1yo/edit?usp=sharing"",""ลำพูน!J235"")"),52.61)</f>
        <v>52.61</v>
      </c>
      <c r="K340" s="350">
        <f t="shared" ca="1" si="103"/>
        <v>7.515714285714286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IFERROR(__xludf.DUMMYFUNCTION("IMPORTRANGE(""https://docs.google.com/spreadsheets/d/11923uPwbBZFjjGgGUA6NLw09EwE0CqkOc4q9oUmW1yo/edit?usp=sharing"",""ลำพูน!I236"")"),222)</f>
        <v>222</v>
      </c>
      <c r="J341" s="197">
        <f ca="1">IFERROR(__xludf.DUMMYFUNCTION("IMPORTRANGE(""https://docs.google.com/spreadsheets/d/11923uPwbBZFjjGgGUA6NLw09EwE0CqkOc4q9oUmW1yo/edit?usp=sharing"",""ลำพูน!J236"")"),26)</f>
        <v>26</v>
      </c>
      <c r="K341" s="350">
        <f t="shared" ca="1" si="103"/>
        <v>11.711711711711711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IFERROR(__xludf.DUMMYFUNCTION("IMPORTRANGE(""https://docs.google.com/spreadsheets/d/11923uPwbBZFjjGgGUA6NLw09EwE0CqkOc4q9oUmW1yo/edit?usp=sharing"",""ลำพูน!I237"")"),0)</f>
        <v>0</v>
      </c>
      <c r="J342" s="197">
        <f ca="1">IFERROR(__xludf.DUMMYFUNCTION("IMPORTRANGE(""https://docs.google.com/spreadsheets/d/11923uPwbBZFjjGgGUA6NLw09EwE0CqkOc4q9oUmW1yo/edit?usp=sharing"",""ลำพูน!J237"")"),173.64)</f>
        <v>173.64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IFERROR(__xludf.DUMMYFUNCTION("IMPORTRANGE(""https://docs.google.com/spreadsheets/d/11923uPwbBZFjjGgGUA6NLw09EwE0CqkOc4q9oUmW1yo/edit?usp=sharing"",""ลำพูน!I238"")"),222)</f>
        <v>222</v>
      </c>
      <c r="J343" s="197">
        <f ca="1">IFERROR(__xludf.DUMMYFUNCTION("IMPORTRANGE(""https://docs.google.com/spreadsheets/d/11923uPwbBZFjjGgGUA6NLw09EwE0CqkOc4q9oUmW1yo/edit?usp=sharing"",""ลำพูน!J238"")"),0)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IFERROR(__xludf.DUMMYFUNCTION("IMPORTRANGE(""https://docs.google.com/spreadsheets/d/11923uPwbBZFjjGgGUA6NLw09EwE0CqkOc4q9oUmW1yo/edit?usp=sharing"",""ลำพูน!I239"")"),0)</f>
        <v>0</v>
      </c>
      <c r="J344" s="197">
        <f ca="1">IFERROR(__xludf.DUMMYFUNCTION("IMPORTRANGE(""https://docs.google.com/spreadsheets/d/11923uPwbBZFjjGgGUA6NLw09EwE0CqkOc4q9oUmW1yo/edit?usp=sharing"",""ลำพูน!J239"")"),0)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IFERROR(__xludf.DUMMYFUNCTION("IMPORTRANGE(""https://docs.google.com/spreadsheets/d/11923uPwbBZFjjGgGUA6NLw09EwE0CqkOc4q9oUmW1yo/edit?usp=sharing"",""ลำพูน!I240"")"),222)</f>
        <v>222</v>
      </c>
      <c r="J345" s="197">
        <f ca="1">IFERROR(__xludf.DUMMYFUNCTION("IMPORTRANGE(""https://docs.google.com/spreadsheets/d/11923uPwbBZFjjGgGUA6NLw09EwE0CqkOc4q9oUmW1yo/edit?usp=sharing"",""ลำพูน!J240"")"),26)</f>
        <v>26</v>
      </c>
      <c r="K345" s="350">
        <f t="shared" ca="1" si="103"/>
        <v>11.711711711711711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IFERROR(__xludf.DUMMYFUNCTION("IMPORTRANGE(""https://docs.google.com/spreadsheets/d/11923uPwbBZFjjGgGUA6NLw09EwE0CqkOc4q9oUmW1yo/edit?usp=sharing"",""ลำพูน!I241"")"),0)</f>
        <v>0</v>
      </c>
      <c r="J346" s="197">
        <f ca="1">IFERROR(__xludf.DUMMYFUNCTION("IMPORTRANGE(""https://docs.google.com/spreadsheets/d/11923uPwbBZFjjGgGUA6NLw09EwE0CqkOc4q9oUmW1yo/edit?usp=sharing"",""ลำพูน!J241"")"),173.64)</f>
        <v>173.64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IFERROR(__xludf.DUMMYFUNCTION("IMPORTRANGE(""https://docs.google.com/spreadsheets/d/11923uPwbBZFjjGgGUA6NLw09EwE0CqkOc4q9oUmW1yo/edit?usp=sharing"",""ลำพูน!L242"")"),2384110)</f>
        <v>2384110</v>
      </c>
      <c r="M347" s="366"/>
      <c r="N347" s="366">
        <f ca="1">IFERROR(__xludf.DUMMYFUNCTION("IMPORTRANGE(""https://docs.google.com/spreadsheets/d/11923uPwbBZFjjGgGUA6NLw09EwE0CqkOc4q9oUmW1yo/edit?usp=sharing"",""ลำพูน!M242"")"),511389)</f>
        <v>511389</v>
      </c>
      <c r="O347" s="366">
        <f ca="1">+IF(L347&gt;0,N347*100/L347,0)</f>
        <v>21.4498911543511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IFERROR(__xludf.DUMMYFUNCTION("IMPORTRANGE(""https://docs.google.com/spreadsheets/d/11923uPwbBZFjjGgGUA6NLw09EwE0CqkOc4q9oUmW1yo/edit?usp=sharing"",""ลำพูน!I244"")"),200)</f>
        <v>200</v>
      </c>
      <c r="J349" s="379">
        <f ca="1">IFERROR(__xludf.DUMMYFUNCTION("IMPORTRANGE(""https://docs.google.com/spreadsheets/d/11923uPwbBZFjjGgGUA6NLw09EwE0CqkOc4q9oUmW1yo/edit?usp=sharing"",""ลำพูน!J244"")"),200)</f>
        <v>200</v>
      </c>
      <c r="K349" s="380">
        <f t="shared" ref="K349:K350" ca="1" si="104">IF(I349&gt;0,J349*100/I349,0)</f>
        <v>100</v>
      </c>
      <c r="L349" s="381">
        <f ca="1">IFERROR(__xludf.DUMMYFUNCTION("IMPORTRANGE(""https://docs.google.com/spreadsheets/d/11923uPwbBZFjjGgGUA6NLw09EwE0CqkOc4q9oUmW1yo/edit?usp=sharing"",""ลำพูน!L244"")"),459380)</f>
        <v>459380</v>
      </c>
      <c r="M349" s="381"/>
      <c r="N349" s="381">
        <f ca="1">IFERROR(__xludf.DUMMYFUNCTION("IMPORTRANGE(""https://docs.google.com/spreadsheets/d/11923uPwbBZFjjGgGUA6NLw09EwE0CqkOc4q9oUmW1yo/edit?usp=sharing"",""ลำพูน!M244"")"),323820)</f>
        <v>323820</v>
      </c>
      <c r="O349" s="381">
        <f ca="1">+IF(L349&gt;0,N349*100/L349,0)</f>
        <v>70.490661326135225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IFERROR(__xludf.DUMMYFUNCTION("IMPORTRANGE(""https://docs.google.com/spreadsheets/d/11923uPwbBZFjjGgGUA6NLw09EwE0CqkOc4q9oUmW1yo/edit?usp=sharing"",""ลำพูน!I245"")"),70)</f>
        <v>70</v>
      </c>
      <c r="J350" s="379">
        <f ca="1">IFERROR(__xludf.DUMMYFUNCTION("IMPORTRANGE(""https://docs.google.com/spreadsheets/d/11923uPwbBZFjjGgGUA6NLw09EwE0CqkOc4q9oUmW1yo/edit?usp=sharing"",""ลำพูน!J245"")"),70)</f>
        <v>70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IFERROR(__xludf.DUMMYFUNCTION("IMPORTRANGE(""https://docs.google.com/spreadsheets/d/11923uPwbBZFjjGgGUA6NLw09EwE0CqkOc4q9oUmW1yo/edit?usp=sharing"",""ลำพูน!L246"")"),0)</f>
        <v>0</v>
      </c>
      <c r="M351" s="172"/>
      <c r="N351" s="172">
        <f ca="1">IFERROR(__xludf.DUMMYFUNCTION("IMPORTRANGE(""https://docs.google.com/spreadsheets/d/11923uPwbBZFjjGgGUA6NLw09EwE0CqkOc4q9oUmW1yo/edit?usp=sharing"",""ลำพูน!M246"")"),0)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IFERROR(__xludf.DUMMYFUNCTION("IMPORTRANGE(""https://docs.google.com/spreadsheets/d/11923uPwbBZFjjGgGUA6NLw09EwE0CqkOc4q9oUmW1yo/edit?usp=sharing"",""ลำพูน!L247"")"),459380)</f>
        <v>459380</v>
      </c>
      <c r="M352" s="173"/>
      <c r="N352" s="172">
        <f ca="1">IFERROR(__xludf.DUMMYFUNCTION("IMPORTRANGE(""https://docs.google.com/spreadsheets/d/11923uPwbBZFjjGgGUA6NLw09EwE0CqkOc4q9oUmW1yo/edit?usp=sharing"",""ลำพูน!M247"")"),323820)</f>
        <v>323820</v>
      </c>
      <c r="O352" s="173">
        <f t="shared" ca="1" si="105"/>
        <v>70.490661326135225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IFERROR(__xludf.DUMMYFUNCTION("IMPORTRANGE(""https://docs.google.com/spreadsheets/d/11923uPwbBZFjjGgGUA6NLw09EwE0CqkOc4q9oUmW1yo/edit?usp=sharing"",""ลำพูน!L248"")"),0)</f>
        <v>0</v>
      </c>
      <c r="M353" s="178"/>
      <c r="N353" s="178">
        <f ca="1">IFERROR(__xludf.DUMMYFUNCTION("IMPORTRANGE(""https://docs.google.com/spreadsheets/d/11923uPwbBZFjjGgGUA6NLw09EwE0CqkOc4q9oUmW1yo/edit?usp=sharing"",""ลำพูน!M248"")"),0)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IFERROR(__xludf.DUMMYFUNCTION("IMPORTRANGE(""https://docs.google.com/spreadsheets/d/11923uPwbBZFjjGgGUA6NLw09EwE0CqkOc4q9oUmW1yo/edit?usp=sharing"",""ลำพูน!L249"")"),459380)</f>
        <v>459380</v>
      </c>
      <c r="M354" s="178"/>
      <c r="N354" s="175">
        <f ca="1">IFERROR(__xludf.DUMMYFUNCTION("IMPORTRANGE(""https://docs.google.com/spreadsheets/d/11923uPwbBZFjjGgGUA6NLw09EwE0CqkOc4q9oUmW1yo/edit?usp=sharing"",""ลำพูน!M249"")"),323820)</f>
        <v>323820</v>
      </c>
      <c r="O354" s="178">
        <f t="shared" ca="1" si="105"/>
        <v>70.490661326135225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IFERROR(__xludf.DUMMYFUNCTION("IMPORTRANGE(""https://docs.google.com/spreadsheets/d/11923uPwbBZFjjGgGUA6NLw09EwE0CqkOc4q9oUmW1yo/edit?usp=sharing"",""ลำพูน!M250"")"),84600)</f>
        <v>84600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IFERROR(__xludf.DUMMYFUNCTION("IMPORTRANGE(""https://docs.google.com/spreadsheets/d/11923uPwbBZFjjGgGUA6NLw09EwE0CqkOc4q9oUmW1yo/edit?usp=sharing"",""ลำพูน!M251"")"),183800)</f>
        <v>183800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IFERROR(__xludf.DUMMYFUNCTION("IMPORTRANGE(""https://docs.google.com/spreadsheets/d/11923uPwbBZFjjGgGUA6NLw09EwE0CqkOc4q9oUmW1yo/edit?usp=sharing"",""ลำพูน!M252"")"),42935)</f>
        <v>42935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IFERROR(__xludf.DUMMYFUNCTION("IMPORTRANGE(""https://docs.google.com/spreadsheets/d/11923uPwbBZFjjGgGUA6NLw09EwE0CqkOc4q9oUmW1yo/edit?usp=sharing"",""ลำพูน!M253"")"),12485)</f>
        <v>12485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IFERROR(__xludf.DUMMYFUNCTION("IMPORTRANGE(""https://docs.google.com/spreadsheets/d/11923uPwbBZFjjGgGUA6NLw09EwE0CqkOc4q9oUmW1yo/edit?usp=sharing"",""ลำพูน!J255"")"),0)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IFERROR(__xludf.DUMMYFUNCTION("IMPORTRANGE(""https://docs.google.com/spreadsheets/d/11923uPwbBZFjjGgGUA6NLw09EwE0CqkOc4q9oUmW1yo/edit?usp=sharing"",""ลำพูน!J256"")"),1)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IFERROR(__xludf.DUMMYFUNCTION("IMPORTRANGE(""https://docs.google.com/spreadsheets/d/11923uPwbBZFjjGgGUA6NLw09EwE0CqkOc4q9oUmW1yo/edit?usp=sharing"",""ลำพูน!J257"")"),1)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IFERROR(__xludf.DUMMYFUNCTION("IMPORTRANGE(""https://docs.google.com/spreadsheets/d/11923uPwbBZFjjGgGUA6NLw09EwE0CqkOc4q9oUmW1yo/edit?usp=sharing"",""ลำพูน!J258"")"),1)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IFERROR(__xludf.DUMMYFUNCTION("IMPORTRANGE(""https://docs.google.com/spreadsheets/d/11923uPwbBZFjjGgGUA6NLw09EwE0CqkOc4q9oUmW1yo/edit?usp=sharing"",""ลำพูน!J166"")"),0)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IFERROR(__xludf.DUMMYFUNCTION("IMPORTRANGE(""https://docs.google.com/spreadsheets/d/11923uPwbBZFjjGgGUA6NLw09EwE0CqkOc4q9oUmW1yo/edit?usp=sharing"",""ลำพูน!J166"")"),0)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IFERROR(__xludf.DUMMYFUNCTION("IMPORTRANGE(""https://docs.google.com/spreadsheets/d/11923uPwbBZFjjGgGUA6NLw09EwE0CqkOc4q9oUmW1yo/edit?usp=sharing"",""ลำพูน!J166"")"),0)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IFERROR(__xludf.DUMMYFUNCTION("IMPORTRANGE(""https://docs.google.com/spreadsheets/d/11923uPwbBZFjjGgGUA6NLw09EwE0CqkOc4q9oUmW1yo/edit?usp=sharing"",""ลำพูน!J166"")"),0)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IFERROR(__xludf.DUMMYFUNCTION("IMPORTRANGE(""https://docs.google.com/spreadsheets/d/11923uPwbBZFjjGgGUA6NLw09EwE0CqkOc4q9oUmW1yo/edit?usp=sharing"",""ลำพูน!I263"")"),70)</f>
        <v>70</v>
      </c>
      <c r="J368" s="197">
        <f ca="1">IFERROR(__xludf.DUMMYFUNCTION("IMPORTRANGE(""https://docs.google.com/spreadsheets/d/11923uPwbBZFjjGgGUA6NLw09EwE0CqkOc4q9oUmW1yo/edit?usp=sharing"",""ลำพูน!J263"")"),70)</f>
        <v>70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IFERROR(__xludf.DUMMYFUNCTION("IMPORTRANGE(""https://docs.google.com/spreadsheets/d/11923uPwbBZFjjGgGUA6NLw09EwE0CqkOc4q9oUmW1yo/edit?usp=sharing"",""ลำพูน!I164"")"),0)</f>
        <v>0</v>
      </c>
      <c r="J369" s="213">
        <f ca="1">IFERROR(__xludf.DUMMYFUNCTION("IMPORTRANGE(""https://docs.google.com/spreadsheets/d/11923uPwbBZFjjGgGUA6NLw09EwE0CqkOc4q9oUmW1yo/edit?usp=sharing"",""ลำพูน!J164"")"),0)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IFERROR(__xludf.DUMMYFUNCTION("IMPORTRANGE(""https://docs.google.com/spreadsheets/d/11923uPwbBZFjjGgGUA6NLw09EwE0CqkOc4q9oUmW1yo/edit?usp=sharing"",""ลำพูน!I265"")"),70)</f>
        <v>70</v>
      </c>
      <c r="J370" s="213">
        <f ca="1">IFERROR(__xludf.DUMMYFUNCTION("IMPORTRANGE(""https://docs.google.com/spreadsheets/d/11923uPwbBZFjjGgGUA6NLw09EwE0CqkOc4q9oUmW1yo/edit?usp=sharing"",""ลำพูน!J265"")"),70)</f>
        <v>70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IFERROR(__xludf.DUMMYFUNCTION("IMPORTRANGE(""https://docs.google.com/spreadsheets/d/11923uPwbBZFjjGgGUA6NLw09EwE0CqkOc4q9oUmW1yo/edit?usp=sharing"",""ลำพูน!I164"")"),0)</f>
        <v>0</v>
      </c>
      <c r="J371" s="198">
        <f ca="1">IFERROR(__xludf.DUMMYFUNCTION("IMPORTRANGE(""https://docs.google.com/spreadsheets/d/11923uPwbBZFjjGgGUA6NLw09EwE0CqkOc4q9oUmW1yo/edit?usp=sharing"",""ลำพูน!J164"")"),0)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IFERROR(__xludf.DUMMYFUNCTION("IMPORTRANGE(""https://docs.google.com/spreadsheets/d/11923uPwbBZFjjGgGUA6NLw09EwE0CqkOc4q9oUmW1yo/edit?usp=sharing"",""ลำพูน!I267"")"),70)</f>
        <v>70</v>
      </c>
      <c r="J372" s="198">
        <f ca="1">IFERROR(__xludf.DUMMYFUNCTION("IMPORTRANGE(""https://docs.google.com/spreadsheets/d/11923uPwbBZFjjGgGUA6NLw09EwE0CqkOc4q9oUmW1yo/edit?usp=sharing"",""ลำพูน!J267"")"),70)</f>
        <v>70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IFERROR(__xludf.DUMMYFUNCTION("IMPORTRANGE(""https://docs.google.com/spreadsheets/d/11923uPwbBZFjjGgGUA6NLw09EwE0CqkOc4q9oUmW1yo/edit?usp=sharing"",""ลำพูน!I164"")"),0)</f>
        <v>0</v>
      </c>
      <c r="J373" s="213">
        <f ca="1">IFERROR(__xludf.DUMMYFUNCTION("IMPORTRANGE(""https://docs.google.com/spreadsheets/d/11923uPwbBZFjjGgGUA6NLw09EwE0CqkOc4q9oUmW1yo/edit?usp=sharing"",""ลำพูน!J164"")"),0)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IFERROR(__xludf.DUMMYFUNCTION("IMPORTRANGE(""https://docs.google.com/spreadsheets/d/11923uPwbBZFjjGgGUA6NLw09EwE0CqkOc4q9oUmW1yo/edit?usp=sharing"",""ลำพูน!I164"")"),0)</f>
        <v>0</v>
      </c>
      <c r="J374" s="197">
        <f ca="1">IFERROR(__xludf.DUMMYFUNCTION("IMPORTRANGE(""https://docs.google.com/spreadsheets/d/11923uPwbBZFjjGgGUA6NLw09EwE0CqkOc4q9oUmW1yo/edit?usp=sharing"",""ลำพูน!J164"")"),0)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IFERROR(__xludf.DUMMYFUNCTION("IMPORTRANGE(""https://docs.google.com/spreadsheets/d/11923uPwbBZFjjGgGUA6NLw09EwE0CqkOc4q9oUmW1yo/edit?usp=sharing"",""ลำพูน!I270"")"),200)</f>
        <v>200</v>
      </c>
      <c r="J375" s="197">
        <f ca="1">IFERROR(__xludf.DUMMYFUNCTION("IMPORTRANGE(""https://docs.google.com/spreadsheets/d/11923uPwbBZFjjGgGUA6NLw09EwE0CqkOc4q9oUmW1yo/edit?usp=sharing"",""ลำพูน!J270"")"),200)</f>
        <v>200</v>
      </c>
      <c r="K375" s="171">
        <f t="shared" ref="K375:K377" ca="1" si="107">IF(I375&gt;0,J375*100/I375,0)</f>
        <v>100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IFERROR(__xludf.DUMMYFUNCTION("IMPORTRANGE(""https://docs.google.com/spreadsheets/d/11923uPwbBZFjjGgGUA6NLw09EwE0CqkOc4q9oUmW1yo/edit?usp=sharing"",""ลำพูน!I271"")"),100)</f>
        <v>100</v>
      </c>
      <c r="J376" s="198">
        <f ca="1">IFERROR(__xludf.DUMMYFUNCTION("IMPORTRANGE(""https://docs.google.com/spreadsheets/d/11923uPwbBZFjjGgGUA6NLw09EwE0CqkOc4q9oUmW1yo/edit?usp=sharing"",""ลำพูน!J271"")"),100)</f>
        <v>100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IFERROR(__xludf.DUMMYFUNCTION("IMPORTRANGE(""https://docs.google.com/spreadsheets/d/11923uPwbBZFjjGgGUA6NLw09EwE0CqkOc4q9oUmW1yo/edit?usp=sharing"",""ลำพูน!I272"")"),100)</f>
        <v>100</v>
      </c>
      <c r="J377" s="213">
        <f ca="1">IFERROR(__xludf.DUMMYFUNCTION("IMPORTRANGE(""https://docs.google.com/spreadsheets/d/11923uPwbBZFjjGgGUA6NLw09EwE0CqkOc4q9oUmW1yo/edit?usp=sharing"",""ลำพูน!J272"")"),100)</f>
        <v>100</v>
      </c>
      <c r="K377" s="171">
        <f t="shared" ca="1" si="107"/>
        <v>100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IFERROR(__xludf.DUMMYFUNCTION("IMPORTRANGE(""https://docs.google.com/spreadsheets/d/11923uPwbBZFjjGgGUA6NLw09EwE0CqkOc4q9oUmW1yo/edit?usp=sharing"",""ลำพูน!J273"")"),1)</f>
        <v>1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IFERROR(__xludf.DUMMYFUNCTION("IMPORTRANGE(""https://docs.google.com/spreadsheets/d/11923uPwbBZFjjGgGUA6NLw09EwE0CqkOc4q9oUmW1yo/edit?usp=sharing"",""ลำพูน!J274"")"),0)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IFERROR(__xludf.DUMMYFUNCTION("IMPORTRANGE(""https://docs.google.com/spreadsheets/d/11923uPwbBZFjjGgGUA6NLw09EwE0CqkOc4q9oUmW1yo/edit?usp=sharing"",""ลำพูน!I275"")"),1000)</f>
        <v>1000</v>
      </c>
      <c r="J380" s="379">
        <f ca="1">IFERROR(__xludf.DUMMYFUNCTION("IMPORTRANGE(""https://docs.google.com/spreadsheets/d/11923uPwbBZFjjGgGUA6NLw09EwE0CqkOc4q9oUmW1yo/edit?usp=sharing"",""ลำพูน!J275"")"),0)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IFERROR(__xludf.DUMMYFUNCTION("IMPORTRANGE(""https://docs.google.com/spreadsheets/d/11923uPwbBZFjjGgGUA6NLw09EwE0CqkOc4q9oUmW1yo/edit?usp=sharing"",""ลำพูน!L275"")"),1028520)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IFERROR(__xludf.DUMMYFUNCTION("IMPORTRANGE(""https://docs.google.com/spreadsheets/d/11923uPwbBZFjjGgGUA6NLw09EwE0CqkOc4q9oUmW1yo/edit?usp=sharing"",""ลำพูน!M275"")"),63935)</f>
        <v>63935</v>
      </c>
      <c r="O380" s="381">
        <f ca="1">+IF(L380&gt;0,N380*100/L380,0)</f>
        <v>6.216213588457201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IFERROR(__xludf.DUMMYFUNCTION("IMPORTRANGE(""https://docs.google.com/spreadsheets/d/11923uPwbBZFjjGgGUA6NLw09EwE0CqkOc4q9oUmW1yo/edit?usp=sharing"",""ลำพูน!I276"")"),100)</f>
        <v>100</v>
      </c>
      <c r="J381" s="379">
        <f ca="1">IFERROR(__xludf.DUMMYFUNCTION("IMPORTRANGE(""https://docs.google.com/spreadsheets/d/11923uPwbBZFjjGgGUA6NLw09EwE0CqkOc4q9oUmW1yo/edit?usp=sharing"",""ลำพูน!J276"")"),100)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IFERROR(__xludf.DUMMYFUNCTION("IMPORTRANGE(""https://docs.google.com/spreadsheets/d/11923uPwbBZFjjGgGUA6NLw09EwE0CqkOc4q9oUmW1yo/edit?usp=sharing"",""ลำพูน!L277"")"),0)</f>
        <v>0</v>
      </c>
      <c r="M382" s="172"/>
      <c r="N382" s="172">
        <f ca="1">IFERROR(__xludf.DUMMYFUNCTION("IMPORTRANGE(""https://docs.google.com/spreadsheets/d/11923uPwbBZFjjGgGUA6NLw09EwE0CqkOc4q9oUmW1yo/edit?usp=sharing"",""ลำพูน!M277"")"),0)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IFERROR(__xludf.DUMMYFUNCTION("IMPORTRANGE(""https://docs.google.com/spreadsheets/d/11923uPwbBZFjjGgGUA6NLw09EwE0CqkOc4q9oUmW1yo/edit?usp=sharing"",""ลำพูน!L278"")"),1028520)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IFERROR(__xludf.DUMMYFUNCTION("IMPORTRANGE(""https://docs.google.com/spreadsheets/d/11923uPwbBZFjjGgGUA6NLw09EwE0CqkOc4q9oUmW1yo/edit?usp=sharing"",""ลำพูน!M278"")"),63935)</f>
        <v>63935</v>
      </c>
      <c r="O383" s="173">
        <f t="shared" ca="1" si="109"/>
        <v>6.216213588457201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IFERROR(__xludf.DUMMYFUNCTION("IMPORTRANGE(""https://docs.google.com/spreadsheets/d/11923uPwbBZFjjGgGUA6NLw09EwE0CqkOc4q9oUmW1yo/edit?usp=sharing"",""ลำพูน!L279"")"),0)</f>
        <v>0</v>
      </c>
      <c r="M384" s="178"/>
      <c r="N384" s="178">
        <f ca="1">IFERROR(__xludf.DUMMYFUNCTION("IMPORTRANGE(""https://docs.google.com/spreadsheets/d/11923uPwbBZFjjGgGUA6NLw09EwE0CqkOc4q9oUmW1yo/edit?usp=sharing"",""ลำพูน!M279"")"),0)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IFERROR(__xludf.DUMMYFUNCTION("IMPORTRANGE(""https://docs.google.com/spreadsheets/d/11923uPwbBZFjjGgGUA6NLw09EwE0CqkOc4q9oUmW1yo/edit?usp=sharing"",""ลำพูน!L280"")"),1028520)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IFERROR(__xludf.DUMMYFUNCTION("IMPORTRANGE(""https://docs.google.com/spreadsheets/d/11923uPwbBZFjjGgGUA6NLw09EwE0CqkOc4q9oUmW1yo/edit?usp=sharing"",""ลำพูน!M280"")"),63935)</f>
        <v>63935</v>
      </c>
      <c r="O385" s="178">
        <f t="shared" ca="1" si="109"/>
        <v>6.216213588457201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IFERROR(__xludf.DUMMYFUNCTION("IMPORTRANGE(""https://docs.google.com/spreadsheets/d/11923uPwbBZFjjGgGUA6NLw09EwE0CqkOc4q9oUmW1yo/edit?usp=sharing"",""ลำพูน!M281"")"),19000)</f>
        <v>19000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IFERROR(__xludf.DUMMYFUNCTION("IMPORTRANGE(""https://docs.google.com/spreadsheets/d/11923uPwbBZFjjGgGUA6NLw09EwE0CqkOc4q9oUmW1yo/edit?usp=sharing"",""ลำพูน!M282"")"),0)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IFERROR(__xludf.DUMMYFUNCTION("IMPORTRANGE(""https://docs.google.com/spreadsheets/d/11923uPwbBZFjjGgGUA6NLw09EwE0CqkOc4q9oUmW1yo/edit?usp=sharing"",""ลำพูน!M283"")"),31935)</f>
        <v>31935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IFERROR(__xludf.DUMMYFUNCTION("IMPORTRANGE(""https://docs.google.com/spreadsheets/d/11923uPwbBZFjjGgGUA6NLw09EwE0CqkOc4q9oUmW1yo/edit?usp=sharing"",""ลำพูน!M284"")"),13000)</f>
        <v>13000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IFERROR(__xludf.DUMMYFUNCTION("IMPORTRANGE(""https://docs.google.com/spreadsheets/d/11923uPwbBZFjjGgGUA6NLw09EwE0CqkOc4q9oUmW1yo/edit?usp=sharing"",""ลำพูน!J286"")"),0)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IFERROR(__xludf.DUMMYFUNCTION("IMPORTRANGE(""https://docs.google.com/spreadsheets/d/11923uPwbBZFjjGgGUA6NLw09EwE0CqkOc4q9oUmW1yo/edit?usp=sharing"",""ลำพูน!J287"")"),1)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IFERROR(__xludf.DUMMYFUNCTION("IMPORTRANGE(""https://docs.google.com/spreadsheets/d/11923uPwbBZFjjGgGUA6NLw09EwE0CqkOc4q9oUmW1yo/edit?usp=sharing"",""ลำพูน!J288"")"),1)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IFERROR(__xludf.DUMMYFUNCTION("IMPORTRANGE(""https://docs.google.com/spreadsheets/d/11923uPwbBZFjjGgGUA6NLw09EwE0CqkOc4q9oUmW1yo/edit?usp=sharing"",""ลำพูน!J289"")"),1)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IFERROR(__xludf.DUMMYFUNCTION("IMPORTRANGE(""https://docs.google.com/spreadsheets/d/11923uPwbBZFjjGgGUA6NLw09EwE0CqkOc4q9oUmW1yo/edit?usp=sharing"",""ลำพูน!I291"")"),100)</f>
        <v>100</v>
      </c>
      <c r="J396" s="207">
        <f ca="1">IFERROR(__xludf.DUMMYFUNCTION("IMPORTRANGE(""https://docs.google.com/spreadsheets/d/11923uPwbBZFjjGgGUA6NLw09EwE0CqkOc4q9oUmW1yo/edit?usp=sharing"",""ลำพูน!J291"")"),100)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IFERROR(__xludf.DUMMYFUNCTION("IMPORTRANGE(""https://docs.google.com/spreadsheets/d/11923uPwbBZFjjGgGUA6NLw09EwE0CqkOc4q9oUmW1yo/edit?usp=sharing"",""ลำพูน!I292"")"),1000)</f>
        <v>1000</v>
      </c>
      <c r="J397" s="207">
        <f ca="1">IFERROR(__xludf.DUMMYFUNCTION("IMPORTRANGE(""https://docs.google.com/spreadsheets/d/11923uPwbBZFjjGgGUA6NLw09EwE0CqkOc4q9oUmW1yo/edit?usp=sharing"",""ลำพูน!J292"")"),0)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IFERROR(__xludf.DUMMYFUNCTION("IMPORTRANGE(""https://docs.google.com/spreadsheets/d/11923uPwbBZFjjGgGUA6NLw09EwE0CqkOc4q9oUmW1yo/edit?usp=sharing"",""ลำพูน!I293"")"),100)</f>
        <v>100</v>
      </c>
      <c r="J398" s="207">
        <f ca="1">IFERROR(__xludf.DUMMYFUNCTION("IMPORTRANGE(""https://docs.google.com/spreadsheets/d/11923uPwbBZFjjGgGUA6NLw09EwE0CqkOc4q9oUmW1yo/edit?usp=sharing"",""ลำพูน!J293"")"),0)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IFERROR(__xludf.DUMMYFUNCTION("IMPORTRANGE(""https://docs.google.com/spreadsheets/d/11923uPwbBZFjjGgGUA6NLw09EwE0CqkOc4q9oUmW1yo/edit?usp=sharing"",""ลำพูน!J294"")"),0)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IFERROR(__xludf.DUMMYFUNCTION("IMPORTRANGE(""https://docs.google.com/spreadsheets/d/11923uPwbBZFjjGgGUA6NLw09EwE0CqkOc4q9oUmW1yo/edit?usp=sharing"",""ลำพูน!J295"")"),0)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IFERROR(__xludf.DUMMYFUNCTION("IMPORTRANGE(""https://docs.google.com/spreadsheets/d/11923uPwbBZFjjGgGUA6NLw09EwE0CqkOc4q9oUmW1yo/edit?usp=sharing"",""ลำพูน!I296"")"),165)</f>
        <v>165</v>
      </c>
      <c r="J401" s="379">
        <f ca="1">IFERROR(__xludf.DUMMYFUNCTION("IMPORTRANGE(""https://docs.google.com/spreadsheets/d/11923uPwbBZFjjGgGUA6NLw09EwE0CqkOc4q9oUmW1yo/edit?usp=sharing"",""ลำพูน!J296"")"),0)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IFERROR(__xludf.DUMMYFUNCTION("IMPORTRANGE(""https://docs.google.com/spreadsheets/d/11923uPwbBZFjjGgGUA6NLw09EwE0CqkOc4q9oUmW1yo/edit?usp=sharing"",""ลำพูน!L296"")"),188190)</f>
        <v>188190</v>
      </c>
      <c r="M401" s="381"/>
      <c r="N401" s="381">
        <f ca="1">IFERROR(__xludf.DUMMYFUNCTION("IMPORTRANGE(""https://docs.google.com/spreadsheets/d/11923uPwbBZFjjGgGUA6NLw09EwE0CqkOc4q9oUmW1yo/edit?usp=sharing"",""ลำพูน!M296"")"),12510)</f>
        <v>12510</v>
      </c>
      <c r="O401" s="381">
        <f ca="1">+IF(L401&gt;0,N401*100/L401,0)</f>
        <v>6.6475370636059301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IFERROR(__xludf.DUMMYFUNCTION("IMPORTRANGE(""https://docs.google.com/spreadsheets/d/11923uPwbBZFjjGgGUA6NLw09EwE0CqkOc4q9oUmW1yo/edit?usp=sharing"",""ลำพูน!I297"")"),55)</f>
        <v>55</v>
      </c>
      <c r="J402" s="379">
        <f ca="1">IFERROR(__xludf.DUMMYFUNCTION("IMPORTRANGE(""https://docs.google.com/spreadsheets/d/11923uPwbBZFjjGgGUA6NLw09EwE0CqkOc4q9oUmW1yo/edit?usp=sharing"",""ลำพูน!J297"")"),0)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IFERROR(__xludf.DUMMYFUNCTION("IMPORTRANGE(""https://docs.google.com/spreadsheets/d/11923uPwbBZFjjGgGUA6NLw09EwE0CqkOc4q9oUmW1yo/edit?usp=sharing"",""ลำพูน!L298"")"),0)</f>
        <v>0</v>
      </c>
      <c r="M403" s="172"/>
      <c r="N403" s="178">
        <f ca="1">IFERROR(__xludf.DUMMYFUNCTION("IMPORTRANGE(""https://docs.google.com/spreadsheets/d/11923uPwbBZFjjGgGUA6NLw09EwE0CqkOc4q9oUmW1yo/edit?usp=sharing"",""ลำพูน!M298"")"),0)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IFERROR(__xludf.DUMMYFUNCTION("IMPORTRANGE(""https://docs.google.com/spreadsheets/d/11923uPwbBZFjjGgGUA6NLw09EwE0CqkOc4q9oUmW1yo/edit?usp=sharing"",""ลำพูน!L299"")"),188190)</f>
        <v>188190</v>
      </c>
      <c r="M404" s="173"/>
      <c r="N404" s="178">
        <f ca="1">IFERROR(__xludf.DUMMYFUNCTION("IMPORTRANGE(""https://docs.google.com/spreadsheets/d/11923uPwbBZFjjGgGUA6NLw09EwE0CqkOc4q9oUmW1yo/edit?usp=sharing"",""ลำพูน!M299"")"),12510)</f>
        <v>12510</v>
      </c>
      <c r="O404" s="178">
        <f t="shared" ca="1" si="112"/>
        <v>6.6475370636059301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IFERROR(__xludf.DUMMYFUNCTION("IMPORTRANGE(""https://docs.google.com/spreadsheets/d/11923uPwbBZFjjGgGUA6NLw09EwE0CqkOc4q9oUmW1yo/edit?usp=sharing"",""ลำพูน!L300"")"),0)</f>
        <v>0</v>
      </c>
      <c r="M405" s="178"/>
      <c r="N405" s="178">
        <f ca="1">IFERROR(__xludf.DUMMYFUNCTION("IMPORTRANGE(""https://docs.google.com/spreadsheets/d/11923uPwbBZFjjGgGUA6NLw09EwE0CqkOc4q9oUmW1yo/edit?usp=sharing"",""ลำพูน!M300"")"),0)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IFERROR(__xludf.DUMMYFUNCTION("IMPORTRANGE(""https://docs.google.com/spreadsheets/d/11923uPwbBZFjjGgGUA6NLw09EwE0CqkOc4q9oUmW1yo/edit?usp=sharing"",""ลำพูน!L301"")"),188190)</f>
        <v>188190</v>
      </c>
      <c r="M406" s="178"/>
      <c r="N406" s="178">
        <f ca="1">IFERROR(__xludf.DUMMYFUNCTION("IMPORTRANGE(""https://docs.google.com/spreadsheets/d/11923uPwbBZFjjGgGUA6NLw09EwE0CqkOc4q9oUmW1yo/edit?usp=sharing"",""ลำพูน!M301"")"),12510)</f>
        <v>12510</v>
      </c>
      <c r="O406" s="178">
        <f t="shared" ca="1" si="112"/>
        <v>6.6475370636059301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IFERROR(__xludf.DUMMYFUNCTION("IMPORTRANGE(""https://docs.google.com/spreadsheets/d/11923uPwbBZFjjGgGUA6NLw09EwE0CqkOc4q9oUmW1yo/edit?usp=sharing"",""ลำพูน!M302"")"),12510)</f>
        <v>12510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IFERROR(__xludf.DUMMYFUNCTION("IMPORTRANGE(""https://docs.google.com/spreadsheets/d/11923uPwbBZFjjGgGUA6NLw09EwE0CqkOc4q9oUmW1yo/edit?usp=sharing"",""ลำพูน!M303"")"),0)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IFERROR(__xludf.DUMMYFUNCTION("IMPORTRANGE(""https://docs.google.com/spreadsheets/d/11923uPwbBZFjjGgGUA6NLw09EwE0CqkOc4q9oUmW1yo/edit?usp=sharing"",""ลำพูน!M304"")"),0)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IFERROR(__xludf.DUMMYFUNCTION("IMPORTRANGE(""https://docs.google.com/spreadsheets/d/11923uPwbBZFjjGgGUA6NLw09EwE0CqkOc4q9oUmW1yo/edit?usp=sharing"",""ลำพูน!M305"")"),0)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IFERROR(__xludf.DUMMYFUNCTION("IMPORTRANGE(""https://docs.google.com/spreadsheets/d/11923uPwbBZFjjGgGUA6NLw09EwE0CqkOc4q9oUmW1yo/edit?usp=sharing"",""ลำพูน!J307"")"),0)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IFERROR(__xludf.DUMMYFUNCTION("IMPORTRANGE(""https://docs.google.com/spreadsheets/d/11923uPwbBZFjjGgGUA6NLw09EwE0CqkOc4q9oUmW1yo/edit?usp=sharing"",""ลำพูน!J308"")"),1)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IFERROR(__xludf.DUMMYFUNCTION("IMPORTRANGE(""https://docs.google.com/spreadsheets/d/11923uPwbBZFjjGgGUA6NLw09EwE0CqkOc4q9oUmW1yo/edit?usp=sharing"",""ลำพูน!J309"")"),1)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IFERROR(__xludf.DUMMYFUNCTION("IMPORTRANGE(""https://docs.google.com/spreadsheets/d/11923uPwbBZFjjGgGUA6NLw09EwE0CqkOc4q9oUmW1yo/edit?usp=sharing"",""ลำพูน!J310"")"),1)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IFERROR(__xludf.DUMMYFUNCTION("IMPORTRANGE(""https://docs.google.com/spreadsheets/d/11923uPwbBZFjjGgGUA6NLw09EwE0CqkOc4q9oUmW1yo/edit?usp=sharing"",""ลำพูน!I311"")"),55)</f>
        <v>55</v>
      </c>
      <c r="J416" s="210">
        <f ca="1">IFERROR(__xludf.DUMMYFUNCTION("IMPORTRANGE(""https://docs.google.com/spreadsheets/d/11923uPwbBZFjjGgGUA6NLw09EwE0CqkOc4q9oUmW1yo/edit?usp=sharing"",""ลำพูน!J311"")"),0)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IFERROR(__xludf.DUMMYFUNCTION("IMPORTRANGE(""https://docs.google.com/spreadsheets/d/11923uPwbBZFjjGgGUA6NLw09EwE0CqkOc4q9oUmW1yo/edit?usp=sharing"",""ลำพูน!I312"")"),10)</f>
        <v>10</v>
      </c>
      <c r="J417" s="400">
        <f ca="1">IFERROR(__xludf.DUMMYFUNCTION("IMPORTRANGE(""https://docs.google.com/spreadsheets/d/11923uPwbBZFjjGgGUA6NLw09EwE0CqkOc4q9oUmW1yo/edit?usp=sharing"",""ลำพูน!J312"")"),0)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IFERROR(__xludf.DUMMYFUNCTION("IMPORTRANGE(""https://docs.google.com/spreadsheets/d/11923uPwbBZFjjGgGUA6NLw09EwE0CqkOc4q9oUmW1yo/edit?usp=sharing"",""ลำพูน!I313"")"),30)</f>
        <v>30</v>
      </c>
      <c r="J418" s="401">
        <f ca="1">IFERROR(__xludf.DUMMYFUNCTION("IMPORTRANGE(""https://docs.google.com/spreadsheets/d/11923uPwbBZFjjGgGUA6NLw09EwE0CqkOc4q9oUmW1yo/edit?usp=sharing"",""ลำพูน!J313"")"),0)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IFERROR(__xludf.DUMMYFUNCTION("IMPORTRANGE(""https://docs.google.com/spreadsheets/d/11923uPwbBZFjjGgGUA6NLw09EwE0CqkOc4q9oUmW1yo/edit?usp=sharing"",""ลำพูน!I314"")"),10)</f>
        <v>10</v>
      </c>
      <c r="J419" s="402">
        <f ca="1">IFERROR(__xludf.DUMMYFUNCTION("IMPORTRANGE(""https://docs.google.com/spreadsheets/d/11923uPwbBZFjjGgGUA6NLw09EwE0CqkOc4q9oUmW1yo/edit?usp=sharing"",""ลำพูน!J314"")"),0)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IFERROR(__xludf.DUMMYFUNCTION("IMPORTRANGE(""https://docs.google.com/spreadsheets/d/11923uPwbBZFjjGgGUA6NLw09EwE0CqkOc4q9oUmW1yo/edit?usp=sharing"",""ลำพูน!I315"")"),10)</f>
        <v>10</v>
      </c>
      <c r="J420" s="402">
        <f ca="1">IFERROR(__xludf.DUMMYFUNCTION("IMPORTRANGE(""https://docs.google.com/spreadsheets/d/11923uPwbBZFjjGgGUA6NLw09EwE0CqkOc4q9oUmW1yo/edit?usp=sharing"",""ลำพูน!J315"")"),0)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IFERROR(__xludf.DUMMYFUNCTION("IMPORTRANGE(""https://docs.google.com/spreadsheets/d/11923uPwbBZFjjGgGUA6NLw09EwE0CqkOc4q9oUmW1yo/edit?usp=sharing"",""ลำพูน!I316"")"),35)</f>
        <v>35</v>
      </c>
      <c r="J421" s="400">
        <f ca="1">IFERROR(__xludf.DUMMYFUNCTION("IMPORTRANGE(""https://docs.google.com/spreadsheets/d/11923uPwbBZFjjGgGUA6NLw09EwE0CqkOc4q9oUmW1yo/edit?usp=sharing"",""ลำพูน!J316"")"),0)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IFERROR(__xludf.DUMMYFUNCTION("IMPORTRANGE(""https://docs.google.com/spreadsheets/d/11923uPwbBZFjjGgGUA6NLw09EwE0CqkOc4q9oUmW1yo/edit?usp=sharing"",""ลำพูน!I317"")"),105)</f>
        <v>105</v>
      </c>
      <c r="J422" s="401">
        <f ca="1">IFERROR(__xludf.DUMMYFUNCTION("IMPORTRANGE(""https://docs.google.com/spreadsheets/d/11923uPwbBZFjjGgGUA6NLw09EwE0CqkOc4q9oUmW1yo/edit?usp=sharing"",""ลำพูน!J317"")"),0)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IFERROR(__xludf.DUMMYFUNCTION("IMPORTRANGE(""https://docs.google.com/spreadsheets/d/11923uPwbBZFjjGgGUA6NLw09EwE0CqkOc4q9oUmW1yo/edit?usp=sharing"",""ลำพูน!I318"")"),35)</f>
        <v>35</v>
      </c>
      <c r="J423" s="402">
        <f ca="1">IFERROR(__xludf.DUMMYFUNCTION("IMPORTRANGE(""https://docs.google.com/spreadsheets/d/11923uPwbBZFjjGgGUA6NLw09EwE0CqkOc4q9oUmW1yo/edit?usp=sharing"",""ลำพูน!J318"")"),0)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IFERROR(__xludf.DUMMYFUNCTION("IMPORTRANGE(""https://docs.google.com/spreadsheets/d/11923uPwbBZFjjGgGUA6NLw09EwE0CqkOc4q9oUmW1yo/edit?usp=sharing"",""ลำพูน!I319"")"),35)</f>
        <v>35</v>
      </c>
      <c r="J424" s="402">
        <f ca="1">IFERROR(__xludf.DUMMYFUNCTION("IMPORTRANGE(""https://docs.google.com/spreadsheets/d/11923uPwbBZFjjGgGUA6NLw09EwE0CqkOc4q9oUmW1yo/edit?usp=sharing"",""ลำพูน!J319"")"),0)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IFERROR(__xludf.DUMMYFUNCTION("IMPORTRANGE(""https://docs.google.com/spreadsheets/d/11923uPwbBZFjjGgGUA6NLw09EwE0CqkOc4q9oUmW1yo/edit?usp=sharing"",""ลำพูน!I320"")"),35)</f>
        <v>35</v>
      </c>
      <c r="J425" s="402">
        <f ca="1">IFERROR(__xludf.DUMMYFUNCTION("IMPORTRANGE(""https://docs.google.com/spreadsheets/d/11923uPwbBZFjjGgGUA6NLw09EwE0CqkOc4q9oUmW1yo/edit?usp=sharing"",""ลำพูน!J320"")"),0)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IFERROR(__xludf.DUMMYFUNCTION("IMPORTRANGE(""https://docs.google.com/spreadsheets/d/11923uPwbBZFjjGgGUA6NLw09EwE0CqkOc4q9oUmW1yo/edit?usp=sharing"",""ลำพูน!I321"")"),10)</f>
        <v>10</v>
      </c>
      <c r="J426" s="400">
        <f ca="1">IFERROR(__xludf.DUMMYFUNCTION("IMPORTRANGE(""https://docs.google.com/spreadsheets/d/11923uPwbBZFjjGgGUA6NLw09EwE0CqkOc4q9oUmW1yo/edit?usp=sharing"",""ลำพูน!J321"")"),0)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IFERROR(__xludf.DUMMYFUNCTION("IMPORTRANGE(""https://docs.google.com/spreadsheets/d/11923uPwbBZFjjGgGUA6NLw09EwE0CqkOc4q9oUmW1yo/edit?usp=sharing"",""ลำพูน!I322"")"),30)</f>
        <v>30</v>
      </c>
      <c r="J427" s="401">
        <f ca="1">IFERROR(__xludf.DUMMYFUNCTION("IMPORTRANGE(""https://docs.google.com/spreadsheets/d/11923uPwbBZFjjGgGUA6NLw09EwE0CqkOc4q9oUmW1yo/edit?usp=sharing"",""ลำพูน!J322"")"),0)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IFERROR(__xludf.DUMMYFUNCTION("IMPORTRANGE(""https://docs.google.com/spreadsheets/d/11923uPwbBZFjjGgGUA6NLw09EwE0CqkOc4q9oUmW1yo/edit?usp=sharing"",""ลำพูน!I323"")"),10)</f>
        <v>10</v>
      </c>
      <c r="J428" s="402">
        <f ca="1">IFERROR(__xludf.DUMMYFUNCTION("IMPORTRANGE(""https://docs.google.com/spreadsheets/d/11923uPwbBZFjjGgGUA6NLw09EwE0CqkOc4q9oUmW1yo/edit?usp=sharing"",""ลำพูน!J323"")"),10)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IFERROR(__xludf.DUMMYFUNCTION("IMPORTRANGE(""https://docs.google.com/spreadsheets/d/11923uPwbBZFjjGgGUA6NLw09EwE0CqkOc4q9oUmW1yo/edit?usp=sharing"",""ลำพูน!I324"")"),10)</f>
        <v>10</v>
      </c>
      <c r="J429" s="402">
        <f ca="1">IFERROR(__xludf.DUMMYFUNCTION("IMPORTRANGE(""https://docs.google.com/spreadsheets/d/11923uPwbBZFjjGgGUA6NLw09EwE0CqkOc4q9oUmW1yo/edit?usp=sharing"",""ลำพูน!J324"")"),0)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IFERROR(__xludf.DUMMYFUNCTION("IMPORTRANGE(""https://docs.google.com/spreadsheets/d/11923uPwbBZFjjGgGUA6NLw09EwE0CqkOc4q9oUmW1yo/edit?usp=sharing"",""ลำพูน!I325"")"),45)</f>
        <v>45</v>
      </c>
      <c r="J430" s="400">
        <f ca="1">IFERROR(__xludf.DUMMYFUNCTION("IMPORTRANGE(""https://docs.google.com/spreadsheets/d/11923uPwbBZFjjGgGUA6NLw09EwE0CqkOc4q9oUmW1yo/edit?usp=sharing"",""ลำพูน!J325"")"),0)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IFERROR(__xludf.DUMMYFUNCTION("IMPORTRANGE(""https://docs.google.com/spreadsheets/d/11923uPwbBZFjjGgGUA6NLw09EwE0CqkOc4q9oUmW1yo/edit?usp=sharing"",""ลำพูน!I326"")"),10)</f>
        <v>10</v>
      </c>
      <c r="J431" s="402">
        <f ca="1">IFERROR(__xludf.DUMMYFUNCTION("IMPORTRANGE(""https://docs.google.com/spreadsheets/d/11923uPwbBZFjjGgGUA6NLw09EwE0CqkOc4q9oUmW1yo/edit?usp=sharing"",""ลำพูน!J326"")"),0)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IFERROR(__xludf.DUMMYFUNCTION("IMPORTRANGE(""https://docs.google.com/spreadsheets/d/11923uPwbBZFjjGgGUA6NLw09EwE0CqkOc4q9oUmW1yo/edit?usp=sharing"",""ลำพูน!I327"")"),35)</f>
        <v>35</v>
      </c>
      <c r="J432" s="402">
        <f ca="1">IFERROR(__xludf.DUMMYFUNCTION("IMPORTRANGE(""https://docs.google.com/spreadsheets/d/11923uPwbBZFjjGgGUA6NLw09EwE0CqkOc4q9oUmW1yo/edit?usp=sharing"",""ลำพูน!J327"")"),0)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IFERROR(__xludf.DUMMYFUNCTION("IMPORTRANGE(""https://docs.google.com/spreadsheets/d/11923uPwbBZFjjGgGUA6NLw09EwE0CqkOc4q9oUmW1yo/edit?usp=sharing"",""ลำพูน!J328"")"),0)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IFERROR(__xludf.DUMMYFUNCTION("IMPORTRANGE(""https://docs.google.com/spreadsheets/d/11923uPwbBZFjjGgGUA6NLw09EwE0CqkOc4q9oUmW1yo/edit?usp=sharing"",""ลำพูน!J329"")"),0)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IFERROR(__xludf.DUMMYFUNCTION("IMPORTRANGE(""https://docs.google.com/spreadsheets/d/11923uPwbBZFjjGgGUA6NLw09EwE0CqkOc4q9oUmW1yo/edit?usp=sharing"",""ลำพูน!I330"")"),20)</f>
        <v>20</v>
      </c>
      <c r="J435" s="418">
        <f ca="1">IFERROR(__xludf.DUMMYFUNCTION("IMPORTRANGE(""https://docs.google.com/spreadsheets/d/11923uPwbBZFjjGgGUA6NLw09EwE0CqkOc4q9oUmW1yo/edit?usp=sharing"",""ลำพูน!J330"")"),0)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IFERROR(__xludf.DUMMYFUNCTION("IMPORTRANGE(""https://docs.google.com/spreadsheets/d/11923uPwbBZFjjGgGUA6NLw09EwE0CqkOc4q9oUmW1yo/edit?usp=sharing"",""ลำพูน!L330"")"),95000)</f>
        <v>95000</v>
      </c>
      <c r="M435" s="420"/>
      <c r="N435" s="420">
        <f ca="1">IFERROR(__xludf.DUMMYFUNCTION("IMPORTRANGE(""https://docs.google.com/spreadsheets/d/11923uPwbBZFjjGgGUA6NLw09EwE0CqkOc4q9oUmW1yo/edit?usp=sharing"",""ลำพูน!M330"")"),0)</f>
        <v>0</v>
      </c>
      <c r="O435" s="420">
        <f t="shared" ref="O435:O439" ca="1" si="114">+IF(L435&gt;0,N435*100/L435,0)</f>
        <v>0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IFERROR(__xludf.DUMMYFUNCTION("IMPORTRANGE(""https://docs.google.com/spreadsheets/d/11923uPwbBZFjjGgGUA6NLw09EwE0CqkOc4q9oUmW1yo/edit?usp=sharing"",""ลำพูน!L331"")"),0)</f>
        <v>0</v>
      </c>
      <c r="M436" s="172"/>
      <c r="N436" s="178">
        <f ca="1">IFERROR(__xludf.DUMMYFUNCTION("IMPORTRANGE(""https://docs.google.com/spreadsheets/d/11923uPwbBZFjjGgGUA6NLw09EwE0CqkOc4q9oUmW1yo/edit?usp=sharing"",""ลำพูน!M331"")"),0)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IFERROR(__xludf.DUMMYFUNCTION("IMPORTRANGE(""https://docs.google.com/spreadsheets/d/11923uPwbBZFjjGgGUA6NLw09EwE0CqkOc4q9oUmW1yo/edit?usp=sharing"",""ลำพูน!L332"")"),95000)</f>
        <v>95000</v>
      </c>
      <c r="M437" s="173"/>
      <c r="N437" s="178">
        <f ca="1">IFERROR(__xludf.DUMMYFUNCTION("IMPORTRANGE(""https://docs.google.com/spreadsheets/d/11923uPwbBZFjjGgGUA6NLw09EwE0CqkOc4q9oUmW1yo/edit?usp=sharing"",""ลำพูน!M332"")"),0)</f>
        <v>0</v>
      </c>
      <c r="O437" s="178">
        <f t="shared" ca="1" si="114"/>
        <v>0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IFERROR(__xludf.DUMMYFUNCTION("IMPORTRANGE(""https://docs.google.com/spreadsheets/d/11923uPwbBZFjjGgGUA6NLw09EwE0CqkOc4q9oUmW1yo/edit?usp=sharing"",""ลำพูน!L333"")"),0)</f>
        <v>0</v>
      </c>
      <c r="M438" s="178"/>
      <c r="N438" s="178">
        <f ca="1">IFERROR(__xludf.DUMMYFUNCTION("IMPORTRANGE(""https://docs.google.com/spreadsheets/d/11923uPwbBZFjjGgGUA6NLw09EwE0CqkOc4q9oUmW1yo/edit?usp=sharing"",""ลำพูน!M333"")"),0)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IFERROR(__xludf.DUMMYFUNCTION("IMPORTRANGE(""https://docs.google.com/spreadsheets/d/11923uPwbBZFjjGgGUA6NLw09EwE0CqkOc4q9oUmW1yo/edit?usp=sharing"",""ลำพูน!L334"")"),95000)</f>
        <v>95000</v>
      </c>
      <c r="M439" s="178"/>
      <c r="N439" s="178">
        <f ca="1">IFERROR(__xludf.DUMMYFUNCTION("IMPORTRANGE(""https://docs.google.com/spreadsheets/d/11923uPwbBZFjjGgGUA6NLw09EwE0CqkOc4q9oUmW1yo/edit?usp=sharing"",""ลำพูน!M334"")"),0)</f>
        <v>0</v>
      </c>
      <c r="O439" s="178">
        <f t="shared" ca="1" si="114"/>
        <v>0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IFERROR(__xludf.DUMMYFUNCTION("IMPORTRANGE(""https://docs.google.com/spreadsheets/d/11923uPwbBZFjjGgGUA6NLw09EwE0CqkOc4q9oUmW1yo/edit?usp=sharing"",""ลำพูน!M335"")"),0)</f>
        <v>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IFERROR(__xludf.DUMMYFUNCTION("IMPORTRANGE(""https://docs.google.com/spreadsheets/d/11923uPwbBZFjjGgGUA6NLw09EwE0CqkOc4q9oUmW1yo/edit?usp=sharing"",""ลำพูน!M336"")"),0)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IFERROR(__xludf.DUMMYFUNCTION("IMPORTRANGE(""https://docs.google.com/spreadsheets/d/11923uPwbBZFjjGgGUA6NLw09EwE0CqkOc4q9oUmW1yo/edit?usp=sharing"",""ลำพูน!M337"")"),0)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IFERROR(__xludf.DUMMYFUNCTION("IMPORTRANGE(""https://docs.google.com/spreadsheets/d/11923uPwbBZFjjGgGUA6NLw09EwE0CqkOc4q9oUmW1yo/edit?usp=sharing"",""ลำพูน!M338"")"),0)</f>
        <v>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IFERROR(__xludf.DUMMYFUNCTION("IMPORTRANGE(""https://docs.google.com/spreadsheets/d/11923uPwbBZFjjGgGUA6NLw09EwE0CqkOc4q9oUmW1yo/edit?usp=sharing"",""ลำพูน!J340"")"),0)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IFERROR(__xludf.DUMMYFUNCTION("IMPORTRANGE(""https://docs.google.com/spreadsheets/d/11923uPwbBZFjjGgGUA6NLw09EwE0CqkOc4q9oUmW1yo/edit?usp=sharing"",""ลำพูน!J341"")"),1)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IFERROR(__xludf.DUMMYFUNCTION("IMPORTRANGE(""https://docs.google.com/spreadsheets/d/11923uPwbBZFjjGgGUA6NLw09EwE0CqkOc4q9oUmW1yo/edit?usp=sharing"",""ลำพูน!J342"")"),1)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IFERROR(__xludf.DUMMYFUNCTION("IMPORTRANGE(""https://docs.google.com/spreadsheets/d/11923uPwbBZFjjGgGUA6NLw09EwE0CqkOc4q9oUmW1yo/edit?usp=sharing"",""ลำพูน!J343"")"),0)</f>
        <v>0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IFERROR(__xludf.DUMMYFUNCTION("IMPORTRANGE(""https://docs.google.com/spreadsheets/d/11923uPwbBZFjjGgGUA6NLw09EwE0CqkOc4q9oUmW1yo/edit?usp=sharing"",""ลำพูน!I344"")"),20)</f>
        <v>20</v>
      </c>
      <c r="J449" s="210">
        <f ca="1">IFERROR(__xludf.DUMMYFUNCTION("IMPORTRANGE(""https://docs.google.com/spreadsheets/d/11923uPwbBZFjjGgGUA6NLw09EwE0CqkOc4q9oUmW1yo/edit?usp=sharing"",""ลำพูน!J344"")"),0)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IFERROR(__xludf.DUMMYFUNCTION("IMPORTRANGE(""https://docs.google.com/spreadsheets/d/11923uPwbBZFjjGgGUA6NLw09EwE0CqkOc4q9oUmW1yo/edit?usp=sharing"",""ลำพูน!I345"")"),20)</f>
        <v>20</v>
      </c>
      <c r="J450" s="198">
        <f ca="1">IFERROR(__xludf.DUMMYFUNCTION("IMPORTRANGE(""https://docs.google.com/spreadsheets/d/11923uPwbBZFjjGgGUA6NLw09EwE0CqkOc4q9oUmW1yo/edit?usp=sharing"",""ลำพูน!J345"")"),0)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IFERROR(__xludf.DUMMYFUNCTION("IMPORTRANGE(""https://docs.google.com/spreadsheets/d/11923uPwbBZFjjGgGUA6NLw09EwE0CqkOc4q9oUmW1yo/edit?usp=sharing"",""ลำพูน!I346"")"),0)</f>
        <v>0</v>
      </c>
      <c r="J451" s="197">
        <f ca="1">IFERROR(__xludf.DUMMYFUNCTION("IMPORTRANGE(""https://docs.google.com/spreadsheets/d/11923uPwbBZFjjGgGUA6NLw09EwE0CqkOc4q9oUmW1yo/edit?usp=sharing"",""ลำพูน!J346"")"),0)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IFERROR(__xludf.DUMMYFUNCTION("IMPORTRANGE(""https://docs.google.com/spreadsheets/d/11923uPwbBZFjjGgGUA6NLw09EwE0CqkOc4q9oUmW1yo/edit?usp=sharing"",""ลำพูน!I347"")"),0)</f>
        <v>0</v>
      </c>
      <c r="J452" s="197">
        <f ca="1">IFERROR(__xludf.DUMMYFUNCTION("IMPORTRANGE(""https://docs.google.com/spreadsheets/d/11923uPwbBZFjjGgGUA6NLw09EwE0CqkOc4q9oUmW1yo/edit?usp=sharing"",""ลำพูน!J347"")"),0)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IFERROR(__xludf.DUMMYFUNCTION("IMPORTRANGE(""https://docs.google.com/spreadsheets/d/11923uPwbBZFjjGgGUA6NLw09EwE0CqkOc4q9oUmW1yo/edit?usp=sharing"",""ลำพูน!J348"")"),0)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IFERROR(__xludf.DUMMYFUNCTION("IMPORTRANGE(""https://docs.google.com/spreadsheets/d/11923uPwbBZFjjGgGUA6NLw09EwE0CqkOc4q9oUmW1yo/edit?usp=sharing"",""ลำพูน!J349"")"),0)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IFERROR(__xludf.DUMMYFUNCTION("IMPORTRANGE(""https://docs.google.com/spreadsheets/d/11923uPwbBZFjjGgGUA6NLw09EwE0CqkOc4q9oUmW1yo/edit?usp=sharing"",""ลำพูน!I350"")"),38193)</f>
        <v>38193</v>
      </c>
      <c r="J455" s="379">
        <f ca="1">IFERROR(__xludf.DUMMYFUNCTION("IMPORTRANGE(""https://docs.google.com/spreadsheets/d/11923uPwbBZFjjGgGUA6NLw09EwE0CqkOc4q9oUmW1yo/edit?usp=sharing"",""ลำพูน!J350"")"),0)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IFERROR(__xludf.DUMMYFUNCTION("IMPORTRANGE(""https://docs.google.com/spreadsheets/d/11923uPwbBZFjjGgGUA6NLw09EwE0CqkOc4q9oUmW1yo/edit?usp=sharing"",""ลำพูน!L350"")"),447250)</f>
        <v>447250</v>
      </c>
      <c r="M455" s="381"/>
      <c r="N455" s="381">
        <f ca="1">IFERROR(__xludf.DUMMYFUNCTION("IMPORTRANGE(""https://docs.google.com/spreadsheets/d/11923uPwbBZFjjGgGUA6NLw09EwE0CqkOc4q9oUmW1yo/edit?usp=sharing"",""ลำพูน!M350"")"),44000)</f>
        <v>44000</v>
      </c>
      <c r="O455" s="381">
        <f t="shared" ref="O455:O459" ca="1" si="116">+IF(L455&gt;0,N455*100/L455,0)</f>
        <v>9.8378982671883737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IFERROR(__xludf.DUMMYFUNCTION("IMPORTRANGE(""https://docs.google.com/spreadsheets/d/11923uPwbBZFjjGgGUA6NLw09EwE0CqkOc4q9oUmW1yo/edit?usp=sharing"",""ลำพูน!L351"")"),0)</f>
        <v>0</v>
      </c>
      <c r="M456" s="172"/>
      <c r="N456" s="178">
        <f ca="1">IFERROR(__xludf.DUMMYFUNCTION("IMPORTRANGE(""https://docs.google.com/spreadsheets/d/11923uPwbBZFjjGgGUA6NLw09EwE0CqkOc4q9oUmW1yo/edit?usp=sharing"",""ลำพูน!M351"")"),0)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IFERROR(__xludf.DUMMYFUNCTION("IMPORTRANGE(""https://docs.google.com/spreadsheets/d/11923uPwbBZFjjGgGUA6NLw09EwE0CqkOc4q9oUmW1yo/edit?usp=sharing"",""ลำพูน!L352"")"),447250)</f>
        <v>447250</v>
      </c>
      <c r="M457" s="173"/>
      <c r="N457" s="178">
        <f ca="1">IFERROR(__xludf.DUMMYFUNCTION("IMPORTRANGE(""https://docs.google.com/spreadsheets/d/11923uPwbBZFjjGgGUA6NLw09EwE0CqkOc4q9oUmW1yo/edit?usp=sharing"",""ลำพูน!M352"")"),44000)</f>
        <v>44000</v>
      </c>
      <c r="O457" s="178">
        <f t="shared" ca="1" si="116"/>
        <v>9.8378982671883737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IFERROR(__xludf.DUMMYFUNCTION("IMPORTRANGE(""https://docs.google.com/spreadsheets/d/11923uPwbBZFjjGgGUA6NLw09EwE0CqkOc4q9oUmW1yo/edit?usp=sharing"",""ลำพูน!L353"")"),0)</f>
        <v>0</v>
      </c>
      <c r="M458" s="178"/>
      <c r="N458" s="178">
        <f ca="1">IFERROR(__xludf.DUMMYFUNCTION("IMPORTRANGE(""https://docs.google.com/spreadsheets/d/11923uPwbBZFjjGgGUA6NLw09EwE0CqkOc4q9oUmW1yo/edit?usp=sharing"",""ลำพูน!M353"")"),0)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IFERROR(__xludf.DUMMYFUNCTION("IMPORTRANGE(""https://docs.google.com/spreadsheets/d/11923uPwbBZFjjGgGUA6NLw09EwE0CqkOc4q9oUmW1yo/edit?usp=sharing"",""ลำพูน!L354"")"),447250)</f>
        <v>447250</v>
      </c>
      <c r="M459" s="178"/>
      <c r="N459" s="178">
        <f ca="1">IFERROR(__xludf.DUMMYFUNCTION("IMPORTRANGE(""https://docs.google.com/spreadsheets/d/11923uPwbBZFjjGgGUA6NLw09EwE0CqkOc4q9oUmW1yo/edit?usp=sharing"",""ลำพูน!M354"")"),44000)</f>
        <v>44000</v>
      </c>
      <c r="O459" s="178">
        <f t="shared" ca="1" si="116"/>
        <v>9.8378982671883737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IFERROR(__xludf.DUMMYFUNCTION("IMPORTRANGE(""https://docs.google.com/spreadsheets/d/11923uPwbBZFjjGgGUA6NLw09EwE0CqkOc4q9oUmW1yo/edit?usp=sharing"",""ลำพูน!M355"")"),0)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IFERROR(__xludf.DUMMYFUNCTION("IMPORTRANGE(""https://docs.google.com/spreadsheets/d/11923uPwbBZFjjGgGUA6NLw09EwE0CqkOc4q9oUmW1yo/edit?usp=sharing"",""ลำพูน!M356"")"),0)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IFERROR(__xludf.DUMMYFUNCTION("IMPORTRANGE(""https://docs.google.com/spreadsheets/d/11923uPwbBZFjjGgGUA6NLw09EwE0CqkOc4q9oUmW1yo/edit?usp=sharing"",""ลำพูน!M357"")"),44000)</f>
        <v>44000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IFERROR(__xludf.DUMMYFUNCTION("IMPORTRANGE(""https://docs.google.com/spreadsheets/d/11923uPwbBZFjjGgGUA6NLw09EwE0CqkOc4q9oUmW1yo/edit?usp=sharing"",""ลำพูน!M358"")"),0)</f>
        <v>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IFERROR(__xludf.DUMMYFUNCTION("IMPORTRANGE(""https://docs.google.com/spreadsheets/d/11923uPwbBZFjjGgGUA6NLw09EwE0CqkOc4q9oUmW1yo/edit?usp=sharing"",""ลำพูน!I359"")"),38193)</f>
        <v>38193</v>
      </c>
      <c r="J464" s="276">
        <f ca="1">IFERROR(__xludf.DUMMYFUNCTION("IMPORTRANGE(""https://docs.google.com/spreadsheets/d/11923uPwbBZFjjGgGUA6NLw09EwE0CqkOc4q9oUmW1yo/edit?usp=sharing"",""ลำพูน!J359"")"),0)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IFERROR(__xludf.DUMMYFUNCTION("IMPORTRANGE(""https://docs.google.com/spreadsheets/d/11923uPwbBZFjjGgGUA6NLw09EwE0CqkOc4q9oUmW1yo/edit?usp=sharing"",""ลำพูน!I360"")"),38193)</f>
        <v>38193</v>
      </c>
      <c r="J465" s="428">
        <f ca="1">IFERROR(__xludf.DUMMYFUNCTION("IMPORTRANGE(""https://docs.google.com/spreadsheets/d/11923uPwbBZFjjGgGUA6NLw09EwE0CqkOc4q9oUmW1yo/edit?usp=sharing"",""ลำพูน!J360"")"),0)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IFERROR(__xludf.DUMMYFUNCTION("IMPORTRANGE(""https://docs.google.com/spreadsheets/d/11923uPwbBZFjjGgGUA6NLw09EwE0CqkOc4q9oUmW1yo/edit?usp=sharing"",""ลำพูน!I361"")"),6424)</f>
        <v>6424</v>
      </c>
      <c r="J466" s="428">
        <f ca="1">IFERROR(__xludf.DUMMYFUNCTION("IMPORTRANGE(""https://docs.google.com/spreadsheets/d/11923uPwbBZFjjGgGUA6NLw09EwE0CqkOc4q9oUmW1yo/edit?usp=sharing"",""ลำพูน!J361"")"),0)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IFERROR(__xludf.DUMMYFUNCTION("IMPORTRANGE(""https://docs.google.com/spreadsheets/d/11923uPwbBZFjjGgGUA6NLw09EwE0CqkOc4q9oUmW1yo/edit?usp=sharing"",""ลำพูน!I362"")"),0)</f>
        <v>0</v>
      </c>
      <c r="J467" s="198">
        <f ca="1">IFERROR(__xludf.DUMMYFUNCTION("IMPORTRANGE(""https://docs.google.com/spreadsheets/d/11923uPwbBZFjjGgGUA6NLw09EwE0CqkOc4q9oUmW1yo/edit?usp=sharing"",""ลำพูน!J362"")"),0)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IFERROR(__xludf.DUMMYFUNCTION("IMPORTRANGE(""https://docs.google.com/spreadsheets/d/11923uPwbBZFjjGgGUA6NLw09EwE0CqkOc4q9oUmW1yo/edit?usp=sharing"",""ลำพูน!I363"")"),0)</f>
        <v>0</v>
      </c>
      <c r="J468" s="198">
        <f ca="1">IFERROR(__xludf.DUMMYFUNCTION("IMPORTRANGE(""https://docs.google.com/spreadsheets/d/11923uPwbBZFjjGgGUA6NLw09EwE0CqkOc4q9oUmW1yo/edit?usp=sharing"",""ลำพูน!J363"")"),0)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IFERROR(__xludf.DUMMYFUNCTION("IMPORTRANGE(""https://docs.google.com/spreadsheets/d/11923uPwbBZFjjGgGUA6NLw09EwE0CqkOc4q9oUmW1yo/edit?usp=sharing"",""ลำพูน!I364"")"),0)</f>
        <v>0</v>
      </c>
      <c r="J469" s="198">
        <f ca="1">IFERROR(__xludf.DUMMYFUNCTION("IMPORTRANGE(""https://docs.google.com/spreadsheets/d/11923uPwbBZFjjGgGUA6NLw09EwE0CqkOc4q9oUmW1yo/edit?usp=sharing"",""ลำพูน!J364"")"),0)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IFERROR(__xludf.DUMMYFUNCTION("IMPORTRANGE(""https://docs.google.com/spreadsheets/d/11923uPwbBZFjjGgGUA6NLw09EwE0CqkOc4q9oUmW1yo/edit?usp=sharing"",""ลำพูน!I365"")"),0)</f>
        <v>0</v>
      </c>
      <c r="J470" s="198">
        <f ca="1">IFERROR(__xludf.DUMMYFUNCTION("IMPORTRANGE(""https://docs.google.com/spreadsheets/d/11923uPwbBZFjjGgGUA6NLw09EwE0CqkOc4q9oUmW1yo/edit?usp=sharing"",""ลำพูน!J365"")"),0)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IFERROR(__xludf.DUMMYFUNCTION("IMPORTRANGE(""https://docs.google.com/spreadsheets/d/11923uPwbBZFjjGgGUA6NLw09EwE0CqkOc4q9oUmW1yo/edit?usp=sharing"",""ลำพูน!I366"")"),0)</f>
        <v>0</v>
      </c>
      <c r="J471" s="198">
        <f ca="1">IFERROR(__xludf.DUMMYFUNCTION("IMPORTRANGE(""https://docs.google.com/spreadsheets/d/11923uPwbBZFjjGgGUA6NLw09EwE0CqkOc4q9oUmW1yo/edit?usp=sharing"",""ลำพูน!J366"")"),0)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IFERROR(__xludf.DUMMYFUNCTION("IMPORTRANGE(""https://docs.google.com/spreadsheets/d/11923uPwbBZFjjGgGUA6NLw09EwE0CqkOc4q9oUmW1yo/edit?usp=sharing"",""ลำพูน!I367"")"),0)</f>
        <v>0</v>
      </c>
      <c r="J472" s="198">
        <f ca="1">IFERROR(__xludf.DUMMYFUNCTION("IMPORTRANGE(""https://docs.google.com/spreadsheets/d/11923uPwbBZFjjGgGUA6NLw09EwE0CqkOc4q9oUmW1yo/edit?usp=sharing"",""ลำพูน!J367"")"),0)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IFERROR(__xludf.DUMMYFUNCTION("IMPORTRANGE(""https://docs.google.com/spreadsheets/d/11923uPwbBZFjjGgGUA6NLw09EwE0CqkOc4q9oUmW1yo/edit?usp=sharing"",""ลำพูน!I368"")"),38193)</f>
        <v>38193</v>
      </c>
      <c r="J473" s="428">
        <f ca="1">IFERROR(__xludf.DUMMYFUNCTION("IMPORTRANGE(""https://docs.google.com/spreadsheets/d/11923uPwbBZFjjGgGUA6NLw09EwE0CqkOc4q9oUmW1yo/edit?usp=sharing"",""ลำพูน!J368"")"),0)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IFERROR(__xludf.DUMMYFUNCTION("IMPORTRANGE(""https://docs.google.com/spreadsheets/d/11923uPwbBZFjjGgGUA6NLw09EwE0CqkOc4q9oUmW1yo/edit?usp=sharing"",""ลำพูน!I369"")"),6424)</f>
        <v>6424</v>
      </c>
      <c r="J474" s="428">
        <f ca="1">IFERROR(__xludf.DUMMYFUNCTION("IMPORTRANGE(""https://docs.google.com/spreadsheets/d/11923uPwbBZFjjGgGUA6NLw09EwE0CqkOc4q9oUmW1yo/edit?usp=sharing"",""ลำพูน!J369"")"),0)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IFERROR(__xludf.DUMMYFUNCTION("IMPORTRANGE(""https://docs.google.com/spreadsheets/d/11923uPwbBZFjjGgGUA6NLw09EwE0CqkOc4q9oUmW1yo/edit?usp=sharing"",""ลำพูน!I370"")"),0)</f>
        <v>0</v>
      </c>
      <c r="J475" s="198">
        <f ca="1">IFERROR(__xludf.DUMMYFUNCTION("IMPORTRANGE(""https://docs.google.com/spreadsheets/d/11923uPwbBZFjjGgGUA6NLw09EwE0CqkOc4q9oUmW1yo/edit?usp=sharing"",""ลำพูน!J370"")"),0)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IFERROR(__xludf.DUMMYFUNCTION("IMPORTRANGE(""https://docs.google.com/spreadsheets/d/11923uPwbBZFjjGgGUA6NLw09EwE0CqkOc4q9oUmW1yo/edit?usp=sharing"",""ลำพูน!I371"")"),0)</f>
        <v>0</v>
      </c>
      <c r="J476" s="198">
        <f ca="1">IFERROR(__xludf.DUMMYFUNCTION("IMPORTRANGE(""https://docs.google.com/spreadsheets/d/11923uPwbBZFjjGgGUA6NLw09EwE0CqkOc4q9oUmW1yo/edit?usp=sharing"",""ลำพูน!J371"")"),0)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IFERROR(__xludf.DUMMYFUNCTION("IMPORTRANGE(""https://docs.google.com/spreadsheets/d/11923uPwbBZFjjGgGUA6NLw09EwE0CqkOc4q9oUmW1yo/edit?usp=sharing"",""ลำพูน!I372"")"),0)</f>
        <v>0</v>
      </c>
      <c r="J477" s="198">
        <f ca="1">IFERROR(__xludf.DUMMYFUNCTION("IMPORTRANGE(""https://docs.google.com/spreadsheets/d/11923uPwbBZFjjGgGUA6NLw09EwE0CqkOc4q9oUmW1yo/edit?usp=sharing"",""ลำพูน!J372"")"),0)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IFERROR(__xludf.DUMMYFUNCTION("IMPORTRANGE(""https://docs.google.com/spreadsheets/d/11923uPwbBZFjjGgGUA6NLw09EwE0CqkOc4q9oUmW1yo/edit?usp=sharing"",""ลำพูน!I373"")"),0)</f>
        <v>0</v>
      </c>
      <c r="J478" s="198">
        <f ca="1">IFERROR(__xludf.DUMMYFUNCTION("IMPORTRANGE(""https://docs.google.com/spreadsheets/d/11923uPwbBZFjjGgGUA6NLw09EwE0CqkOc4q9oUmW1yo/edit?usp=sharing"",""ลำพูน!J373"")"),0)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IFERROR(__xludf.DUMMYFUNCTION("IMPORTRANGE(""https://docs.google.com/spreadsheets/d/11923uPwbBZFjjGgGUA6NLw09EwE0CqkOc4q9oUmW1yo/edit?usp=sharing"",""ลำพูน!I374"")"),0)</f>
        <v>0</v>
      </c>
      <c r="J479" s="198">
        <f ca="1">IFERROR(__xludf.DUMMYFUNCTION("IMPORTRANGE(""https://docs.google.com/spreadsheets/d/11923uPwbBZFjjGgGUA6NLw09EwE0CqkOc4q9oUmW1yo/edit?usp=sharing"",""ลำพูน!J374"")"),0)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IFERROR(__xludf.DUMMYFUNCTION("IMPORTRANGE(""https://docs.google.com/spreadsheets/d/11923uPwbBZFjjGgGUA6NLw09EwE0CqkOc4q9oUmW1yo/edit?usp=sharing"",""ลำพูน!I375"")"),0)</f>
        <v>0</v>
      </c>
      <c r="J480" s="198">
        <f ca="1">IFERROR(__xludf.DUMMYFUNCTION("IMPORTRANGE(""https://docs.google.com/spreadsheets/d/11923uPwbBZFjjGgGUA6NLw09EwE0CqkOc4q9oUmW1yo/edit?usp=sharing"",""ลำพูน!J375"")"),0)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IFERROR(__xludf.DUMMYFUNCTION("IMPORTRANGE(""https://docs.google.com/spreadsheets/d/11923uPwbBZFjjGgGUA6NLw09EwE0CqkOc4q9oUmW1yo/edit?usp=sharing"",""ลำพูน!I376"")"),38193)</f>
        <v>38193</v>
      </c>
      <c r="J481" s="428">
        <f ca="1">IFERROR(__xludf.DUMMYFUNCTION("IMPORTRANGE(""https://docs.google.com/spreadsheets/d/11923uPwbBZFjjGgGUA6NLw09EwE0CqkOc4q9oUmW1yo/edit?usp=sharing"",""ลำพูน!J376"")"),0)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IFERROR(__xludf.DUMMYFUNCTION("IMPORTRANGE(""https://docs.google.com/spreadsheets/d/11923uPwbBZFjjGgGUA6NLw09EwE0CqkOc4q9oUmW1yo/edit?usp=sharing"",""ลำพูน!I377"")"),6424)</f>
        <v>6424</v>
      </c>
      <c r="J482" s="428">
        <f ca="1">IFERROR(__xludf.DUMMYFUNCTION("IMPORTRANGE(""https://docs.google.com/spreadsheets/d/11923uPwbBZFjjGgGUA6NLw09EwE0CqkOc4q9oUmW1yo/edit?usp=sharing"",""ลำพูน!J377"")"),0)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IFERROR(__xludf.DUMMYFUNCTION("IMPORTRANGE(""https://docs.google.com/spreadsheets/d/11923uPwbBZFjjGgGUA6NLw09EwE0CqkOc4q9oUmW1yo/edit?usp=sharing"",""ลำพูน!I378"")"),0)</f>
        <v>0</v>
      </c>
      <c r="J483" s="198">
        <f ca="1">IFERROR(__xludf.DUMMYFUNCTION("IMPORTRANGE(""https://docs.google.com/spreadsheets/d/11923uPwbBZFjjGgGUA6NLw09EwE0CqkOc4q9oUmW1yo/edit?usp=sharing"",""ลำพูน!J378"")"),0)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IFERROR(__xludf.DUMMYFUNCTION("IMPORTRANGE(""https://docs.google.com/spreadsheets/d/11923uPwbBZFjjGgGUA6NLw09EwE0CqkOc4q9oUmW1yo/edit?usp=sharing"",""ลำพูน!I379"")"),0)</f>
        <v>0</v>
      </c>
      <c r="J484" s="198">
        <f ca="1">IFERROR(__xludf.DUMMYFUNCTION("IMPORTRANGE(""https://docs.google.com/spreadsheets/d/11923uPwbBZFjjGgGUA6NLw09EwE0CqkOc4q9oUmW1yo/edit?usp=sharing"",""ลำพูน!J379"")"),0)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IFERROR(__xludf.DUMMYFUNCTION("IMPORTRANGE(""https://docs.google.com/spreadsheets/d/11923uPwbBZFjjGgGUA6NLw09EwE0CqkOc4q9oUmW1yo/edit?usp=sharing"",""ลำพูน!I380"")"),0)</f>
        <v>0</v>
      </c>
      <c r="J485" s="198">
        <f ca="1">IFERROR(__xludf.DUMMYFUNCTION("IMPORTRANGE(""https://docs.google.com/spreadsheets/d/11923uPwbBZFjjGgGUA6NLw09EwE0CqkOc4q9oUmW1yo/edit?usp=sharing"",""ลำพูน!J380"")"),0)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IFERROR(__xludf.DUMMYFUNCTION("IMPORTRANGE(""https://docs.google.com/spreadsheets/d/11923uPwbBZFjjGgGUA6NLw09EwE0CqkOc4q9oUmW1yo/edit?usp=sharing"",""ลำพูน!I381"")"),0)</f>
        <v>0</v>
      </c>
      <c r="J486" s="198">
        <f ca="1">IFERROR(__xludf.DUMMYFUNCTION("IMPORTRANGE(""https://docs.google.com/spreadsheets/d/11923uPwbBZFjjGgGUA6NLw09EwE0CqkOc4q9oUmW1yo/edit?usp=sharing"",""ลำพูน!J381"")"),0)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IFERROR(__xludf.DUMMYFUNCTION("IMPORTRANGE(""https://docs.google.com/spreadsheets/d/11923uPwbBZFjjGgGUA6NLw09EwE0CqkOc4q9oUmW1yo/edit?usp=sharing"",""ลำพูน!I382"")"),0)</f>
        <v>0</v>
      </c>
      <c r="J487" s="428">
        <f ca="1">IFERROR(__xludf.DUMMYFUNCTION("IMPORTRANGE(""https://docs.google.com/spreadsheets/d/11923uPwbBZFjjGgGUA6NLw09EwE0CqkOc4q9oUmW1yo/edit?usp=sharing"",""ลำพูน!J382"")"),0)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IFERROR(__xludf.DUMMYFUNCTION("IMPORTRANGE(""https://docs.google.com/spreadsheets/d/11923uPwbBZFjjGgGUA6NLw09EwE0CqkOc4q9oUmW1yo/edit?usp=sharing"",""ลำพูน!I383"")"),0)</f>
        <v>0</v>
      </c>
      <c r="J488" s="428">
        <f ca="1">IFERROR(__xludf.DUMMYFUNCTION("IMPORTRANGE(""https://docs.google.com/spreadsheets/d/11923uPwbBZFjjGgGUA6NLw09EwE0CqkOc4q9oUmW1yo/edit?usp=sharing"",""ลำพูน!J383"")"),0)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IFERROR(__xludf.DUMMYFUNCTION("IMPORTRANGE(""https://docs.google.com/spreadsheets/d/11923uPwbBZFjjGgGUA6NLw09EwE0CqkOc4q9oUmW1yo/edit?usp=sharing"",""ลำพูน!I384"")"),0)</f>
        <v>0</v>
      </c>
      <c r="J489" s="198">
        <f ca="1">IFERROR(__xludf.DUMMYFUNCTION("IMPORTRANGE(""https://docs.google.com/spreadsheets/d/11923uPwbBZFjjGgGUA6NLw09EwE0CqkOc4q9oUmW1yo/edit?usp=sharing"",""ลำพูน!J384"")"),0)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IFERROR(__xludf.DUMMYFUNCTION("IMPORTRANGE(""https://docs.google.com/spreadsheets/d/11923uPwbBZFjjGgGUA6NLw09EwE0CqkOc4q9oUmW1yo/edit?usp=sharing"",""ลำพูน!I385"")"),0)</f>
        <v>0</v>
      </c>
      <c r="J490" s="198">
        <f ca="1">IFERROR(__xludf.DUMMYFUNCTION("IMPORTRANGE(""https://docs.google.com/spreadsheets/d/11923uPwbBZFjjGgGUA6NLw09EwE0CqkOc4q9oUmW1yo/edit?usp=sharing"",""ลำพูน!J385"")"),0)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IFERROR(__xludf.DUMMYFUNCTION("IMPORTRANGE(""https://docs.google.com/spreadsheets/d/11923uPwbBZFjjGgGUA6NLw09EwE0CqkOc4q9oUmW1yo/edit?usp=sharing"",""ลำพูน!I386"")"),0)</f>
        <v>0</v>
      </c>
      <c r="J491" s="198">
        <f ca="1">IFERROR(__xludf.DUMMYFUNCTION("IMPORTRANGE(""https://docs.google.com/spreadsheets/d/11923uPwbBZFjjGgGUA6NLw09EwE0CqkOc4q9oUmW1yo/edit?usp=sharing"",""ลำพูน!J386"")"),0)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IFERROR(__xludf.DUMMYFUNCTION("IMPORTRANGE(""https://docs.google.com/spreadsheets/d/11923uPwbBZFjjGgGUA6NLw09EwE0CqkOc4q9oUmW1yo/edit?usp=sharing"",""ลำพูน!I387"")"),0)</f>
        <v>0</v>
      </c>
      <c r="J492" s="198">
        <f ca="1">IFERROR(__xludf.DUMMYFUNCTION("IMPORTRANGE(""https://docs.google.com/spreadsheets/d/11923uPwbBZFjjGgGUA6NLw09EwE0CqkOc4q9oUmW1yo/edit?usp=sharing"",""ลำพูน!J387"")"),0)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IFERROR(__xludf.DUMMYFUNCTION("IMPORTRANGE(""https://docs.google.com/spreadsheets/d/11923uPwbBZFjjGgGUA6NLw09EwE0CqkOc4q9oUmW1yo/edit?usp=sharing"",""ลำพูน!I388"")"),0)</f>
        <v>0</v>
      </c>
      <c r="J493" s="198">
        <f ca="1">IFERROR(__xludf.DUMMYFUNCTION("IMPORTRANGE(""https://docs.google.com/spreadsheets/d/11923uPwbBZFjjGgGUA6NLw09EwE0CqkOc4q9oUmW1yo/edit?usp=sharing"",""ลำพูน!J388"")"),0)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IFERROR(__xludf.DUMMYFUNCTION("IMPORTRANGE(""https://docs.google.com/spreadsheets/d/11923uPwbBZFjjGgGUA6NLw09EwE0CqkOc4q9oUmW1yo/edit?usp=sharing"",""ลำพูน!I389"")"),0)</f>
        <v>0</v>
      </c>
      <c r="J494" s="444">
        <f ca="1">IFERROR(__xludf.DUMMYFUNCTION("IMPORTRANGE(""https://docs.google.com/spreadsheets/d/11923uPwbBZFjjGgGUA6NLw09EwE0CqkOc4q9oUmW1yo/edit?usp=sharing"",""ลำพูน!J389"")"),0)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IFERROR(__xludf.DUMMYFUNCTION("IMPORTRANGE(""https://docs.google.com/spreadsheets/d/11923uPwbBZFjjGgGUA6NLw09EwE0CqkOc4q9oUmW1yo/edit?usp=sharing"",""ลำพูน!I390"")"),0)</f>
        <v>0</v>
      </c>
      <c r="J495" s="444">
        <f ca="1">IFERROR(__xludf.DUMMYFUNCTION("IMPORTRANGE(""https://docs.google.com/spreadsheets/d/11923uPwbBZFjjGgGUA6NLw09EwE0CqkOc4q9oUmW1yo/edit?usp=sharing"",""ลำพูน!J390"")"),0)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IFERROR(__xludf.DUMMYFUNCTION("IMPORTRANGE(""https://docs.google.com/spreadsheets/d/11923uPwbBZFjjGgGUA6NLw09EwE0CqkOc4q9oUmW1yo/edit?usp=sharing"",""ลำพูน!I391"")"),0)</f>
        <v>0</v>
      </c>
      <c r="J496" s="444">
        <f ca="1">IFERROR(__xludf.DUMMYFUNCTION("IMPORTRANGE(""https://docs.google.com/spreadsheets/d/11923uPwbBZFjjGgGUA6NLw09EwE0CqkOc4q9oUmW1yo/edit?usp=sharing"",""ลำพูน!J391"")"),0)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IFERROR(__xludf.DUMMYFUNCTION("IMPORTRANGE(""https://docs.google.com/spreadsheets/d/11923uPwbBZFjjGgGUA6NLw09EwE0CqkOc4q9oUmW1yo/edit?usp=sharing"",""ลำพูน!I392"")"),143)</f>
        <v>143</v>
      </c>
      <c r="J497" s="451">
        <f ca="1">IFERROR(__xludf.DUMMYFUNCTION("IMPORTRANGE(""https://docs.google.com/spreadsheets/d/11923uPwbBZFjjGgGUA6NLw09EwE0CqkOc4q9oUmW1yo/edit?usp=sharing"",""ลำพูน!J392"")"),0)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IFERROR(__xludf.DUMMYFUNCTION("IMPORTRANGE(""https://docs.google.com/spreadsheets/d/11923uPwbBZFjjGgGUA6NLw09EwE0CqkOc4q9oUmW1yo/edit?usp=sharing"",""ลำพูน!I393"")"),143)</f>
        <v>143</v>
      </c>
      <c r="J498" s="428">
        <f ca="1">IFERROR(__xludf.DUMMYFUNCTION("IMPORTRANGE(""https://docs.google.com/spreadsheets/d/11923uPwbBZFjjGgGUA6NLw09EwE0CqkOc4q9oUmW1yo/edit?usp=sharing"",""ลำพูน!J393"")"),0)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IFERROR(__xludf.DUMMYFUNCTION("IMPORTRANGE(""https://docs.google.com/spreadsheets/d/11923uPwbBZFjjGgGUA6NLw09EwE0CqkOc4q9oUmW1yo/edit?usp=sharing"",""ลำพูน!I394"")"),18)</f>
        <v>18</v>
      </c>
      <c r="J499" s="428">
        <f ca="1">IFERROR(__xludf.DUMMYFUNCTION("IMPORTRANGE(""https://docs.google.com/spreadsheets/d/11923uPwbBZFjjGgGUA6NLw09EwE0CqkOc4q9oUmW1yo/edit?usp=sharing"",""ลำพูน!J394"")"),0)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IFERROR(__xludf.DUMMYFUNCTION("IMPORTRANGE(""https://docs.google.com/spreadsheets/d/11923uPwbBZFjjGgGUA6NLw09EwE0CqkOc4q9oUmW1yo/edit?usp=sharing"",""ลำพูน!I395"")"),0)</f>
        <v>0</v>
      </c>
      <c r="J500" s="170">
        <f ca="1">IFERROR(__xludf.DUMMYFUNCTION("IMPORTRANGE(""https://docs.google.com/spreadsheets/d/11923uPwbBZFjjGgGUA6NLw09EwE0CqkOc4q9oUmW1yo/edit?usp=sharing"",""ลำพูน!J395"")"),0)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IFERROR(__xludf.DUMMYFUNCTION("IMPORTRANGE(""https://docs.google.com/spreadsheets/d/11923uPwbBZFjjGgGUA6NLw09EwE0CqkOc4q9oUmW1yo/edit?usp=sharing"",""ลำพูน!I396"")"),0)</f>
        <v>0</v>
      </c>
      <c r="J501" s="170">
        <f ca="1">IFERROR(__xludf.DUMMYFUNCTION("IMPORTRANGE(""https://docs.google.com/spreadsheets/d/11923uPwbBZFjjGgGUA6NLw09EwE0CqkOc4q9oUmW1yo/edit?usp=sharing"",""ลำพูน!J396"")"),0)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IFERROR(__xludf.DUMMYFUNCTION("IMPORTRANGE(""https://docs.google.com/spreadsheets/d/11923uPwbBZFjjGgGUA6NLw09EwE0CqkOc4q9oUmW1yo/edit?usp=sharing"",""ลำพูน!I397"")"),0)</f>
        <v>0</v>
      </c>
      <c r="J502" s="198">
        <f ca="1">IFERROR(__xludf.DUMMYFUNCTION("IMPORTRANGE(""https://docs.google.com/spreadsheets/d/11923uPwbBZFjjGgGUA6NLw09EwE0CqkOc4q9oUmW1yo/edit?usp=sharing"",""ลำพูน!J397"")"),0)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IFERROR(__xludf.DUMMYFUNCTION("IMPORTRANGE(""https://docs.google.com/spreadsheets/d/11923uPwbBZFjjGgGUA6NLw09EwE0CqkOc4q9oUmW1yo/edit?usp=sharing"",""ลำพูน!I398"")"),0)</f>
        <v>0</v>
      </c>
      <c r="J503" s="207">
        <f ca="1">IFERROR(__xludf.DUMMYFUNCTION("IMPORTRANGE(""https://docs.google.com/spreadsheets/d/11923uPwbBZFjjGgGUA6NLw09EwE0CqkOc4q9oUmW1yo/edit?usp=sharing"",""ลำพูน!J398"")"),0)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IFERROR(__xludf.DUMMYFUNCTION("IMPORTRANGE(""https://docs.google.com/spreadsheets/d/11923uPwbBZFjjGgGUA6NLw09EwE0CqkOc4q9oUmW1yo/edit?usp=sharing"",""ลำพูน!I399"")"),0)</f>
        <v>0</v>
      </c>
      <c r="J504" s="198">
        <f ca="1">IFERROR(__xludf.DUMMYFUNCTION("IMPORTRANGE(""https://docs.google.com/spreadsheets/d/11923uPwbBZFjjGgGUA6NLw09EwE0CqkOc4q9oUmW1yo/edit?usp=sharing"",""ลำพูน!J399"")"),0)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IFERROR(__xludf.DUMMYFUNCTION("IMPORTRANGE(""https://docs.google.com/spreadsheets/d/11923uPwbBZFjjGgGUA6NLw09EwE0CqkOc4q9oUmW1yo/edit?usp=sharing"",""ลำพูน!I400"")"),0)</f>
        <v>0</v>
      </c>
      <c r="J505" s="207">
        <f ca="1">IFERROR(__xludf.DUMMYFUNCTION("IMPORTRANGE(""https://docs.google.com/spreadsheets/d/11923uPwbBZFjjGgGUA6NLw09EwE0CqkOc4q9oUmW1yo/edit?usp=sharing"",""ลำพูน!J400"")"),0)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IFERROR(__xludf.DUMMYFUNCTION("IMPORTRANGE(""https://docs.google.com/spreadsheets/d/11923uPwbBZFjjGgGUA6NLw09EwE0CqkOc4q9oUmW1yo/edit?usp=sharing"",""ลำพูน!I401"")"),0)</f>
        <v>0</v>
      </c>
      <c r="J506" s="198">
        <f ca="1">IFERROR(__xludf.DUMMYFUNCTION("IMPORTRANGE(""https://docs.google.com/spreadsheets/d/11923uPwbBZFjjGgGUA6NLw09EwE0CqkOc4q9oUmW1yo/edit?usp=sharing"",""ลำพูน!J401"")"),0)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IFERROR(__xludf.DUMMYFUNCTION("IMPORTRANGE(""https://docs.google.com/spreadsheets/d/11923uPwbBZFjjGgGUA6NLw09EwE0CqkOc4q9oUmW1yo/edit?usp=sharing"",""ลำพูน!I402"")"),0)</f>
        <v>0</v>
      </c>
      <c r="J507" s="207">
        <f ca="1">IFERROR(__xludf.DUMMYFUNCTION("IMPORTRANGE(""https://docs.google.com/spreadsheets/d/11923uPwbBZFjjGgGUA6NLw09EwE0CqkOc4q9oUmW1yo/edit?usp=sharing"",""ลำพูน!J402"")"),0)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IFERROR(__xludf.DUMMYFUNCTION("IMPORTRANGE(""https://docs.google.com/spreadsheets/d/11923uPwbBZFjjGgGUA6NLw09EwE0CqkOc4q9oUmW1yo/edit?usp=sharing"",""ลำพูน!I403"")"),0)</f>
        <v>0</v>
      </c>
      <c r="J508" s="170">
        <f ca="1">IFERROR(__xludf.DUMMYFUNCTION("IMPORTRANGE(""https://docs.google.com/spreadsheets/d/11923uPwbBZFjjGgGUA6NLw09EwE0CqkOc4q9oUmW1yo/edit?usp=sharing"",""ลำพูน!J403"")"),0)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IFERROR(__xludf.DUMMYFUNCTION("IMPORTRANGE(""https://docs.google.com/spreadsheets/d/11923uPwbBZFjjGgGUA6NLw09EwE0CqkOc4q9oUmW1yo/edit?usp=sharing"",""ลำพูน!I404"")"),0)</f>
        <v>0</v>
      </c>
      <c r="J509" s="170">
        <f ca="1">IFERROR(__xludf.DUMMYFUNCTION("IMPORTRANGE(""https://docs.google.com/spreadsheets/d/11923uPwbBZFjjGgGUA6NLw09EwE0CqkOc4q9oUmW1yo/edit?usp=sharing"",""ลำพูน!J404"")"),0)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IFERROR(__xludf.DUMMYFUNCTION("IMPORTRANGE(""https://docs.google.com/spreadsheets/d/11923uPwbBZFjjGgGUA6NLw09EwE0CqkOc4q9oUmW1yo/edit?usp=sharing"",""ลำพูน!I405"")"),0)</f>
        <v>0</v>
      </c>
      <c r="J510" s="207">
        <f ca="1">IFERROR(__xludf.DUMMYFUNCTION("IMPORTRANGE(""https://docs.google.com/spreadsheets/d/11923uPwbBZFjjGgGUA6NLw09EwE0CqkOc4q9oUmW1yo/edit?usp=sharing"",""ลำพูน!J405"")"),0)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IFERROR(__xludf.DUMMYFUNCTION("IMPORTRANGE(""https://docs.google.com/spreadsheets/d/11923uPwbBZFjjGgGUA6NLw09EwE0CqkOc4q9oUmW1yo/edit?usp=sharing"",""ลำพูน!I406"")"),0)</f>
        <v>0</v>
      </c>
      <c r="J511" s="207">
        <f ca="1">IFERROR(__xludf.DUMMYFUNCTION("IMPORTRANGE(""https://docs.google.com/spreadsheets/d/11923uPwbBZFjjGgGUA6NLw09EwE0CqkOc4q9oUmW1yo/edit?usp=sharing"",""ลำพูน!J406"")"),0)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IFERROR(__xludf.DUMMYFUNCTION("IMPORTRANGE(""https://docs.google.com/spreadsheets/d/11923uPwbBZFjjGgGUA6NLw09EwE0CqkOc4q9oUmW1yo/edit?usp=sharing"",""ลำพูน!I407"")"),0)</f>
        <v>0</v>
      </c>
      <c r="J512" s="207">
        <f ca="1">IFERROR(__xludf.DUMMYFUNCTION("IMPORTRANGE(""https://docs.google.com/spreadsheets/d/11923uPwbBZFjjGgGUA6NLw09EwE0CqkOc4q9oUmW1yo/edit?usp=sharing"",""ลำพูน!J407"")"),0)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IFERROR(__xludf.DUMMYFUNCTION("IMPORTRANGE(""https://docs.google.com/spreadsheets/d/11923uPwbBZFjjGgGUA6NLw09EwE0CqkOc4q9oUmW1yo/edit?usp=sharing"",""ลำพูน!I408"")"),0)</f>
        <v>0</v>
      </c>
      <c r="J513" s="207">
        <f ca="1">IFERROR(__xludf.DUMMYFUNCTION("IMPORTRANGE(""https://docs.google.com/spreadsheets/d/11923uPwbBZFjjGgGUA6NLw09EwE0CqkOc4q9oUmW1yo/edit?usp=sharing"",""ลำพูน!J408"")"),0)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IFERROR(__xludf.DUMMYFUNCTION("IMPORTRANGE(""https://docs.google.com/spreadsheets/d/11923uPwbBZFjjGgGUA6NLw09EwE0CqkOc4q9oUmW1yo/edit?usp=sharing"",""ลำพูน!I409"")"),0)</f>
        <v>0</v>
      </c>
      <c r="J514" s="207">
        <f ca="1">IFERROR(__xludf.DUMMYFUNCTION("IMPORTRANGE(""https://docs.google.com/spreadsheets/d/11923uPwbBZFjjGgGUA6NLw09EwE0CqkOc4q9oUmW1yo/edit?usp=sharing"",""ลำพูน!J409"")"),0)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IFERROR(__xludf.DUMMYFUNCTION("IMPORTRANGE(""https://docs.google.com/spreadsheets/d/11923uPwbBZFjjGgGUA6NLw09EwE0CqkOc4q9oUmW1yo/edit?usp=sharing"",""ลำพูน!I410"")"),0)</f>
        <v>0</v>
      </c>
      <c r="J515" s="207">
        <f ca="1">IFERROR(__xludf.DUMMYFUNCTION("IMPORTRANGE(""https://docs.google.com/spreadsheets/d/11923uPwbBZFjjGgGUA6NLw09EwE0CqkOc4q9oUmW1yo/edit?usp=sharing"",""ลำพูน!J410"")"),0)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IFERROR(__xludf.DUMMYFUNCTION("IMPORTRANGE(""https://docs.google.com/spreadsheets/d/11923uPwbBZFjjGgGUA6NLw09EwE0CqkOc4q9oUmW1yo/edit?usp=sharing"",""ลำพูน!I411"")"),0)</f>
        <v>0</v>
      </c>
      <c r="J516" s="276">
        <f ca="1">IFERROR(__xludf.DUMMYFUNCTION("IMPORTRANGE(""https://docs.google.com/spreadsheets/d/11923uPwbBZFjjGgGUA6NLw09EwE0CqkOc4q9oUmW1yo/edit?usp=sharing"",""ลำพูน!J411"")"),0)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IFERROR(__xludf.DUMMYFUNCTION("IMPORTRANGE(""https://docs.google.com/spreadsheets/d/11923uPwbBZFjjGgGUA6NLw09EwE0CqkOc4q9oUmW1yo/edit?usp=sharing"",""ลำพูน!I412"")"),0)</f>
        <v>0</v>
      </c>
      <c r="J517" s="292">
        <f ca="1">IFERROR(__xludf.DUMMYFUNCTION("IMPORTRANGE(""https://docs.google.com/spreadsheets/d/11923uPwbBZFjjGgGUA6NLw09EwE0CqkOc4q9oUmW1yo/edit?usp=sharing"",""ลำพูน!J412"")"),0)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IFERROR(__xludf.DUMMYFUNCTION("IMPORTRANGE(""https://docs.google.com/spreadsheets/d/11923uPwbBZFjjGgGUA6NLw09EwE0CqkOc4q9oUmW1yo/edit?usp=sharing"",""ลำพูน!I413"")"),0)</f>
        <v>0</v>
      </c>
      <c r="J518" s="292">
        <f ca="1">IFERROR(__xludf.DUMMYFUNCTION("IMPORTRANGE(""https://docs.google.com/spreadsheets/d/11923uPwbBZFjjGgGUA6NLw09EwE0CqkOc4q9oUmW1yo/edit?usp=sharing"",""ลำพูน!J413"")"),0)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IFERROR(__xludf.DUMMYFUNCTION("IMPORTRANGE(""https://docs.google.com/spreadsheets/d/11923uPwbBZFjjGgGUA6NLw09EwE0CqkOc4q9oUmW1yo/edit?usp=sharing"",""ลำพูน!I414"")"),0)</f>
        <v>0</v>
      </c>
      <c r="J519" s="197">
        <f ca="1">IFERROR(__xludf.DUMMYFUNCTION("IMPORTRANGE(""https://docs.google.com/spreadsheets/d/11923uPwbBZFjjGgGUA6NLw09EwE0CqkOc4q9oUmW1yo/edit?usp=sharing"",""ลำพูน!J414"")"),0)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IFERROR(__xludf.DUMMYFUNCTION("IMPORTRANGE(""https://docs.google.com/spreadsheets/d/11923uPwbBZFjjGgGUA6NLw09EwE0CqkOc4q9oUmW1yo/edit?usp=sharing"",""ลำพูน!I415"")"),0)</f>
        <v>0</v>
      </c>
      <c r="J520" s="197">
        <f ca="1">IFERROR(__xludf.DUMMYFUNCTION("IMPORTRANGE(""https://docs.google.com/spreadsheets/d/11923uPwbBZFjjGgGUA6NLw09EwE0CqkOc4q9oUmW1yo/edit?usp=sharing"",""ลำพูน!J415"")"),0)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IFERROR(__xludf.DUMMYFUNCTION("IMPORTRANGE(""https://docs.google.com/spreadsheets/d/11923uPwbBZFjjGgGUA6NLw09EwE0CqkOc4q9oUmW1yo/edit?usp=sharing"",""ลำพูน!I416"")"),0)</f>
        <v>0</v>
      </c>
      <c r="J521" s="197">
        <f ca="1">IFERROR(__xludf.DUMMYFUNCTION("IMPORTRANGE(""https://docs.google.com/spreadsheets/d/11923uPwbBZFjjGgGUA6NLw09EwE0CqkOc4q9oUmW1yo/edit?usp=sharing"",""ลำพูน!J416"")"),0)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IFERROR(__xludf.DUMMYFUNCTION("IMPORTRANGE(""https://docs.google.com/spreadsheets/d/11923uPwbBZFjjGgGUA6NLw09EwE0CqkOc4q9oUmW1yo/edit?usp=sharing"",""ลำพูน!I417"")"),0)</f>
        <v>0</v>
      </c>
      <c r="J522" s="197">
        <f ca="1">IFERROR(__xludf.DUMMYFUNCTION("IMPORTRANGE(""https://docs.google.com/spreadsheets/d/11923uPwbBZFjjGgGUA6NLw09EwE0CqkOc4q9oUmW1yo/edit?usp=sharing"",""ลำพูน!J417"")"),0)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IFERROR(__xludf.DUMMYFUNCTION("IMPORTRANGE(""https://docs.google.com/spreadsheets/d/11923uPwbBZFjjGgGUA6NLw09EwE0CqkOc4q9oUmW1yo/edit?usp=sharing"",""ลำพูน!I418"")"),0)</f>
        <v>0</v>
      </c>
      <c r="J523" s="197">
        <f ca="1">IFERROR(__xludf.DUMMYFUNCTION("IMPORTRANGE(""https://docs.google.com/spreadsheets/d/11923uPwbBZFjjGgGUA6NLw09EwE0CqkOc4q9oUmW1yo/edit?usp=sharing"",""ลำพูน!J418"")"),0)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IFERROR(__xludf.DUMMYFUNCTION("IMPORTRANGE(""https://docs.google.com/spreadsheets/d/11923uPwbBZFjjGgGUA6NLw09EwE0CqkOc4q9oUmW1yo/edit?usp=sharing"",""ลำพูน!I419"")"),0)</f>
        <v>0</v>
      </c>
      <c r="J524" s="197">
        <f ca="1">IFERROR(__xludf.DUMMYFUNCTION("IMPORTRANGE(""https://docs.google.com/spreadsheets/d/11923uPwbBZFjjGgGUA6NLw09EwE0CqkOc4q9oUmW1yo/edit?usp=sharing"",""ลำพูน!J419"")"),0)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IFERROR(__xludf.DUMMYFUNCTION("IMPORTRANGE(""https://docs.google.com/spreadsheets/d/11923uPwbBZFjjGgGUA6NLw09EwE0CqkOc4q9oUmW1yo/edit?usp=sharing"",""ลำพูน!I420"")"),0)</f>
        <v>0</v>
      </c>
      <c r="J525" s="292">
        <f ca="1">IFERROR(__xludf.DUMMYFUNCTION("IMPORTRANGE(""https://docs.google.com/spreadsheets/d/11923uPwbBZFjjGgGUA6NLw09EwE0CqkOc4q9oUmW1yo/edit?usp=sharing"",""ลำพูน!J420"")"),0)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IFERROR(__xludf.DUMMYFUNCTION("IMPORTRANGE(""https://docs.google.com/spreadsheets/d/11923uPwbBZFjjGgGUA6NLw09EwE0CqkOc4q9oUmW1yo/edit?usp=sharing"",""ลำพูน!I421"")"),0)</f>
        <v>0</v>
      </c>
      <c r="J526" s="292">
        <f ca="1">IFERROR(__xludf.DUMMYFUNCTION("IMPORTRANGE(""https://docs.google.com/spreadsheets/d/11923uPwbBZFjjGgGUA6NLw09EwE0CqkOc4q9oUmW1yo/edit?usp=sharing"",""ลำพูน!J421"")"),0)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IFERROR(__xludf.DUMMYFUNCTION("IMPORTRANGE(""https://docs.google.com/spreadsheets/d/11923uPwbBZFjjGgGUA6NLw09EwE0CqkOc4q9oUmW1yo/edit?usp=sharing"",""ลำพูน!I422"")"),0)</f>
        <v>0</v>
      </c>
      <c r="J527" s="207">
        <f ca="1">IFERROR(__xludf.DUMMYFUNCTION("IMPORTRANGE(""https://docs.google.com/spreadsheets/d/11923uPwbBZFjjGgGUA6NLw09EwE0CqkOc4q9oUmW1yo/edit?usp=sharing"",""ลำพูน!J422"")"),0)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IFERROR(__xludf.DUMMYFUNCTION("IMPORTRANGE(""https://docs.google.com/spreadsheets/d/11923uPwbBZFjjGgGUA6NLw09EwE0CqkOc4q9oUmW1yo/edit?usp=sharing"",""ลำพูน!I423"")"),0)</f>
        <v>0</v>
      </c>
      <c r="J528" s="207">
        <f ca="1">IFERROR(__xludf.DUMMYFUNCTION("IMPORTRANGE(""https://docs.google.com/spreadsheets/d/11923uPwbBZFjjGgGUA6NLw09EwE0CqkOc4q9oUmW1yo/edit?usp=sharing"",""ลำพูน!J423"")"),0)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IFERROR(__xludf.DUMMYFUNCTION("IMPORTRANGE(""https://docs.google.com/spreadsheets/d/11923uPwbBZFjjGgGUA6NLw09EwE0CqkOc4q9oUmW1yo/edit?usp=sharing"",""ลำพูน!I424"")"),0)</f>
        <v>0</v>
      </c>
      <c r="J529" s="207">
        <f ca="1">IFERROR(__xludf.DUMMYFUNCTION("IMPORTRANGE(""https://docs.google.com/spreadsheets/d/11923uPwbBZFjjGgGUA6NLw09EwE0CqkOc4q9oUmW1yo/edit?usp=sharing"",""ลำพูน!J424"")"),0)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IFERROR(__xludf.DUMMYFUNCTION("IMPORTRANGE(""https://docs.google.com/spreadsheets/d/11923uPwbBZFjjGgGUA6NLw09EwE0CqkOc4q9oUmW1yo/edit?usp=sharing"",""ลำพูน!I425"")"),0)</f>
        <v>0</v>
      </c>
      <c r="J530" s="207">
        <f ca="1">IFERROR(__xludf.DUMMYFUNCTION("IMPORTRANGE(""https://docs.google.com/spreadsheets/d/11923uPwbBZFjjGgGUA6NLw09EwE0CqkOc4q9oUmW1yo/edit?usp=sharing"",""ลำพูน!J425"")"),0)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IFERROR(__xludf.DUMMYFUNCTION("IMPORTRANGE(""https://docs.google.com/spreadsheets/d/11923uPwbBZFjjGgGUA6NLw09EwE0CqkOc4q9oUmW1yo/edit?usp=sharing"",""ลำพูน!I426"")"),0)</f>
        <v>0</v>
      </c>
      <c r="J531" s="207">
        <f ca="1">IFERROR(__xludf.DUMMYFUNCTION("IMPORTRANGE(""https://docs.google.com/spreadsheets/d/11923uPwbBZFjjGgGUA6NLw09EwE0CqkOc4q9oUmW1yo/edit?usp=sharing"",""ลำพูน!J426"")"),0)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IFERROR(__xludf.DUMMYFUNCTION("IMPORTRANGE(""https://docs.google.com/spreadsheets/d/11923uPwbBZFjjGgGUA6NLw09EwE0CqkOc4q9oUmW1yo/edit?usp=sharing"",""ลำพูน!I427"")"),0)</f>
        <v>0</v>
      </c>
      <c r="J532" s="474">
        <f ca="1">IFERROR(__xludf.DUMMYFUNCTION("IMPORTRANGE(""https://docs.google.com/spreadsheets/d/11923uPwbBZFjjGgGUA6NLw09EwE0CqkOc4q9oUmW1yo/edit?usp=sharing"",""ลำพูน!J427"")"),0)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IFERROR(__xludf.DUMMYFUNCTION("IMPORTRANGE(""https://docs.google.com/spreadsheets/d/11923uPwbBZFjjGgGUA6NLw09EwE0CqkOc4q9oUmW1yo/edit?usp=sharing"",""ลำพูน!I428"")"),22)</f>
        <v>22</v>
      </c>
      <c r="J533" s="418">
        <f ca="1">IFERROR(__xludf.DUMMYFUNCTION("IMPORTRANGE(""https://docs.google.com/spreadsheets/d/11923uPwbBZFjjGgGUA6NLw09EwE0CqkOc4q9oUmW1yo/edit?usp=sharing"",""ลำพูน!J428"")"),22)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IFERROR(__xludf.DUMMYFUNCTION("IMPORTRANGE(""https://docs.google.com/spreadsheets/d/11923uPwbBZFjjGgGUA6NLw09EwE0CqkOc4q9oUmW1yo/edit?usp=sharing"",""ลำพูน!L428"")"),34340)</f>
        <v>34340</v>
      </c>
      <c r="M533" s="420"/>
      <c r="N533" s="420">
        <f ca="1">IFERROR(__xludf.DUMMYFUNCTION("IMPORTRANGE(""https://docs.google.com/spreadsheets/d/11923uPwbBZFjjGgGUA6NLw09EwE0CqkOc4q9oUmW1yo/edit?usp=sharing"",""ลำพูน!M428"")"),17969)</f>
        <v>17969</v>
      </c>
      <c r="O533" s="420">
        <f t="shared" ref="O533:O537" ca="1" si="118">+IF(L533&gt;0,N533*100/L533,0)</f>
        <v>52.32673267326733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IFERROR(__xludf.DUMMYFUNCTION("IMPORTRANGE(""https://docs.google.com/spreadsheets/d/11923uPwbBZFjjGgGUA6NLw09EwE0CqkOc4q9oUmW1yo/edit?usp=sharing"",""ลำพูน!L429"")"),0)</f>
        <v>0</v>
      </c>
      <c r="M534" s="172"/>
      <c r="N534" s="178">
        <f ca="1">IFERROR(__xludf.DUMMYFUNCTION("IMPORTRANGE(""https://docs.google.com/spreadsheets/d/11923uPwbBZFjjGgGUA6NLw09EwE0CqkOc4q9oUmW1yo/edit?usp=sharing"",""ลำพูน!M429"")"),0)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IFERROR(__xludf.DUMMYFUNCTION("IMPORTRANGE(""https://docs.google.com/spreadsheets/d/11923uPwbBZFjjGgGUA6NLw09EwE0CqkOc4q9oUmW1yo/edit?usp=sharing"",""ลำพูน!L430"")"),34340)</f>
        <v>34340</v>
      </c>
      <c r="M535" s="173"/>
      <c r="N535" s="178">
        <f ca="1">IFERROR(__xludf.DUMMYFUNCTION("IMPORTRANGE(""https://docs.google.com/spreadsheets/d/11923uPwbBZFjjGgGUA6NLw09EwE0CqkOc4q9oUmW1yo/edit?usp=sharing"",""ลำพูน!M430"")"),17969)</f>
        <v>17969</v>
      </c>
      <c r="O535" s="178">
        <f t="shared" ca="1" si="118"/>
        <v>52.32673267326733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IFERROR(__xludf.DUMMYFUNCTION("IMPORTRANGE(""https://docs.google.com/spreadsheets/d/11923uPwbBZFjjGgGUA6NLw09EwE0CqkOc4q9oUmW1yo/edit?usp=sharing"",""ลำพูน!L431"")"),0)</f>
        <v>0</v>
      </c>
      <c r="M536" s="178"/>
      <c r="N536" s="178">
        <f ca="1">IFERROR(__xludf.DUMMYFUNCTION("IMPORTRANGE(""https://docs.google.com/spreadsheets/d/11923uPwbBZFjjGgGUA6NLw09EwE0CqkOc4q9oUmW1yo/edit?usp=sharing"",""ลำพูน!M431"")"),0)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IFERROR(__xludf.DUMMYFUNCTION("IMPORTRANGE(""https://docs.google.com/spreadsheets/d/11923uPwbBZFjjGgGUA6NLw09EwE0CqkOc4q9oUmW1yo/edit?usp=sharing"",""ลำพูน!L432"")"),34340)</f>
        <v>34340</v>
      </c>
      <c r="M537" s="178"/>
      <c r="N537" s="178">
        <f ca="1">IFERROR(__xludf.DUMMYFUNCTION("IMPORTRANGE(""https://docs.google.com/spreadsheets/d/11923uPwbBZFjjGgGUA6NLw09EwE0CqkOc4q9oUmW1yo/edit?usp=sharing"",""ลำพูน!M432"")"),17969)</f>
        <v>17969</v>
      </c>
      <c r="O537" s="178">
        <f t="shared" ca="1" si="118"/>
        <v>52.32673267326733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IFERROR(__xludf.DUMMYFUNCTION("IMPORTRANGE(""https://docs.google.com/spreadsheets/d/11923uPwbBZFjjGgGUA6NLw09EwE0CqkOc4q9oUmW1yo/edit?usp=sharing"",""ลำพูน!M433"")"),17969)</f>
        <v>17969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IFERROR(__xludf.DUMMYFUNCTION("IMPORTRANGE(""https://docs.google.com/spreadsheets/d/11923uPwbBZFjjGgGUA6NLw09EwE0CqkOc4q9oUmW1yo/edit?usp=sharing"",""ลำพูน!M434"")"),0)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IFERROR(__xludf.DUMMYFUNCTION("IMPORTRANGE(""https://docs.google.com/spreadsheets/d/11923uPwbBZFjjGgGUA6NLw09EwE0CqkOc4q9oUmW1yo/edit?usp=sharing"",""ลำพูน!M435"")"),0)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IFERROR(__xludf.DUMMYFUNCTION("IMPORTRANGE(""https://docs.google.com/spreadsheets/d/11923uPwbBZFjjGgGUA6NLw09EwE0CqkOc4q9oUmW1yo/edit?usp=sharing"",""ลำพูน!M436"")"),0)</f>
        <v>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IFERROR(__xludf.DUMMYFUNCTION("IMPORTRANGE(""https://docs.google.com/spreadsheets/d/11923uPwbBZFjjGgGUA6NLw09EwE0CqkOc4q9oUmW1yo/edit?usp=sharing"",""ลำพูน!J438"")"),0)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IFERROR(__xludf.DUMMYFUNCTION("IMPORTRANGE(""https://docs.google.com/spreadsheets/d/11923uPwbBZFjjGgGUA6NLw09EwE0CqkOc4q9oUmW1yo/edit?usp=sharing"",""ลำพูน!J439"")"),1)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IFERROR(__xludf.DUMMYFUNCTION("IMPORTRANGE(""https://docs.google.com/spreadsheets/d/11923uPwbBZFjjGgGUA6NLw09EwE0CqkOc4q9oUmW1yo/edit?usp=sharing"",""ลำพูน!J440"")"),1)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IFERROR(__xludf.DUMMYFUNCTION("IMPORTRANGE(""https://docs.google.com/spreadsheets/d/11923uPwbBZFjjGgGUA6NLw09EwE0CqkOc4q9oUmW1yo/edit?usp=sharing"",""ลำพูน!J441"")"),1)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IFERROR(__xludf.DUMMYFUNCTION("IMPORTRANGE(""https://docs.google.com/spreadsheets/d/11923uPwbBZFjjGgGUA6NLw09EwE0CqkOc4q9oUmW1yo/edit?usp=sharing"",""ลำพูน!I442"")"),22)</f>
        <v>22</v>
      </c>
      <c r="J547" s="198">
        <f ca="1">IFERROR(__xludf.DUMMYFUNCTION("IMPORTRANGE(""https://docs.google.com/spreadsheets/d/11923uPwbBZFjjGgGUA6NLw09EwE0CqkOc4q9oUmW1yo/edit?usp=sharing"",""ลำพูน!J442"")"),22)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IFERROR(__xludf.DUMMYFUNCTION("IMPORTRANGE(""https://docs.google.com/spreadsheets/d/11923uPwbBZFjjGgGUA6NLw09EwE0CqkOc4q9oUmW1yo/edit?usp=sharing"",""ลำพูน!J166"")"),0)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IFERROR(__xludf.DUMMYFUNCTION("IMPORTRANGE(""https://docs.google.com/spreadsheets/d/11923uPwbBZFjjGgGUA6NLw09EwE0CqkOc4q9oUmW1yo/edit?usp=sharing"",""ลำพูน!J444"")"),1)</f>
        <v>1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IFERROR(__xludf.DUMMYFUNCTION("IMPORTRANGE(""https://docs.google.com/spreadsheets/d/11923uPwbBZFjjGgGUA6NLw09EwE0CqkOc4q9oUmW1yo/edit?usp=sharing"",""ลำพูน!J445"")"),0)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IFERROR(__xludf.DUMMYFUNCTION("IMPORTRANGE(""https://docs.google.com/spreadsheets/d/11923uPwbBZFjjGgGUA6NLw09EwE0CqkOc4q9oUmW1yo/edit?usp=sharing"",""ลำพูน!I446"")"),0)</f>
        <v>0</v>
      </c>
      <c r="J551" s="418">
        <f ca="1">IFERROR(__xludf.DUMMYFUNCTION("IMPORTRANGE(""https://docs.google.com/spreadsheets/d/11923uPwbBZFjjGgGUA6NLw09EwE0CqkOc4q9oUmW1yo/edit?usp=sharing"",""ลำพูน!J446"")"),0)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IFERROR(__xludf.DUMMYFUNCTION("IMPORTRANGE(""https://docs.google.com/spreadsheets/d/11923uPwbBZFjjGgGUA6NLw09EwE0CqkOc4q9oUmW1yo/edit?usp=sharing"",""ลำพูน!L446"")"),0)</f>
        <v>0</v>
      </c>
      <c r="M551" s="420"/>
      <c r="N551" s="420">
        <f ca="1">IFERROR(__xludf.DUMMYFUNCTION("IMPORTRANGE(""https://docs.google.com/spreadsheets/d/11923uPwbBZFjjGgGUA6NLw09EwE0CqkOc4q9oUmW1yo/edit?usp=sharing"",""ลำพูน!M446"")"),0)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IFERROR(__xludf.DUMMYFUNCTION("IMPORTRANGE(""https://docs.google.com/spreadsheets/d/11923uPwbBZFjjGgGUA6NLw09EwE0CqkOc4q9oUmW1yo/edit?usp=sharing"",""ลำพูน!L447"")"),0)</f>
        <v>0</v>
      </c>
      <c r="M552" s="172"/>
      <c r="N552" s="178">
        <f ca="1">IFERROR(__xludf.DUMMYFUNCTION("IMPORTRANGE(""https://docs.google.com/spreadsheets/d/11923uPwbBZFjjGgGUA6NLw09EwE0CqkOc4q9oUmW1yo/edit?usp=sharing"",""ลำพูน!M447"")"),0)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IFERROR(__xludf.DUMMYFUNCTION("IMPORTRANGE(""https://docs.google.com/spreadsheets/d/11923uPwbBZFjjGgGUA6NLw09EwE0CqkOc4q9oUmW1yo/edit?usp=sharing"",""ลำพูน!L448"")"),0)</f>
        <v>0</v>
      </c>
      <c r="M553" s="173"/>
      <c r="N553" s="178">
        <f ca="1">IFERROR(__xludf.DUMMYFUNCTION("IMPORTRANGE(""https://docs.google.com/spreadsheets/d/11923uPwbBZFjjGgGUA6NLw09EwE0CqkOc4q9oUmW1yo/edit?usp=sharing"",""ลำพูน!M448"")"),0)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IFERROR(__xludf.DUMMYFUNCTION("IMPORTRANGE(""https://docs.google.com/spreadsheets/d/11923uPwbBZFjjGgGUA6NLw09EwE0CqkOc4q9oUmW1yo/edit?usp=sharing"",""ลำพูน!L449"")"),0)</f>
        <v>0</v>
      </c>
      <c r="M554" s="178"/>
      <c r="N554" s="178">
        <f ca="1">IFERROR(__xludf.DUMMYFUNCTION("IMPORTRANGE(""https://docs.google.com/spreadsheets/d/11923uPwbBZFjjGgGUA6NLw09EwE0CqkOc4q9oUmW1yo/edit?usp=sharing"",""ลำพูน!M449"")"),0)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IFERROR(__xludf.DUMMYFUNCTION("IMPORTRANGE(""https://docs.google.com/spreadsheets/d/11923uPwbBZFjjGgGUA6NLw09EwE0CqkOc4q9oUmW1yo/edit?usp=sharing"",""ลำพูน!L450"")"),0)</f>
        <v>0</v>
      </c>
      <c r="M555" s="178"/>
      <c r="N555" s="178">
        <f ca="1">IFERROR(__xludf.DUMMYFUNCTION("IMPORTRANGE(""https://docs.google.com/spreadsheets/d/11923uPwbBZFjjGgGUA6NLw09EwE0CqkOc4q9oUmW1yo/edit?usp=sharing"",""ลำพูน!M450"")"),0)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IFERROR(__xludf.DUMMYFUNCTION("IMPORTRANGE(""https://docs.google.com/spreadsheets/d/11923uPwbBZFjjGgGUA6NLw09EwE0CqkOc4q9oUmW1yo/edit?usp=sharing"",""ลำพูน!M451"")"),0)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IFERROR(__xludf.DUMMYFUNCTION("IMPORTRANGE(""https://docs.google.com/spreadsheets/d/11923uPwbBZFjjGgGUA6NLw09EwE0CqkOc4q9oUmW1yo/edit?usp=sharing"",""ลำพูน!M452"")"),0)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IFERROR(__xludf.DUMMYFUNCTION("IMPORTRANGE(""https://docs.google.com/spreadsheets/d/11923uPwbBZFjjGgGUA6NLw09EwE0CqkOc4q9oUmW1yo/edit?usp=sharing"",""ลำพูน!M453"")"),0)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IFERROR(__xludf.DUMMYFUNCTION("IMPORTRANGE(""https://docs.google.com/spreadsheets/d/11923uPwbBZFjjGgGUA6NLw09EwE0CqkOc4q9oUmW1yo/edit?usp=sharing"",""ลำพูน!M454"")"),0)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IFERROR(__xludf.DUMMYFUNCTION("IMPORTRANGE(""https://docs.google.com/spreadsheets/d/11923uPwbBZFjjGgGUA6NLw09EwE0CqkOc4q9oUmW1yo/edit?usp=sharing"",""ลำพูน!I455"")"),0)</f>
        <v>0</v>
      </c>
      <c r="J560" s="170">
        <f ca="1">IFERROR(__xludf.DUMMYFUNCTION("IMPORTRANGE(""https://docs.google.com/spreadsheets/d/11923uPwbBZFjjGgGUA6NLw09EwE0CqkOc4q9oUmW1yo/edit?usp=sharing"",""ลำพูน!J455"")"),0)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IFERROR(__xludf.DUMMYFUNCTION("IMPORTRANGE(""https://docs.google.com/spreadsheets/d/11923uPwbBZFjjGgGUA6NLw09EwE0CqkOc4q9oUmW1yo/edit?usp=sharing"",""ลำพูน!I456"")"),0)</f>
        <v>0</v>
      </c>
      <c r="J561" s="213">
        <f ca="1">IFERROR(__xludf.DUMMYFUNCTION("IMPORTRANGE(""https://docs.google.com/spreadsheets/d/11923uPwbBZFjjGgGUA6NLw09EwE0CqkOc4q9oUmW1yo/edit?usp=sharing"",""ลำพูน!J456"")"),0)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IFERROR(__xludf.DUMMYFUNCTION("IMPORTRANGE(""https://docs.google.com/spreadsheets/d/11923uPwbBZFjjGgGUA6NLw09EwE0CqkOc4q9oUmW1yo/edit?usp=sharing"",""ลำพูน!I457"")"),"")</f>
        <v/>
      </c>
      <c r="J562" s="213" t="str">
        <f ca="1">IFERROR(__xludf.DUMMYFUNCTION("IMPORTRANGE(""https://docs.google.com/spreadsheets/d/11923uPwbBZFjjGgGUA6NLw09EwE0CqkOc4q9oUmW1yo/edit?usp=sharing"",""ลำพูน!J457"")"),"")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IFERROR(__xludf.DUMMYFUNCTION("IMPORTRANGE(""https://docs.google.com/spreadsheets/d/11923uPwbBZFjjGgGUA6NLw09EwE0CqkOc4q9oUmW1yo/edit?usp=sharing"",""ลำพูน!I458"")"),"")</f>
        <v/>
      </c>
      <c r="J563" s="197" t="str">
        <f ca="1">IFERROR(__xludf.DUMMYFUNCTION("IMPORTRANGE(""https://docs.google.com/spreadsheets/d/11923uPwbBZFjjGgGUA6NLw09EwE0CqkOc4q9oUmW1yo/edit?usp=sharing"",""ลำพูน!J458"")"),"")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IFERROR(__xludf.DUMMYFUNCTION("IMPORTRANGE(""https://docs.google.com/spreadsheets/d/11923uPwbBZFjjGgGUA6NLw09EwE0CqkOc4q9oUmW1yo/edit?usp=sharing"",""ลำพูน!I459"")"),650)</f>
        <v>650</v>
      </c>
      <c r="J564" s="379">
        <f ca="1">IFERROR(__xludf.DUMMYFUNCTION("IMPORTRANGE(""https://docs.google.com/spreadsheets/d/11923uPwbBZFjjGgGUA6NLw09EwE0CqkOc4q9oUmW1yo/edit?usp=sharing"",""ลำพูน!J459"")"),189)</f>
        <v>189</v>
      </c>
      <c r="K564" s="380">
        <f t="shared" ca="1" si="121"/>
        <v>29.076923076923077</v>
      </c>
      <c r="L564" s="381">
        <f ca="1">IFERROR(__xludf.DUMMYFUNCTION("IMPORTRANGE(""https://docs.google.com/spreadsheets/d/11923uPwbBZFjjGgGUA6NLw09EwE0CqkOc4q9oUmW1yo/edit?usp=sharing"",""ลำพูน!L459"")"),126880)</f>
        <v>126880</v>
      </c>
      <c r="M564" s="381"/>
      <c r="N564" s="381">
        <f ca="1">IFERROR(__xludf.DUMMYFUNCTION("IMPORTRANGE(""https://docs.google.com/spreadsheets/d/11923uPwbBZFjjGgGUA6NLw09EwE0CqkOc4q9oUmW1yo/edit?usp=sharing"",""ลำพูน!M459"")"),48305)</f>
        <v>48305</v>
      </c>
      <c r="O564" s="381">
        <f t="shared" ref="O564:O568" ca="1" si="122">+IF(L564&gt;0,N564*100/L564,0)</f>
        <v>38.071406052963432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IFERROR(__xludf.DUMMYFUNCTION("IMPORTRANGE(""https://docs.google.com/spreadsheets/d/11923uPwbBZFjjGgGUA6NLw09EwE0CqkOc4q9oUmW1yo/edit?usp=sharing"",""ลำพูน!L460"")"),0)</f>
        <v>0</v>
      </c>
      <c r="M565" s="172"/>
      <c r="N565" s="178">
        <f ca="1">IFERROR(__xludf.DUMMYFUNCTION("IMPORTRANGE(""https://docs.google.com/spreadsheets/d/11923uPwbBZFjjGgGUA6NLw09EwE0CqkOc4q9oUmW1yo/edit?usp=sharing"",""ลำพูน!M460"")"),0)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IFERROR(__xludf.DUMMYFUNCTION("IMPORTRANGE(""https://docs.google.com/spreadsheets/d/11923uPwbBZFjjGgGUA6NLw09EwE0CqkOc4q9oUmW1yo/edit?usp=sharing"",""ลำพูน!L461"")"),126880)</f>
        <v>126880</v>
      </c>
      <c r="M566" s="173"/>
      <c r="N566" s="178">
        <f ca="1">IFERROR(__xludf.DUMMYFUNCTION("IMPORTRANGE(""https://docs.google.com/spreadsheets/d/11923uPwbBZFjjGgGUA6NLw09EwE0CqkOc4q9oUmW1yo/edit?usp=sharing"",""ลำพูน!M461"")"),48305)</f>
        <v>48305</v>
      </c>
      <c r="O566" s="178">
        <f t="shared" ca="1" si="122"/>
        <v>38.071406052963432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IFERROR(__xludf.DUMMYFUNCTION("IMPORTRANGE(""https://docs.google.com/spreadsheets/d/11923uPwbBZFjjGgGUA6NLw09EwE0CqkOc4q9oUmW1yo/edit?usp=sharing"",""ลำพูน!L462"")"),0)</f>
        <v>0</v>
      </c>
      <c r="M567" s="178"/>
      <c r="N567" s="178">
        <f ca="1">IFERROR(__xludf.DUMMYFUNCTION("IMPORTRANGE(""https://docs.google.com/spreadsheets/d/11923uPwbBZFjjGgGUA6NLw09EwE0CqkOc4q9oUmW1yo/edit?usp=sharing"",""ลำพูน!M462"")"),0)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IFERROR(__xludf.DUMMYFUNCTION("IMPORTRANGE(""https://docs.google.com/spreadsheets/d/11923uPwbBZFjjGgGUA6NLw09EwE0CqkOc4q9oUmW1yo/edit?usp=sharing"",""ลำพูน!L463"")"),126880)</f>
        <v>126880</v>
      </c>
      <c r="M568" s="178"/>
      <c r="N568" s="178">
        <f ca="1">IFERROR(__xludf.DUMMYFUNCTION("IMPORTRANGE(""https://docs.google.com/spreadsheets/d/11923uPwbBZFjjGgGUA6NLw09EwE0CqkOc4q9oUmW1yo/edit?usp=sharing"",""ลำพูน!M463"")"),48305)</f>
        <v>48305</v>
      </c>
      <c r="O568" s="178">
        <f t="shared" ca="1" si="122"/>
        <v>38.071406052963432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IFERROR(__xludf.DUMMYFUNCTION("IMPORTRANGE(""https://docs.google.com/spreadsheets/d/11923uPwbBZFjjGgGUA6NLw09EwE0CqkOc4q9oUmW1yo/edit?usp=sharing"",""ลำพูน!M464"")"),0)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IFERROR(__xludf.DUMMYFUNCTION("IMPORTRANGE(""https://docs.google.com/spreadsheets/d/11923uPwbBZFjjGgGUA6NLw09EwE0CqkOc4q9oUmW1yo/edit?usp=sharing"",""ลำพูน!M465"")"),0)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IFERROR(__xludf.DUMMYFUNCTION("IMPORTRANGE(""https://docs.google.com/spreadsheets/d/11923uPwbBZFjjGgGUA6NLw09EwE0CqkOc4q9oUmW1yo/edit?usp=sharing"",""ลำพูน!M466"")"),42935)</f>
        <v>42935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IFERROR(__xludf.DUMMYFUNCTION("IMPORTRANGE(""https://docs.google.com/spreadsheets/d/11923uPwbBZFjjGgGUA6NLw09EwE0CqkOc4q9oUmW1yo/edit?usp=sharing"",""ลำพูน!M467"")"),5370)</f>
        <v>5370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IFERROR(__xludf.DUMMYFUNCTION("IMPORTRANGE(""https://docs.google.com/spreadsheets/d/11923uPwbBZFjjGgGUA6NLw09EwE0CqkOc4q9oUmW1yo/edit?usp=sharing"",""ลำพูน!I468"")"),650)</f>
        <v>650</v>
      </c>
      <c r="J573" s="428">
        <f ca="1">IFERROR(__xludf.DUMMYFUNCTION("IMPORTRANGE(""https://docs.google.com/spreadsheets/d/11923uPwbBZFjjGgGUA6NLw09EwE0CqkOc4q9oUmW1yo/edit?usp=sharing"",""ลำพูน!J468"")"),189)</f>
        <v>189</v>
      </c>
      <c r="K573" s="211">
        <f ca="1">IF(I573&gt;0,J573*100/I573,0)</f>
        <v>29.076923076923077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IFERROR(__xludf.DUMMYFUNCTION("IMPORTRANGE(""https://docs.google.com/spreadsheets/d/11923uPwbBZFjjGgGUA6NLw09EwE0CqkOc4q9oUmW1yo/edit?usp=sharing"",""ลำพูน!I470"")"),0)</f>
        <v>0</v>
      </c>
      <c r="J575" s="207">
        <f ca="1">IFERROR(__xludf.DUMMYFUNCTION("IMPORTRANGE(""https://docs.google.com/spreadsheets/d/11923uPwbBZFjjGgGUA6NLw09EwE0CqkOc4q9oUmW1yo/edit?usp=sharing"",""ลำพูน!J470"")"),0)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IFERROR(__xludf.DUMMYFUNCTION("IMPORTRANGE(""https://docs.google.com/spreadsheets/d/11923uPwbBZFjjGgGUA6NLw09EwE0CqkOc4q9oUmW1yo/edit?usp=sharing"",""ลำพูน!I471"")"),0)</f>
        <v>0</v>
      </c>
      <c r="J576" s="207">
        <f ca="1">IFERROR(__xludf.DUMMYFUNCTION("IMPORTRANGE(""https://docs.google.com/spreadsheets/d/11923uPwbBZFjjGgGUA6NLw09EwE0CqkOc4q9oUmW1yo/edit?usp=sharing"",""ลำพูน!J471"")"),0)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IFERROR(__xludf.DUMMYFUNCTION("IMPORTRANGE(""https://docs.google.com/spreadsheets/d/11923uPwbBZFjjGgGUA6NLw09EwE0CqkOc4q9oUmW1yo/edit?usp=sharing"",""ลำพูน!I472"")"),0)</f>
        <v>0</v>
      </c>
      <c r="J577" s="198">
        <f ca="1">IFERROR(__xludf.DUMMYFUNCTION("IMPORTRANGE(""https://docs.google.com/spreadsheets/d/11923uPwbBZFjjGgGUA6NLw09EwE0CqkOc4q9oUmW1yo/edit?usp=sharing"",""ลำพูน!J472"")"),189)</f>
        <v>189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IFERROR(__xludf.DUMMYFUNCTION("IMPORTRANGE(""https://docs.google.com/spreadsheets/d/11923uPwbBZFjjGgGUA6NLw09EwE0CqkOc4q9oUmW1yo/edit?usp=sharing"",""ลำพูน!I473"")"),0)</f>
        <v>0</v>
      </c>
      <c r="J578" s="207">
        <f ca="1">IFERROR(__xludf.DUMMYFUNCTION("IMPORTRANGE(""https://docs.google.com/spreadsheets/d/11923uPwbBZFjjGgGUA6NLw09EwE0CqkOc4q9oUmW1yo/edit?usp=sharing"",""ลำพูน!J473"")"),0)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IFERROR(__xludf.DUMMYFUNCTION("IMPORTRANGE(""https://docs.google.com/spreadsheets/d/11923uPwbBZFjjGgGUA6NLw09EwE0CqkOc4q9oUmW1yo/edit?usp=sharing"",""ลำพูน!I474"")"),0)</f>
        <v>0</v>
      </c>
      <c r="J579" s="207">
        <f ca="1">IFERROR(__xludf.DUMMYFUNCTION("IMPORTRANGE(""https://docs.google.com/spreadsheets/d/11923uPwbBZFjjGgGUA6NLw09EwE0CqkOc4q9oUmW1yo/edit?usp=sharing"",""ลำพูน!J474"")"),0)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IFERROR(__xludf.DUMMYFUNCTION("IMPORTRANGE(""https://docs.google.com/spreadsheets/d/11923uPwbBZFjjGgGUA6NLw09EwE0CqkOc4q9oUmW1yo/edit?usp=sharing"",""ลำพูน!I475"")"),0)</f>
        <v>0</v>
      </c>
      <c r="J580" s="379">
        <f ca="1">IFERROR(__xludf.DUMMYFUNCTION("IMPORTRANGE(""https://docs.google.com/spreadsheets/d/11923uPwbBZFjjGgGUA6NLw09EwE0CqkOc4q9oUmW1yo/edit?usp=sharing"",""ลำพูน!J475"")"),0)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IFERROR(__xludf.DUMMYFUNCTION("IMPORTRANGE(""https://docs.google.com/spreadsheets/d/11923uPwbBZFjjGgGUA6NLw09EwE0CqkOc4q9oUmW1yo/edit?usp=sharing"",""ลำพูน!L475"")"),0)</f>
        <v>0</v>
      </c>
      <c r="M580" s="381"/>
      <c r="N580" s="381">
        <f ca="1">IFERROR(__xludf.DUMMYFUNCTION("IMPORTRANGE(""https://docs.google.com/spreadsheets/d/11923uPwbBZFjjGgGUA6NLw09EwE0CqkOc4q9oUmW1yo/edit?usp=sharing"",""ลำพูน!M475"")"),0)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IFERROR(__xludf.DUMMYFUNCTION("IMPORTRANGE(""https://docs.google.com/spreadsheets/d/11923uPwbBZFjjGgGUA6NLw09EwE0CqkOc4q9oUmW1yo/edit?usp=sharing"",""ลำพูน!L476"")"),0)</f>
        <v>0</v>
      </c>
      <c r="M581" s="172"/>
      <c r="N581" s="178">
        <f ca="1">IFERROR(__xludf.DUMMYFUNCTION("IMPORTRANGE(""https://docs.google.com/spreadsheets/d/11923uPwbBZFjjGgGUA6NLw09EwE0CqkOc4q9oUmW1yo/edit?usp=sharing"",""ลำพูน!M476"")"),0)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IFERROR(__xludf.DUMMYFUNCTION("IMPORTRANGE(""https://docs.google.com/spreadsheets/d/11923uPwbBZFjjGgGUA6NLw09EwE0CqkOc4q9oUmW1yo/edit?usp=sharing"",""ลำพูน!L477"")"),0)</f>
        <v>0</v>
      </c>
      <c r="M582" s="173"/>
      <c r="N582" s="178">
        <f ca="1">IFERROR(__xludf.DUMMYFUNCTION("IMPORTRANGE(""https://docs.google.com/spreadsheets/d/11923uPwbBZFjjGgGUA6NLw09EwE0CqkOc4q9oUmW1yo/edit?usp=sharing"",""ลำพูน!M477"")"),0)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IFERROR(__xludf.DUMMYFUNCTION("IMPORTRANGE(""https://docs.google.com/spreadsheets/d/11923uPwbBZFjjGgGUA6NLw09EwE0CqkOc4q9oUmW1yo/edit?usp=sharing"",""ลำพูน!L478"")"),0)</f>
        <v>0</v>
      </c>
      <c r="M583" s="178"/>
      <c r="N583" s="178">
        <f ca="1">IFERROR(__xludf.DUMMYFUNCTION("IMPORTRANGE(""https://docs.google.com/spreadsheets/d/11923uPwbBZFjjGgGUA6NLw09EwE0CqkOc4q9oUmW1yo/edit?usp=sharing"",""ลำพูน!M478"")"),0)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IFERROR(__xludf.DUMMYFUNCTION("IMPORTRANGE(""https://docs.google.com/spreadsheets/d/11923uPwbBZFjjGgGUA6NLw09EwE0CqkOc4q9oUmW1yo/edit?usp=sharing"",""ลำพูน!L479"")"),0)</f>
        <v>0</v>
      </c>
      <c r="M584" s="178"/>
      <c r="N584" s="178">
        <f ca="1">IFERROR(__xludf.DUMMYFUNCTION("IMPORTRANGE(""https://docs.google.com/spreadsheets/d/11923uPwbBZFjjGgGUA6NLw09EwE0CqkOc4q9oUmW1yo/edit?usp=sharing"",""ลำพูน!M479"")"),0)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IFERROR(__xludf.DUMMYFUNCTION("IMPORTRANGE(""https://docs.google.com/spreadsheets/d/11923uPwbBZFjjGgGUA6NLw09EwE0CqkOc4q9oUmW1yo/edit?usp=sharing"",""ลำพูน!M480"")"),0)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IFERROR(__xludf.DUMMYFUNCTION("IMPORTRANGE(""https://docs.google.com/spreadsheets/d/11923uPwbBZFjjGgGUA6NLw09EwE0CqkOc4q9oUmW1yo/edit?usp=sharing"",""ลำพูน!M481"")"),0)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IFERROR(__xludf.DUMMYFUNCTION("IMPORTRANGE(""https://docs.google.com/spreadsheets/d/11923uPwbBZFjjGgGUA6NLw09EwE0CqkOc4q9oUmW1yo/edit?usp=sharing"",""ลำพูน!M482"")"),0)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IFERROR(__xludf.DUMMYFUNCTION("IMPORTRANGE(""https://docs.google.com/spreadsheets/d/11923uPwbBZFjjGgGUA6NLw09EwE0CqkOc4q9oUmW1yo/edit?usp=sharing"",""ลำพูน!M483"")"),0)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IFERROR(__xludf.DUMMYFUNCTION("IMPORTRANGE(""https://docs.google.com/spreadsheets/d/11923uPwbBZFjjGgGUA6NLw09EwE0CqkOc4q9oUmW1yo/edit?usp=sharing"",""ลำพูน!I484"")"),0)</f>
        <v>0</v>
      </c>
      <c r="J589" s="197">
        <f ca="1">IFERROR(__xludf.DUMMYFUNCTION("IMPORTRANGE(""https://docs.google.com/spreadsheets/d/11923uPwbBZFjjGgGUA6NLw09EwE0CqkOc4q9oUmW1yo/edit?usp=sharing"",""ลำพูน!J484"")"),0)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IFERROR(__xludf.DUMMYFUNCTION("IMPORTRANGE(""https://docs.google.com/spreadsheets/d/11923uPwbBZFjjGgGUA6NLw09EwE0CqkOc4q9oUmW1yo/edit?usp=sharing"",""ลำพูน!I485"")"),0)</f>
        <v>0</v>
      </c>
      <c r="J590" s="197">
        <f ca="1">IFERROR(__xludf.DUMMYFUNCTION("IMPORTRANGE(""https://docs.google.com/spreadsheets/d/11923uPwbBZFjjGgGUA6NLw09EwE0CqkOc4q9oUmW1yo/edit?usp=sharing"",""ลำพูน!J485"")"),0)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IFERROR(__xludf.DUMMYFUNCTION("IMPORTRANGE(""https://docs.google.com/spreadsheets/d/11923uPwbBZFjjGgGUA6NLw09EwE0CqkOc4q9oUmW1yo/edit?usp=sharing"",""ลำพูน!I486"")"),0)</f>
        <v>0</v>
      </c>
      <c r="J591" s="197">
        <f ca="1">IFERROR(__xludf.DUMMYFUNCTION("IMPORTRANGE(""https://docs.google.com/spreadsheets/d/11923uPwbBZFjjGgGUA6NLw09EwE0CqkOc4q9oUmW1yo/edit?usp=sharing"",""ลำพูน!J486"")"),0)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IFERROR(__xludf.DUMMYFUNCTION("IMPORTRANGE(""https://docs.google.com/spreadsheets/d/11923uPwbBZFjjGgGUA6NLw09EwE0CqkOc4q9oUmW1yo/edit?usp=sharing"",""ลำพูน!I487"")"),0)</f>
        <v>0</v>
      </c>
      <c r="J592" s="197">
        <f ca="1">IFERROR(__xludf.DUMMYFUNCTION("IMPORTRANGE(""https://docs.google.com/spreadsheets/d/11923uPwbBZFjjGgGUA6NLw09EwE0CqkOc4q9oUmW1yo/edit?usp=sharing"",""ลำพูน!J487"")"),0)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IFERROR(__xludf.DUMMYFUNCTION("IMPORTRANGE(""https://docs.google.com/spreadsheets/d/11923uPwbBZFjjGgGUA6NLw09EwE0CqkOc4q9oUmW1yo/edit?usp=sharing"",""ลำพูน!I488"")"),0)</f>
        <v>0</v>
      </c>
      <c r="J593" s="197">
        <f ca="1">IFERROR(__xludf.DUMMYFUNCTION("IMPORTRANGE(""https://docs.google.com/spreadsheets/d/11923uPwbBZFjjGgGUA6NLw09EwE0CqkOc4q9oUmW1yo/edit?usp=sharing"",""ลำพูน!J488"")"),0)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IFERROR(__xludf.DUMMYFUNCTION("IMPORTRANGE(""https://docs.google.com/spreadsheets/d/11923uPwbBZFjjGgGUA6NLw09EwE0CqkOc4q9oUmW1yo/edit?usp=sharing"",""ลำพูน!I489"")"),0)</f>
        <v>0</v>
      </c>
      <c r="J594" s="197">
        <f ca="1">IFERROR(__xludf.DUMMYFUNCTION("IMPORTRANGE(""https://docs.google.com/spreadsheets/d/11923uPwbBZFjjGgGUA6NLw09EwE0CqkOc4q9oUmW1yo/edit?usp=sharing"",""ลำพูน!J489"")"),0)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IFERROR(__xludf.DUMMYFUNCTION("IMPORTRANGE(""https://docs.google.com/spreadsheets/d/11923uPwbBZFjjGgGUA6NLw09EwE0CqkOc4q9oUmW1yo/edit?usp=sharing"",""ลำพูน!I490"")"),0)</f>
        <v>0</v>
      </c>
      <c r="J595" s="197">
        <f ca="1">IFERROR(__xludf.DUMMYFUNCTION("IMPORTRANGE(""https://docs.google.com/spreadsheets/d/11923uPwbBZFjjGgGUA6NLw09EwE0CqkOc4q9oUmW1yo/edit?usp=sharing"",""ลำพูน!J490"")"),0)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IFERROR(__xludf.DUMMYFUNCTION("IMPORTRANGE(""https://docs.google.com/spreadsheets/d/11923uPwbBZFjjGgGUA6NLw09EwE0CqkOc4q9oUmW1yo/edit?usp=sharing"",""ลำพูน!I491"")"),0)</f>
        <v>0</v>
      </c>
      <c r="J596" s="250">
        <f ca="1">IFERROR(__xludf.DUMMYFUNCTION("IMPORTRANGE(""https://docs.google.com/spreadsheets/d/11923uPwbBZFjjGgGUA6NLw09EwE0CqkOc4q9oUmW1yo/edit?usp=sharing"",""ลำพูน!J491"")"),0)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IFERROR(__xludf.DUMMYFUNCTION("IMPORTRANGE(""https://docs.google.com/spreadsheets/d/11923uPwbBZFjjGgGUA6NLw09EwE0CqkOc4q9oUmW1yo/edit?usp=sharing"",""ลำพูน!I492"")"),50)</f>
        <v>50</v>
      </c>
      <c r="J597" s="495">
        <f ca="1">IFERROR(__xludf.DUMMYFUNCTION("IMPORTRANGE(""https://docs.google.com/spreadsheets/d/11923uPwbBZFjjGgGUA6NLw09EwE0CqkOc4q9oUmW1yo/edit?usp=sharing"",""ลำพูน!J492"")"),0)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IFERROR(__xludf.DUMMYFUNCTION("IMPORTRANGE(""https://docs.google.com/spreadsheets/d/11923uPwbBZFjjGgGUA6NLw09EwE0CqkOc4q9oUmW1yo/edit?usp=sharing"",""ลำพูน!L492"")"),4550)</f>
        <v>4550</v>
      </c>
      <c r="M597" s="420"/>
      <c r="N597" s="420">
        <f ca="1">IFERROR(__xludf.DUMMYFUNCTION("IMPORTRANGE(""https://docs.google.com/spreadsheets/d/11923uPwbBZFjjGgGUA6NLw09EwE0CqkOc4q9oUmW1yo/edit?usp=sharing"",""ลำพูน!M492"")"),850)</f>
        <v>850</v>
      </c>
      <c r="O597" s="420">
        <f t="shared" ref="O597:O601" ca="1" si="126">+IF(L597&gt;0,N597*100/L597,0)</f>
        <v>18.681318681318682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IFERROR(__xludf.DUMMYFUNCTION("IMPORTRANGE(""https://docs.google.com/spreadsheets/d/11923uPwbBZFjjGgGUA6NLw09EwE0CqkOc4q9oUmW1yo/edit?usp=sharing"",""ลำพูน!L493"")"),0)</f>
        <v>0</v>
      </c>
      <c r="M598" s="172"/>
      <c r="N598" s="178">
        <f ca="1">IFERROR(__xludf.DUMMYFUNCTION("IMPORTRANGE(""https://docs.google.com/spreadsheets/d/11923uPwbBZFjjGgGUA6NLw09EwE0CqkOc4q9oUmW1yo/edit?usp=sharing"",""ลำพูน!M493"")"),0)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IFERROR(__xludf.DUMMYFUNCTION("IMPORTRANGE(""https://docs.google.com/spreadsheets/d/11923uPwbBZFjjGgGUA6NLw09EwE0CqkOc4q9oUmW1yo/edit?usp=sharing"",""ลำพูน!L494"")"),4550)</f>
        <v>4550</v>
      </c>
      <c r="M599" s="173"/>
      <c r="N599" s="178">
        <f ca="1">IFERROR(__xludf.DUMMYFUNCTION("IMPORTRANGE(""https://docs.google.com/spreadsheets/d/11923uPwbBZFjjGgGUA6NLw09EwE0CqkOc4q9oUmW1yo/edit?usp=sharing"",""ลำพูน!M494"")"),850)</f>
        <v>850</v>
      </c>
      <c r="O599" s="178">
        <f t="shared" ca="1" si="126"/>
        <v>18.681318681318682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IFERROR(__xludf.DUMMYFUNCTION("IMPORTRANGE(""https://docs.google.com/spreadsheets/d/11923uPwbBZFjjGgGUA6NLw09EwE0CqkOc4q9oUmW1yo/edit?usp=sharing"",""ลำพูน!L495"")"),0)</f>
        <v>0</v>
      </c>
      <c r="M600" s="178"/>
      <c r="N600" s="178">
        <f ca="1">IFERROR(__xludf.DUMMYFUNCTION("IMPORTRANGE(""https://docs.google.com/spreadsheets/d/11923uPwbBZFjjGgGUA6NLw09EwE0CqkOc4q9oUmW1yo/edit?usp=sharing"",""ลำพูน!M495"")"),0)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IFERROR(__xludf.DUMMYFUNCTION("IMPORTRANGE(""https://docs.google.com/spreadsheets/d/11923uPwbBZFjjGgGUA6NLw09EwE0CqkOc4q9oUmW1yo/edit?usp=sharing"",""ลำพูน!L496"")"),4550)</f>
        <v>4550</v>
      </c>
      <c r="M601" s="178"/>
      <c r="N601" s="178">
        <f ca="1">IFERROR(__xludf.DUMMYFUNCTION("IMPORTRANGE(""https://docs.google.com/spreadsheets/d/11923uPwbBZFjjGgGUA6NLw09EwE0CqkOc4q9oUmW1yo/edit?usp=sharing"",""ลำพูน!M496"")"),850)</f>
        <v>850</v>
      </c>
      <c r="O601" s="178">
        <f t="shared" ca="1" si="126"/>
        <v>18.681318681318682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IFERROR(__xludf.DUMMYFUNCTION("IMPORTRANGE(""https://docs.google.com/spreadsheets/d/11923uPwbBZFjjGgGUA6NLw09EwE0CqkOc4q9oUmW1yo/edit?usp=sharing"",""ลำพูน!M497"")"),0)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IFERROR(__xludf.DUMMYFUNCTION("IMPORTRANGE(""https://docs.google.com/spreadsheets/d/11923uPwbBZFjjGgGUA6NLw09EwE0CqkOc4q9oUmW1yo/edit?usp=sharing"",""ลำพูน!M498"")"),0)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IFERROR(__xludf.DUMMYFUNCTION("IMPORTRANGE(""https://docs.google.com/spreadsheets/d/11923uPwbBZFjjGgGUA6NLw09EwE0CqkOc4q9oUmW1yo/edit?usp=sharing"",""ลำพูน!M499"")"),0)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IFERROR(__xludf.DUMMYFUNCTION("IMPORTRANGE(""https://docs.google.com/spreadsheets/d/11923uPwbBZFjjGgGUA6NLw09EwE0CqkOc4q9oUmW1yo/edit?usp=sharing"",""ลำพูน!M500"")"),850)</f>
        <v>850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IFERROR(__xludf.DUMMYFUNCTION("IMPORTRANGE(""https://docs.google.com/spreadsheets/d/11923uPwbBZFjjGgGUA6NLw09EwE0CqkOc4q9oUmW1yo/edit?usp=sharing"",""ลำพูน!J502"")"),0)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IFERROR(__xludf.DUMMYFUNCTION("IMPORTRANGE(""https://docs.google.com/spreadsheets/d/11923uPwbBZFjjGgGUA6NLw09EwE0CqkOc4q9oUmW1yo/edit?usp=sharing"",""ลำพูน!J503"")"),1)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IFERROR(__xludf.DUMMYFUNCTION("IMPORTRANGE(""https://docs.google.com/spreadsheets/d/11923uPwbBZFjjGgGUA6NLw09EwE0CqkOc4q9oUmW1yo/edit?usp=sharing"",""ลำพูน!J166"")"),0)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IFERROR(__xludf.DUMMYFUNCTION("IMPORTRANGE(""https://docs.google.com/spreadsheets/d/11923uPwbBZFjjGgGUA6NLw09EwE0CqkOc4q9oUmW1yo/edit?usp=sharing"",""ลำพูน!J166"")"),0)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IFERROR(__xludf.DUMMYFUNCTION("IMPORTRANGE(""https://docs.google.com/spreadsheets/d/11923uPwbBZFjjGgGUA6NLw09EwE0CqkOc4q9oUmW1yo/edit?usp=sharing"",""ลำพูน!I506"")"),50)</f>
        <v>50</v>
      </c>
      <c r="J611" s="170">
        <f ca="1">IFERROR(__xludf.DUMMYFUNCTION("IMPORTRANGE(""https://docs.google.com/spreadsheets/d/11923uPwbBZFjjGgGUA6NLw09EwE0CqkOc4q9oUmW1yo/edit?usp=sharing"",""ลำพูน!J506"")"),0)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IFERROR(__xludf.DUMMYFUNCTION("IMPORTRANGE(""https://docs.google.com/spreadsheets/d/11923uPwbBZFjjGgGUA6NLw09EwE0CqkOc4q9oUmW1yo/edit?usp=sharing"",""ลำพูน!I507"")"),0)</f>
        <v>0</v>
      </c>
      <c r="J612" s="207">
        <f ca="1">IFERROR(__xludf.DUMMYFUNCTION("IMPORTRANGE(""https://docs.google.com/spreadsheets/d/11923uPwbBZFjjGgGUA6NLw09EwE0CqkOc4q9oUmW1yo/edit?usp=sharing"",""ลำพูน!J507"")"),50)</f>
        <v>50</v>
      </c>
      <c r="K612" s="171">
        <f t="shared" ca="1" si="127"/>
        <v>100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IFERROR(__xludf.DUMMYFUNCTION("IMPORTRANGE(""https://docs.google.com/spreadsheets/d/11923uPwbBZFjjGgGUA6NLw09EwE0CqkOc4q9oUmW1yo/edit?usp=sharing"",""ลำพูน!I508"")"),0)</f>
        <v>0</v>
      </c>
      <c r="J613" s="207">
        <f ca="1">IFERROR(__xludf.DUMMYFUNCTION("IMPORTRANGE(""https://docs.google.com/spreadsheets/d/11923uPwbBZFjjGgGUA6NLw09EwE0CqkOc4q9oUmW1yo/edit?usp=sharing"",""ลำพูน!J508"")"),50)</f>
        <v>50</v>
      </c>
      <c r="K613" s="171">
        <f t="shared" ca="1" si="127"/>
        <v>100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IFERROR(__xludf.DUMMYFUNCTION("IMPORTRANGE(""https://docs.google.com/spreadsheets/d/11923uPwbBZFjjGgGUA6NLw09EwE0CqkOc4q9oUmW1yo/edit?usp=sharing"",""ลำพูน!I509"")"),0)</f>
        <v>0</v>
      </c>
      <c r="J614" s="207">
        <f ca="1">IFERROR(__xludf.DUMMYFUNCTION("IMPORTRANGE(""https://docs.google.com/spreadsheets/d/11923uPwbBZFjjGgGUA6NLw09EwE0CqkOc4q9oUmW1yo/edit?usp=sharing"",""ลำพูน!J509"")"),50)</f>
        <v>50</v>
      </c>
      <c r="K614" s="171">
        <f t="shared" ca="1" si="127"/>
        <v>100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IFERROR(__xludf.DUMMYFUNCTION("IMPORTRANGE(""https://docs.google.com/spreadsheets/d/11923uPwbBZFjjGgGUA6NLw09EwE0CqkOc4q9oUmW1yo/edit?usp=sharing"",""ลำพูน!I510"")"),0)</f>
        <v>0</v>
      </c>
      <c r="J615" s="207">
        <f ca="1">IFERROR(__xludf.DUMMYFUNCTION("IMPORTRANGE(""https://docs.google.com/spreadsheets/d/11923uPwbBZFjjGgGUA6NLw09EwE0CqkOc4q9oUmW1yo/edit?usp=sharing"",""ลำพูน!J510"")"),50)</f>
        <v>50</v>
      </c>
      <c r="K615" s="171">
        <f t="shared" ca="1" si="127"/>
        <v>100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IFERROR(__xludf.DUMMYFUNCTION("IMPORTRANGE(""https://docs.google.com/spreadsheets/d/11923uPwbBZFjjGgGUA6NLw09EwE0CqkOc4q9oUmW1yo/edit?usp=sharing"",""ลำพูน!I511"")"),0)</f>
        <v>0</v>
      </c>
      <c r="J616" s="207">
        <f ca="1">IFERROR(__xludf.DUMMYFUNCTION("IMPORTRANGE(""https://docs.google.com/spreadsheets/d/11923uPwbBZFjjGgGUA6NLw09EwE0CqkOc4q9oUmW1yo/edit?usp=sharing"",""ลำพูน!J511"")"),50)</f>
        <v>50</v>
      </c>
      <c r="K616" s="171">
        <f t="shared" ca="1" si="127"/>
        <v>100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IFERROR(__xludf.DUMMYFUNCTION("IMPORTRANGE(""https://docs.google.com/spreadsheets/d/11923uPwbBZFjjGgGUA6NLw09EwE0CqkOc4q9oUmW1yo/edit?usp=sharing"",""ลำพูน!I512"")"),0)</f>
        <v>0</v>
      </c>
      <c r="J617" s="197">
        <f ca="1">IFERROR(__xludf.DUMMYFUNCTION("IMPORTRANGE(""https://docs.google.com/spreadsheets/d/11923uPwbBZFjjGgGUA6NLw09EwE0CqkOc4q9oUmW1yo/edit?usp=sharing"",""ลำพูน!J512"")"),0)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IFERROR(__xludf.DUMMYFUNCTION("IMPORTRANGE(""https://docs.google.com/spreadsheets/d/11923uPwbBZFjjGgGUA6NLw09EwE0CqkOc4q9oUmW1yo/edit?usp=sharing"",""ลำพูน!I513"")"),0)</f>
        <v>0</v>
      </c>
      <c r="J618" s="198">
        <f ca="1">IFERROR(__xludf.DUMMYFUNCTION("IMPORTRANGE(""https://docs.google.com/spreadsheets/d/11923uPwbBZFjjGgGUA6NLw09EwE0CqkOc4q9oUmW1yo/edit?usp=sharing"",""ลำพูน!J513"")"),0)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IFERROR(__xludf.DUMMYFUNCTION("IMPORTRANGE(""https://docs.google.com/spreadsheets/d/11923uPwbBZFjjGgGUA6NLw09EwE0CqkOc4q9oUmW1yo/edit?usp=sharing"",""ลำพูน!I514"")"),0)</f>
        <v>0</v>
      </c>
      <c r="J619" s="198">
        <f ca="1">IFERROR(__xludf.DUMMYFUNCTION("IMPORTRANGE(""https://docs.google.com/spreadsheets/d/11923uPwbBZFjjGgGUA6NLw09EwE0CqkOc4q9oUmW1yo/edit?usp=sharing"",""ลำพูน!J514"")"),0)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IFERROR(__xludf.DUMMYFUNCTION("IMPORTRANGE(""https://docs.google.com/spreadsheets/d/11923uPwbBZFjjGgGUA6NLw09EwE0CqkOc4q9oUmW1yo/edit?usp=sharing"",""ลำพูน!I515"")"),0)</f>
        <v>0</v>
      </c>
      <c r="J620" s="212">
        <f ca="1">IFERROR(__xludf.DUMMYFUNCTION("IMPORTRANGE(""https://docs.google.com/spreadsheets/d/11923uPwbBZFjjGgGUA6NLw09EwE0CqkOc4q9oUmW1yo/edit?usp=sharing"",""ลำพูน!J515"")"),0)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IFERROR(__xludf.DUMMYFUNCTION("IMPORTRANGE(""https://docs.google.com/spreadsheets/d/11923uPwbBZFjjGgGUA6NLw09EwE0CqkOc4q9oUmW1yo/edit?usp=sharing"",""ลำพูน!I516"")"),0)</f>
        <v>0</v>
      </c>
      <c r="J621" s="212">
        <f ca="1">IFERROR(__xludf.DUMMYFUNCTION("IMPORTRANGE(""https://docs.google.com/spreadsheets/d/11923uPwbBZFjjGgGUA6NLw09EwE0CqkOc4q9oUmW1yo/edit?usp=sharing"",""ลำพูน!J516"")"),0)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IFERROR(__xludf.DUMMYFUNCTION("IMPORTRANGE(""https://docs.google.com/spreadsheets/d/11923uPwbBZFjjGgGUA6NLw09EwE0CqkOc4q9oUmW1yo/edit?usp=sharing"",""ลำพูน!I517"")"),0)</f>
        <v>0</v>
      </c>
      <c r="J622" s="198">
        <f ca="1">IFERROR(__xludf.DUMMYFUNCTION("IMPORTRANGE(""https://docs.google.com/spreadsheets/d/11923uPwbBZFjjGgGUA6NLw09EwE0CqkOc4q9oUmW1yo/edit?usp=sharing"",""ลำพูน!J517"")"),0)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IFERROR(__xludf.DUMMYFUNCTION("IMPORTRANGE(""https://docs.google.com/spreadsheets/d/11923uPwbBZFjjGgGUA6NLw09EwE0CqkOc4q9oUmW1yo/edit?usp=sharing"",""ลำพูน!I518"")"),0)</f>
        <v>0</v>
      </c>
      <c r="J623" s="198">
        <f ca="1">IFERROR(__xludf.DUMMYFUNCTION("IMPORTRANGE(""https://docs.google.com/spreadsheets/d/11923uPwbBZFjjGgGUA6NLw09EwE0CqkOc4q9oUmW1yo/edit?usp=sharing"",""ลำพูน!J518"")"),0)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IFERROR(__xludf.DUMMYFUNCTION("IMPORTRANGE(""https://docs.google.com/spreadsheets/d/11923uPwbBZFjjGgGUA6NLw09EwE0CqkOc4q9oUmW1yo/edit?usp=sharing"",""ลำพูน!I519"")"),0)</f>
        <v>0</v>
      </c>
      <c r="J624" s="197">
        <f ca="1">IFERROR(__xludf.DUMMYFUNCTION("IMPORTRANGE(""https://docs.google.com/spreadsheets/d/11923uPwbBZFjjGgGUA6NLw09EwE0CqkOc4q9oUmW1yo/edit?usp=sharing"",""ลำพูน!J519"")"),0)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IFERROR(__xludf.DUMMYFUNCTION("IMPORTRANGE(""https://docs.google.com/spreadsheets/d/11923uPwbBZFjjGgGUA6NLw09EwE0CqkOc4q9oUmW1yo/edit?usp=sharing"",""ลำพูน!I520"")"),0)</f>
        <v>0</v>
      </c>
      <c r="J625" s="198">
        <f ca="1">IFERROR(__xludf.DUMMYFUNCTION("IMPORTRANGE(""https://docs.google.com/spreadsheets/d/11923uPwbBZFjjGgGUA6NLw09EwE0CqkOc4q9oUmW1yo/edit?usp=sharing"",""ลำพูน!J520"")"),0)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IFERROR(__xludf.DUMMYFUNCTION("IMPORTRANGE(""https://docs.google.com/spreadsheets/d/11923uPwbBZFjjGgGUA6NLw09EwE0CqkOc4q9oUmW1yo/edit?usp=sharing"",""ลำพูน!I521"")"),0)</f>
        <v>0</v>
      </c>
      <c r="J626" s="198">
        <f ca="1">IFERROR(__xludf.DUMMYFUNCTION("IMPORTRANGE(""https://docs.google.com/spreadsheets/d/11923uPwbBZFjjGgGUA6NLw09EwE0CqkOc4q9oUmW1yo/edit?usp=sharing"",""ลำพูน!J521"")"),0)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IFERROR(__xludf.DUMMYFUNCTION("IMPORTRANGE(""https://docs.google.com/spreadsheets/d/11923uPwbBZFjjGgGUA6NLw09EwE0CqkOc4q9oUmW1yo/edit?usp=sharing"",""ลำพูน!I523"")"),6577500)</f>
        <v>6577500</v>
      </c>
      <c r="J628" s="349">
        <f ca="1">IFERROR(__xludf.DUMMYFUNCTION("IMPORTRANGE(""https://docs.google.com/spreadsheets/d/11923uPwbBZFjjGgGUA6NLw09EwE0CqkOc4q9oUmW1yo/edit?usp=sharing"",""ลำพูน!J523"")"),1300047)</f>
        <v>1300047</v>
      </c>
      <c r="K628" s="350">
        <f t="shared" ref="K628:K635" ca="1" si="129">IF(I628&gt;0,J628*100/I628,0)</f>
        <v>19.765062713797036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IFERROR(__xludf.DUMMYFUNCTION("IMPORTRANGE(""https://docs.google.com/spreadsheets/d/11923uPwbBZFjjGgGUA6NLw09EwE0CqkOc4q9oUmW1yo/edit?usp=sharing"",""ลำพูน!I524"")"),219)</f>
        <v>219</v>
      </c>
      <c r="J629" s="349">
        <f ca="1">IFERROR(__xludf.DUMMYFUNCTION("IMPORTRANGE(""https://docs.google.com/spreadsheets/d/11923uPwbBZFjjGgGUA6NLw09EwE0CqkOc4q9oUmW1yo/edit?usp=sharing"",""ลำพูน!J524"")"),49)</f>
        <v>49</v>
      </c>
      <c r="K629" s="350">
        <f t="shared" ca="1" si="129"/>
        <v>22.374429223744293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9">
        <f ca="1">IFERROR(__xludf.DUMMYFUNCTION("IMPORTRANGE(""https://docs.google.com/spreadsheets/d/11923uPwbBZFjjGgGUA6NLw09EwE0CqkOc4q9oUmW1yo/edit?usp=sharing"",""ลำพูน!J525"")"),95884.86)</f>
        <v>95884.86</v>
      </c>
      <c r="K630" s="350">
        <f t="shared" ca="1" si="129"/>
        <v>1.7557909125941724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IFERROR(__xludf.DUMMYFUNCTION("IMPORTRANGE(""https://docs.google.com/spreadsheets/d/11923uPwbBZFjjGgGUA6NLw09EwE0CqkOc4q9oUmW1yo/edit?usp=sharing"",""ลำพูน!I526"")"),213)</f>
        <v>213</v>
      </c>
      <c r="J631" s="349">
        <f ca="1">IFERROR(__xludf.DUMMYFUNCTION("IMPORTRANGE(""https://docs.google.com/spreadsheets/d/11923uPwbBZFjjGgGUA6NLw09EwE0CqkOc4q9oUmW1yo/edit?usp=sharing"",""ลำพูน!J526"")"),21)</f>
        <v>21</v>
      </c>
      <c r="K631" s="350">
        <f t="shared" ca="1" si="129"/>
        <v>9.8591549295774641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IFERROR(__xludf.DUMMYFUNCTION("IMPORTRANGE(""https://docs.google.com/spreadsheets/d/11923uPwbBZFjjGgGUA6NLw09EwE0CqkOc4q9oUmW1yo/edit?usp=sharing"",""ลำพูน!I527"")"),3460652.83)</f>
        <v>3460652.83</v>
      </c>
      <c r="J632" s="349">
        <f ca="1">IFERROR(__xludf.DUMMYFUNCTION("IMPORTRANGE(""https://docs.google.com/spreadsheets/d/11923uPwbBZFjjGgGUA6NLw09EwE0CqkOc4q9oUmW1yo/edit?usp=sharing"",""ลำพูน!J527"")"),151353.14)</f>
        <v>151353.14000000001</v>
      </c>
      <c r="K632" s="350">
        <f t="shared" ca="1" si="129"/>
        <v>4.3735430115363529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IFERROR(__xludf.DUMMYFUNCTION("IMPORTRANGE(""https://docs.google.com/spreadsheets/d/11923uPwbBZFjjGgGUA6NLw09EwE0CqkOc4q9oUmW1yo/edit?usp=sharing"",""ลำพูน!I528"")"),468)</f>
        <v>468</v>
      </c>
      <c r="J633" s="349">
        <f ca="1">IFERROR(__xludf.DUMMYFUNCTION("IMPORTRANGE(""https://docs.google.com/spreadsheets/d/11923uPwbBZFjjGgGUA6NLw09EwE0CqkOc4q9oUmW1yo/edit?usp=sharing"",""ลำพูน!J528"")"),30)</f>
        <v>30</v>
      </c>
      <c r="K633" s="350">
        <f t="shared" ca="1" si="129"/>
        <v>6.4102564102564106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IFERROR(__xludf.DUMMYFUNCTION("IMPORTRANGE(""https://docs.google.com/spreadsheets/d/11923uPwbBZFjjGgGUA6NLw09EwE0CqkOc4q9oUmW1yo/edit?usp=sharing"",""ลำพูน!I529"")"),7000000)</f>
        <v>7000000</v>
      </c>
      <c r="J634" s="349">
        <f ca="1">IFERROR(__xludf.DUMMYFUNCTION("IMPORTRANGE(""https://docs.google.com/spreadsheets/d/11923uPwbBZFjjGgGUA6NLw09EwE0CqkOc4q9oUmW1yo/edit?usp=sharing"",""ลำพูน!J529"")"),870000)</f>
        <v>870000</v>
      </c>
      <c r="K634" s="350">
        <f t="shared" ca="1" si="129"/>
        <v>12.428571428571429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IFERROR(__xludf.DUMMYFUNCTION("IMPORTRANGE(""https://docs.google.com/spreadsheets/d/11923uPwbBZFjjGgGUA6NLw09EwE0CqkOc4q9oUmW1yo/edit?usp=sharing"",""ลำพูน!I530"")"),230)</f>
        <v>230</v>
      </c>
      <c r="J635" s="519">
        <f ca="1">IFERROR(__xludf.DUMMYFUNCTION("IMPORTRANGE(""https://docs.google.com/spreadsheets/d/11923uPwbBZFjjGgGUA6NLw09EwE0CqkOc4q9oUmW1yo/edit?usp=sharing"",""ลำพูน!J530"")"),29)</f>
        <v>29</v>
      </c>
      <c r="K635" s="494">
        <f t="shared" ca="1" si="129"/>
        <v>12.608695652173912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267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5440348</v>
      </c>
      <c r="M8" s="25">
        <f t="shared" ca="1" si="0"/>
        <v>1855411</v>
      </c>
      <c r="N8" s="25">
        <f t="shared" ca="1" si="0"/>
        <v>1604910</v>
      </c>
      <c r="O8" s="24">
        <f t="shared" ref="O8:O16" ca="1" si="1">IF(L8&gt;0,N8*100/L8,0)</f>
        <v>29.500134917839816</v>
      </c>
      <c r="P8" s="24">
        <f t="shared" ref="P8:P16" ca="1" si="2">IF(M8&gt;0,N8*100/M8,0)</f>
        <v>86.498894315060113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5440348</v>
      </c>
      <c r="M10" s="32">
        <f t="shared" ca="1" si="4"/>
        <v>1855411</v>
      </c>
      <c r="N10" s="32">
        <f t="shared" ca="1" si="4"/>
        <v>1604910</v>
      </c>
      <c r="O10" s="31">
        <f t="shared" ca="1" si="1"/>
        <v>29.500134917839816</v>
      </c>
      <c r="P10" s="31">
        <f t="shared" ca="1" si="2"/>
        <v>86.498894315060113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5254348</v>
      </c>
      <c r="M12" s="40">
        <f t="shared" ca="1" si="6"/>
        <v>1855411</v>
      </c>
      <c r="N12" s="40">
        <f t="shared" ca="1" si="6"/>
        <v>1428910</v>
      </c>
      <c r="O12" s="40">
        <f t="shared" ca="1" si="1"/>
        <v>27.194810849985572</v>
      </c>
      <c r="P12" s="40">
        <f t="shared" ca="1" si="2"/>
        <v>77.013125393780683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2053100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3201248</v>
      </c>
      <c r="M14" s="40">
        <f t="shared" si="8"/>
        <v>0</v>
      </c>
      <c r="N14" s="40">
        <f t="shared" ca="1" si="8"/>
        <v>329690</v>
      </c>
      <c r="O14" s="43">
        <f t="shared" ca="1" si="1"/>
        <v>10.298795969571866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186000</v>
      </c>
      <c r="M16" s="40">
        <f t="shared" si="10"/>
        <v>0</v>
      </c>
      <c r="N16" s="40">
        <f t="shared" ca="1" si="10"/>
        <v>176000</v>
      </c>
      <c r="O16" s="52">
        <f t="shared" ca="1" si="1"/>
        <v>94.623655913978496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3484365</v>
      </c>
      <c r="M18" s="25">
        <f t="shared" ca="1" si="11"/>
        <v>1855411</v>
      </c>
      <c r="N18" s="25">
        <f t="shared" ca="1" si="11"/>
        <v>1275220</v>
      </c>
      <c r="O18" s="24">
        <f t="shared" ref="O18:O20" ca="1" si="12">IF(L18&gt;0,N18*100/L18,0)</f>
        <v>36.598347188081618</v>
      </c>
      <c r="P18" s="24">
        <f t="shared" ref="P18:P26" ca="1" si="13">IF(M18&gt;0,N18*100/M18,0)</f>
        <v>68.729785476102066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3484365</v>
      </c>
      <c r="M20" s="32">
        <f t="shared" ca="1" si="15"/>
        <v>1855411</v>
      </c>
      <c r="N20" s="32">
        <f t="shared" ca="1" si="15"/>
        <v>1275220</v>
      </c>
      <c r="O20" s="31">
        <f t="shared" ca="1" si="12"/>
        <v>36.598347188081618</v>
      </c>
      <c r="P20" s="31">
        <f t="shared" ca="1" si="13"/>
        <v>68.729785476102066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3298365</v>
      </c>
      <c r="M22" s="44">
        <f t="shared" ca="1" si="18"/>
        <v>1855411</v>
      </c>
      <c r="N22" s="43">
        <f t="shared" ca="1" si="18"/>
        <v>1099220</v>
      </c>
      <c r="O22" s="43">
        <f t="shared" ca="1" si="17"/>
        <v>33.326208591226262</v>
      </c>
      <c r="P22" s="43">
        <f t="shared" ca="1" si="13"/>
        <v>59.244016554822622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2053100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1245265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186000</v>
      </c>
      <c r="M26" s="52">
        <f t="shared" si="22"/>
        <v>0</v>
      </c>
      <c r="N26" s="52">
        <f t="shared" ca="1" si="22"/>
        <v>176000</v>
      </c>
      <c r="O26" s="52">
        <f t="shared" ca="1" si="17"/>
        <v>94.623655913978496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1955983</v>
      </c>
      <c r="M28" s="25">
        <f t="shared" si="23"/>
        <v>0</v>
      </c>
      <c r="N28" s="25">
        <f t="shared" ca="1" si="23"/>
        <v>329690</v>
      </c>
      <c r="O28" s="24">
        <f t="shared" ref="O28:O30" ca="1" si="24">IF(L28&gt;0,N28*100/L28,0)</f>
        <v>16.855463467729525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1955983</v>
      </c>
      <c r="M30" s="32">
        <f t="shared" si="27"/>
        <v>0</v>
      </c>
      <c r="N30" s="32">
        <f t="shared" ca="1" si="27"/>
        <v>329690</v>
      </c>
      <c r="O30" s="31">
        <f t="shared" ca="1" si="24"/>
        <v>16.855463467729525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1955983</v>
      </c>
      <c r="M32" s="43">
        <f t="shared" si="30"/>
        <v>0</v>
      </c>
      <c r="N32" s="43">
        <f t="shared" ca="1" si="30"/>
        <v>329690</v>
      </c>
      <c r="O32" s="43">
        <f t="shared" ca="1" si="29"/>
        <v>16.855463467729525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1955983</v>
      </c>
      <c r="M34" s="43">
        <f t="shared" si="32"/>
        <v>0</v>
      </c>
      <c r="N34" s="43">
        <f t="shared" ca="1" si="32"/>
        <v>329690</v>
      </c>
      <c r="O34" s="43">
        <f t="shared" ca="1" si="29"/>
        <v>16.855463467729525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3484365</v>
      </c>
      <c r="M37" s="57">
        <f t="shared" ca="1" si="33"/>
        <v>1855411</v>
      </c>
      <c r="N37" s="57">
        <f t="shared" ca="1" si="33"/>
        <v>1275220</v>
      </c>
      <c r="O37" s="58">
        <f t="shared" ca="1" si="29"/>
        <v>36.598347188081618</v>
      </c>
      <c r="P37" s="58">
        <f t="shared" ca="1" si="25"/>
        <v>68.729785476102066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787100</v>
      </c>
      <c r="M41" s="81">
        <f t="shared" ca="1" si="34"/>
        <v>421520</v>
      </c>
      <c r="N41" s="81">
        <f t="shared" ca="1" si="34"/>
        <v>273298</v>
      </c>
      <c r="O41" s="80">
        <f t="shared" ref="O41:O43" ca="1" si="35">IF(L41&gt;0,N41*100/L41,0)</f>
        <v>34.722144581374664</v>
      </c>
      <c r="P41" s="80">
        <f t="shared" ref="P41:P43" ca="1" si="36">IF(M41&gt;0,N41*100/M41,0)</f>
        <v>64.83630669956348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787100</v>
      </c>
      <c r="M43" s="81">
        <f t="shared" ca="1" si="38"/>
        <v>421520</v>
      </c>
      <c r="N43" s="81">
        <f t="shared" ca="1" si="38"/>
        <v>273298</v>
      </c>
      <c r="O43" s="80">
        <f t="shared" ca="1" si="35"/>
        <v>34.722144581374664</v>
      </c>
      <c r="P43" s="80">
        <f t="shared" ca="1" si="36"/>
        <v>64.83630669956348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751100</v>
      </c>
      <c r="M45" s="93">
        <f ca="1">IFERROR(__xludf.DUMMYFUNCTION("IMPORTRANGE(""https://docs.google.com/spreadsheets/d/1Yj_ptqi66GCucihVvJfMjLAmec39IyEx_6qawtMGysU/edit?usp=sharing"",""สบก!Q34"")"),421520)</f>
        <v>421520</v>
      </c>
      <c r="N45" s="93">
        <f ca="1">IFERROR(__xludf.DUMMYFUNCTION("IMPORTRANGE(""https://docs.google.com/spreadsheets/d/1Yj_ptqi66GCucihVvJfMjLAmec39IyEx_6qawtMGysU/edit?usp=sharing"",""สบก!R34"")"),247298)</f>
        <v>247298</v>
      </c>
      <c r="O45" s="94">
        <f ca="1">IF(L45&gt;0,N45*100/L45,0)</f>
        <v>32.924776993742512</v>
      </c>
      <c r="P45" s="94">
        <f ca="1">IF(M45&gt;0,N45*100/M45,0)</f>
        <v>58.66815334978174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IFERROR(__xludf.DUMMYFUNCTION("IMPORTRANGE(""https://docs.google.com/spreadsheets/d/1Yj_ptqi66GCucihVvJfMjLAmec39IyEx_6qawtMGysU/edit?usp=sharing"",""สบก!M34"")"),751100)</f>
        <v>751100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IFERROR(__xludf.DUMMYFUNCTION("IMPORTRANGE(""https://docs.google.com/spreadsheets/d/1Yj_ptqi66GCucihVvJfMjLAmec39IyEx_6qawtMGysU/edit?usp=sharing"",""สบก!N34"")"),0)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IFERROR(__xludf.DUMMYFUNCTION("IMPORTRANGE(""https://docs.google.com/spreadsheets/d/1Yj_ptqi66GCucihVvJfMjLAmec39IyEx_6qawtMGysU/edit?usp=sharing"",""สบก!O34"")"),36000)</f>
        <v>36000</v>
      </c>
      <c r="M49" s="103"/>
      <c r="N49" s="93">
        <f ca="1">IFERROR(__xludf.DUMMYFUNCTION("IMPORTRANGE(""https://docs.google.com/spreadsheets/d/1Yj_ptqi66GCucihVvJfMjLAmec39IyEx_6qawtMGysU/edit?usp=sharing"",""สบก!S34"")"),26000)</f>
        <v>26000</v>
      </c>
      <c r="O49" s="103">
        <f ca="1">IF(L49&gt;0,N49*100/L49,0)</f>
        <v>72.222222222222229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450000</v>
      </c>
      <c r="M53" s="127">
        <f t="shared" ca="1" si="39"/>
        <v>242806</v>
      </c>
      <c r="N53" s="127">
        <f t="shared" ca="1" si="39"/>
        <v>206555</v>
      </c>
      <c r="O53" s="126">
        <f t="shared" ref="O53:O55" ca="1" si="40">IF(L53&gt;0,N53*100/L53,0)</f>
        <v>45.901111111111113</v>
      </c>
      <c r="P53" s="126">
        <f t="shared" ref="P53:P55" ca="1" si="41">IF(M53&gt;0,N53*100/M53,0)</f>
        <v>85.06997355913775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450000</v>
      </c>
      <c r="M55" s="127">
        <f t="shared" ca="1" si="43"/>
        <v>242806</v>
      </c>
      <c r="N55" s="127">
        <f t="shared" ca="1" si="43"/>
        <v>206555</v>
      </c>
      <c r="O55" s="126">
        <f t="shared" ca="1" si="40"/>
        <v>45.901111111111113</v>
      </c>
      <c r="P55" s="126">
        <f t="shared" ca="1" si="41"/>
        <v>85.06997355913775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450000</v>
      </c>
      <c r="M57" s="93">
        <f ca="1">IFERROR(__xludf.DUMMYFUNCTION("IMPORTRANGE(""https://docs.google.com/spreadsheets/d/1Yj_ptqi66GCucihVvJfMjLAmec39IyEx_6qawtMGysU/edit?usp=sharing"",""สบก!Z34"")"),242806)</f>
        <v>242806</v>
      </c>
      <c r="N57" s="93">
        <f ca="1">IFERROR(__xludf.DUMMYFUNCTION("IMPORTRANGE(""https://docs.google.com/spreadsheets/d/1Yj_ptqi66GCucihVvJfMjLAmec39IyEx_6qawtMGysU/edit?usp=sharing"",""สบก!AA34"")"),206555)</f>
        <v>206555</v>
      </c>
      <c r="O57" s="94">
        <f ca="1">IF(L57&gt;0,N57*100/L57,0)</f>
        <v>45.901111111111113</v>
      </c>
      <c r="P57" s="94">
        <f ca="1">IF(M57&gt;0,N57*100/M57,0)</f>
        <v>85.06997355913775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IFERROR(__xludf.DUMMYFUNCTION("IMPORTRANGE(""https://docs.google.com/spreadsheets/d/1Yj_ptqi66GCucihVvJfMjLAmec39IyEx_6qawtMGysU/edit?usp=sharing"",""สบก!V34"")"),450000)</f>
        <v>450000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IFERROR(__xludf.DUMMYFUNCTION("IMPORTRANGE(""https://docs.google.com/spreadsheets/d/1Yj_ptqi66GCucihVvJfMjLAmec39IyEx_6qawtMGysU/edit?usp=sharing"",""สบก!W34"")"),0)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IFERROR(__xludf.DUMMYFUNCTION("IMPORTRANGE(""https://docs.google.com/spreadsheets/d/1Yj_ptqi66GCucihVvJfMjLAmec39IyEx_6qawtMGysU/edit?usp=sharing"",""สบก!X34"")"),0)</f>
        <v>0</v>
      </c>
      <c r="M61" s="103"/>
      <c r="N61" s="93">
        <f ca="1">IFERROR(__xludf.DUMMYFUNCTION("IMPORTRANGE(""https://docs.google.com/spreadsheets/d/1Yj_ptqi66GCucihVvJfMjLAmec39IyEx_6qawtMGysU/edit?usp=sharing"",""สบก!AB34"")"),0)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IFERROR(__xludf.DUMMYFUNCTION("IMPORTRANGE(""https://docs.google.com/spreadsheets/d/11923uPwbBZFjjGgGUA6NLw09EwE0CqkOc4q9oUmW1yo/edit?usp=sharing"",""สุโขทัย!I9"")"),1)</f>
        <v>1</v>
      </c>
      <c r="J64" s="148">
        <f ca="1">IFERROR(__xludf.DUMMYFUNCTION("IMPORTRANGE(""https://docs.google.com/spreadsheets/d/11923uPwbBZFjjGgGUA6NLw09EwE0CqkOc4q9oUmW1yo/edit?usp=sharing"",""สุโขทัย!J9"")"),1)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IFERROR(__xludf.DUMMYFUNCTION("IMPORTRANGE(""https://docs.google.com/spreadsheets/d/11923uPwbBZFjjGgGUA6NLw09EwE0CqkOc4q9oUmW1yo/edit?usp=sharing"",""สุโขทัย!I10"")"),75)</f>
        <v>75</v>
      </c>
      <c r="J65" s="148">
        <f ca="1">IFERROR(__xludf.DUMMYFUNCTION("IMPORTRANGE(""https://docs.google.com/spreadsheets/d/11923uPwbBZFjjGgGUA6NLw09EwE0CqkOc4q9oUmW1yo/edit?usp=sharing"",""สุโขทัย!J10"")"),75)</f>
        <v>75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956800</v>
      </c>
      <c r="M66" s="158">
        <f t="shared" ca="1" si="45"/>
        <v>440020</v>
      </c>
      <c r="N66" s="158">
        <f t="shared" ca="1" si="45"/>
        <v>365312</v>
      </c>
      <c r="O66" s="157">
        <f t="shared" ref="O66:O68" ca="1" si="46">IF(L66&gt;0,N66*100/L66,0)</f>
        <v>38.180602006688964</v>
      </c>
      <c r="P66" s="157">
        <f t="shared" ref="P66:P68" ca="1" si="47">IF(M66&gt;0,N66*100/M66,0)</f>
        <v>83.021680832689427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956800</v>
      </c>
      <c r="M68" s="163">
        <f t="shared" ca="1" si="49"/>
        <v>440020</v>
      </c>
      <c r="N68" s="163">
        <f t="shared" ca="1" si="49"/>
        <v>365312</v>
      </c>
      <c r="O68" s="162">
        <f t="shared" ca="1" si="46"/>
        <v>38.180602006688964</v>
      </c>
      <c r="P68" s="162">
        <f t="shared" ca="1" si="47"/>
        <v>83.021680832689427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806800</v>
      </c>
      <c r="M70" s="176">
        <f ca="1">IFERROR(__xludf.DUMMYFUNCTION("IMPORTRANGE(""https://docs.google.com/spreadsheets/d/1Yj_ptqi66GCucihVvJfMjLAmec39IyEx_6qawtMGysU/edit?usp=sharing"",""สบก!AI34"")"),440020)</f>
        <v>440020</v>
      </c>
      <c r="N70" s="177">
        <f ca="1">IFERROR(__xludf.DUMMYFUNCTION("IMPORTRANGE(""https://docs.google.com/spreadsheets/d/1Yj_ptqi66GCucihVvJfMjLAmec39IyEx_6qawtMGysU/edit?usp=sharing"",""สบก!AJ34"")"),215312)</f>
        <v>215312</v>
      </c>
      <c r="O70" s="178">
        <f ca="1">IF(L70&gt;0,N70*100/L70,0)</f>
        <v>26.687159147248387</v>
      </c>
      <c r="P70" s="178">
        <f ca="1">IF(M70&gt;0,N70*100/M70,0)</f>
        <v>48.932321258124631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IFERROR(__xludf.DUMMYFUNCTION("IMPORTRANGE(""https://docs.google.com/spreadsheets/d/1Yj_ptqi66GCucihVvJfMjLAmec39IyEx_6qawtMGysU/edit?usp=sharing"",""สบก!AE34"")"),190800)</f>
        <v>190800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IFERROR(__xludf.DUMMYFUNCTION("IMPORTRANGE(""https://docs.google.com/spreadsheets/d/1Yj_ptqi66GCucihVvJfMjLAmec39IyEx_6qawtMGysU/edit?usp=sharing"",""สบก!AF34"")"),616000)</f>
        <v>616000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IFERROR(__xludf.DUMMYFUNCTION("IMPORTRANGE(""https://docs.google.com/spreadsheets/d/1Yj_ptqi66GCucihVvJfMjLAmec39IyEx_6qawtMGysU/edit?usp=sharing"",""สบก!AG34"")"),150000)</f>
        <v>150000</v>
      </c>
      <c r="M74" s="103"/>
      <c r="N74" s="93">
        <f ca="1">IFERROR(__xludf.DUMMYFUNCTION("IMPORTRANGE(""https://docs.google.com/spreadsheets/d/1Yj_ptqi66GCucihVvJfMjLAmec39IyEx_6qawtMGysU/edit?usp=sharing"",""สบก!AK34"")"),150000)</f>
        <v>150000</v>
      </c>
      <c r="O74" s="103">
        <f ca="1">IF(L74&gt;0,N74*100/L74,0)</f>
        <v>100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IFERROR(__xludf.DUMMYFUNCTION("IMPORTRANGE(""https://docs.google.com/spreadsheets/d/11923uPwbBZFjjGgGUA6NLw09EwE0CqkOc4q9oUmW1yo/edit?usp=sharing"",""สุโขทัย!J16"")"),0)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IFERROR(__xludf.DUMMYFUNCTION("IMPORTRANGE(""https://docs.google.com/spreadsheets/d/11923uPwbBZFjjGgGUA6NLw09EwE0CqkOc4q9oUmW1yo/edit?usp=sharing"",""สุโขทัย!J17"")"),1)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IFERROR(__xludf.DUMMYFUNCTION("IMPORTRANGE(""https://docs.google.com/spreadsheets/d/11923uPwbBZFjjGgGUA6NLw09EwE0CqkOc4q9oUmW1yo/edit?usp=sharing"",""สุโขทัย!J18"")"),1)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IFERROR(__xludf.DUMMYFUNCTION("IMPORTRANGE(""https://docs.google.com/spreadsheets/d/11923uPwbBZFjjGgGUA6NLw09EwE0CqkOc4q9oUmW1yo/edit?usp=sharing"",""สุโขทัย!J19"")"),0)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IFERROR(__xludf.DUMMYFUNCTION("IMPORTRANGE(""https://docs.google.com/spreadsheets/d/11923uPwbBZFjjGgGUA6NLw09EwE0CqkOc4q9oUmW1yo/edit?usp=sharing"",""สุโขทัย!I20"")"),1)</f>
        <v>1</v>
      </c>
      <c r="J80" s="210">
        <f ca="1">IFERROR(__xludf.DUMMYFUNCTION("IMPORTRANGE(""https://docs.google.com/spreadsheets/d/11923uPwbBZFjjGgGUA6NLw09EwE0CqkOc4q9oUmW1yo/edit?usp=sharing"",""สุโขทัย!J20"")"),1)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IFERROR(__xludf.DUMMYFUNCTION("IMPORTRANGE(""https://docs.google.com/spreadsheets/d/11923uPwbBZFjjGgGUA6NLw09EwE0CqkOc4q9oUmW1yo/edit?usp=sharing"",""สุโขทัย!I21"")"),75)</f>
        <v>75</v>
      </c>
      <c r="J81" s="210">
        <f ca="1">IFERROR(__xludf.DUMMYFUNCTION("IMPORTRANGE(""https://docs.google.com/spreadsheets/d/11923uPwbBZFjjGgGUA6NLw09EwE0CqkOc4q9oUmW1yo/edit?usp=sharing"",""สุโขทัย!J21"")"),75)</f>
        <v>75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IFERROR(__xludf.DUMMYFUNCTION("IMPORTRANGE(""https://docs.google.com/spreadsheets/d/11923uPwbBZFjjGgGUA6NLw09EwE0CqkOc4q9oUmW1yo/edit?usp=sharing"",""สุโขทัย!I22"")"),0)</f>
        <v>0</v>
      </c>
      <c r="J82" s="213">
        <f ca="1">IFERROR(__xludf.DUMMYFUNCTION("IMPORTRANGE(""https://docs.google.com/spreadsheets/d/11923uPwbBZFjjGgGUA6NLw09EwE0CqkOc4q9oUmW1yo/edit?usp=sharing"",""สุโขทัย!J22"")"),0)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IFERROR(__xludf.DUMMYFUNCTION("IMPORTRANGE(""https://docs.google.com/spreadsheets/d/11923uPwbBZFjjGgGUA6NLw09EwE0CqkOc4q9oUmW1yo/edit?usp=sharing"",""สุโขทัย!I23"")"),0)</f>
        <v>0</v>
      </c>
      <c r="J83" s="213">
        <f ca="1">IFERROR(__xludf.DUMMYFUNCTION("IMPORTRANGE(""https://docs.google.com/spreadsheets/d/11923uPwbBZFjjGgGUA6NLw09EwE0CqkOc4q9oUmW1yo/edit?usp=sharing"",""สุโขทัย!J23"")"),0)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IFERROR(__xludf.DUMMYFUNCTION("IMPORTRANGE(""https://docs.google.com/spreadsheets/d/11923uPwbBZFjjGgGUA6NLw09EwE0CqkOc4q9oUmW1yo/edit?usp=sharing"",""สุโขทัย!I24"")"),1)</f>
        <v>1</v>
      </c>
      <c r="J84" s="198">
        <f ca="1">IFERROR(__xludf.DUMMYFUNCTION("IMPORTRANGE(""https://docs.google.com/spreadsheets/d/11923uPwbBZFjjGgGUA6NLw09EwE0CqkOc4q9oUmW1yo/edit?usp=sharing"",""สุโขทัย!J24"")"),1)</f>
        <v>1</v>
      </c>
      <c r="K84" s="171">
        <f t="shared" ca="1" si="50"/>
        <v>100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IFERROR(__xludf.DUMMYFUNCTION("IMPORTRANGE(""https://docs.google.com/spreadsheets/d/11923uPwbBZFjjGgGUA6NLw09EwE0CqkOc4q9oUmW1yo/edit?usp=sharing"",""สุโขทัย!I25"")"),75)</f>
        <v>75</v>
      </c>
      <c r="J85" s="198">
        <f ca="1">IFERROR(__xludf.DUMMYFUNCTION("IMPORTRANGE(""https://docs.google.com/spreadsheets/d/11923uPwbBZFjjGgGUA6NLw09EwE0CqkOc4q9oUmW1yo/edit?usp=sharing"",""สุโขทัย!J25"")"),75)</f>
        <v>75</v>
      </c>
      <c r="K85" s="171">
        <f t="shared" ca="1" si="50"/>
        <v>100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IFERROR(__xludf.DUMMYFUNCTION("IMPORTRANGE(""https://docs.google.com/spreadsheets/d/11923uPwbBZFjjGgGUA6NLw09EwE0CqkOc4q9oUmW1yo/edit?usp=sharing"",""สุโขทัย!I26"")"),0)</f>
        <v>0</v>
      </c>
      <c r="J86" s="213">
        <f ca="1">IFERROR(__xludf.DUMMYFUNCTION("IMPORTRANGE(""https://docs.google.com/spreadsheets/d/11923uPwbBZFjjGgGUA6NLw09EwE0CqkOc4q9oUmW1yo/edit?usp=sharing"",""สุโขทัย!J26"")"),0)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IFERROR(__xludf.DUMMYFUNCTION("IMPORTRANGE(""https://docs.google.com/spreadsheets/d/11923uPwbBZFjjGgGUA6NLw09EwE0CqkOc4q9oUmW1yo/edit?usp=sharing"",""สุโขทัย!I27"")"),0)</f>
        <v>0</v>
      </c>
      <c r="J87" s="213">
        <f ca="1">IFERROR(__xludf.DUMMYFUNCTION("IMPORTRANGE(""https://docs.google.com/spreadsheets/d/11923uPwbBZFjjGgGUA6NLw09EwE0CqkOc4q9oUmW1yo/edit?usp=sharing"",""สุโขทัย!J27"")"),0)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IFERROR(__xludf.DUMMYFUNCTION("IMPORTRANGE(""https://docs.google.com/spreadsheets/d/11923uPwbBZFjjGgGUA6NLw09EwE0CqkOc4q9oUmW1yo/edit?usp=sharing"",""สุโขทัย!I28"")"),0)</f>
        <v>0</v>
      </c>
      <c r="J88" s="213">
        <f ca="1">IFERROR(__xludf.DUMMYFUNCTION("IMPORTRANGE(""https://docs.google.com/spreadsheets/d/11923uPwbBZFjjGgGUA6NLw09EwE0CqkOc4q9oUmW1yo/edit?usp=sharing"",""สุโขทัย!J28"")"),0)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IFERROR(__xludf.DUMMYFUNCTION("IMPORTRANGE(""https://docs.google.com/spreadsheets/d/11923uPwbBZFjjGgGUA6NLw09EwE0CqkOc4q9oUmW1yo/edit?usp=sharing"",""สุโขทัย!J29"")"),0)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IFERROR(__xludf.DUMMYFUNCTION("IMPORTRANGE(""https://docs.google.com/spreadsheets/d/11923uPwbBZFjjGgGUA6NLw09EwE0CqkOc4q9oUmW1yo/edit?usp=sharing"",""สุโขทัย!J30"")"),0)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IFERROR(__xludf.DUMMYFUNCTION("IMPORTRANGE(""https://docs.google.com/spreadsheets/d/11923uPwbBZFjjGgGUA6NLw09EwE0CqkOc4q9oUmW1yo/edit?usp=sharing"",""สุโขทัย!I32"")"),0)</f>
        <v>0</v>
      </c>
      <c r="J92" s="148">
        <f ca="1">IFERROR(__xludf.DUMMYFUNCTION("IMPORTRANGE(""https://docs.google.com/spreadsheets/d/11923uPwbBZFjjGgGUA6NLw09EwE0CqkOc4q9oUmW1yo/edit?usp=sharing"",""สุโขทัย!J32"")"),0)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IFERROR(__xludf.DUMMYFUNCTION("IMPORTRANGE(""https://docs.google.com/spreadsheets/d/11923uPwbBZFjjGgGUA6NLw09EwE0CqkOc4q9oUmW1yo/edit?usp=sharing"",""สุโขทัย!I33"")"),0)</f>
        <v>0</v>
      </c>
      <c r="J93" s="148">
        <f ca="1">IFERROR(__xludf.DUMMYFUNCTION("IMPORTRANGE(""https://docs.google.com/spreadsheets/d/11923uPwbBZFjjGgGUA6NLw09EwE0CqkOc4q9oUmW1yo/edit?usp=sharing"",""สุโขทัย!J33"")"),0)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IFERROR(__xludf.DUMMYFUNCTION("IMPORTRANGE(""https://docs.google.com/spreadsheets/d/1Yj_ptqi66GCucihVvJfMjLAmec39IyEx_6qawtMGysU/edit?usp=sharing"",""สบก!AR34"")"),0)</f>
        <v>0</v>
      </c>
      <c r="N98" s="177">
        <f ca="1">IFERROR(__xludf.DUMMYFUNCTION("IMPORTRANGE(""https://docs.google.com/spreadsheets/d/1Yj_ptqi66GCucihVvJfMjLAmec39IyEx_6qawtMGysU/edit?usp=sharing"",""สบก!AS34"")"),0)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IFERROR(__xludf.DUMMYFUNCTION("IMPORTRANGE(""https://docs.google.com/spreadsheets/d/1Yj_ptqi66GCucihVvJfMjLAmec39IyEx_6qawtMGysU/edit?usp=sharing"",""สบก!AN34"")"),0)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IFERROR(__xludf.DUMMYFUNCTION("IMPORTRANGE(""https://docs.google.com/spreadsheets/d/1Yj_ptqi66GCucihVvJfMjLAmec39IyEx_6qawtMGysU/edit?usp=sharing"",""สบก!AO34"")"),0)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IFERROR(__xludf.DUMMYFUNCTION("IMPORTRANGE(""https://docs.google.com/spreadsheets/d/1Yj_ptqi66GCucihVvJfMjLAmec39IyEx_6qawtMGysU/edit?usp=sharing"",""สบก!AP34"")"),0)</f>
        <v>0</v>
      </c>
      <c r="M102" s="103"/>
      <c r="N102" s="93">
        <f ca="1">IFERROR(__xludf.DUMMYFUNCTION("IMPORTRANGE(""https://docs.google.com/spreadsheets/d/1Yj_ptqi66GCucihVvJfMjLAmec39IyEx_6qawtMGysU/edit?usp=sharing"",""สบก!AT34"")"),0)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IFERROR(__xludf.DUMMYFUNCTION("IMPORTRANGE(""https://docs.google.com/spreadsheets/d/11923uPwbBZFjjGgGUA6NLw09EwE0CqkOc4q9oUmW1yo/edit?usp=sharing"",""สุโขทัย!J39"")"),0)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IFERROR(__xludf.DUMMYFUNCTION("IMPORTRANGE(""https://docs.google.com/spreadsheets/d/11923uPwbBZFjjGgGUA6NLw09EwE0CqkOc4q9oUmW1yo/edit?usp=sharing"",""สุโขทัย!J40"")"),0)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IFERROR(__xludf.DUMMYFUNCTION("IMPORTRANGE(""https://docs.google.com/spreadsheets/d/11923uPwbBZFjjGgGUA6NLw09EwE0CqkOc4q9oUmW1yo/edit?usp=sharing"",""สุโขทัย!J41"")"),0)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IFERROR(__xludf.DUMMYFUNCTION("IMPORTRANGE(""https://docs.google.com/spreadsheets/d/11923uPwbBZFjjGgGUA6NLw09EwE0CqkOc4q9oUmW1yo/edit?usp=sharing"",""สุโขทัย!J42"")"),0)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IFERROR(__xludf.DUMMYFUNCTION("IMPORTRANGE(""https://docs.google.com/spreadsheets/d/11923uPwbBZFjjGgGUA6NLw09EwE0CqkOc4q9oUmW1yo/edit?usp=sharing"",""สุโขทัย!I43"")"),0)</f>
        <v>0</v>
      </c>
      <c r="J108" s="213">
        <f ca="1">IFERROR(__xludf.DUMMYFUNCTION("IMPORTRANGE(""https://docs.google.com/spreadsheets/d/11923uPwbBZFjjGgGUA6NLw09EwE0CqkOc4q9oUmW1yo/edit?usp=sharing"",""สุโขทัย!J43"")"),0)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IFERROR(__xludf.DUMMYFUNCTION("IMPORTRANGE(""https://docs.google.com/spreadsheets/d/11923uPwbBZFjjGgGUA6NLw09EwE0CqkOc4q9oUmW1yo/edit?usp=sharing"",""สุโขทัย!I44"")"),0)</f>
        <v>0</v>
      </c>
      <c r="J109" s="213">
        <f ca="1">IFERROR(__xludf.DUMMYFUNCTION("IMPORTRANGE(""https://docs.google.com/spreadsheets/d/11923uPwbBZFjjGgGUA6NLw09EwE0CqkOc4q9oUmW1yo/edit?usp=sharing"",""สุโขทัย!J44"")"),0)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IFERROR(__xludf.DUMMYFUNCTION("IMPORTRANGE(""https://docs.google.com/spreadsheets/d/11923uPwbBZFjjGgGUA6NLw09EwE0CqkOc4q9oUmW1yo/edit?usp=sharing"",""สุโขทัย!I45"")"),0)</f>
        <v>0</v>
      </c>
      <c r="J110" s="213">
        <f ca="1">IFERROR(__xludf.DUMMYFUNCTION("IMPORTRANGE(""https://docs.google.com/spreadsheets/d/11923uPwbBZFjjGgGUA6NLw09EwE0CqkOc4q9oUmW1yo/edit?usp=sharing"",""สุโขทัย!J45"")"),0)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IFERROR(__xludf.DUMMYFUNCTION("IMPORTRANGE(""https://docs.google.com/spreadsheets/d/11923uPwbBZFjjGgGUA6NLw09EwE0CqkOc4q9oUmW1yo/edit?usp=sharing"",""สุโขทัย!I46"")"),0)</f>
        <v>0</v>
      </c>
      <c r="J111" s="213">
        <f ca="1">IFERROR(__xludf.DUMMYFUNCTION("IMPORTRANGE(""https://docs.google.com/spreadsheets/d/11923uPwbBZFjjGgGUA6NLw09EwE0CqkOc4q9oUmW1yo/edit?usp=sharing"",""สุโขทัย!J46"")"),0)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IFERROR(__xludf.DUMMYFUNCTION("IMPORTRANGE(""https://docs.google.com/spreadsheets/d/11923uPwbBZFjjGgGUA6NLw09EwE0CqkOc4q9oUmW1yo/edit?usp=sharing"",""สุโขทัย!I47"")"),0)</f>
        <v>0</v>
      </c>
      <c r="J112" s="213">
        <f ca="1">IFERROR(__xludf.DUMMYFUNCTION("IMPORTRANGE(""https://docs.google.com/spreadsheets/d/11923uPwbBZFjjGgGUA6NLw09EwE0CqkOc4q9oUmW1yo/edit?usp=sharing"",""สุโขทัย!J47"")"),0)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IFERROR(__xludf.DUMMYFUNCTION("IMPORTRANGE(""https://docs.google.com/spreadsheets/d/11923uPwbBZFjjGgGUA6NLw09EwE0CqkOc4q9oUmW1yo/edit?usp=sharing"",""สุโขทัย!I48"")"),0)</f>
        <v>0</v>
      </c>
      <c r="J113" s="213">
        <f ca="1">IFERROR(__xludf.DUMMYFUNCTION("IMPORTRANGE(""https://docs.google.com/spreadsheets/d/11923uPwbBZFjjGgGUA6NLw09EwE0CqkOc4q9oUmW1yo/edit?usp=sharing"",""สุโขทัย!J48"")"),0)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IFERROR(__xludf.DUMMYFUNCTION("IMPORTRANGE(""https://docs.google.com/spreadsheets/d/11923uPwbBZFjjGgGUA6NLw09EwE0CqkOc4q9oUmW1yo/edit?usp=sharing"",""สุโขทัย!J49"")"),0)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IFERROR(__xludf.DUMMYFUNCTION("IMPORTRANGE(""https://docs.google.com/spreadsheets/d/11923uPwbBZFjjGgGUA6NLw09EwE0CqkOc4q9oUmW1yo/edit?usp=sharing"",""สุโขทัย!J50"")"),0)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IFERROR(__xludf.DUMMYFUNCTION("IMPORTRANGE(""https://docs.google.com/spreadsheets/d/11923uPwbBZFjjGgGUA6NLw09EwE0CqkOc4q9oUmW1yo/edit?usp=sharing"",""สุโขทัย!I52"")"),20)</f>
        <v>20</v>
      </c>
      <c r="J117" s="148">
        <f ca="1">IFERROR(__xludf.DUMMYFUNCTION("IMPORTRANGE(""https://docs.google.com/spreadsheets/d/11923uPwbBZFjjGgGUA6NLw09EwE0CqkOc4q9oUmW1yo/edit?usp=sharing"",""สุโขทัย!J52"")"),20)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58430</v>
      </c>
      <c r="O118" s="157">
        <f t="shared" ref="O118:O120" ca="1" si="59">IF(L118&gt;0,N118*100/L118,0)</f>
        <v>70.875788452207672</v>
      </c>
      <c r="P118" s="157">
        <f t="shared" ref="P118:P120" ca="1" si="60">IF(M118&gt;0,N118*100/M118,0)</f>
        <v>87.94400963275136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58430</v>
      </c>
      <c r="O120" s="162">
        <f t="shared" ca="1" si="59"/>
        <v>70.875788452207672</v>
      </c>
      <c r="P120" s="162">
        <f t="shared" ca="1" si="60"/>
        <v>87.94400963275136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IFERROR(__xludf.DUMMYFUNCTION("IMPORTRANGE(""https://docs.google.com/spreadsheets/d/1Yj_ptqi66GCucihVvJfMjLAmec39IyEx_6qawtMGysU/edit?usp=sharing"",""สบก!BA34"")"),66440)</f>
        <v>66440</v>
      </c>
      <c r="N122" s="177">
        <f ca="1">IFERROR(__xludf.DUMMYFUNCTION("IMPORTRANGE(""https://docs.google.com/spreadsheets/d/1Yj_ptqi66GCucihVvJfMjLAmec39IyEx_6qawtMGysU/edit?usp=sharing"",""สบก!BB34"")"),58430)</f>
        <v>58430</v>
      </c>
      <c r="O122" s="178">
        <f ca="1">IF(L122&gt;0,N122*100/L122,0)</f>
        <v>70.875788452207672</v>
      </c>
      <c r="P122" s="178">
        <f ca="1">IF(M122&gt;0,N122*100/M122,0)</f>
        <v>87.94400963275136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IFERROR(__xludf.DUMMYFUNCTION("IMPORTRANGE(""https://docs.google.com/spreadsheets/d/1Yj_ptqi66GCucihVvJfMjLAmec39IyEx_6qawtMGysU/edit?usp=sharing"",""สบก!AW34"")"),0)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IFERROR(__xludf.DUMMYFUNCTION("IMPORTRANGE(""https://docs.google.com/spreadsheets/d/1Yj_ptqi66GCucihVvJfMjLAmec39IyEx_6qawtMGysU/edit?usp=sharing"",""สบก!AX34"")"),82440)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IFERROR(__xludf.DUMMYFUNCTION("IMPORTRANGE(""https://docs.google.com/spreadsheets/d/1Yj_ptqi66GCucihVvJfMjLAmec39IyEx_6qawtMGysU/edit?usp=sharing"",""สบก!AY34"")"),0)</f>
        <v>0</v>
      </c>
      <c r="M126" s="103"/>
      <c r="N126" s="93">
        <f ca="1">IFERROR(__xludf.DUMMYFUNCTION("IMPORTRANGE(""https://docs.google.com/spreadsheets/d/1Yj_ptqi66GCucihVvJfMjLAmec39IyEx_6qawtMGysU/edit?usp=sharing"",""สบก!BC34"")"),0)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268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IFERROR(__xludf.DUMMYFUNCTION("IMPORTRANGE(""https://docs.google.com/spreadsheets/d/11923uPwbBZFjjGgGUA6NLw09EwE0CqkOc4q9oUmW1yo/edit?usp=sharing"",""สุโขทัย!J58"")"),0)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IFERROR(__xludf.DUMMYFUNCTION("IMPORTRANGE(""https://docs.google.com/spreadsheets/d/11923uPwbBZFjjGgGUA6NLw09EwE0CqkOc4q9oUmW1yo/edit?usp=sharing"",""สุโขทัย!J59"")"),1)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IFERROR(__xludf.DUMMYFUNCTION("IMPORTRANGE(""https://docs.google.com/spreadsheets/d/11923uPwbBZFjjGgGUA6NLw09EwE0CqkOc4q9oUmW1yo/edit?usp=sharing"",""สุโขทัย!J60"")"),1)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IFERROR(__xludf.DUMMYFUNCTION("IMPORTRANGE(""https://docs.google.com/spreadsheets/d/11923uPwbBZFjjGgGUA6NLw09EwE0CqkOc4q9oUmW1yo/edit?usp=sharing"",""สุโขทัย!J61"")"),0)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IFERROR(__xludf.DUMMYFUNCTION("IMPORTRANGE(""https://docs.google.com/spreadsheets/d/11923uPwbBZFjjGgGUA6NLw09EwE0CqkOc4q9oUmW1yo/edit?usp=sharing"",""สุโขทัย!I62"")"),20)</f>
        <v>20</v>
      </c>
      <c r="J132" s="213">
        <f ca="1">IFERROR(__xludf.DUMMYFUNCTION("IMPORTRANGE(""https://docs.google.com/spreadsheets/d/11923uPwbBZFjjGgGUA6NLw09EwE0CqkOc4q9oUmW1yo/edit?usp=sharing"",""สุโขทัย!J62"")"),20)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IFERROR(__xludf.DUMMYFUNCTION("IMPORTRANGE(""https://docs.google.com/spreadsheets/d/11923uPwbBZFjjGgGUA6NLw09EwE0CqkOc4q9oUmW1yo/edit?usp=sharing"",""สุโขทัย!I63"")"),20)</f>
        <v>20</v>
      </c>
      <c r="J133" s="213">
        <f ca="1">IFERROR(__xludf.DUMMYFUNCTION("IMPORTRANGE(""https://docs.google.com/spreadsheets/d/11923uPwbBZFjjGgGUA6NLw09EwE0CqkOc4q9oUmW1yo/edit?usp=sharing"",""สุโขทัย!J63"")"),0)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IFERROR(__xludf.DUMMYFUNCTION("IMPORTRANGE(""https://docs.google.com/spreadsheets/d/11923uPwbBZFjjGgGUA6NLw09EwE0CqkOc4q9oUmW1yo/edit?usp=sharing"",""สุโขทัย!J64"")"),0)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IFERROR(__xludf.DUMMYFUNCTION("IMPORTRANGE(""https://docs.google.com/spreadsheets/d/11923uPwbBZFjjGgGUA6NLw09EwE0CqkOc4q9oUmW1yo/edit?usp=sharing"",""สุโขทัย!J65"")"),0)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IFERROR(__xludf.DUMMYFUNCTION("IMPORTRANGE(""https://docs.google.com/spreadsheets/d/11923uPwbBZFjjGgGUA6NLw09EwE0CqkOc4q9oUmW1yo/edit?usp=sharing"",""สุโขทัย!I68"")"),0)</f>
        <v>0</v>
      </c>
      <c r="J138" s="276">
        <f ca="1">IFERROR(__xludf.DUMMYFUNCTION("IMPORTRANGE(""https://docs.google.com/spreadsheets/d/11923uPwbBZFjjGgGUA6NLw09EwE0CqkOc4q9oUmW1yo/edit?usp=sharing"",""สุโขทัย!J68"")"),0)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83000</v>
      </c>
      <c r="M140" s="158">
        <f t="shared" ca="1" si="64"/>
        <v>59750</v>
      </c>
      <c r="N140" s="158">
        <f t="shared" ca="1" si="64"/>
        <v>440</v>
      </c>
      <c r="O140" s="157">
        <f t="shared" ref="O140:O142" ca="1" si="65">IF(L140&gt;0,N140*100/L140,0)</f>
        <v>0.53012048192771088</v>
      </c>
      <c r="P140" s="157">
        <f t="shared" ref="P140:P142" ca="1" si="66">IF(M140&gt;0,N140*100/M140,0)</f>
        <v>0.7364016736401674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83000</v>
      </c>
      <c r="M142" s="163">
        <f t="shared" ca="1" si="68"/>
        <v>59750</v>
      </c>
      <c r="N142" s="163">
        <f t="shared" ca="1" si="68"/>
        <v>440</v>
      </c>
      <c r="O142" s="162">
        <f t="shared" ca="1" si="65"/>
        <v>0.53012048192771088</v>
      </c>
      <c r="P142" s="162">
        <f t="shared" ca="1" si="66"/>
        <v>0.7364016736401674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83000</v>
      </c>
      <c r="M144" s="176">
        <f ca="1">IFERROR(__xludf.DUMMYFUNCTION("IMPORTRANGE(""https://docs.google.com/spreadsheets/d/1Yj_ptqi66GCucihVvJfMjLAmec39IyEx_6qawtMGysU/edit?usp=sharing"",""สบก!BJ34"")"),59750)</f>
        <v>59750</v>
      </c>
      <c r="N144" s="177">
        <f ca="1">IFERROR(__xludf.DUMMYFUNCTION("IMPORTRANGE(""https://docs.google.com/spreadsheets/d/1Yj_ptqi66GCucihVvJfMjLAmec39IyEx_6qawtMGysU/edit?usp=sharing"",""สบก!BK34"")"),440)</f>
        <v>440</v>
      </c>
      <c r="O144" s="178">
        <f ca="1">IF(L144&gt;0,N144*100/L144,0)</f>
        <v>0.53012048192771088</v>
      </c>
      <c r="P144" s="178">
        <f ca="1">IF(M144&gt;0,N144*100/M144,0)</f>
        <v>0.7364016736401674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IFERROR(__xludf.DUMMYFUNCTION("IMPORTRANGE(""https://docs.google.com/spreadsheets/d/1Yj_ptqi66GCucihVvJfMjLAmec39IyEx_6qawtMGysU/edit?usp=sharing"",""สบก!BF34"")"),0)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IFERROR(__xludf.DUMMYFUNCTION("IMPORTRANGE(""https://docs.google.com/spreadsheets/d/1Yj_ptqi66GCucihVvJfMjLAmec39IyEx_6qawtMGysU/edit?usp=sharing"",""สบก!BG34"")"),83000)</f>
        <v>83000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IFERROR(__xludf.DUMMYFUNCTION("IMPORTRANGE(""https://docs.google.com/spreadsheets/d/1Yj_ptqi66GCucihVvJfMjLAmec39IyEx_6qawtMGysU/edit?usp=sharing"",""สบก!BH34"")"),0)</f>
        <v>0</v>
      </c>
      <c r="M148" s="103"/>
      <c r="N148" s="93">
        <f ca="1">IFERROR(__xludf.DUMMYFUNCTION("IMPORTRANGE(""https://docs.google.com/spreadsheets/d/1Yj_ptqi66GCucihVvJfMjLAmec39IyEx_6qawtMGysU/edit?usp=sharing"",""สบก!BL34"")"),0)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IFERROR(__xludf.DUMMYFUNCTION("IMPORTRANGE(""https://docs.google.com/spreadsheets/d/11923uPwbBZFjjGgGUA6NLw09EwE0CqkOc4q9oUmW1yo/edit?usp=sharing"",""สุโขทัย!I74"")"),4)</f>
        <v>4</v>
      </c>
      <c r="J149" s="284">
        <f ca="1">IFERROR(__xludf.DUMMYFUNCTION("IMPORTRANGE(""https://docs.google.com/spreadsheets/d/11923uPwbBZFjjGgGUA6NLw09EwE0CqkOc4q9oUmW1yo/edit?usp=sharing"",""สุโขทัย!J74"")"),1)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IFERROR(__xludf.DUMMYFUNCTION("IMPORTRANGE(""https://docs.google.com/spreadsheets/d/11923uPwbBZFjjGgGUA6NLw09EwE0CqkOc4q9oUmW1yo/edit?usp=sharing"",""สุโขทัย!J79"")"),0)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IFERROR(__xludf.DUMMYFUNCTION("IMPORTRANGE(""https://docs.google.com/spreadsheets/d/11923uPwbBZFjjGgGUA6NLw09EwE0CqkOc4q9oUmW1yo/edit?usp=sharing"",""สุโขทัย!J80"")"),1)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IFERROR(__xludf.DUMMYFUNCTION("IMPORTRANGE(""https://docs.google.com/spreadsheets/d/11923uPwbBZFjjGgGUA6NLw09EwE0CqkOc4q9oUmW1yo/edit?usp=sharing"",""สุโขทัย!J81"")"),1)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IFERROR(__xludf.DUMMYFUNCTION("IMPORTRANGE(""https://docs.google.com/spreadsheets/d/11923uPwbBZFjjGgGUA6NLw09EwE0CqkOc4q9oUmW1yo/edit?usp=sharing"",""สุโขทัย!J82"")"),0)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IFERROR(__xludf.DUMMYFUNCTION("IMPORTRANGE(""https://docs.google.com/spreadsheets/d/11923uPwbBZFjjGgGUA6NLw09EwE0CqkOc4q9oUmW1yo/edit?usp=sharing"",""สุโขทัย!I83"")"),4)</f>
        <v>4</v>
      </c>
      <c r="J158" s="198">
        <f ca="1">IFERROR(__xludf.DUMMYFUNCTION("IMPORTRANGE(""https://docs.google.com/spreadsheets/d/11923uPwbBZFjjGgGUA6NLw09EwE0CqkOc4q9oUmW1yo/edit?usp=sharing"",""สุโขทัย!J83"")"),1)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IFERROR(__xludf.DUMMYFUNCTION("IMPORTRANGE(""https://docs.google.com/spreadsheets/d/11923uPwbBZFjjGgGUA6NLw09EwE0CqkOc4q9oUmW1yo/edit?usp=sharing"",""สุโขทัย!J84"")"),81)</f>
        <v>81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IFERROR(__xludf.DUMMYFUNCTION("IMPORTRANGE(""https://docs.google.com/spreadsheets/d/11923uPwbBZFjjGgGUA6NLw09EwE0CqkOc4q9oUmW1yo/edit?usp=sharing"",""สุโขทัย!J85"")"),81)</f>
        <v>81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IFERROR(__xludf.DUMMYFUNCTION("IMPORTRANGE(""https://docs.google.com/spreadsheets/d/11923uPwbBZFjjGgGUA6NLw09EwE0CqkOc4q9oUmW1yo/edit?usp=sharing"",""สุโขทัย!J86"")"),0)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IFERROR(__xludf.DUMMYFUNCTION("IMPORTRANGE(""https://docs.google.com/spreadsheets/d/11923uPwbBZFjjGgGUA6NLw09EwE0CqkOc4q9oUmW1yo/edit?usp=sharing"",""สุโขทัย!J87"")"),0)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IFERROR(__xludf.DUMMYFUNCTION("IMPORTRANGE(""https://docs.google.com/spreadsheets/d/11923uPwbBZFjjGgGUA6NLw09EwE0CqkOc4q9oUmW1yo/edit?usp=sharing"",""สุโขทัย!J88"")"),0)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IFERROR(__xludf.DUMMYFUNCTION("IMPORTRANGE(""https://docs.google.com/spreadsheets/d/11923uPwbBZFjjGgGUA6NLw09EwE0CqkOc4q9oUmW1yo/edit?usp=sharing"",""สุโขทัย!I89"")"),4)</f>
        <v>4</v>
      </c>
      <c r="J164" s="292">
        <f ca="1">IFERROR(__xludf.DUMMYFUNCTION("IMPORTRANGE(""https://docs.google.com/spreadsheets/d/11923uPwbBZFjjGgGUA6NLw09EwE0CqkOc4q9oUmW1yo/edit?usp=sharing"",""สุโขทัย!J89"")"),0)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IFERROR(__xludf.DUMMYFUNCTION("IMPORTRANGE(""https://docs.google.com/spreadsheets/d/11923uPwbBZFjjGgGUA6NLw09EwE0CqkOc4q9oUmW1yo/edit?usp=sharing"",""สุโขทัย!J94"")"),0)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IFERROR(__xludf.DUMMYFUNCTION("IMPORTRANGE(""https://docs.google.com/spreadsheets/d/11923uPwbBZFjjGgGUA6NLw09EwE0CqkOc4q9oUmW1yo/edit?usp=sharing"",""สุโขทัย!J95"")"),1)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IFERROR(__xludf.DUMMYFUNCTION("IMPORTRANGE(""https://docs.google.com/spreadsheets/d/11923uPwbBZFjjGgGUA6NLw09EwE0CqkOc4q9oUmW1yo/edit?usp=sharing"",""สุโขทัย!J96"")"),1)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IFERROR(__xludf.DUMMYFUNCTION("IMPORTRANGE(""https://docs.google.com/spreadsheets/d/11923uPwbBZFjjGgGUA6NLw09EwE0CqkOc4q9oUmW1yo/edit?usp=sharing"",""สุโขทัย!J97"")"),1)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IFERROR(__xludf.DUMMYFUNCTION("IMPORTRANGE(""https://docs.google.com/spreadsheets/d/11923uPwbBZFjjGgGUA6NLw09EwE0CqkOc4q9oUmW1yo/edit?usp=sharing"",""สุโขทัย!I98"")"),4)</f>
        <v>4</v>
      </c>
      <c r="J173" s="198">
        <f ca="1">IFERROR(__xludf.DUMMYFUNCTION("IMPORTRANGE(""https://docs.google.com/spreadsheets/d/11923uPwbBZFjjGgGUA6NLw09EwE0CqkOc4q9oUmW1yo/edit?usp=sharing"",""สุโขทัย!J98"")"),0)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IFERROR(__xludf.DUMMYFUNCTION("IMPORTRANGE(""https://docs.google.com/spreadsheets/d/11923uPwbBZFjjGgGUA6NLw09EwE0CqkOc4q9oUmW1yo/edit?usp=sharing"",""สุโขทัย!J99"")"),0)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IFERROR(__xludf.DUMMYFUNCTION("IMPORTRANGE(""https://docs.google.com/spreadsheets/d/11923uPwbBZFjjGgGUA6NLw09EwE0CqkOc4q9oUmW1yo/edit?usp=sharing"",""สุโขทัย!J100"")"),0)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IFERROR(__xludf.DUMMYFUNCTION("IMPORTRANGE(""https://docs.google.com/spreadsheets/d/11923uPwbBZFjjGgGUA6NLw09EwE0CqkOc4q9oUmW1yo/edit?usp=sharing"",""สุโขทัย!I101"")"),0)</f>
        <v>0</v>
      </c>
      <c r="J176" s="292">
        <f ca="1">IFERROR(__xludf.DUMMYFUNCTION("IMPORTRANGE(""https://docs.google.com/spreadsheets/d/11923uPwbBZFjjGgGUA6NLw09EwE0CqkOc4q9oUmW1yo/edit?usp=sharing"",""สุโขทัย!J101"")"),0)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IFERROR(__xludf.DUMMYFUNCTION("IMPORTRANGE(""https://docs.google.com/spreadsheets/d/11923uPwbBZFjjGgGUA6NLw09EwE0CqkOc4q9oUmW1yo/edit?usp=sharing"",""สุโขทัย!J106"")"),0)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IFERROR(__xludf.DUMMYFUNCTION("IMPORTRANGE(""https://docs.google.com/spreadsheets/d/11923uPwbBZFjjGgGUA6NLw09EwE0CqkOc4q9oUmW1yo/edit?usp=sharing"",""สุโขทัย!J107"")"),0)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IFERROR(__xludf.DUMMYFUNCTION("IMPORTRANGE(""https://docs.google.com/spreadsheets/d/11923uPwbBZFjjGgGUA6NLw09EwE0CqkOc4q9oUmW1yo/edit?usp=sharing"",""สุโขทัย!J108"")"),0)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IFERROR(__xludf.DUMMYFUNCTION("IMPORTRANGE(""https://docs.google.com/spreadsheets/d/11923uPwbBZFjjGgGUA6NLw09EwE0CqkOc4q9oUmW1yo/edit?usp=sharing"",""สุโขทัย!J109"")"),0)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IFERROR(__xludf.DUMMYFUNCTION("IMPORTRANGE(""https://docs.google.com/spreadsheets/d/11923uPwbBZFjjGgGUA6NLw09EwE0CqkOc4q9oUmW1yo/edit?usp=sharing"",""สุโขทัย!I110"")"),0)</f>
        <v>0</v>
      </c>
      <c r="J185" s="213">
        <f ca="1">IFERROR(__xludf.DUMMYFUNCTION("IMPORTRANGE(""https://docs.google.com/spreadsheets/d/11923uPwbBZFjjGgGUA6NLw09EwE0CqkOc4q9oUmW1yo/edit?usp=sharing"",""สุโขทัย!J110"")"),0)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IFERROR(__xludf.DUMMYFUNCTION("IMPORTRANGE(""https://docs.google.com/spreadsheets/d/11923uPwbBZFjjGgGUA6NLw09EwE0CqkOc4q9oUmW1yo/edit?usp=sharing"",""สุโขทัย!I111"")"),0)</f>
        <v>0</v>
      </c>
      <c r="J186" s="213">
        <f ca="1">IFERROR(__xludf.DUMMYFUNCTION("IMPORTRANGE(""https://docs.google.com/spreadsheets/d/11923uPwbBZFjjGgGUA6NLw09EwE0CqkOc4q9oUmW1yo/edit?usp=sharing"",""สุโขทัย!J111"")"),0)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IFERROR(__xludf.DUMMYFUNCTION("IMPORTRANGE(""https://docs.google.com/spreadsheets/d/11923uPwbBZFjjGgGUA6NLw09EwE0CqkOc4q9oUmW1yo/edit?usp=sharing"",""สุโขทัย!J112"")"),0)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IFERROR(__xludf.DUMMYFUNCTION("IMPORTRANGE(""https://docs.google.com/spreadsheets/d/11923uPwbBZFjjGgGUA6NLw09EwE0CqkOc4q9oUmW1yo/edit?usp=sharing"",""สุโขทัย!J113"")"),0)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IFERROR(__xludf.DUMMYFUNCTION("IMPORTRANGE(""https://docs.google.com/spreadsheets/d/11923uPwbBZFjjGgGUA6NLw09EwE0CqkOc4q9oUmW1yo/edit?usp=sharing"",""สุโขทัย!I114"")"),50000)</f>
        <v>50000</v>
      </c>
      <c r="J189" s="292">
        <f ca="1">IFERROR(__xludf.DUMMYFUNCTION("IMPORTRANGE(""https://docs.google.com/spreadsheets/d/11923uPwbBZFjjGgGUA6NLw09EwE0CqkOc4q9oUmW1yo/edit?usp=sharing"",""สุโขทัย!J114"")"),0)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IFERROR(__xludf.DUMMYFUNCTION("IMPORTRANGE(""https://docs.google.com/spreadsheets/d/11923uPwbBZFjjGgGUA6NLw09EwE0CqkOc4q9oUmW1yo/edit?usp=sharing"",""สุโขทัย!J119"")"),0)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IFERROR(__xludf.DUMMYFUNCTION("IMPORTRANGE(""https://docs.google.com/spreadsheets/d/11923uPwbBZFjjGgGUA6NLw09EwE0CqkOc4q9oUmW1yo/edit?usp=sharing"",""สุโขทัย!J120"")"),1)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IFERROR(__xludf.DUMMYFUNCTION("IMPORTRANGE(""https://docs.google.com/spreadsheets/d/11923uPwbBZFjjGgGUA6NLw09EwE0CqkOc4q9oUmW1yo/edit?usp=sharing"",""สุโขทัย!J121"")"),1)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IFERROR(__xludf.DUMMYFUNCTION("IMPORTRANGE(""https://docs.google.com/spreadsheets/d/11923uPwbBZFjjGgGUA6NLw09EwE0CqkOc4q9oUmW1yo/edit?usp=sharing"",""สุโขทัย!J122"")"),0)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IFERROR(__xludf.DUMMYFUNCTION("IMPORTRANGE(""https://docs.google.com/spreadsheets/d/11923uPwbBZFjjGgGUA6NLw09EwE0CqkOc4q9oUmW1yo/edit?usp=sharing"",""สุโขทัย!I124"")"),50000)</f>
        <v>50000</v>
      </c>
      <c r="J199" s="198">
        <f ca="1">IFERROR(__xludf.DUMMYFUNCTION("IMPORTRANGE(""https://docs.google.com/spreadsheets/d/11923uPwbBZFjjGgGUA6NLw09EwE0CqkOc4q9oUmW1yo/edit?usp=sharing"",""สุโขทัย!J124"")"),0)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IFERROR(__xludf.DUMMYFUNCTION("IMPORTRANGE(""https://docs.google.com/spreadsheets/d/11923uPwbBZFjjGgGUA6NLw09EwE0CqkOc4q9oUmW1yo/edit?usp=sharing"",""สุโขทัย!I125"")"),50000)</f>
        <v>50000</v>
      </c>
      <c r="J200" s="198">
        <f ca="1">IFERROR(__xludf.DUMMYFUNCTION("IMPORTRANGE(""https://docs.google.com/spreadsheets/d/11923uPwbBZFjjGgGUA6NLw09EwE0CqkOc4q9oUmW1yo/edit?usp=sharing"",""สุโขทัย!J125"")"),0)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IFERROR(__xludf.DUMMYFUNCTION("IMPORTRANGE(""https://docs.google.com/spreadsheets/d/11923uPwbBZFjjGgGUA6NLw09EwE0CqkOc4q9oUmW1yo/edit?usp=sharing"",""สุโขทัย!I126"")"),0)</f>
        <v>0</v>
      </c>
      <c r="J201" s="198">
        <f ca="1">IFERROR(__xludf.DUMMYFUNCTION("IMPORTRANGE(""https://docs.google.com/spreadsheets/d/11923uPwbBZFjjGgGUA6NLw09EwE0CqkOc4q9oUmW1yo/edit?usp=sharing"",""สุโขทัย!J126"")"),0)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IFERROR(__xludf.DUMMYFUNCTION("IMPORTRANGE(""https://docs.google.com/spreadsheets/d/11923uPwbBZFjjGgGUA6NLw09EwE0CqkOc4q9oUmW1yo/edit?usp=sharing"",""สุโขทัย!J127"")"),0)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IFERROR(__xludf.DUMMYFUNCTION("IMPORTRANGE(""https://docs.google.com/spreadsheets/d/11923uPwbBZFjjGgGUA6NLw09EwE0CqkOc4q9oUmW1yo/edit?usp=sharing"",""สุโขทัย!J128"")"),0)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IFERROR(__xludf.DUMMYFUNCTION("IMPORTRANGE(""https://docs.google.com/spreadsheets/d/11923uPwbBZFjjGgGUA6NLw09EwE0CqkOc4q9oUmW1yo/edit?usp=sharing"",""สุโขทัย!I129"")"),0)</f>
        <v>0</v>
      </c>
      <c r="J204" s="292">
        <f ca="1">IFERROR(__xludf.DUMMYFUNCTION("IMPORTRANGE(""https://docs.google.com/spreadsheets/d/11923uPwbBZFjjGgGUA6NLw09EwE0CqkOc4q9oUmW1yo/edit?usp=sharing"",""สุโขทัย!J129"")"),0)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IFERROR(__xludf.DUMMYFUNCTION("IMPORTRANGE(""https://docs.google.com/spreadsheets/d/11923uPwbBZFjjGgGUA6NLw09EwE0CqkOc4q9oUmW1yo/edit?usp=sharing"",""สุโขทัย!J134"")"),0)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IFERROR(__xludf.DUMMYFUNCTION("IMPORTRANGE(""https://docs.google.com/spreadsheets/d/11923uPwbBZFjjGgGUA6NLw09EwE0CqkOc4q9oUmW1yo/edit?usp=sharing"",""สุโขทัย!J135"")"),0)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IFERROR(__xludf.DUMMYFUNCTION("IMPORTRANGE(""https://docs.google.com/spreadsheets/d/11923uPwbBZFjjGgGUA6NLw09EwE0CqkOc4q9oUmW1yo/edit?usp=sharing"",""สุโขทัย!J136"")"),0)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IFERROR(__xludf.DUMMYFUNCTION("IMPORTRANGE(""https://docs.google.com/spreadsheets/d/11923uPwbBZFjjGgGUA6NLw09EwE0CqkOc4q9oUmW1yo/edit?usp=sharing"",""สุโขทัย!J137"")"),0)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IFERROR(__xludf.DUMMYFUNCTION("IMPORTRANGE(""https://docs.google.com/spreadsheets/d/11923uPwbBZFjjGgGUA6NLw09EwE0CqkOc4q9oUmW1yo/edit?usp=sharing"",""สุโขทัย!I138"")"),0)</f>
        <v>0</v>
      </c>
      <c r="J213" s="213">
        <f ca="1">IFERROR(__xludf.DUMMYFUNCTION("IMPORTRANGE(""https://docs.google.com/spreadsheets/d/11923uPwbBZFjjGgGUA6NLw09EwE0CqkOc4q9oUmW1yo/edit?usp=sharing"",""สุโขทัย!J138"")"),0)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IFERROR(__xludf.DUMMYFUNCTION("IMPORTRANGE(""https://docs.google.com/spreadsheets/d/11923uPwbBZFjjGgGUA6NLw09EwE0CqkOc4q9oUmW1yo/edit?usp=sharing"",""สุโขทัย!I140"")"),0)</f>
        <v>0</v>
      </c>
      <c r="J215" s="213">
        <f ca="1">IFERROR(__xludf.DUMMYFUNCTION("IMPORTRANGE(""https://docs.google.com/spreadsheets/d/11923uPwbBZFjjGgGUA6NLw09EwE0CqkOc4q9oUmW1yo/edit?usp=sharing"",""สุโขทัย!J140"")"),0)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IFERROR(__xludf.DUMMYFUNCTION("IMPORTRANGE(""https://docs.google.com/spreadsheets/d/11923uPwbBZFjjGgGUA6NLw09EwE0CqkOc4q9oUmW1yo/edit?usp=sharing"",""สุโขทัย!I141"")"),0)</f>
        <v>0</v>
      </c>
      <c r="J216" s="213">
        <f ca="1">IFERROR(__xludf.DUMMYFUNCTION("IMPORTRANGE(""https://docs.google.com/spreadsheets/d/11923uPwbBZFjjGgGUA6NLw09EwE0CqkOc4q9oUmW1yo/edit?usp=sharing"",""สุโขทัย!J141"")"),0)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IFERROR(__xludf.DUMMYFUNCTION("IMPORTRANGE(""https://docs.google.com/spreadsheets/d/11923uPwbBZFjjGgGUA6NLw09EwE0CqkOc4q9oUmW1yo/edit?usp=sharing"",""สุโขทัย!J142"")"),0)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IFERROR(__xludf.DUMMYFUNCTION("IMPORTRANGE(""https://docs.google.com/spreadsheets/d/11923uPwbBZFjjGgGUA6NLw09EwE0CqkOc4q9oUmW1yo/edit?usp=sharing"",""สุโขทัย!J143"")"),0)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IFERROR(__xludf.DUMMYFUNCTION("IMPORTRANGE(""https://docs.google.com/spreadsheets/d/11923uPwbBZFjjGgGUA6NLw09EwE0CqkOc4q9oUmW1yo/edit?usp=sharing"",""สุโขทัย!I144"")"),13)</f>
        <v>13</v>
      </c>
      <c r="J219" s="276">
        <f ca="1">IFERROR(__xludf.DUMMYFUNCTION("IMPORTRANGE(""https://docs.google.com/spreadsheets/d/11923uPwbBZFjjGgGUA6NLw09EwE0CqkOc4q9oUmW1yo/edit?usp=sharing"",""สุโขทัย!J144"")"),13)</f>
        <v>13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19295</v>
      </c>
      <c r="M220" s="158">
        <f t="shared" ca="1" si="72"/>
        <v>19295</v>
      </c>
      <c r="N220" s="158">
        <f t="shared" ca="1" si="72"/>
        <v>17295</v>
      </c>
      <c r="O220" s="157">
        <f t="shared" ref="O220:O222" ca="1" si="73">IF(L220&gt;0,N220*100/L220,0)</f>
        <v>89.634620367970982</v>
      </c>
      <c r="P220" s="157">
        <f t="shared" ref="P220:P222" ca="1" si="74">IF(M220&gt;0,N220*100/M220,0)</f>
        <v>89.634620367970982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19295</v>
      </c>
      <c r="M222" s="163">
        <f t="shared" ca="1" si="76"/>
        <v>19295</v>
      </c>
      <c r="N222" s="163">
        <f t="shared" ca="1" si="76"/>
        <v>17295</v>
      </c>
      <c r="O222" s="162">
        <f t="shared" ca="1" si="73"/>
        <v>89.634620367970982</v>
      </c>
      <c r="P222" s="162">
        <f t="shared" ca="1" si="74"/>
        <v>89.634620367970982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19295</v>
      </c>
      <c r="M224" s="176">
        <f ca="1">IFERROR(__xludf.DUMMYFUNCTION("IMPORTRANGE(""https://docs.google.com/spreadsheets/d/1Yj_ptqi66GCucihVvJfMjLAmec39IyEx_6qawtMGysU/edit?usp=sharing"",""สบก!BS34"")"),19295)</f>
        <v>19295</v>
      </c>
      <c r="N224" s="177">
        <f ca="1">IFERROR(__xludf.DUMMYFUNCTION("IMPORTRANGE(""https://docs.google.com/spreadsheets/d/1Yj_ptqi66GCucihVvJfMjLAmec39IyEx_6qawtMGysU/edit?usp=sharing"",""สบก!BT34"")"),17295)</f>
        <v>17295</v>
      </c>
      <c r="O224" s="178">
        <f ca="1">IF(L224&gt;0,N224*100/L224,0)</f>
        <v>89.634620367970982</v>
      </c>
      <c r="P224" s="178">
        <f ca="1">IF(M224&gt;0,N224*100/M224,0)</f>
        <v>89.634620367970982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IFERROR(__xludf.DUMMYFUNCTION("IMPORTRANGE(""https://docs.google.com/spreadsheets/d/1Yj_ptqi66GCucihVvJfMjLAmec39IyEx_6qawtMGysU/edit?usp=sharing"",""สบก!BO34"")"),0)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IFERROR(__xludf.DUMMYFUNCTION("IMPORTRANGE(""https://docs.google.com/spreadsheets/d/1Yj_ptqi66GCucihVvJfMjLAmec39IyEx_6qawtMGysU/edit?usp=sharing"",""สบก!BP34"")"),19295)</f>
        <v>19295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IFERROR(__xludf.DUMMYFUNCTION("IMPORTRANGE(""https://docs.google.com/spreadsheets/d/1Yj_ptqi66GCucihVvJfMjLAmec39IyEx_6qawtMGysU/edit?usp=sharing"",""สบก!BQ34"")"),0)</f>
        <v>0</v>
      </c>
      <c r="M228" s="103"/>
      <c r="N228" s="93">
        <f ca="1">IFERROR(__xludf.DUMMYFUNCTION("IMPORTRANGE(""https://docs.google.com/spreadsheets/d/1Yj_ptqi66GCucihVvJfMjLAmec39IyEx_6qawtMGysU/edit?usp=sharing"",""สบก!BU34"")"),0)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IFERROR(__xludf.DUMMYFUNCTION("IMPORTRANGE(""https://docs.google.com/spreadsheets/d/11923uPwbBZFjjGgGUA6NLw09EwE0CqkOc4q9oUmW1yo/edit?usp=sharing"",""สุโขทัย!I149"")"),13)</f>
        <v>13</v>
      </c>
      <c r="J229" s="276">
        <f ca="1">IFERROR(__xludf.DUMMYFUNCTION("IMPORTRANGE(""https://docs.google.com/spreadsheets/d/11923uPwbBZFjjGgGUA6NLw09EwE0CqkOc4q9oUmW1yo/edit?usp=sharing"",""สุโขทัย!J149"")"),13)</f>
        <v>13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IFERROR(__xludf.DUMMYFUNCTION("IMPORTRANGE(""https://docs.google.com/spreadsheets/d/11923uPwbBZFjjGgGUA6NLw09EwE0CqkOc4q9oUmW1yo/edit?usp=sharing"",""สุโขทัย!J151"")"),0)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IFERROR(__xludf.DUMMYFUNCTION("IMPORTRANGE(""https://docs.google.com/spreadsheets/d/11923uPwbBZFjjGgGUA6NLw09EwE0CqkOc4q9oUmW1yo/edit?usp=sharing"",""สุโขทัย!J152"")"),1)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IFERROR(__xludf.DUMMYFUNCTION("IMPORTRANGE(""https://docs.google.com/spreadsheets/d/11923uPwbBZFjjGgGUA6NLw09EwE0CqkOc4q9oUmW1yo/edit?usp=sharing"",""สุโขทัย!J153"")"),1)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IFERROR(__xludf.DUMMYFUNCTION("IMPORTRANGE(""https://docs.google.com/spreadsheets/d/11923uPwbBZFjjGgGUA6NLw09EwE0CqkOc4q9oUmW1yo/edit?usp=sharing"",""สุโขทัย!J154"")"),1)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IFERROR(__xludf.DUMMYFUNCTION("IMPORTRANGE(""https://docs.google.com/spreadsheets/d/11923uPwbBZFjjGgGUA6NLw09EwE0CqkOc4q9oUmW1yo/edit?usp=sharing"",""สุโขทัย!I155"")"),13)</f>
        <v>13</v>
      </c>
      <c r="J235" s="198">
        <f ca="1">IFERROR(__xludf.DUMMYFUNCTION("IMPORTRANGE(""https://docs.google.com/spreadsheets/d/11923uPwbBZFjjGgGUA6NLw09EwE0CqkOc4q9oUmW1yo/edit?usp=sharing"",""สุโขทัย!J155"")"),13)</f>
        <v>13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IFERROR(__xludf.DUMMYFUNCTION("IMPORTRANGE(""https://docs.google.com/spreadsheets/d/11923uPwbBZFjjGgGUA6NLw09EwE0CqkOc4q9oUmW1yo/edit?usp=sharing"",""สุโขทัย!J156"")"),0)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IFERROR(__xludf.DUMMYFUNCTION("IMPORTRANGE(""https://docs.google.com/spreadsheets/d/11923uPwbBZFjjGgGUA6NLw09EwE0CqkOc4q9oUmW1yo/edit?usp=sharing"",""สุโขทัย!J157"")"),0)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IFERROR(__xludf.DUMMYFUNCTION("IMPORTRANGE(""https://docs.google.com/spreadsheets/d/11923uPwbBZFjjGgGUA6NLw09EwE0CqkOc4q9oUmW1yo/edit?usp=sharing"",""สุโขทัย!I158"")"),0)</f>
        <v>0</v>
      </c>
      <c r="J238" s="276">
        <f ca="1">IFERROR(__xludf.DUMMYFUNCTION("IMPORTRANGE(""https://docs.google.com/spreadsheets/d/11923uPwbBZFjjGgGUA6NLw09EwE0CqkOc4q9oUmW1yo/edit?usp=sharing"",""สุโขทัย!J158"")"),0)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IFERROR(__xludf.DUMMYFUNCTION("IMPORTRANGE(""https://docs.google.com/spreadsheets/d/11923uPwbBZFjjGgGUA6NLw09EwE0CqkOc4q9oUmW1yo/edit?usp=sharing"",""สุโขทัย!J159"")"),"")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IFERROR(__xludf.DUMMYFUNCTION("IMPORTRANGE(""https://docs.google.com/spreadsheets/d/11923uPwbBZFjjGgGUA6NLw09EwE0CqkOc4q9oUmW1yo/edit?usp=sharing"",""สุโขทัย!J161"")"),0)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IFERROR(__xludf.DUMMYFUNCTION("IMPORTRANGE(""https://docs.google.com/spreadsheets/d/11923uPwbBZFjjGgGUA6NLw09EwE0CqkOc4q9oUmW1yo/edit?usp=sharing"",""สุโขทัย!J162"")"),0)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IFERROR(__xludf.DUMMYFUNCTION("IMPORTRANGE(""https://docs.google.com/spreadsheets/d/11923uPwbBZFjjGgGUA6NLw09EwE0CqkOc4q9oUmW1yo/edit?usp=sharing"",""สุโขทัย!J163"")"),0)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IFERROR(__xludf.DUMMYFUNCTION("IMPORTRANGE(""https://docs.google.com/spreadsheets/d/11923uPwbBZFjjGgGUA6NLw09EwE0CqkOc4q9oUmW1yo/edit?usp=sharing"",""สุโขทัย!I164"")"),0)</f>
        <v>0</v>
      </c>
      <c r="J244" s="197">
        <f ca="1">IFERROR(__xludf.DUMMYFUNCTION("IMPORTRANGE(""https://docs.google.com/spreadsheets/d/11923uPwbBZFjjGgGUA6NLw09EwE0CqkOc4q9oUmW1yo/edit?usp=sharing"",""สุโขทัย!J164"")"),0)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IFERROR(__xludf.DUMMYFUNCTION("IMPORTRANGE(""https://docs.google.com/spreadsheets/d/11923uPwbBZFjjGgGUA6NLw09EwE0CqkOc4q9oUmW1yo/edit?usp=sharing"",""สุโขทัย!J165"")"),0)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IFERROR(__xludf.DUMMYFUNCTION("IMPORTRANGE(""https://docs.google.com/spreadsheets/d/11923uPwbBZFjjGgGUA6NLw09EwE0CqkOc4q9oUmW1yo/edit?usp=sharing"",""สุโขทัย!J166"")"),0)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IFERROR(__xludf.DUMMYFUNCTION("IMPORTRANGE(""https://docs.google.com/spreadsheets/d/11923uPwbBZFjjGgGUA6NLw09EwE0CqkOc4q9oUmW1yo/edit?usp=sharing"",""สุโขทัย!I169"")"),0)</f>
        <v>0</v>
      </c>
      <c r="J249" s="324">
        <f ca="1">IFERROR(__xludf.DUMMYFUNCTION("IMPORTRANGE(""https://docs.google.com/spreadsheets/d/11923uPwbBZFjjGgGUA6NLw09EwE0CqkOc4q9oUmW1yo/edit?usp=sharing"",""สุโขทัย!J169"")"),0)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IFERROR(__xludf.DUMMYFUNCTION("IMPORTRANGE(""https://docs.google.com/spreadsheets/d/1Yj_ptqi66GCucihVvJfMjLAmec39IyEx_6qawtMGysU/edit?usp=sharing"",""สบก!CB34"")"),0)</f>
        <v>0</v>
      </c>
      <c r="N254" s="177">
        <f ca="1">IFERROR(__xludf.DUMMYFUNCTION("IMPORTRANGE(""https://docs.google.com/spreadsheets/d/1Yj_ptqi66GCucihVvJfMjLAmec39IyEx_6qawtMGysU/edit?usp=sharing"",""สบก!CC34"")"),0)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IFERROR(__xludf.DUMMYFUNCTION("IMPORTRANGE(""https://docs.google.com/spreadsheets/d/1Yj_ptqi66GCucihVvJfMjLAmec39IyEx_6qawtMGysU/edit?usp=sharing"",""สบก!BX34"")"),0)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IFERROR(__xludf.DUMMYFUNCTION("IMPORTRANGE(""https://docs.google.com/spreadsheets/d/1Yj_ptqi66GCucihVvJfMjLAmec39IyEx_6qawtMGysU/edit?usp=sharing"",""สบก!BY34"")"),0)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IFERROR(__xludf.DUMMYFUNCTION("IMPORTRANGE(""https://docs.google.com/spreadsheets/d/1Yj_ptqi66GCucihVvJfMjLAmec39IyEx_6qawtMGysU/edit?usp=sharing"",""สบก!BZ34"")"),0)</f>
        <v>0</v>
      </c>
      <c r="M258" s="103"/>
      <c r="N258" s="93">
        <f ca="1">IFERROR(__xludf.DUMMYFUNCTION("IMPORTRANGE(""https://docs.google.com/spreadsheets/d/1Yj_ptqi66GCucihVvJfMjLAmec39IyEx_6qawtMGysU/edit?usp=sharing"",""สบก!CD34"")"),0)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IFERROR(__xludf.DUMMYFUNCTION("IMPORTRANGE(""https://docs.google.com/spreadsheets/d/11923uPwbBZFjjGgGUA6NLw09EwE0CqkOc4q9oUmW1yo/edit?usp=sharing"",""สุโขทัย!J175"")"),0)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IFERROR(__xludf.DUMMYFUNCTION("IMPORTRANGE(""https://docs.google.com/spreadsheets/d/11923uPwbBZFjjGgGUA6NLw09EwE0CqkOc4q9oUmW1yo/edit?usp=sharing"",""สุโขทัย!J176"")"),0)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IFERROR(__xludf.DUMMYFUNCTION("IMPORTRANGE(""https://docs.google.com/spreadsheets/d/11923uPwbBZFjjGgGUA6NLw09EwE0CqkOc4q9oUmW1yo/edit?usp=sharing"",""สุโขทัย!J177"")"),0)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IFERROR(__xludf.DUMMYFUNCTION("IMPORTRANGE(""https://docs.google.com/spreadsheets/d/11923uPwbBZFjjGgGUA6NLw09EwE0CqkOc4q9oUmW1yo/edit?usp=sharing"",""สุโขทัย!J178"")"),0)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IFERROR(__xludf.DUMMYFUNCTION("IMPORTRANGE(""https://docs.google.com/spreadsheets/d/11923uPwbBZFjjGgGUA6NLw09EwE0CqkOc4q9oUmW1yo/edit?usp=sharing"",""สุโขทัย!I179"")"),0)</f>
        <v>0</v>
      </c>
      <c r="J264" s="198">
        <f ca="1">IFERROR(__xludf.DUMMYFUNCTION("IMPORTRANGE(""https://docs.google.com/spreadsheets/d/11923uPwbBZFjjGgGUA6NLw09EwE0CqkOc4q9oUmW1yo/edit?usp=sharing"",""สุโขทัย!J179"")"),0)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IFERROR(__xludf.DUMMYFUNCTION("IMPORTRANGE(""https://docs.google.com/spreadsheets/d/11923uPwbBZFjjGgGUA6NLw09EwE0CqkOc4q9oUmW1yo/edit?usp=sharing"",""สุโขทัย!I180"")"),0)</f>
        <v>0</v>
      </c>
      <c r="J265" s="198">
        <f ca="1">IFERROR(__xludf.DUMMYFUNCTION("IMPORTRANGE(""https://docs.google.com/spreadsheets/d/11923uPwbBZFjjGgGUA6NLw09EwE0CqkOc4q9oUmW1yo/edit?usp=sharing"",""สุโขทัย!J180"")"),0)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IFERROR(__xludf.DUMMYFUNCTION("IMPORTRANGE(""https://docs.google.com/spreadsheets/d/11923uPwbBZFjjGgGUA6NLw09EwE0CqkOc4q9oUmW1yo/edit?usp=sharing"",""สุโขทัย!I181"")"),0)</f>
        <v>0</v>
      </c>
      <c r="J266" s="198">
        <f ca="1">IFERROR(__xludf.DUMMYFUNCTION("IMPORTRANGE(""https://docs.google.com/spreadsheets/d/11923uPwbBZFjjGgGUA6NLw09EwE0CqkOc4q9oUmW1yo/edit?usp=sharing"",""สุโขทัย!J181"")"),0)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IFERROR(__xludf.DUMMYFUNCTION("IMPORTRANGE(""https://docs.google.com/spreadsheets/d/11923uPwbBZFjjGgGUA6NLw09EwE0CqkOc4q9oUmW1yo/edit?usp=sharing"",""สุโขทัย!I182"")"),0)</f>
        <v>0</v>
      </c>
      <c r="J267" s="198">
        <f ca="1">IFERROR(__xludf.DUMMYFUNCTION("IMPORTRANGE(""https://docs.google.com/spreadsheets/d/11923uPwbBZFjjGgGUA6NLw09EwE0CqkOc4q9oUmW1yo/edit?usp=sharing"",""สุโขทัย!J182"")"),0)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IFERROR(__xludf.DUMMYFUNCTION("IMPORTRANGE(""https://docs.google.com/spreadsheets/d/11923uPwbBZFjjGgGUA6NLw09EwE0CqkOc4q9oUmW1yo/edit?usp=sharing"",""สุโขทัย!J183"")"),0)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IFERROR(__xludf.DUMMYFUNCTION("IMPORTRANGE(""https://docs.google.com/spreadsheets/d/11923uPwbBZFjjGgGUA6NLw09EwE0CqkOc4q9oUmW1yo/edit?usp=sharing"",""สุโขทัย!J184"")"),0)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IFERROR(__xludf.DUMMYFUNCTION("IMPORTRANGE(""https://docs.google.com/spreadsheets/d/11923uPwbBZFjjGgGUA6NLw09EwE0CqkOc4q9oUmW1yo/edit?usp=sharing"",""สุโขทัย!I185"")"),15)</f>
        <v>15</v>
      </c>
      <c r="J270" s="324">
        <f ca="1">IFERROR(__xludf.DUMMYFUNCTION("IMPORTRANGE(""https://docs.google.com/spreadsheets/d/11923uPwbBZFjjGgGUA6NLw09EwE0CqkOc4q9oUmW1yo/edit?usp=sharing"",""สุโขทัย!J185"")"),15)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237700</v>
      </c>
      <c r="M271" s="158">
        <f t="shared" ca="1" si="83"/>
        <v>146000</v>
      </c>
      <c r="N271" s="158">
        <f t="shared" ca="1" si="83"/>
        <v>90180</v>
      </c>
      <c r="O271" s="157">
        <f t="shared" ref="O271:O273" ca="1" si="84">IF(L271&gt;0,N271*100/L271,0)</f>
        <v>37.938578039545646</v>
      </c>
      <c r="P271" s="157">
        <f t="shared" ref="P271:P273" ca="1" si="85">IF(M271&gt;0,N271*100/M271,0)</f>
        <v>61.767123287671232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237700</v>
      </c>
      <c r="M273" s="163">
        <f t="shared" ca="1" si="87"/>
        <v>146000</v>
      </c>
      <c r="N273" s="163">
        <f t="shared" ca="1" si="87"/>
        <v>90180</v>
      </c>
      <c r="O273" s="162">
        <f t="shared" ca="1" si="84"/>
        <v>37.938578039545646</v>
      </c>
      <c r="P273" s="162">
        <f t="shared" ca="1" si="85"/>
        <v>61.767123287671232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237700</v>
      </c>
      <c r="M275" s="176">
        <f ca="1">IFERROR(__xludf.DUMMYFUNCTION("IMPORTRANGE(""https://docs.google.com/spreadsheets/d/1Yj_ptqi66GCucihVvJfMjLAmec39IyEx_6qawtMGysU/edit?usp=sharing"",""สบก!CK34"")"),146000)</f>
        <v>146000</v>
      </c>
      <c r="N275" s="177">
        <f ca="1">IFERROR(__xludf.DUMMYFUNCTION("IMPORTRANGE(""https://docs.google.com/spreadsheets/d/1Yj_ptqi66GCucihVvJfMjLAmec39IyEx_6qawtMGysU/edit?usp=sharing"",""สบก!CL34"")"),90180)</f>
        <v>90180</v>
      </c>
      <c r="O275" s="178">
        <f ca="1">IF(L275&gt;0,N275*100/L275,0)</f>
        <v>37.938578039545646</v>
      </c>
      <c r="P275" s="178">
        <f ca="1">IF(M275&gt;0,N275*100/M275,0)</f>
        <v>61.767123287671232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IFERROR(__xludf.DUMMYFUNCTION("IMPORTRANGE(""https://docs.google.com/spreadsheets/d/1Yj_ptqi66GCucihVvJfMjLAmec39IyEx_6qawtMGysU/edit?usp=sharing"",""สบก!CG34"")"),132000)</f>
        <v>132000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IFERROR(__xludf.DUMMYFUNCTION("IMPORTRANGE(""https://docs.google.com/spreadsheets/d/1Yj_ptqi66GCucihVvJfMjLAmec39IyEx_6qawtMGysU/edit?usp=sharing"",""สบก!CH34"")"),105700)</f>
        <v>105700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IFERROR(__xludf.DUMMYFUNCTION("IMPORTRANGE(""https://docs.google.com/spreadsheets/d/1Yj_ptqi66GCucihVvJfMjLAmec39IyEx_6qawtMGysU/edit?usp=sharing"",""สบก!CI34"")"),0)</f>
        <v>0</v>
      </c>
      <c r="M279" s="103"/>
      <c r="N279" s="93">
        <f ca="1">IFERROR(__xludf.DUMMYFUNCTION("IMPORTRANGE(""https://docs.google.com/spreadsheets/d/1Yj_ptqi66GCucihVvJfMjLAmec39IyEx_6qawtMGysU/edit?usp=sharing"",""สบก!CM34"")"),0)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IFERROR(__xludf.DUMMYFUNCTION("IMPORTRANGE(""https://docs.google.com/spreadsheets/d/11923uPwbBZFjjGgGUA6NLw09EwE0CqkOc4q9oUmW1yo/edit?usp=sharing"",""สุโขทัย!J191"")"),0)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IFERROR(__xludf.DUMMYFUNCTION("IMPORTRANGE(""https://docs.google.com/spreadsheets/d/11923uPwbBZFjjGgGUA6NLw09EwE0CqkOc4q9oUmW1yo/edit?usp=sharing"",""สุโขทัย!J192"")"),1)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IFERROR(__xludf.DUMMYFUNCTION("IMPORTRANGE(""https://docs.google.com/spreadsheets/d/11923uPwbBZFjjGgGUA6NLw09EwE0CqkOc4q9oUmW1yo/edit?usp=sharing"",""สุโขทัย!J193"")"),1)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IFERROR(__xludf.DUMMYFUNCTION("IMPORTRANGE(""https://docs.google.com/spreadsheets/d/11923uPwbBZFjjGgGUA6NLw09EwE0CqkOc4q9oUmW1yo/edit?usp=sharing"",""สุโขทัย!J194"")"),1)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IFERROR(__xludf.DUMMYFUNCTION("IMPORTRANGE(""https://docs.google.com/spreadsheets/d/11923uPwbBZFjjGgGUA6NLw09EwE0CqkOc4q9oUmW1yo/edit?usp=sharing"",""สุโขทัย!I195"")"),15)</f>
        <v>15</v>
      </c>
      <c r="J285" s="198">
        <f ca="1">IFERROR(__xludf.DUMMYFUNCTION("IMPORTRANGE(""https://docs.google.com/spreadsheets/d/11923uPwbBZFjjGgGUA6NLw09EwE0CqkOc4q9oUmW1yo/edit?usp=sharing"",""สุโขทัย!J195"")"),15)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IFERROR(__xludf.DUMMYFUNCTION("IMPORTRANGE(""https://docs.google.com/spreadsheets/d/11923uPwbBZFjjGgGUA6NLw09EwE0CqkOc4q9oUmW1yo/edit?usp=sharing"",""สุโขทัย!J196"")"),0)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IFERROR(__xludf.DUMMYFUNCTION("IMPORTRANGE(""https://docs.google.com/spreadsheets/d/11923uPwbBZFjjGgGUA6NLw09EwE0CqkOc4q9oUmW1yo/edit?usp=sharing"",""สุโขทัย!J197"")"),0)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IFERROR(__xludf.DUMMYFUNCTION("IMPORTRANGE(""https://docs.google.com/spreadsheets/d/11923uPwbBZFjjGgGUA6NLw09EwE0CqkOc4q9oUmW1yo/edit?usp=sharing"",""สุโขทัย!I199"")"),0)</f>
        <v>0</v>
      </c>
      <c r="J289" s="324">
        <f ca="1">IFERROR(__xludf.DUMMYFUNCTION("IMPORTRANGE(""https://docs.google.com/spreadsheets/d/11923uPwbBZFjjGgGUA6NLw09EwE0CqkOc4q9oUmW1yo/edit?usp=sharing"",""สุโขทัย!J199"")"),0)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IFERROR(__xludf.DUMMYFUNCTION("IMPORTRANGE(""https://docs.google.com/spreadsheets/d/1Yj_ptqi66GCucihVvJfMjLAmec39IyEx_6qawtMGysU/edit?usp=sharing"",""สบก!CT34"")"),0)</f>
        <v>0</v>
      </c>
      <c r="N294" s="177">
        <f ca="1">IFERROR(__xludf.DUMMYFUNCTION("IMPORTRANGE(""https://docs.google.com/spreadsheets/d/1Yj_ptqi66GCucihVvJfMjLAmec39IyEx_6qawtMGysU/edit?usp=sharing"",""สบก!CU34"")"),0)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IFERROR(__xludf.DUMMYFUNCTION("IMPORTRANGE(""https://docs.google.com/spreadsheets/d/1Yj_ptqi66GCucihVvJfMjLAmec39IyEx_6qawtMGysU/edit?usp=sharing"",""สบก!CP34"")"),0)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IFERROR(__xludf.DUMMYFUNCTION("IMPORTRANGE(""https://docs.google.com/spreadsheets/d/1Yj_ptqi66GCucihVvJfMjLAmec39IyEx_6qawtMGysU/edit?usp=sharing"",""สบก!CQ34"")"),0)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IFERROR(__xludf.DUMMYFUNCTION("IMPORTRANGE(""https://docs.google.com/spreadsheets/d/1Yj_ptqi66GCucihVvJfMjLAmec39IyEx_6qawtMGysU/edit?usp=sharing"",""สบก!CR34"")"),0)</f>
        <v>0</v>
      </c>
      <c r="M298" s="103"/>
      <c r="N298" s="93">
        <f ca="1">IFERROR(__xludf.DUMMYFUNCTION("IMPORTRANGE(""https://docs.google.com/spreadsheets/d/1Yj_ptqi66GCucihVvJfMjLAmec39IyEx_6qawtMGysU/edit?usp=sharing"",""สบก!CV34"")"),0)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IFERROR(__xludf.DUMMYFUNCTION("IMPORTRANGE(""https://docs.google.com/spreadsheets/d/11923uPwbBZFjjGgGUA6NLw09EwE0CqkOc4q9oUmW1yo/edit?usp=sharing"",""สุโขทัย!J205"")"),0)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IFERROR(__xludf.DUMMYFUNCTION("IMPORTRANGE(""https://docs.google.com/spreadsheets/d/11923uPwbBZFjjGgGUA6NLw09EwE0CqkOc4q9oUmW1yo/edit?usp=sharing"",""สุโขทัย!J206"")"),0)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IFERROR(__xludf.DUMMYFUNCTION("IMPORTRANGE(""https://docs.google.com/spreadsheets/d/11923uPwbBZFjjGgGUA6NLw09EwE0CqkOc4q9oUmW1yo/edit?usp=sharing"",""สุโขทัย!J207"")"),0)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IFERROR(__xludf.DUMMYFUNCTION("IMPORTRANGE(""https://docs.google.com/spreadsheets/d/11923uPwbBZFjjGgGUA6NLw09EwE0CqkOc4q9oUmW1yo/edit?usp=sharing"",""สุโขทัย!J208"")"),0)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IFERROR(__xludf.DUMMYFUNCTION("IMPORTRANGE(""https://docs.google.com/spreadsheets/d/11923uPwbBZFjjGgGUA6NLw09EwE0CqkOc4q9oUmW1yo/edit?usp=sharing"",""สุโขทัย!I209"")"),0)</f>
        <v>0</v>
      </c>
      <c r="J304" s="213">
        <f ca="1">IFERROR(__xludf.DUMMYFUNCTION("IMPORTRANGE(""https://docs.google.com/spreadsheets/d/11923uPwbBZFjjGgGUA6NLw09EwE0CqkOc4q9oUmW1yo/edit?usp=sharing"",""สุโขทัย!J209"")"),0)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IFERROR(__xludf.DUMMYFUNCTION("IMPORTRANGE(""https://docs.google.com/spreadsheets/d/11923uPwbBZFjjGgGUA6NLw09EwE0CqkOc4q9oUmW1yo/edit?usp=sharing"",""สุโขทัย!I211"")"),0)</f>
        <v>0</v>
      </c>
      <c r="J306" s="213">
        <f ca="1">IFERROR(__xludf.DUMMYFUNCTION("IMPORTRANGE(""https://docs.google.com/spreadsheets/d/11923uPwbBZFjjGgGUA6NLw09EwE0CqkOc4q9oUmW1yo/edit?usp=sharing"",""สุโขทัย!J211"")"),0)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IFERROR(__xludf.DUMMYFUNCTION("IMPORTRANGE(""https://docs.google.com/spreadsheets/d/11923uPwbBZFjjGgGUA6NLw09EwE0CqkOc4q9oUmW1yo/edit?usp=sharing"",""สุโขทัย!J212"")"),0)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IFERROR(__xludf.DUMMYFUNCTION("IMPORTRANGE(""https://docs.google.com/spreadsheets/d/11923uPwbBZFjjGgGUA6NLw09EwE0CqkOc4q9oUmW1yo/edit?usp=sharing"",""สุโขทัย!J213"")"),0)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IFERROR(__xludf.DUMMYFUNCTION("IMPORTRANGE(""https://docs.google.com/spreadsheets/d/11923uPwbBZFjjGgGUA6NLw09EwE0CqkOc4q9oUmW1yo/edit?usp=sharing"",""สุโขทัย!I214"")"),0)</f>
        <v>0</v>
      </c>
      <c r="J309" s="341">
        <f ca="1">IFERROR(__xludf.DUMMYFUNCTION("IMPORTRANGE(""https://docs.google.com/spreadsheets/d/11923uPwbBZFjjGgGUA6NLw09EwE0CqkOc4q9oUmW1yo/edit?usp=sharing"",""สุโขทัย!J214"")"),0)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IFERROR(__xludf.DUMMYFUNCTION("IMPORTRANGE(""https://docs.google.com/spreadsheets/d/1Yj_ptqi66GCucihVvJfMjLAmec39IyEx_6qawtMGysU/edit?usp=sharing"",""สบก!DC34"")"),0)</f>
        <v>0</v>
      </c>
      <c r="N314" s="177">
        <f ca="1">IFERROR(__xludf.DUMMYFUNCTION("IMPORTRANGE(""https://docs.google.com/spreadsheets/d/1Yj_ptqi66GCucihVvJfMjLAmec39IyEx_6qawtMGysU/edit?usp=sharing"",""สบก!DD34"")"),0)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IFERROR(__xludf.DUMMYFUNCTION("IMPORTRANGE(""https://docs.google.com/spreadsheets/d/1Yj_ptqi66GCucihVvJfMjLAmec39IyEx_6qawtMGysU/edit?usp=sharing"",""สบก!CY34"")"),0)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IFERROR(__xludf.DUMMYFUNCTION("IMPORTRANGE(""https://docs.google.com/spreadsheets/d/1Yj_ptqi66GCucihVvJfMjLAmec39IyEx_6qawtMGysU/edit?usp=sharing"",""สบก!CZ34"")"),0)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IFERROR(__xludf.DUMMYFUNCTION("IMPORTRANGE(""https://docs.google.com/spreadsheets/d/1Yj_ptqi66GCucihVvJfMjLAmec39IyEx_6qawtMGysU/edit?usp=sharing"",""สบก!DA34"")"),0)</f>
        <v>0</v>
      </c>
      <c r="M318" s="103"/>
      <c r="N318" s="93">
        <f ca="1">IFERROR(__xludf.DUMMYFUNCTION("IMPORTRANGE(""https://docs.google.com/spreadsheets/d/1Yj_ptqi66GCucihVvJfMjLAmec39IyEx_6qawtMGysU/edit?usp=sharing"",""สบก!DE34"")"),0)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IFERROR(__xludf.DUMMYFUNCTION("IMPORTRANGE(""https://docs.google.com/spreadsheets/d/11923uPwbBZFjjGgGUA6NLw09EwE0CqkOc4q9oUmW1yo/edit?usp=sharing"",""สุโขทัย!J220"")"),0)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IFERROR(__xludf.DUMMYFUNCTION("IMPORTRANGE(""https://docs.google.com/spreadsheets/d/11923uPwbBZFjjGgGUA6NLw09EwE0CqkOc4q9oUmW1yo/edit?usp=sharing"",""สุโขทัย!J221"")"),0)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IFERROR(__xludf.DUMMYFUNCTION("IMPORTRANGE(""https://docs.google.com/spreadsheets/d/11923uPwbBZFjjGgGUA6NLw09EwE0CqkOc4q9oUmW1yo/edit?usp=sharing"",""สุโขทัย!J222"")"),0)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IFERROR(__xludf.DUMMYFUNCTION("IMPORTRANGE(""https://docs.google.com/spreadsheets/d/11923uPwbBZFjjGgGUA6NLw09EwE0CqkOc4q9oUmW1yo/edit?usp=sharing"",""สุโขทัย!J223"")"),0)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IFERROR(__xludf.DUMMYFUNCTION("IMPORTRANGE(""https://docs.google.com/spreadsheets/d/11923uPwbBZFjjGgGUA6NLw09EwE0CqkOc4q9oUmW1yo/edit?usp=sharing"",""สุโขทัย!I224"")"),0)</f>
        <v>0</v>
      </c>
      <c r="J324" s="213">
        <f ca="1">IFERROR(__xludf.DUMMYFUNCTION("IMPORTRANGE(""https://docs.google.com/spreadsheets/d/11923uPwbBZFjjGgGUA6NLw09EwE0CqkOc4q9oUmW1yo/edit?usp=sharing"",""สุโขทัย!J224"")"),0)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IFERROR(__xludf.DUMMYFUNCTION("IMPORTRANGE(""https://docs.google.com/spreadsheets/d/11923uPwbBZFjjGgGUA6NLw09EwE0CqkOc4q9oUmW1yo/edit?usp=sharing"",""สุโขทัย!J225"")"),0)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IFERROR(__xludf.DUMMYFUNCTION("IMPORTRANGE(""https://docs.google.com/spreadsheets/d/11923uPwbBZFjjGgGUA6NLw09EwE0CqkOc4q9oUmW1yo/edit?usp=sharing"",""สุโขทัย!J226"")"),0)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IFERROR(__xludf.DUMMYFUNCTION("IMPORTRANGE(""https://docs.google.com/spreadsheets/d/11923uPwbBZFjjGgGUA6NLw09EwE0CqkOc4q9oUmW1yo/edit?usp=sharing"",""สุโขทัย!I228"")"),270)</f>
        <v>270</v>
      </c>
      <c r="J328" s="347">
        <f ca="1">IFERROR(__xludf.DUMMYFUNCTION("IMPORTRANGE(""https://docs.google.com/spreadsheets/d/11923uPwbBZFjjGgGUA6NLw09EwE0CqkOc4q9oUmW1yo/edit?usp=sharing"",""สุโขทัย!J228"")"),2)</f>
        <v>2</v>
      </c>
      <c r="K328" s="325">
        <f ca="1">IF(I328&gt;0,J328*100/I328,0)</f>
        <v>0.7407407407407407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868030</v>
      </c>
      <c r="M329" s="158">
        <f t="shared" ca="1" si="98"/>
        <v>459580</v>
      </c>
      <c r="N329" s="158">
        <f t="shared" ca="1" si="98"/>
        <v>263710</v>
      </c>
      <c r="O329" s="157">
        <f t="shared" ref="O329:O331" ca="1" si="99">IF(L329&gt;0,N329*100/L329,0)</f>
        <v>30.380286395631487</v>
      </c>
      <c r="P329" s="157">
        <f t="shared" ref="P329:P331" ca="1" si="100">IF(M329&gt;0,N329*100/M329,0)</f>
        <v>57.380651899560469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868030</v>
      </c>
      <c r="M331" s="163">
        <f t="shared" ca="1" si="102"/>
        <v>459580</v>
      </c>
      <c r="N331" s="163">
        <f t="shared" ca="1" si="102"/>
        <v>263710</v>
      </c>
      <c r="O331" s="162">
        <f t="shared" ca="1" si="99"/>
        <v>30.380286395631487</v>
      </c>
      <c r="P331" s="162">
        <f t="shared" ca="1" si="100"/>
        <v>57.380651899560469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868030</v>
      </c>
      <c r="M333" s="176">
        <f ca="1">IFERROR(__xludf.DUMMYFUNCTION("IMPORTRANGE(""https://docs.google.com/spreadsheets/d/1Yj_ptqi66GCucihVvJfMjLAmec39IyEx_6qawtMGysU/edit?usp=sharing"",""สบก!DL34"")"),459580)</f>
        <v>459580</v>
      </c>
      <c r="N333" s="177">
        <f ca="1">IFERROR(__xludf.DUMMYFUNCTION("IMPORTRANGE(""https://docs.google.com/spreadsheets/d/1Yj_ptqi66GCucihVvJfMjLAmec39IyEx_6qawtMGysU/edit?usp=sharing"",""สบก!DM34"")"),263710)</f>
        <v>263710</v>
      </c>
      <c r="O333" s="178">
        <f ca="1">IF(L333&gt;0,N333*100/L333,0)</f>
        <v>30.380286395631487</v>
      </c>
      <c r="P333" s="178">
        <f ca="1">IF(M333&gt;0,N333*100/M333,0)</f>
        <v>57.380651899560469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IFERROR(__xludf.DUMMYFUNCTION("IMPORTRANGE(""https://docs.google.com/spreadsheets/d/1Yj_ptqi66GCucihVvJfMjLAmec39IyEx_6qawtMGysU/edit?usp=sharing"",""สบก!DH34"")"),529200)</f>
        <v>529200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IFERROR(__xludf.DUMMYFUNCTION("IMPORTRANGE(""https://docs.google.com/spreadsheets/d/1Yj_ptqi66GCucihVvJfMjLAmec39IyEx_6qawtMGysU/edit?usp=sharing"",""สบก!DI34"")"),338830)</f>
        <v>338830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IFERROR(__xludf.DUMMYFUNCTION("IMPORTRANGE(""https://docs.google.com/spreadsheets/d/1Yj_ptqi66GCucihVvJfMjLAmec39IyEx_6qawtMGysU/edit?usp=sharing"",""สบก!DJ34"")"),0)</f>
        <v>0</v>
      </c>
      <c r="M337" s="103"/>
      <c r="N337" s="93">
        <f ca="1">IFERROR(__xludf.DUMMYFUNCTION("IMPORTRANGE(""https://docs.google.com/spreadsheets/d/1Yj_ptqi66GCucihVvJfMjLAmec39IyEx_6qawtMGysU/edit?usp=sharing"",""สบก!DN34"")"),0)</f>
        <v>0</v>
      </c>
      <c r="O337" s="103">
        <f ca="1">IF(L337&gt;0,N337*100/L337,0)</f>
        <v>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IFERROR(__xludf.DUMMYFUNCTION("IMPORTRANGE(""https://docs.google.com/spreadsheets/d/11923uPwbBZFjjGgGUA6NLw09EwE0CqkOc4q9oUmW1yo/edit?usp=sharing"",""สุโขทัย!I234"")"),0)</f>
        <v>0</v>
      </c>
      <c r="J339" s="197">
        <f ca="1">IFERROR(__xludf.DUMMYFUNCTION("IMPORTRANGE(""https://docs.google.com/spreadsheets/d/11923uPwbBZFjjGgGUA6NLw09EwE0CqkOc4q9oUmW1yo/edit?usp=sharing"",""สุโขทัย!J234"")"),53)</f>
        <v>53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IFERROR(__xludf.DUMMYFUNCTION("IMPORTRANGE(""https://docs.google.com/spreadsheets/d/11923uPwbBZFjjGgGUA6NLw09EwE0CqkOc4q9oUmW1yo/edit?usp=sharing"",""สุโขทัย!I235"")"),1440)</f>
        <v>1440</v>
      </c>
      <c r="J340" s="197">
        <f ca="1">IFERROR(__xludf.DUMMYFUNCTION("IMPORTRANGE(""https://docs.google.com/spreadsheets/d/11923uPwbBZFjjGgGUA6NLw09EwE0CqkOc4q9oUmW1yo/edit?usp=sharing"",""สุโขทัย!J235"")"),480.53)</f>
        <v>480.53</v>
      </c>
      <c r="K340" s="350">
        <f t="shared" ca="1" si="103"/>
        <v>33.370138888888889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IFERROR(__xludf.DUMMYFUNCTION("IMPORTRANGE(""https://docs.google.com/spreadsheets/d/11923uPwbBZFjjGgGUA6NLw09EwE0CqkOc4q9oUmW1yo/edit?usp=sharing"",""สุโขทัย!I236"")"),270)</f>
        <v>270</v>
      </c>
      <c r="J341" s="197">
        <f ca="1">IFERROR(__xludf.DUMMYFUNCTION("IMPORTRANGE(""https://docs.google.com/spreadsheets/d/11923uPwbBZFjjGgGUA6NLw09EwE0CqkOc4q9oUmW1yo/edit?usp=sharing"",""สุโขทัย!J236"")"),48)</f>
        <v>48</v>
      </c>
      <c r="K341" s="350">
        <f t="shared" ca="1" si="103"/>
        <v>17.777777777777779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IFERROR(__xludf.DUMMYFUNCTION("IMPORTRANGE(""https://docs.google.com/spreadsheets/d/11923uPwbBZFjjGgGUA6NLw09EwE0CqkOc4q9oUmW1yo/edit?usp=sharing"",""สุโขทัย!I237"")"),0)</f>
        <v>0</v>
      </c>
      <c r="J342" s="197">
        <f ca="1">IFERROR(__xludf.DUMMYFUNCTION("IMPORTRANGE(""https://docs.google.com/spreadsheets/d/11923uPwbBZFjjGgGUA6NLw09EwE0CqkOc4q9oUmW1yo/edit?usp=sharing"",""สุโขทัย!J237"")"),489.409999999999)</f>
        <v>489.409999999999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IFERROR(__xludf.DUMMYFUNCTION("IMPORTRANGE(""https://docs.google.com/spreadsheets/d/11923uPwbBZFjjGgGUA6NLw09EwE0CqkOc4q9oUmW1yo/edit?usp=sharing"",""สุโขทัย!I238"")"),270)</f>
        <v>270</v>
      </c>
      <c r="J343" s="197">
        <f ca="1">IFERROR(__xludf.DUMMYFUNCTION("IMPORTRANGE(""https://docs.google.com/spreadsheets/d/11923uPwbBZFjjGgGUA6NLw09EwE0CqkOc4q9oUmW1yo/edit?usp=sharing"",""สุโขทัย!J238"")"),0)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IFERROR(__xludf.DUMMYFUNCTION("IMPORTRANGE(""https://docs.google.com/spreadsheets/d/11923uPwbBZFjjGgGUA6NLw09EwE0CqkOc4q9oUmW1yo/edit?usp=sharing"",""สุโขทัย!I239"")"),0)</f>
        <v>0</v>
      </c>
      <c r="J344" s="197">
        <f ca="1">IFERROR(__xludf.DUMMYFUNCTION("IMPORTRANGE(""https://docs.google.com/spreadsheets/d/11923uPwbBZFjjGgGUA6NLw09EwE0CqkOc4q9oUmW1yo/edit?usp=sharing"",""สุโขทัย!J239"")"),0)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IFERROR(__xludf.DUMMYFUNCTION("IMPORTRANGE(""https://docs.google.com/spreadsheets/d/11923uPwbBZFjjGgGUA6NLw09EwE0CqkOc4q9oUmW1yo/edit?usp=sharing"",""สุโขทัย!I240"")"),270)</f>
        <v>270</v>
      </c>
      <c r="J345" s="197">
        <f ca="1">IFERROR(__xludf.DUMMYFUNCTION("IMPORTRANGE(""https://docs.google.com/spreadsheets/d/11923uPwbBZFjjGgGUA6NLw09EwE0CqkOc4q9oUmW1yo/edit?usp=sharing"",""สุโขทัย!J240"")"),2)</f>
        <v>2</v>
      </c>
      <c r="K345" s="350">
        <f t="shared" ca="1" si="103"/>
        <v>0.7407407407407407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IFERROR(__xludf.DUMMYFUNCTION("IMPORTRANGE(""https://docs.google.com/spreadsheets/d/11923uPwbBZFjjGgGUA6NLw09EwE0CqkOc4q9oUmW1yo/edit?usp=sharing"",""สุโขทัย!I241"")"),0)</f>
        <v>0</v>
      </c>
      <c r="J346" s="197">
        <f ca="1">IFERROR(__xludf.DUMMYFUNCTION("IMPORTRANGE(""https://docs.google.com/spreadsheets/d/11923uPwbBZFjjGgGUA6NLw09EwE0CqkOc4q9oUmW1yo/edit?usp=sharing"",""สุโขทัย!J241"")"),43.37)</f>
        <v>43.37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IFERROR(__xludf.DUMMYFUNCTION("IMPORTRANGE(""https://docs.google.com/spreadsheets/d/11923uPwbBZFjjGgGUA6NLw09EwE0CqkOc4q9oUmW1yo/edit?usp=sharing"",""สุโขทัย!L242"")"),1955983)</f>
        <v>1955983</v>
      </c>
      <c r="M347" s="366"/>
      <c r="N347" s="366">
        <f ca="1">IFERROR(__xludf.DUMMYFUNCTION("IMPORTRANGE(""https://docs.google.com/spreadsheets/d/11923uPwbBZFjjGgGUA6NLw09EwE0CqkOc4q9oUmW1yo/edit?usp=sharing"",""สุโขทัย!M242"")"),329690)</f>
        <v>329690</v>
      </c>
      <c r="O347" s="366">
        <f ca="1">+IF(L347&gt;0,N347*100/L347,0)</f>
        <v>16.855463467729525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IFERROR(__xludf.DUMMYFUNCTION("IMPORTRANGE(""https://docs.google.com/spreadsheets/d/11923uPwbBZFjjGgGUA6NLw09EwE0CqkOc4q9oUmW1yo/edit?usp=sharing"",""สุโขทัย!I244"")"),80)</f>
        <v>80</v>
      </c>
      <c r="J349" s="379">
        <f ca="1">IFERROR(__xludf.DUMMYFUNCTION("IMPORTRANGE(""https://docs.google.com/spreadsheets/d/11923uPwbBZFjjGgGUA6NLw09EwE0CqkOc4q9oUmW1yo/edit?usp=sharing"",""สุโขทัย!J244"")"),0)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IFERROR(__xludf.DUMMYFUNCTION("IMPORTRANGE(""https://docs.google.com/spreadsheets/d/11923uPwbBZFjjGgGUA6NLw09EwE0CqkOc4q9oUmW1yo/edit?usp=sharing"",""สุโขทัย!L244"")"),367080)</f>
        <v>367080</v>
      </c>
      <c r="M349" s="381"/>
      <c r="N349" s="381">
        <f ca="1">IFERROR(__xludf.DUMMYFUNCTION("IMPORTRANGE(""https://docs.google.com/spreadsheets/d/11923uPwbBZFjjGgGUA6NLw09EwE0CqkOc4q9oUmW1yo/edit?usp=sharing"",""สุโขทัย!M244"")"),32720)</f>
        <v>32720</v>
      </c>
      <c r="O349" s="381">
        <f ca="1">+IF(L349&gt;0,N349*100/L349,0)</f>
        <v>8.9135883186226437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IFERROR(__xludf.DUMMYFUNCTION("IMPORTRANGE(""https://docs.google.com/spreadsheets/d/11923uPwbBZFjjGgGUA6NLw09EwE0CqkOc4q9oUmW1yo/edit?usp=sharing"",""สุโขทัย!I245"")"),80)</f>
        <v>80</v>
      </c>
      <c r="J350" s="379">
        <f ca="1">IFERROR(__xludf.DUMMYFUNCTION("IMPORTRANGE(""https://docs.google.com/spreadsheets/d/11923uPwbBZFjjGgGUA6NLw09EwE0CqkOc4q9oUmW1yo/edit?usp=sharing"",""สุโขทัย!J245"")"),0)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IFERROR(__xludf.DUMMYFUNCTION("IMPORTRANGE(""https://docs.google.com/spreadsheets/d/11923uPwbBZFjjGgGUA6NLw09EwE0CqkOc4q9oUmW1yo/edit?usp=sharing"",""สุโขทัย!L246"")"),0)</f>
        <v>0</v>
      </c>
      <c r="M351" s="172"/>
      <c r="N351" s="172">
        <f ca="1">IFERROR(__xludf.DUMMYFUNCTION("IMPORTRANGE(""https://docs.google.com/spreadsheets/d/11923uPwbBZFjjGgGUA6NLw09EwE0CqkOc4q9oUmW1yo/edit?usp=sharing"",""สุโขทัย!M246"")"),0)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IFERROR(__xludf.DUMMYFUNCTION("IMPORTRANGE(""https://docs.google.com/spreadsheets/d/11923uPwbBZFjjGgGUA6NLw09EwE0CqkOc4q9oUmW1yo/edit?usp=sharing"",""สุโขทัย!L247"")"),367080)</f>
        <v>367080</v>
      </c>
      <c r="M352" s="173"/>
      <c r="N352" s="172">
        <f ca="1">IFERROR(__xludf.DUMMYFUNCTION("IMPORTRANGE(""https://docs.google.com/spreadsheets/d/11923uPwbBZFjjGgGUA6NLw09EwE0CqkOc4q9oUmW1yo/edit?usp=sharing"",""สุโขทัย!M247"")"),32720)</f>
        <v>32720</v>
      </c>
      <c r="O352" s="173">
        <f t="shared" ca="1" si="105"/>
        <v>8.9135883186226437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IFERROR(__xludf.DUMMYFUNCTION("IMPORTRANGE(""https://docs.google.com/spreadsheets/d/11923uPwbBZFjjGgGUA6NLw09EwE0CqkOc4q9oUmW1yo/edit?usp=sharing"",""สุโขทัย!L248"")"),0)</f>
        <v>0</v>
      </c>
      <c r="M353" s="178"/>
      <c r="N353" s="178">
        <f ca="1">IFERROR(__xludf.DUMMYFUNCTION("IMPORTRANGE(""https://docs.google.com/spreadsheets/d/11923uPwbBZFjjGgGUA6NLw09EwE0CqkOc4q9oUmW1yo/edit?usp=sharing"",""สุโขทัย!M248"")"),0)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IFERROR(__xludf.DUMMYFUNCTION("IMPORTRANGE(""https://docs.google.com/spreadsheets/d/11923uPwbBZFjjGgGUA6NLw09EwE0CqkOc4q9oUmW1yo/edit?usp=sharing"",""สุโขทัย!L249"")"),367080)</f>
        <v>367080</v>
      </c>
      <c r="M354" s="178"/>
      <c r="N354" s="175">
        <f ca="1">IFERROR(__xludf.DUMMYFUNCTION("IMPORTRANGE(""https://docs.google.com/spreadsheets/d/11923uPwbBZFjjGgGUA6NLw09EwE0CqkOc4q9oUmW1yo/edit?usp=sharing"",""สุโขทัย!M249"")"),32720)</f>
        <v>32720</v>
      </c>
      <c r="O354" s="178">
        <f t="shared" ca="1" si="105"/>
        <v>8.9135883186226437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IFERROR(__xludf.DUMMYFUNCTION("IMPORTRANGE(""https://docs.google.com/spreadsheets/d/11923uPwbBZFjjGgGUA6NLw09EwE0CqkOc4q9oUmW1yo/edit?usp=sharing"",""สุโขทัย!M250"")"),0)</f>
        <v>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IFERROR(__xludf.DUMMYFUNCTION("IMPORTRANGE(""https://docs.google.com/spreadsheets/d/11923uPwbBZFjjGgGUA6NLw09EwE0CqkOc4q9oUmW1yo/edit?usp=sharing"",""สุโขทัย!M251"")"),0)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IFERROR(__xludf.DUMMYFUNCTION("IMPORTRANGE(""https://docs.google.com/spreadsheets/d/11923uPwbBZFjjGgGUA6NLw09EwE0CqkOc4q9oUmW1yo/edit?usp=sharing"",""สุโขทัย!M252"")"),22000)</f>
        <v>22000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IFERROR(__xludf.DUMMYFUNCTION("IMPORTRANGE(""https://docs.google.com/spreadsheets/d/11923uPwbBZFjjGgGUA6NLw09EwE0CqkOc4q9oUmW1yo/edit?usp=sharing"",""สุโขทัย!M253"")"),10720)</f>
        <v>10720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IFERROR(__xludf.DUMMYFUNCTION("IMPORTRANGE(""https://docs.google.com/spreadsheets/d/11923uPwbBZFjjGgGUA6NLw09EwE0CqkOc4q9oUmW1yo/edit?usp=sharing"",""สุโขทัย!J255"")"),0)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IFERROR(__xludf.DUMMYFUNCTION("IMPORTRANGE(""https://docs.google.com/spreadsheets/d/11923uPwbBZFjjGgGUA6NLw09EwE0CqkOc4q9oUmW1yo/edit?usp=sharing"",""สุโขทัย!J256"")"),1)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IFERROR(__xludf.DUMMYFUNCTION("IMPORTRANGE(""https://docs.google.com/spreadsheets/d/11923uPwbBZFjjGgGUA6NLw09EwE0CqkOc4q9oUmW1yo/edit?usp=sharing"",""สุโขทัย!J257"")"),1)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IFERROR(__xludf.DUMMYFUNCTION("IMPORTRANGE(""https://docs.google.com/spreadsheets/d/11923uPwbBZFjjGgGUA6NLw09EwE0CqkOc4q9oUmW1yo/edit?usp=sharing"",""สุโขทัย!J258"")"),1)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IFERROR(__xludf.DUMMYFUNCTION("IMPORTRANGE(""https://docs.google.com/spreadsheets/d/11923uPwbBZFjjGgGUA6NLw09EwE0CqkOc4q9oUmW1yo/edit?usp=sharing"",""สุโขทัย!J166"")"),0)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IFERROR(__xludf.DUMMYFUNCTION("IMPORTRANGE(""https://docs.google.com/spreadsheets/d/11923uPwbBZFjjGgGUA6NLw09EwE0CqkOc4q9oUmW1yo/edit?usp=sharing"",""สุโขทัย!J166"")"),0)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IFERROR(__xludf.DUMMYFUNCTION("IMPORTRANGE(""https://docs.google.com/spreadsheets/d/11923uPwbBZFjjGgGUA6NLw09EwE0CqkOc4q9oUmW1yo/edit?usp=sharing"",""สุโขทัย!J166"")"),0)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IFERROR(__xludf.DUMMYFUNCTION("IMPORTRANGE(""https://docs.google.com/spreadsheets/d/11923uPwbBZFjjGgGUA6NLw09EwE0CqkOc4q9oUmW1yo/edit?usp=sharing"",""สุโขทัย!J166"")"),0)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IFERROR(__xludf.DUMMYFUNCTION("IMPORTRANGE(""https://docs.google.com/spreadsheets/d/11923uPwbBZFjjGgGUA6NLw09EwE0CqkOc4q9oUmW1yo/edit?usp=sharing"",""สุโขทัย!I263"")"),80)</f>
        <v>80</v>
      </c>
      <c r="J368" s="197">
        <f ca="1">IFERROR(__xludf.DUMMYFUNCTION("IMPORTRANGE(""https://docs.google.com/spreadsheets/d/11923uPwbBZFjjGgGUA6NLw09EwE0CqkOc4q9oUmW1yo/edit?usp=sharing"",""สุโขทัย!J263"")"),0)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IFERROR(__xludf.DUMMYFUNCTION("IMPORTRANGE(""https://docs.google.com/spreadsheets/d/11923uPwbBZFjjGgGUA6NLw09EwE0CqkOc4q9oUmW1yo/edit?usp=sharing"",""สุโขทัย!I164"")"),0)</f>
        <v>0</v>
      </c>
      <c r="J369" s="213">
        <f ca="1">IFERROR(__xludf.DUMMYFUNCTION("IMPORTRANGE(""https://docs.google.com/spreadsheets/d/11923uPwbBZFjjGgGUA6NLw09EwE0CqkOc4q9oUmW1yo/edit?usp=sharing"",""สุโขทัย!J164"")"),0)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IFERROR(__xludf.DUMMYFUNCTION("IMPORTRANGE(""https://docs.google.com/spreadsheets/d/11923uPwbBZFjjGgGUA6NLw09EwE0CqkOc4q9oUmW1yo/edit?usp=sharing"",""สุโขทัย!I265"")"),80)</f>
        <v>80</v>
      </c>
      <c r="J370" s="213">
        <f ca="1">IFERROR(__xludf.DUMMYFUNCTION("IMPORTRANGE(""https://docs.google.com/spreadsheets/d/11923uPwbBZFjjGgGUA6NLw09EwE0CqkOc4q9oUmW1yo/edit?usp=sharing"",""สุโขทัย!J265"")"),0)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IFERROR(__xludf.DUMMYFUNCTION("IMPORTRANGE(""https://docs.google.com/spreadsheets/d/11923uPwbBZFjjGgGUA6NLw09EwE0CqkOc4q9oUmW1yo/edit?usp=sharing"",""สุโขทัย!I164"")"),0)</f>
        <v>0</v>
      </c>
      <c r="J371" s="198">
        <f ca="1">IFERROR(__xludf.DUMMYFUNCTION("IMPORTRANGE(""https://docs.google.com/spreadsheets/d/11923uPwbBZFjjGgGUA6NLw09EwE0CqkOc4q9oUmW1yo/edit?usp=sharing"",""สุโขทัย!J164"")"),0)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IFERROR(__xludf.DUMMYFUNCTION("IMPORTRANGE(""https://docs.google.com/spreadsheets/d/11923uPwbBZFjjGgGUA6NLw09EwE0CqkOc4q9oUmW1yo/edit?usp=sharing"",""สุโขทัย!I267"")"),80)</f>
        <v>80</v>
      </c>
      <c r="J372" s="198">
        <f ca="1">IFERROR(__xludf.DUMMYFUNCTION("IMPORTRANGE(""https://docs.google.com/spreadsheets/d/11923uPwbBZFjjGgGUA6NLw09EwE0CqkOc4q9oUmW1yo/edit?usp=sharing"",""สุโขทัย!J267"")"),0)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IFERROR(__xludf.DUMMYFUNCTION("IMPORTRANGE(""https://docs.google.com/spreadsheets/d/11923uPwbBZFjjGgGUA6NLw09EwE0CqkOc4q9oUmW1yo/edit?usp=sharing"",""สุโขทัย!I164"")"),0)</f>
        <v>0</v>
      </c>
      <c r="J373" s="213">
        <f ca="1">IFERROR(__xludf.DUMMYFUNCTION("IMPORTRANGE(""https://docs.google.com/spreadsheets/d/11923uPwbBZFjjGgGUA6NLw09EwE0CqkOc4q9oUmW1yo/edit?usp=sharing"",""สุโขทัย!J164"")"),0)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IFERROR(__xludf.DUMMYFUNCTION("IMPORTRANGE(""https://docs.google.com/spreadsheets/d/11923uPwbBZFjjGgGUA6NLw09EwE0CqkOc4q9oUmW1yo/edit?usp=sharing"",""สุโขทัย!I164"")"),0)</f>
        <v>0</v>
      </c>
      <c r="J374" s="197">
        <f ca="1">IFERROR(__xludf.DUMMYFUNCTION("IMPORTRANGE(""https://docs.google.com/spreadsheets/d/11923uPwbBZFjjGgGUA6NLw09EwE0CqkOc4q9oUmW1yo/edit?usp=sharing"",""สุโขทัย!J164"")"),0)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IFERROR(__xludf.DUMMYFUNCTION("IMPORTRANGE(""https://docs.google.com/spreadsheets/d/11923uPwbBZFjjGgGUA6NLw09EwE0CqkOc4q9oUmW1yo/edit?usp=sharing"",""สุโขทัย!I270"")"),80)</f>
        <v>80</v>
      </c>
      <c r="J375" s="197">
        <f ca="1">IFERROR(__xludf.DUMMYFUNCTION("IMPORTRANGE(""https://docs.google.com/spreadsheets/d/11923uPwbBZFjjGgGUA6NLw09EwE0CqkOc4q9oUmW1yo/edit?usp=sharing"",""สุโขทัย!J270"")"),0)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IFERROR(__xludf.DUMMYFUNCTION("IMPORTRANGE(""https://docs.google.com/spreadsheets/d/11923uPwbBZFjjGgGUA6NLw09EwE0CqkOc4q9oUmW1yo/edit?usp=sharing"",""สุโขทัย!I271"")"),46)</f>
        <v>46</v>
      </c>
      <c r="J376" s="198">
        <f ca="1">IFERROR(__xludf.DUMMYFUNCTION("IMPORTRANGE(""https://docs.google.com/spreadsheets/d/11923uPwbBZFjjGgGUA6NLw09EwE0CqkOc4q9oUmW1yo/edit?usp=sharing"",""สุโขทัย!J271"")"),0)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IFERROR(__xludf.DUMMYFUNCTION("IMPORTRANGE(""https://docs.google.com/spreadsheets/d/11923uPwbBZFjjGgGUA6NLw09EwE0CqkOc4q9oUmW1yo/edit?usp=sharing"",""สุโขทัย!I272"")"),34)</f>
        <v>34</v>
      </c>
      <c r="J377" s="213">
        <f ca="1">IFERROR(__xludf.DUMMYFUNCTION("IMPORTRANGE(""https://docs.google.com/spreadsheets/d/11923uPwbBZFjjGgGUA6NLw09EwE0CqkOc4q9oUmW1yo/edit?usp=sharing"",""สุโขทัย!J272"")"),0)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IFERROR(__xludf.DUMMYFUNCTION("IMPORTRANGE(""https://docs.google.com/spreadsheets/d/11923uPwbBZFjjGgGUA6NLw09EwE0CqkOc4q9oUmW1yo/edit?usp=sharing"",""สุโขทัย!J273"")"),0)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IFERROR(__xludf.DUMMYFUNCTION("IMPORTRANGE(""https://docs.google.com/spreadsheets/d/11923uPwbBZFjjGgGUA6NLw09EwE0CqkOc4q9oUmW1yo/edit?usp=sharing"",""สุโขทัย!J274"")"),0)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IFERROR(__xludf.DUMMYFUNCTION("IMPORTRANGE(""https://docs.google.com/spreadsheets/d/11923uPwbBZFjjGgGUA6NLw09EwE0CqkOc4q9oUmW1yo/edit?usp=sharing"",""สุโขทัย!I275"")"),200)</f>
        <v>200</v>
      </c>
      <c r="J380" s="379">
        <f ca="1">IFERROR(__xludf.DUMMYFUNCTION("IMPORTRANGE(""https://docs.google.com/spreadsheets/d/11923uPwbBZFjjGgGUA6NLw09EwE0CqkOc4q9oUmW1yo/edit?usp=sharing"",""สุโขทัย!J275"")"),0)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IFERROR(__xludf.DUMMYFUNCTION("IMPORTRANGE(""https://docs.google.com/spreadsheets/d/11923uPwbBZFjjGgGUA6NLw09EwE0CqkOc4q9oUmW1yo/edit?usp=sharing"",""สุโขทัย!L275"")"),207560)</f>
        <v>207560</v>
      </c>
      <c r="M380" s="381"/>
      <c r="N380" s="381">
        <f ca="1">IFERROR(__xludf.DUMMYFUNCTION("IMPORTRANGE(""https://docs.google.com/spreadsheets/d/11923uPwbBZFjjGgGUA6NLw09EwE0CqkOc4q9oUmW1yo/edit?usp=sharing"",""สุโขทัย!M275"")"),1120)</f>
        <v>1120</v>
      </c>
      <c r="O380" s="381">
        <f ca="1">+IF(L380&gt;0,N380*100/L380,0)</f>
        <v>0.5396030063596069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IFERROR(__xludf.DUMMYFUNCTION("IMPORTRANGE(""https://docs.google.com/spreadsheets/d/11923uPwbBZFjjGgGUA6NLw09EwE0CqkOc4q9oUmW1yo/edit?usp=sharing"",""สุโขทัย!I276"")"),20)</f>
        <v>20</v>
      </c>
      <c r="J381" s="379">
        <f ca="1">IFERROR(__xludf.DUMMYFUNCTION("IMPORTRANGE(""https://docs.google.com/spreadsheets/d/11923uPwbBZFjjGgGUA6NLw09EwE0CqkOc4q9oUmW1yo/edit?usp=sharing"",""สุโขทัย!J276"")"),0)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IFERROR(__xludf.DUMMYFUNCTION("IMPORTRANGE(""https://docs.google.com/spreadsheets/d/11923uPwbBZFjjGgGUA6NLw09EwE0CqkOc4q9oUmW1yo/edit?usp=sharing"",""สุโขทัย!L277"")"),0)</f>
        <v>0</v>
      </c>
      <c r="M382" s="172"/>
      <c r="N382" s="172">
        <f ca="1">IFERROR(__xludf.DUMMYFUNCTION("IMPORTRANGE(""https://docs.google.com/spreadsheets/d/11923uPwbBZFjjGgGUA6NLw09EwE0CqkOc4q9oUmW1yo/edit?usp=sharing"",""สุโขทัย!M277"")"),0)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IFERROR(__xludf.DUMMYFUNCTION("IMPORTRANGE(""https://docs.google.com/spreadsheets/d/11923uPwbBZFjjGgGUA6NLw09EwE0CqkOc4q9oUmW1yo/edit?usp=sharing"",""สุโขทัย!L278"")"),207560)</f>
        <v>207560</v>
      </c>
      <c r="M383" s="173"/>
      <c r="N383" s="173">
        <f ca="1">IFERROR(__xludf.DUMMYFUNCTION("IMPORTRANGE(""https://docs.google.com/spreadsheets/d/11923uPwbBZFjjGgGUA6NLw09EwE0CqkOc4q9oUmW1yo/edit?usp=sharing"",""สุโขทัย!M278"")"),1120)</f>
        <v>1120</v>
      </c>
      <c r="O383" s="173">
        <f t="shared" ca="1" si="109"/>
        <v>0.5396030063596069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IFERROR(__xludf.DUMMYFUNCTION("IMPORTRANGE(""https://docs.google.com/spreadsheets/d/11923uPwbBZFjjGgGUA6NLw09EwE0CqkOc4q9oUmW1yo/edit?usp=sharing"",""สุโขทัย!L279"")"),0)</f>
        <v>0</v>
      </c>
      <c r="M384" s="178"/>
      <c r="N384" s="178">
        <f ca="1">IFERROR(__xludf.DUMMYFUNCTION("IMPORTRANGE(""https://docs.google.com/spreadsheets/d/11923uPwbBZFjjGgGUA6NLw09EwE0CqkOc4q9oUmW1yo/edit?usp=sharing"",""สุโขทัย!M279"")"),0)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IFERROR(__xludf.DUMMYFUNCTION("IMPORTRANGE(""https://docs.google.com/spreadsheets/d/11923uPwbBZFjjGgGUA6NLw09EwE0CqkOc4q9oUmW1yo/edit?usp=sharing"",""สุโขทัย!L280"")"),207560)</f>
        <v>207560</v>
      </c>
      <c r="M385" s="178"/>
      <c r="N385" s="175">
        <f ca="1">IFERROR(__xludf.DUMMYFUNCTION("IMPORTRANGE(""https://docs.google.com/spreadsheets/d/11923uPwbBZFjjGgGUA6NLw09EwE0CqkOc4q9oUmW1yo/edit?usp=sharing"",""สุโขทัย!M280"")"),1120)</f>
        <v>1120</v>
      </c>
      <c r="O385" s="178">
        <f t="shared" ca="1" si="109"/>
        <v>0.5396030063596069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IFERROR(__xludf.DUMMYFUNCTION("IMPORTRANGE(""https://docs.google.com/spreadsheets/d/11923uPwbBZFjjGgGUA6NLw09EwE0CqkOc4q9oUmW1yo/edit?usp=sharing"",""สุโขทัย!M281"")"),0)</f>
        <v>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IFERROR(__xludf.DUMMYFUNCTION("IMPORTRANGE(""https://docs.google.com/spreadsheets/d/11923uPwbBZFjjGgGUA6NLw09EwE0CqkOc4q9oUmW1yo/edit?usp=sharing"",""สุโขทัย!M282"")"),0)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IFERROR(__xludf.DUMMYFUNCTION("IMPORTRANGE(""https://docs.google.com/spreadsheets/d/11923uPwbBZFjjGgGUA6NLw09EwE0CqkOc4q9oUmW1yo/edit?usp=sharing"",""สุโขทัย!M283"")"),0)</f>
        <v>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IFERROR(__xludf.DUMMYFUNCTION("IMPORTRANGE(""https://docs.google.com/spreadsheets/d/11923uPwbBZFjjGgGUA6NLw09EwE0CqkOc4q9oUmW1yo/edit?usp=sharing"",""สุโขทัย!M284"")"),1120)</f>
        <v>1120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IFERROR(__xludf.DUMMYFUNCTION("IMPORTRANGE(""https://docs.google.com/spreadsheets/d/11923uPwbBZFjjGgGUA6NLw09EwE0CqkOc4q9oUmW1yo/edit?usp=sharing"",""สุโขทัย!J286"")"),0)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IFERROR(__xludf.DUMMYFUNCTION("IMPORTRANGE(""https://docs.google.com/spreadsheets/d/11923uPwbBZFjjGgGUA6NLw09EwE0CqkOc4q9oUmW1yo/edit?usp=sharing"",""สุโขทัย!J287"")"),1)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IFERROR(__xludf.DUMMYFUNCTION("IMPORTRANGE(""https://docs.google.com/spreadsheets/d/11923uPwbBZFjjGgGUA6NLw09EwE0CqkOc4q9oUmW1yo/edit?usp=sharing"",""สุโขทัย!J288"")"),1)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IFERROR(__xludf.DUMMYFUNCTION("IMPORTRANGE(""https://docs.google.com/spreadsheets/d/11923uPwbBZFjjGgGUA6NLw09EwE0CqkOc4q9oUmW1yo/edit?usp=sharing"",""สุโขทัย!J289"")"),0)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IFERROR(__xludf.DUMMYFUNCTION("IMPORTRANGE(""https://docs.google.com/spreadsheets/d/11923uPwbBZFjjGgGUA6NLw09EwE0CqkOc4q9oUmW1yo/edit?usp=sharing"",""สุโขทัย!I291"")"),20)</f>
        <v>20</v>
      </c>
      <c r="J396" s="207">
        <f ca="1">IFERROR(__xludf.DUMMYFUNCTION("IMPORTRANGE(""https://docs.google.com/spreadsheets/d/11923uPwbBZFjjGgGUA6NLw09EwE0CqkOc4q9oUmW1yo/edit?usp=sharing"",""สุโขทัย!J291"")"),0)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IFERROR(__xludf.DUMMYFUNCTION("IMPORTRANGE(""https://docs.google.com/spreadsheets/d/11923uPwbBZFjjGgGUA6NLw09EwE0CqkOc4q9oUmW1yo/edit?usp=sharing"",""สุโขทัย!I292"")"),200)</f>
        <v>200</v>
      </c>
      <c r="J397" s="207">
        <f ca="1">IFERROR(__xludf.DUMMYFUNCTION("IMPORTRANGE(""https://docs.google.com/spreadsheets/d/11923uPwbBZFjjGgGUA6NLw09EwE0CqkOc4q9oUmW1yo/edit?usp=sharing"",""สุโขทัย!J292"")"),0)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IFERROR(__xludf.DUMMYFUNCTION("IMPORTRANGE(""https://docs.google.com/spreadsheets/d/11923uPwbBZFjjGgGUA6NLw09EwE0CqkOc4q9oUmW1yo/edit?usp=sharing"",""สุโขทัย!I293"")"),20)</f>
        <v>20</v>
      </c>
      <c r="J398" s="207">
        <f ca="1">IFERROR(__xludf.DUMMYFUNCTION("IMPORTRANGE(""https://docs.google.com/spreadsheets/d/11923uPwbBZFjjGgGUA6NLw09EwE0CqkOc4q9oUmW1yo/edit?usp=sharing"",""สุโขทัย!J293"")"),0)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IFERROR(__xludf.DUMMYFUNCTION("IMPORTRANGE(""https://docs.google.com/spreadsheets/d/11923uPwbBZFjjGgGUA6NLw09EwE0CqkOc4q9oUmW1yo/edit?usp=sharing"",""สุโขทัย!J294"")"),0)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IFERROR(__xludf.DUMMYFUNCTION("IMPORTRANGE(""https://docs.google.com/spreadsheets/d/11923uPwbBZFjjGgGUA6NLw09EwE0CqkOc4q9oUmW1yo/edit?usp=sharing"",""สุโขทัย!J295"")"),0)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IFERROR(__xludf.DUMMYFUNCTION("IMPORTRANGE(""https://docs.google.com/spreadsheets/d/11923uPwbBZFjjGgGUA6NLw09EwE0CqkOc4q9oUmW1yo/edit?usp=sharing"",""สุโขทัย!I296"")"),285)</f>
        <v>285</v>
      </c>
      <c r="J401" s="379">
        <f ca="1">IFERROR(__xludf.DUMMYFUNCTION("IMPORTRANGE(""https://docs.google.com/spreadsheets/d/11923uPwbBZFjjGgGUA6NLw09EwE0CqkOc4q9oUmW1yo/edit?usp=sharing"",""สุโขทัย!J296"")"),0)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IFERROR(__xludf.DUMMYFUNCTION("IMPORTRANGE(""https://docs.google.com/spreadsheets/d/11923uPwbBZFjjGgGUA6NLw09EwE0CqkOc4q9oUmW1yo/edit?usp=sharing"",""สุโขทัย!L296"")"),300950)</f>
        <v>300950</v>
      </c>
      <c r="M401" s="381"/>
      <c r="N401" s="381">
        <f ca="1">IFERROR(__xludf.DUMMYFUNCTION("IMPORTRANGE(""https://docs.google.com/spreadsheets/d/11923uPwbBZFjjGgGUA6NLw09EwE0CqkOc4q9oUmW1yo/edit?usp=sharing"",""สุโขทัย!M296"")"),143615)</f>
        <v>143615</v>
      </c>
      <c r="O401" s="381">
        <f ca="1">+IF(L401&gt;0,N401*100/L401,0)</f>
        <v>47.720551586642301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IFERROR(__xludf.DUMMYFUNCTION("IMPORTRANGE(""https://docs.google.com/spreadsheets/d/11923uPwbBZFjjGgGUA6NLw09EwE0CqkOc4q9oUmW1yo/edit?usp=sharing"",""สุโขทัย!I297"")"),95)</f>
        <v>95</v>
      </c>
      <c r="J402" s="379">
        <f ca="1">IFERROR(__xludf.DUMMYFUNCTION("IMPORTRANGE(""https://docs.google.com/spreadsheets/d/11923uPwbBZFjjGgGUA6NLw09EwE0CqkOc4q9oUmW1yo/edit?usp=sharing"",""สุโขทัย!J297"")"),85)</f>
        <v>85</v>
      </c>
      <c r="K402" s="380">
        <f t="shared" ca="1" si="111"/>
        <v>89.473684210526315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IFERROR(__xludf.DUMMYFUNCTION("IMPORTRANGE(""https://docs.google.com/spreadsheets/d/11923uPwbBZFjjGgGUA6NLw09EwE0CqkOc4q9oUmW1yo/edit?usp=sharing"",""สุโขทัย!L298"")"),0)</f>
        <v>0</v>
      </c>
      <c r="M403" s="172"/>
      <c r="N403" s="178">
        <f ca="1">IFERROR(__xludf.DUMMYFUNCTION("IMPORTRANGE(""https://docs.google.com/spreadsheets/d/11923uPwbBZFjjGgGUA6NLw09EwE0CqkOc4q9oUmW1yo/edit?usp=sharing"",""สุโขทัย!M298"")"),0)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IFERROR(__xludf.DUMMYFUNCTION("IMPORTRANGE(""https://docs.google.com/spreadsheets/d/11923uPwbBZFjjGgGUA6NLw09EwE0CqkOc4q9oUmW1yo/edit?usp=sharing"",""สุโขทัย!L299"")"),300950)</f>
        <v>300950</v>
      </c>
      <c r="M404" s="173"/>
      <c r="N404" s="178">
        <f ca="1">IFERROR(__xludf.DUMMYFUNCTION("IMPORTRANGE(""https://docs.google.com/spreadsheets/d/11923uPwbBZFjjGgGUA6NLw09EwE0CqkOc4q9oUmW1yo/edit?usp=sharing"",""สุโขทัย!M299"")"),143615)</f>
        <v>143615</v>
      </c>
      <c r="O404" s="178">
        <f t="shared" ca="1" si="112"/>
        <v>47.720551586642301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IFERROR(__xludf.DUMMYFUNCTION("IMPORTRANGE(""https://docs.google.com/spreadsheets/d/11923uPwbBZFjjGgGUA6NLw09EwE0CqkOc4q9oUmW1yo/edit?usp=sharing"",""สุโขทัย!L300"")"),0)</f>
        <v>0</v>
      </c>
      <c r="M405" s="178"/>
      <c r="N405" s="178">
        <f ca="1">IFERROR(__xludf.DUMMYFUNCTION("IMPORTRANGE(""https://docs.google.com/spreadsheets/d/11923uPwbBZFjjGgGUA6NLw09EwE0CqkOc4q9oUmW1yo/edit?usp=sharing"",""สุโขทัย!M300"")"),0)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IFERROR(__xludf.DUMMYFUNCTION("IMPORTRANGE(""https://docs.google.com/spreadsheets/d/11923uPwbBZFjjGgGUA6NLw09EwE0CqkOc4q9oUmW1yo/edit?usp=sharing"",""สุโขทัย!L301"")"),300950)</f>
        <v>300950</v>
      </c>
      <c r="M406" s="178"/>
      <c r="N406" s="178">
        <f ca="1">IFERROR(__xludf.DUMMYFUNCTION("IMPORTRANGE(""https://docs.google.com/spreadsheets/d/11923uPwbBZFjjGgGUA6NLw09EwE0CqkOc4q9oUmW1yo/edit?usp=sharing"",""สุโขทัย!M301"")"),143615)</f>
        <v>143615</v>
      </c>
      <c r="O406" s="178">
        <f t="shared" ca="1" si="112"/>
        <v>47.720551586642301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IFERROR(__xludf.DUMMYFUNCTION("IMPORTRANGE(""https://docs.google.com/spreadsheets/d/11923uPwbBZFjjGgGUA6NLw09EwE0CqkOc4q9oUmW1yo/edit?usp=sharing"",""สุโขทัย!M302"")"),128255)</f>
        <v>128255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IFERROR(__xludf.DUMMYFUNCTION("IMPORTRANGE(""https://docs.google.com/spreadsheets/d/11923uPwbBZFjjGgGUA6NLw09EwE0CqkOc4q9oUmW1yo/edit?usp=sharing"",""สุโขทัย!M303"")"),0)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IFERROR(__xludf.DUMMYFUNCTION("IMPORTRANGE(""https://docs.google.com/spreadsheets/d/11923uPwbBZFjjGgGUA6NLw09EwE0CqkOc4q9oUmW1yo/edit?usp=sharing"",""สุโขทัย!M304"")"),0)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IFERROR(__xludf.DUMMYFUNCTION("IMPORTRANGE(""https://docs.google.com/spreadsheets/d/11923uPwbBZFjjGgGUA6NLw09EwE0CqkOc4q9oUmW1yo/edit?usp=sharing"",""สุโขทัย!M305"")"),15360)</f>
        <v>15360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IFERROR(__xludf.DUMMYFUNCTION("IMPORTRANGE(""https://docs.google.com/spreadsheets/d/11923uPwbBZFjjGgGUA6NLw09EwE0CqkOc4q9oUmW1yo/edit?usp=sharing"",""สุโขทัย!J307"")"),0)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IFERROR(__xludf.DUMMYFUNCTION("IMPORTRANGE(""https://docs.google.com/spreadsheets/d/11923uPwbBZFjjGgGUA6NLw09EwE0CqkOc4q9oUmW1yo/edit?usp=sharing"",""สุโขทัย!J308"")"),1)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IFERROR(__xludf.DUMMYFUNCTION("IMPORTRANGE(""https://docs.google.com/spreadsheets/d/11923uPwbBZFjjGgGUA6NLw09EwE0CqkOc4q9oUmW1yo/edit?usp=sharing"",""สุโขทัย!J309"")"),1)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IFERROR(__xludf.DUMMYFUNCTION("IMPORTRANGE(""https://docs.google.com/spreadsheets/d/11923uPwbBZFjjGgGUA6NLw09EwE0CqkOc4q9oUmW1yo/edit?usp=sharing"",""สุโขทัย!J310"")"),1)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IFERROR(__xludf.DUMMYFUNCTION("IMPORTRANGE(""https://docs.google.com/spreadsheets/d/11923uPwbBZFjjGgGUA6NLw09EwE0CqkOc4q9oUmW1yo/edit?usp=sharing"",""สุโขทัย!I311"")"),95)</f>
        <v>95</v>
      </c>
      <c r="J416" s="210">
        <f ca="1">IFERROR(__xludf.DUMMYFUNCTION("IMPORTRANGE(""https://docs.google.com/spreadsheets/d/11923uPwbBZFjjGgGUA6NLw09EwE0CqkOc4q9oUmW1yo/edit?usp=sharing"",""สุโขทัย!J311"")"),85)</f>
        <v>85</v>
      </c>
      <c r="K416" s="211">
        <f t="shared" ref="K416:K432" ca="1" si="113">IF(I416&gt;0,J416*100/I416,0)</f>
        <v>89.473684210526315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IFERROR(__xludf.DUMMYFUNCTION("IMPORTRANGE(""https://docs.google.com/spreadsheets/d/11923uPwbBZFjjGgGUA6NLw09EwE0CqkOc4q9oUmW1yo/edit?usp=sharing"",""สุโขทัย!I312"")"),10)</f>
        <v>10</v>
      </c>
      <c r="J417" s="400">
        <f ca="1">IFERROR(__xludf.DUMMYFUNCTION("IMPORTRANGE(""https://docs.google.com/spreadsheets/d/11923uPwbBZFjjGgGUA6NLw09EwE0CqkOc4q9oUmW1yo/edit?usp=sharing"",""สุโขทัย!J312"")"),10)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IFERROR(__xludf.DUMMYFUNCTION("IMPORTRANGE(""https://docs.google.com/spreadsheets/d/11923uPwbBZFjjGgGUA6NLw09EwE0CqkOc4q9oUmW1yo/edit?usp=sharing"",""สุโขทัย!I313"")"),30)</f>
        <v>30</v>
      </c>
      <c r="J418" s="401">
        <f ca="1">IFERROR(__xludf.DUMMYFUNCTION("IMPORTRANGE(""https://docs.google.com/spreadsheets/d/11923uPwbBZFjjGgGUA6NLw09EwE0CqkOc4q9oUmW1yo/edit?usp=sharing"",""สุโขทัย!J313"")"),0)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IFERROR(__xludf.DUMMYFUNCTION("IMPORTRANGE(""https://docs.google.com/spreadsheets/d/11923uPwbBZFjjGgGUA6NLw09EwE0CqkOc4q9oUmW1yo/edit?usp=sharing"",""สุโขทัย!I314"")"),10)</f>
        <v>10</v>
      </c>
      <c r="J419" s="402">
        <f ca="1">IFERROR(__xludf.DUMMYFUNCTION("IMPORTRANGE(""https://docs.google.com/spreadsheets/d/11923uPwbBZFjjGgGUA6NLw09EwE0CqkOc4q9oUmW1yo/edit?usp=sharing"",""สุโขทัย!J314"")"),10)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IFERROR(__xludf.DUMMYFUNCTION("IMPORTRANGE(""https://docs.google.com/spreadsheets/d/11923uPwbBZFjjGgGUA6NLw09EwE0CqkOc4q9oUmW1yo/edit?usp=sharing"",""สุโขทัย!I315"")"),10)</f>
        <v>10</v>
      </c>
      <c r="J420" s="402">
        <f ca="1">IFERROR(__xludf.DUMMYFUNCTION("IMPORTRANGE(""https://docs.google.com/spreadsheets/d/11923uPwbBZFjjGgGUA6NLw09EwE0CqkOc4q9oUmW1yo/edit?usp=sharing"",""สุโขทัย!J315"")"),10)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IFERROR(__xludf.DUMMYFUNCTION("IMPORTRANGE(""https://docs.google.com/spreadsheets/d/11923uPwbBZFjjGgGUA6NLw09EwE0CqkOc4q9oUmW1yo/edit?usp=sharing"",""สุโขทัย!I316"")"),75)</f>
        <v>75</v>
      </c>
      <c r="J421" s="400">
        <f ca="1">IFERROR(__xludf.DUMMYFUNCTION("IMPORTRANGE(""https://docs.google.com/spreadsheets/d/11923uPwbBZFjjGgGUA6NLw09EwE0CqkOc4q9oUmW1yo/edit?usp=sharing"",""สุโขทัย!J316"")"),75)</f>
        <v>75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IFERROR(__xludf.DUMMYFUNCTION("IMPORTRANGE(""https://docs.google.com/spreadsheets/d/11923uPwbBZFjjGgGUA6NLw09EwE0CqkOc4q9oUmW1yo/edit?usp=sharing"",""สุโขทัย!I317"")"),225)</f>
        <v>225</v>
      </c>
      <c r="J422" s="401">
        <f ca="1">IFERROR(__xludf.DUMMYFUNCTION("IMPORTRANGE(""https://docs.google.com/spreadsheets/d/11923uPwbBZFjjGgGUA6NLw09EwE0CqkOc4q9oUmW1yo/edit?usp=sharing"",""สุโขทัย!J317"")"),0)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IFERROR(__xludf.DUMMYFUNCTION("IMPORTRANGE(""https://docs.google.com/spreadsheets/d/11923uPwbBZFjjGgGUA6NLw09EwE0CqkOc4q9oUmW1yo/edit?usp=sharing"",""สุโขทัย!I318"")"),75)</f>
        <v>75</v>
      </c>
      <c r="J423" s="402">
        <f ca="1">IFERROR(__xludf.DUMMYFUNCTION("IMPORTRANGE(""https://docs.google.com/spreadsheets/d/11923uPwbBZFjjGgGUA6NLw09EwE0CqkOc4q9oUmW1yo/edit?usp=sharing"",""สุโขทัย!J318"")"),75)</f>
        <v>75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IFERROR(__xludf.DUMMYFUNCTION("IMPORTRANGE(""https://docs.google.com/spreadsheets/d/11923uPwbBZFjjGgGUA6NLw09EwE0CqkOc4q9oUmW1yo/edit?usp=sharing"",""สุโขทัย!I319"")"),75)</f>
        <v>75</v>
      </c>
      <c r="J424" s="402">
        <f ca="1">IFERROR(__xludf.DUMMYFUNCTION("IMPORTRANGE(""https://docs.google.com/spreadsheets/d/11923uPwbBZFjjGgGUA6NLw09EwE0CqkOc4q9oUmW1yo/edit?usp=sharing"",""สุโขทัย!J319"")"),75)</f>
        <v>75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IFERROR(__xludf.DUMMYFUNCTION("IMPORTRANGE(""https://docs.google.com/spreadsheets/d/11923uPwbBZFjjGgGUA6NLw09EwE0CqkOc4q9oUmW1yo/edit?usp=sharing"",""สุโขทัย!I320"")"),75)</f>
        <v>75</v>
      </c>
      <c r="J425" s="402">
        <f ca="1">IFERROR(__xludf.DUMMYFUNCTION("IMPORTRANGE(""https://docs.google.com/spreadsheets/d/11923uPwbBZFjjGgGUA6NLw09EwE0CqkOc4q9oUmW1yo/edit?usp=sharing"",""สุโขทัย!J320"")"),75)</f>
        <v>75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IFERROR(__xludf.DUMMYFUNCTION("IMPORTRANGE(""https://docs.google.com/spreadsheets/d/11923uPwbBZFjjGgGUA6NLw09EwE0CqkOc4q9oUmW1yo/edit?usp=sharing"",""สุโขทัย!I321"")"),10)</f>
        <v>10</v>
      </c>
      <c r="J426" s="400">
        <f ca="1">IFERROR(__xludf.DUMMYFUNCTION("IMPORTRANGE(""https://docs.google.com/spreadsheets/d/11923uPwbBZFjjGgGUA6NLw09EwE0CqkOc4q9oUmW1yo/edit?usp=sharing"",""สุโขทัย!J321"")"),0)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IFERROR(__xludf.DUMMYFUNCTION("IMPORTRANGE(""https://docs.google.com/spreadsheets/d/11923uPwbBZFjjGgGUA6NLw09EwE0CqkOc4q9oUmW1yo/edit?usp=sharing"",""สุโขทัย!I322"")"),30)</f>
        <v>30</v>
      </c>
      <c r="J427" s="401">
        <f ca="1">IFERROR(__xludf.DUMMYFUNCTION("IMPORTRANGE(""https://docs.google.com/spreadsheets/d/11923uPwbBZFjjGgGUA6NLw09EwE0CqkOc4q9oUmW1yo/edit?usp=sharing"",""สุโขทัย!J322"")"),0)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IFERROR(__xludf.DUMMYFUNCTION("IMPORTRANGE(""https://docs.google.com/spreadsheets/d/11923uPwbBZFjjGgGUA6NLw09EwE0CqkOc4q9oUmW1yo/edit?usp=sharing"",""สุโขทัย!I323"")"),10)</f>
        <v>10</v>
      </c>
      <c r="J428" s="402">
        <f ca="1">IFERROR(__xludf.DUMMYFUNCTION("IMPORTRANGE(""https://docs.google.com/spreadsheets/d/11923uPwbBZFjjGgGUA6NLw09EwE0CqkOc4q9oUmW1yo/edit?usp=sharing"",""สุโขทัย!J323"")"),0)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IFERROR(__xludf.DUMMYFUNCTION("IMPORTRANGE(""https://docs.google.com/spreadsheets/d/11923uPwbBZFjjGgGUA6NLw09EwE0CqkOc4q9oUmW1yo/edit?usp=sharing"",""สุโขทัย!I324"")"),10)</f>
        <v>10</v>
      </c>
      <c r="J429" s="402">
        <f ca="1">IFERROR(__xludf.DUMMYFUNCTION("IMPORTRANGE(""https://docs.google.com/spreadsheets/d/11923uPwbBZFjjGgGUA6NLw09EwE0CqkOc4q9oUmW1yo/edit?usp=sharing"",""สุโขทัย!J324"")"),0)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IFERROR(__xludf.DUMMYFUNCTION("IMPORTRANGE(""https://docs.google.com/spreadsheets/d/11923uPwbBZFjjGgGUA6NLw09EwE0CqkOc4q9oUmW1yo/edit?usp=sharing"",""สุโขทัย!I325"")"),85)</f>
        <v>85</v>
      </c>
      <c r="J430" s="400">
        <f ca="1">IFERROR(__xludf.DUMMYFUNCTION("IMPORTRANGE(""https://docs.google.com/spreadsheets/d/11923uPwbBZFjjGgGUA6NLw09EwE0CqkOc4q9oUmW1yo/edit?usp=sharing"",""สุโขทัย!J325"")"),0)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IFERROR(__xludf.DUMMYFUNCTION("IMPORTRANGE(""https://docs.google.com/spreadsheets/d/11923uPwbBZFjjGgGUA6NLw09EwE0CqkOc4q9oUmW1yo/edit?usp=sharing"",""สุโขทัย!I326"")"),10)</f>
        <v>10</v>
      </c>
      <c r="J431" s="402">
        <f ca="1">IFERROR(__xludf.DUMMYFUNCTION("IMPORTRANGE(""https://docs.google.com/spreadsheets/d/11923uPwbBZFjjGgGUA6NLw09EwE0CqkOc4q9oUmW1yo/edit?usp=sharing"",""สุโขทัย!J326"")"),0)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IFERROR(__xludf.DUMMYFUNCTION("IMPORTRANGE(""https://docs.google.com/spreadsheets/d/11923uPwbBZFjjGgGUA6NLw09EwE0CqkOc4q9oUmW1yo/edit?usp=sharing"",""สุโขทัย!I327"")"),75)</f>
        <v>75</v>
      </c>
      <c r="J432" s="402">
        <f ca="1">IFERROR(__xludf.DUMMYFUNCTION("IMPORTRANGE(""https://docs.google.com/spreadsheets/d/11923uPwbBZFjjGgGUA6NLw09EwE0CqkOc4q9oUmW1yo/edit?usp=sharing"",""สุโขทัย!J327"")"),0)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IFERROR(__xludf.DUMMYFUNCTION("IMPORTRANGE(""https://docs.google.com/spreadsheets/d/11923uPwbBZFjjGgGUA6NLw09EwE0CqkOc4q9oUmW1yo/edit?usp=sharing"",""สุโขทัย!J328"")"),0)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IFERROR(__xludf.DUMMYFUNCTION("IMPORTRANGE(""https://docs.google.com/spreadsheets/d/11923uPwbBZFjjGgGUA6NLw09EwE0CqkOc4q9oUmW1yo/edit?usp=sharing"",""สุโขทัย!J329"")"),0)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IFERROR(__xludf.DUMMYFUNCTION("IMPORTRANGE(""https://docs.google.com/spreadsheets/d/11923uPwbBZFjjGgGUA6NLw09EwE0CqkOc4q9oUmW1yo/edit?usp=sharing"",""สุโขทัย!I330"")"),81)</f>
        <v>81</v>
      </c>
      <c r="J435" s="418">
        <f ca="1">IFERROR(__xludf.DUMMYFUNCTION("IMPORTRANGE(""https://docs.google.com/spreadsheets/d/11923uPwbBZFjjGgGUA6NLw09EwE0CqkOc4q9oUmW1yo/edit?usp=sharing"",""สุโขทัย!J330"")"),41)</f>
        <v>41</v>
      </c>
      <c r="K435" s="419">
        <f ca="1">IF(I435&gt;0,J435*100/I435,0)</f>
        <v>50.617283950617285</v>
      </c>
      <c r="L435" s="420">
        <f ca="1">IFERROR(__xludf.DUMMYFUNCTION("IMPORTRANGE(""https://docs.google.com/spreadsheets/d/11923uPwbBZFjjGgGUA6NLw09EwE0CqkOc4q9oUmW1yo/edit?usp=sharing"",""สุโขทัย!L330"")"),218000)</f>
        <v>218000</v>
      </c>
      <c r="M435" s="420"/>
      <c r="N435" s="420">
        <f ca="1">IFERROR(__xludf.DUMMYFUNCTION("IMPORTRANGE(""https://docs.google.com/spreadsheets/d/11923uPwbBZFjjGgGUA6NLw09EwE0CqkOc4q9oUmW1yo/edit?usp=sharing"",""สุโขทัย!M330"")"),93575)</f>
        <v>93575</v>
      </c>
      <c r="O435" s="420">
        <f t="shared" ref="O435:O439" ca="1" si="114">+IF(L435&gt;0,N435*100/L435,0)</f>
        <v>42.924311926605505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IFERROR(__xludf.DUMMYFUNCTION("IMPORTRANGE(""https://docs.google.com/spreadsheets/d/11923uPwbBZFjjGgGUA6NLw09EwE0CqkOc4q9oUmW1yo/edit?usp=sharing"",""สุโขทัย!L331"")"),0)</f>
        <v>0</v>
      </c>
      <c r="M436" s="172"/>
      <c r="N436" s="178">
        <f ca="1">IFERROR(__xludf.DUMMYFUNCTION("IMPORTRANGE(""https://docs.google.com/spreadsheets/d/11923uPwbBZFjjGgGUA6NLw09EwE0CqkOc4q9oUmW1yo/edit?usp=sharing"",""สุโขทัย!M331"")"),0)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IFERROR(__xludf.DUMMYFUNCTION("IMPORTRANGE(""https://docs.google.com/spreadsheets/d/11923uPwbBZFjjGgGUA6NLw09EwE0CqkOc4q9oUmW1yo/edit?usp=sharing"",""สุโขทัย!L332"")"),218000)</f>
        <v>218000</v>
      </c>
      <c r="M437" s="173"/>
      <c r="N437" s="178">
        <f ca="1">IFERROR(__xludf.DUMMYFUNCTION("IMPORTRANGE(""https://docs.google.com/spreadsheets/d/11923uPwbBZFjjGgGUA6NLw09EwE0CqkOc4q9oUmW1yo/edit?usp=sharing"",""สุโขทัย!M332"")"),93575)</f>
        <v>93575</v>
      </c>
      <c r="O437" s="178">
        <f t="shared" ca="1" si="114"/>
        <v>42.924311926605505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IFERROR(__xludf.DUMMYFUNCTION("IMPORTRANGE(""https://docs.google.com/spreadsheets/d/11923uPwbBZFjjGgGUA6NLw09EwE0CqkOc4q9oUmW1yo/edit?usp=sharing"",""สุโขทัย!L333"")"),0)</f>
        <v>0</v>
      </c>
      <c r="M438" s="178"/>
      <c r="N438" s="178">
        <f ca="1">IFERROR(__xludf.DUMMYFUNCTION("IMPORTRANGE(""https://docs.google.com/spreadsheets/d/11923uPwbBZFjjGgGUA6NLw09EwE0CqkOc4q9oUmW1yo/edit?usp=sharing"",""สุโขทัย!M333"")"),0)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IFERROR(__xludf.DUMMYFUNCTION("IMPORTRANGE(""https://docs.google.com/spreadsheets/d/11923uPwbBZFjjGgGUA6NLw09EwE0CqkOc4q9oUmW1yo/edit?usp=sharing"",""สุโขทัย!L334"")"),218000)</f>
        <v>218000</v>
      </c>
      <c r="M439" s="178"/>
      <c r="N439" s="178">
        <f ca="1">IFERROR(__xludf.DUMMYFUNCTION("IMPORTRANGE(""https://docs.google.com/spreadsheets/d/11923uPwbBZFjjGgGUA6NLw09EwE0CqkOc4q9oUmW1yo/edit?usp=sharing"",""สุโขทัย!M334"")"),93575)</f>
        <v>93575</v>
      </c>
      <c r="O439" s="178">
        <f t="shared" ca="1" si="114"/>
        <v>42.924311926605505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IFERROR(__xludf.DUMMYFUNCTION("IMPORTRANGE(""https://docs.google.com/spreadsheets/d/11923uPwbBZFjjGgGUA6NLw09EwE0CqkOc4q9oUmW1yo/edit?usp=sharing"",""สุโขทัย!M335"")"),93230)</f>
        <v>93230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IFERROR(__xludf.DUMMYFUNCTION("IMPORTRANGE(""https://docs.google.com/spreadsheets/d/11923uPwbBZFjjGgGUA6NLw09EwE0CqkOc4q9oUmW1yo/edit?usp=sharing"",""สุโขทัย!M336"")"),0)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IFERROR(__xludf.DUMMYFUNCTION("IMPORTRANGE(""https://docs.google.com/spreadsheets/d/11923uPwbBZFjjGgGUA6NLw09EwE0CqkOc4q9oUmW1yo/edit?usp=sharing"",""สุโขทัย!M337"")"),0)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IFERROR(__xludf.DUMMYFUNCTION("IMPORTRANGE(""https://docs.google.com/spreadsheets/d/11923uPwbBZFjjGgGUA6NLw09EwE0CqkOc4q9oUmW1yo/edit?usp=sharing"",""สุโขทัย!M338"")"),345)</f>
        <v>345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IFERROR(__xludf.DUMMYFUNCTION("IMPORTRANGE(""https://docs.google.com/spreadsheets/d/11923uPwbBZFjjGgGUA6NLw09EwE0CqkOc4q9oUmW1yo/edit?usp=sharing"",""สุโขทัย!J340"")"),0)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IFERROR(__xludf.DUMMYFUNCTION("IMPORTRANGE(""https://docs.google.com/spreadsheets/d/11923uPwbBZFjjGgGUA6NLw09EwE0CqkOc4q9oUmW1yo/edit?usp=sharing"",""สุโขทัย!J341"")"),1)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IFERROR(__xludf.DUMMYFUNCTION("IMPORTRANGE(""https://docs.google.com/spreadsheets/d/11923uPwbBZFjjGgGUA6NLw09EwE0CqkOc4q9oUmW1yo/edit?usp=sharing"",""สุโขทัย!J342"")"),1)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IFERROR(__xludf.DUMMYFUNCTION("IMPORTRANGE(""https://docs.google.com/spreadsheets/d/11923uPwbBZFjjGgGUA6NLw09EwE0CqkOc4q9oUmW1yo/edit?usp=sharing"",""สุโขทัย!J343"")"),1)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IFERROR(__xludf.DUMMYFUNCTION("IMPORTRANGE(""https://docs.google.com/spreadsheets/d/11923uPwbBZFjjGgGUA6NLw09EwE0CqkOc4q9oUmW1yo/edit?usp=sharing"",""สุโขทัย!I344"")"),81)</f>
        <v>81</v>
      </c>
      <c r="J449" s="210">
        <f ca="1">IFERROR(__xludf.DUMMYFUNCTION("IMPORTRANGE(""https://docs.google.com/spreadsheets/d/11923uPwbBZFjjGgGUA6NLw09EwE0CqkOc4q9oUmW1yo/edit?usp=sharing"",""สุโขทัย!J344"")"),41)</f>
        <v>41</v>
      </c>
      <c r="K449" s="171">
        <f t="shared" ref="K449:K452" ca="1" si="115">IF(I449&gt;0,J449*100/I449,0)</f>
        <v>50.617283950617285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IFERROR(__xludf.DUMMYFUNCTION("IMPORTRANGE(""https://docs.google.com/spreadsheets/d/11923uPwbBZFjjGgGUA6NLw09EwE0CqkOc4q9oUmW1yo/edit?usp=sharing"",""สุโขทัย!I345"")"),22)</f>
        <v>22</v>
      </c>
      <c r="J450" s="198">
        <f ca="1">IFERROR(__xludf.DUMMYFUNCTION("IMPORTRANGE(""https://docs.google.com/spreadsheets/d/11923uPwbBZFjjGgGUA6NLw09EwE0CqkOc4q9oUmW1yo/edit?usp=sharing"",""สุโขทัย!J345"")"),22)</f>
        <v>22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IFERROR(__xludf.DUMMYFUNCTION("IMPORTRANGE(""https://docs.google.com/spreadsheets/d/11923uPwbBZFjjGgGUA6NLw09EwE0CqkOc4q9oUmW1yo/edit?usp=sharing"",""สุโขทัย!I346"")"),59)</f>
        <v>59</v>
      </c>
      <c r="J451" s="197">
        <f ca="1">IFERROR(__xludf.DUMMYFUNCTION("IMPORTRANGE(""https://docs.google.com/spreadsheets/d/11923uPwbBZFjjGgGUA6NLw09EwE0CqkOc4q9oUmW1yo/edit?usp=sharing"",""สุโขทัย!J346"")"),19)</f>
        <v>19</v>
      </c>
      <c r="K451" s="171">
        <f t="shared" ca="1" si="115"/>
        <v>32.203389830508478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IFERROR(__xludf.DUMMYFUNCTION("IMPORTRANGE(""https://docs.google.com/spreadsheets/d/11923uPwbBZFjjGgGUA6NLw09EwE0CqkOc4q9oUmW1yo/edit?usp=sharing"",""สุโขทัย!I347"")"),0)</f>
        <v>0</v>
      </c>
      <c r="J452" s="197">
        <f ca="1">IFERROR(__xludf.DUMMYFUNCTION("IMPORTRANGE(""https://docs.google.com/spreadsheets/d/11923uPwbBZFjjGgGUA6NLw09EwE0CqkOc4q9oUmW1yo/edit?usp=sharing"",""สุโขทัย!J347"")"),0)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IFERROR(__xludf.DUMMYFUNCTION("IMPORTRANGE(""https://docs.google.com/spreadsheets/d/11923uPwbBZFjjGgGUA6NLw09EwE0CqkOc4q9oUmW1yo/edit?usp=sharing"",""สุโขทัย!J348"")"),0)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IFERROR(__xludf.DUMMYFUNCTION("IMPORTRANGE(""https://docs.google.com/spreadsheets/d/11923uPwbBZFjjGgGUA6NLw09EwE0CqkOc4q9oUmW1yo/edit?usp=sharing"",""สุโขทัย!J349"")"),0)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IFERROR(__xludf.DUMMYFUNCTION("IMPORTRANGE(""https://docs.google.com/spreadsheets/d/11923uPwbBZFjjGgGUA6NLw09EwE0CqkOc4q9oUmW1yo/edit?usp=sharing"",""สุโขทัย!I350"")"),33673)</f>
        <v>33673</v>
      </c>
      <c r="J455" s="379">
        <f ca="1">IFERROR(__xludf.DUMMYFUNCTION("IMPORTRANGE(""https://docs.google.com/spreadsheets/d/11923uPwbBZFjjGgGUA6NLw09EwE0CqkOc4q9oUmW1yo/edit?usp=sharing"",""สุโขทัย!J350"")"),0)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IFERROR(__xludf.DUMMYFUNCTION("IMPORTRANGE(""https://docs.google.com/spreadsheets/d/11923uPwbBZFjjGgGUA6NLw09EwE0CqkOc4q9oUmW1yo/edit?usp=sharing"",""สุโขทัย!L350"")"),382323)</f>
        <v>382323</v>
      </c>
      <c r="M455" s="381"/>
      <c r="N455" s="381">
        <f ca="1">IFERROR(__xludf.DUMMYFUNCTION("IMPORTRANGE(""https://docs.google.com/spreadsheets/d/11923uPwbBZFjjGgGUA6NLw09EwE0CqkOc4q9oUmW1yo/edit?usp=sharing"",""สุโขทัย!M350"")"),39920)</f>
        <v>39920</v>
      </c>
      <c r="O455" s="381">
        <f t="shared" ref="O455:O459" ca="1" si="116">+IF(L455&gt;0,N455*100/L455,0)</f>
        <v>10.441433029140281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IFERROR(__xludf.DUMMYFUNCTION("IMPORTRANGE(""https://docs.google.com/spreadsheets/d/11923uPwbBZFjjGgGUA6NLw09EwE0CqkOc4q9oUmW1yo/edit?usp=sharing"",""สุโขทัย!L351"")"),0)</f>
        <v>0</v>
      </c>
      <c r="M456" s="172"/>
      <c r="N456" s="178">
        <f ca="1">IFERROR(__xludf.DUMMYFUNCTION("IMPORTRANGE(""https://docs.google.com/spreadsheets/d/11923uPwbBZFjjGgGUA6NLw09EwE0CqkOc4q9oUmW1yo/edit?usp=sharing"",""สุโขทัย!M351"")"),0)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IFERROR(__xludf.DUMMYFUNCTION("IMPORTRANGE(""https://docs.google.com/spreadsheets/d/11923uPwbBZFjjGgGUA6NLw09EwE0CqkOc4q9oUmW1yo/edit?usp=sharing"",""สุโขทัย!L352"")"),382323)</f>
        <v>382323</v>
      </c>
      <c r="M457" s="173"/>
      <c r="N457" s="178">
        <f ca="1">IFERROR(__xludf.DUMMYFUNCTION("IMPORTRANGE(""https://docs.google.com/spreadsheets/d/11923uPwbBZFjjGgGUA6NLw09EwE0CqkOc4q9oUmW1yo/edit?usp=sharing"",""สุโขทัย!M352"")"),39920)</f>
        <v>39920</v>
      </c>
      <c r="O457" s="178">
        <f t="shared" ca="1" si="116"/>
        <v>10.441433029140281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IFERROR(__xludf.DUMMYFUNCTION("IMPORTRANGE(""https://docs.google.com/spreadsheets/d/11923uPwbBZFjjGgGUA6NLw09EwE0CqkOc4q9oUmW1yo/edit?usp=sharing"",""สุโขทัย!L353"")"),0)</f>
        <v>0</v>
      </c>
      <c r="M458" s="178"/>
      <c r="N458" s="178">
        <f ca="1">IFERROR(__xludf.DUMMYFUNCTION("IMPORTRANGE(""https://docs.google.com/spreadsheets/d/11923uPwbBZFjjGgGUA6NLw09EwE0CqkOc4q9oUmW1yo/edit?usp=sharing"",""สุโขทัย!M353"")"),0)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IFERROR(__xludf.DUMMYFUNCTION("IMPORTRANGE(""https://docs.google.com/spreadsheets/d/11923uPwbBZFjjGgGUA6NLw09EwE0CqkOc4q9oUmW1yo/edit?usp=sharing"",""สุโขทัย!L354"")"),382323)</f>
        <v>382323</v>
      </c>
      <c r="M459" s="178"/>
      <c r="N459" s="178">
        <f ca="1">IFERROR(__xludf.DUMMYFUNCTION("IMPORTRANGE(""https://docs.google.com/spreadsheets/d/11923uPwbBZFjjGgGUA6NLw09EwE0CqkOc4q9oUmW1yo/edit?usp=sharing"",""สุโขทัย!M354"")"),39920)</f>
        <v>39920</v>
      </c>
      <c r="O459" s="178">
        <f t="shared" ca="1" si="116"/>
        <v>10.441433029140281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IFERROR(__xludf.DUMMYFUNCTION("IMPORTRANGE(""https://docs.google.com/spreadsheets/d/11923uPwbBZFjjGgGUA6NLw09EwE0CqkOc4q9oUmW1yo/edit?usp=sharing"",""สุโขทัย!M355"")"),0)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IFERROR(__xludf.DUMMYFUNCTION("IMPORTRANGE(""https://docs.google.com/spreadsheets/d/11923uPwbBZFjjGgGUA6NLw09EwE0CqkOc4q9oUmW1yo/edit?usp=sharing"",""สุโขทัย!M356"")"),0)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IFERROR(__xludf.DUMMYFUNCTION("IMPORTRANGE(""https://docs.google.com/spreadsheets/d/11923uPwbBZFjjGgGUA6NLw09EwE0CqkOc4q9oUmW1yo/edit?usp=sharing"",""สุโขทัย!M357"")"),22000)</f>
        <v>22000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IFERROR(__xludf.DUMMYFUNCTION("IMPORTRANGE(""https://docs.google.com/spreadsheets/d/11923uPwbBZFjjGgGUA6NLw09EwE0CqkOc4q9oUmW1yo/edit?usp=sharing"",""สุโขทัย!M358"")"),17920)</f>
        <v>17920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IFERROR(__xludf.DUMMYFUNCTION("IMPORTRANGE(""https://docs.google.com/spreadsheets/d/11923uPwbBZFjjGgGUA6NLw09EwE0CqkOc4q9oUmW1yo/edit?usp=sharing"",""สุโขทัย!I359"")"),33673)</f>
        <v>33673</v>
      </c>
      <c r="J464" s="276">
        <f ca="1">IFERROR(__xludf.DUMMYFUNCTION("IMPORTRANGE(""https://docs.google.com/spreadsheets/d/11923uPwbBZFjjGgGUA6NLw09EwE0CqkOc4q9oUmW1yo/edit?usp=sharing"",""สุโขทัย!J359"")"),0)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IFERROR(__xludf.DUMMYFUNCTION("IMPORTRANGE(""https://docs.google.com/spreadsheets/d/11923uPwbBZFjjGgGUA6NLw09EwE0CqkOc4q9oUmW1yo/edit?usp=sharing"",""สุโขทัย!I360"")"),33673)</f>
        <v>33673</v>
      </c>
      <c r="J465" s="428">
        <f ca="1">IFERROR(__xludf.DUMMYFUNCTION("IMPORTRANGE(""https://docs.google.com/spreadsheets/d/11923uPwbBZFjjGgGUA6NLw09EwE0CqkOc4q9oUmW1yo/edit?usp=sharing"",""สุโขทัย!J360"")"),11813)</f>
        <v>11813</v>
      </c>
      <c r="K465" s="211">
        <f t="shared" ca="1" si="117"/>
        <v>35.081519318148068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IFERROR(__xludf.DUMMYFUNCTION("IMPORTRANGE(""https://docs.google.com/spreadsheets/d/11923uPwbBZFjjGgGUA6NLw09EwE0CqkOc4q9oUmW1yo/edit?usp=sharing"",""สุโขทัย!I361"")"),4578)</f>
        <v>4578</v>
      </c>
      <c r="J466" s="428">
        <f ca="1">IFERROR(__xludf.DUMMYFUNCTION("IMPORTRANGE(""https://docs.google.com/spreadsheets/d/11923uPwbBZFjjGgGUA6NLw09EwE0CqkOc4q9oUmW1yo/edit?usp=sharing"",""สุโขทัย!J361"")"),1251)</f>
        <v>1251</v>
      </c>
      <c r="K466" s="211">
        <f t="shared" ca="1" si="117"/>
        <v>27.326343381389254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IFERROR(__xludf.DUMMYFUNCTION("IMPORTRANGE(""https://docs.google.com/spreadsheets/d/11923uPwbBZFjjGgGUA6NLw09EwE0CqkOc4q9oUmW1yo/edit?usp=sharing"",""สุโขทัย!I362"")"),0)</f>
        <v>0</v>
      </c>
      <c r="J467" s="198">
        <f ca="1">IFERROR(__xludf.DUMMYFUNCTION("IMPORTRANGE(""https://docs.google.com/spreadsheets/d/11923uPwbBZFjjGgGUA6NLw09EwE0CqkOc4q9oUmW1yo/edit?usp=sharing"",""สุโขทัย!J362"")"),7579)</f>
        <v>7579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IFERROR(__xludf.DUMMYFUNCTION("IMPORTRANGE(""https://docs.google.com/spreadsheets/d/11923uPwbBZFjjGgGUA6NLw09EwE0CqkOc4q9oUmW1yo/edit?usp=sharing"",""สุโขทัย!I363"")"),0)</f>
        <v>0</v>
      </c>
      <c r="J468" s="198">
        <f ca="1">IFERROR(__xludf.DUMMYFUNCTION("IMPORTRANGE(""https://docs.google.com/spreadsheets/d/11923uPwbBZFjjGgGUA6NLw09EwE0CqkOc4q9oUmW1yo/edit?usp=sharing"",""สุโขทัย!J363"")"),853)</f>
        <v>853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IFERROR(__xludf.DUMMYFUNCTION("IMPORTRANGE(""https://docs.google.com/spreadsheets/d/11923uPwbBZFjjGgGUA6NLw09EwE0CqkOc4q9oUmW1yo/edit?usp=sharing"",""สุโขทัย!I364"")"),0)</f>
        <v>0</v>
      </c>
      <c r="J469" s="198">
        <f ca="1">IFERROR(__xludf.DUMMYFUNCTION("IMPORTRANGE(""https://docs.google.com/spreadsheets/d/11923uPwbBZFjjGgGUA6NLw09EwE0CqkOc4q9oUmW1yo/edit?usp=sharing"",""สุโขทัย!J364"")"),3998)</f>
        <v>3998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IFERROR(__xludf.DUMMYFUNCTION("IMPORTRANGE(""https://docs.google.com/spreadsheets/d/11923uPwbBZFjjGgGUA6NLw09EwE0CqkOc4q9oUmW1yo/edit?usp=sharing"",""สุโขทัย!I365"")"),0)</f>
        <v>0</v>
      </c>
      <c r="J470" s="198">
        <f ca="1">IFERROR(__xludf.DUMMYFUNCTION("IMPORTRANGE(""https://docs.google.com/spreadsheets/d/11923uPwbBZFjjGgGUA6NLw09EwE0CqkOc4q9oUmW1yo/edit?usp=sharing"",""สุโขทัย!J365"")"),368)</f>
        <v>368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IFERROR(__xludf.DUMMYFUNCTION("IMPORTRANGE(""https://docs.google.com/spreadsheets/d/11923uPwbBZFjjGgGUA6NLw09EwE0CqkOc4q9oUmW1yo/edit?usp=sharing"",""สุโขทัย!I366"")"),0)</f>
        <v>0</v>
      </c>
      <c r="J471" s="198">
        <f ca="1">IFERROR(__xludf.DUMMYFUNCTION("IMPORTRANGE(""https://docs.google.com/spreadsheets/d/11923uPwbBZFjjGgGUA6NLw09EwE0CqkOc4q9oUmW1yo/edit?usp=sharing"",""สุโขทัย!J366"")"),236)</f>
        <v>236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IFERROR(__xludf.DUMMYFUNCTION("IMPORTRANGE(""https://docs.google.com/spreadsheets/d/11923uPwbBZFjjGgGUA6NLw09EwE0CqkOc4q9oUmW1yo/edit?usp=sharing"",""สุโขทัย!I367"")"),0)</f>
        <v>0</v>
      </c>
      <c r="J472" s="198">
        <f ca="1">IFERROR(__xludf.DUMMYFUNCTION("IMPORTRANGE(""https://docs.google.com/spreadsheets/d/11923uPwbBZFjjGgGUA6NLw09EwE0CqkOc4q9oUmW1yo/edit?usp=sharing"",""สุโขทัย!J367"")"),30)</f>
        <v>30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IFERROR(__xludf.DUMMYFUNCTION("IMPORTRANGE(""https://docs.google.com/spreadsheets/d/11923uPwbBZFjjGgGUA6NLw09EwE0CqkOc4q9oUmW1yo/edit?usp=sharing"",""สุโขทัย!I368"")"),33673)</f>
        <v>33673</v>
      </c>
      <c r="J473" s="428">
        <f ca="1">IFERROR(__xludf.DUMMYFUNCTION("IMPORTRANGE(""https://docs.google.com/spreadsheets/d/11923uPwbBZFjjGgGUA6NLw09EwE0CqkOc4q9oUmW1yo/edit?usp=sharing"",""สุโขทัย!J368"")"),0)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IFERROR(__xludf.DUMMYFUNCTION("IMPORTRANGE(""https://docs.google.com/spreadsheets/d/11923uPwbBZFjjGgGUA6NLw09EwE0CqkOc4q9oUmW1yo/edit?usp=sharing"",""สุโขทัย!I369"")"),4578)</f>
        <v>4578</v>
      </c>
      <c r="J474" s="428">
        <f ca="1">IFERROR(__xludf.DUMMYFUNCTION("IMPORTRANGE(""https://docs.google.com/spreadsheets/d/11923uPwbBZFjjGgGUA6NLw09EwE0CqkOc4q9oUmW1yo/edit?usp=sharing"",""สุโขทัย!J369"")"),0)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IFERROR(__xludf.DUMMYFUNCTION("IMPORTRANGE(""https://docs.google.com/spreadsheets/d/11923uPwbBZFjjGgGUA6NLw09EwE0CqkOc4q9oUmW1yo/edit?usp=sharing"",""สุโขทัย!I370"")"),0)</f>
        <v>0</v>
      </c>
      <c r="J475" s="198">
        <f ca="1">IFERROR(__xludf.DUMMYFUNCTION("IMPORTRANGE(""https://docs.google.com/spreadsheets/d/11923uPwbBZFjjGgGUA6NLw09EwE0CqkOc4q9oUmW1yo/edit?usp=sharing"",""สุโขทัย!J370"")"),0)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IFERROR(__xludf.DUMMYFUNCTION("IMPORTRANGE(""https://docs.google.com/spreadsheets/d/11923uPwbBZFjjGgGUA6NLw09EwE0CqkOc4q9oUmW1yo/edit?usp=sharing"",""สุโขทัย!I371"")"),0)</f>
        <v>0</v>
      </c>
      <c r="J476" s="198">
        <f ca="1">IFERROR(__xludf.DUMMYFUNCTION("IMPORTRANGE(""https://docs.google.com/spreadsheets/d/11923uPwbBZFjjGgGUA6NLw09EwE0CqkOc4q9oUmW1yo/edit?usp=sharing"",""สุโขทัย!J371"")"),0)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IFERROR(__xludf.DUMMYFUNCTION("IMPORTRANGE(""https://docs.google.com/spreadsheets/d/11923uPwbBZFjjGgGUA6NLw09EwE0CqkOc4q9oUmW1yo/edit?usp=sharing"",""สุโขทัย!I372"")"),0)</f>
        <v>0</v>
      </c>
      <c r="J477" s="198">
        <f ca="1">IFERROR(__xludf.DUMMYFUNCTION("IMPORTRANGE(""https://docs.google.com/spreadsheets/d/11923uPwbBZFjjGgGUA6NLw09EwE0CqkOc4q9oUmW1yo/edit?usp=sharing"",""สุโขทัย!J372"")"),0)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IFERROR(__xludf.DUMMYFUNCTION("IMPORTRANGE(""https://docs.google.com/spreadsheets/d/11923uPwbBZFjjGgGUA6NLw09EwE0CqkOc4q9oUmW1yo/edit?usp=sharing"",""สุโขทัย!I373"")"),0)</f>
        <v>0</v>
      </c>
      <c r="J478" s="198">
        <f ca="1">IFERROR(__xludf.DUMMYFUNCTION("IMPORTRANGE(""https://docs.google.com/spreadsheets/d/11923uPwbBZFjjGgGUA6NLw09EwE0CqkOc4q9oUmW1yo/edit?usp=sharing"",""สุโขทัย!J373"")"),0)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IFERROR(__xludf.DUMMYFUNCTION("IMPORTRANGE(""https://docs.google.com/spreadsheets/d/11923uPwbBZFjjGgGUA6NLw09EwE0CqkOc4q9oUmW1yo/edit?usp=sharing"",""สุโขทัย!I374"")"),0)</f>
        <v>0</v>
      </c>
      <c r="J479" s="198">
        <f ca="1">IFERROR(__xludf.DUMMYFUNCTION("IMPORTRANGE(""https://docs.google.com/spreadsheets/d/11923uPwbBZFjjGgGUA6NLw09EwE0CqkOc4q9oUmW1yo/edit?usp=sharing"",""สุโขทัย!J374"")"),0)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IFERROR(__xludf.DUMMYFUNCTION("IMPORTRANGE(""https://docs.google.com/spreadsheets/d/11923uPwbBZFjjGgGUA6NLw09EwE0CqkOc4q9oUmW1yo/edit?usp=sharing"",""สุโขทัย!I375"")"),0)</f>
        <v>0</v>
      </c>
      <c r="J480" s="198">
        <f ca="1">IFERROR(__xludf.DUMMYFUNCTION("IMPORTRANGE(""https://docs.google.com/spreadsheets/d/11923uPwbBZFjjGgGUA6NLw09EwE0CqkOc4q9oUmW1yo/edit?usp=sharing"",""สุโขทัย!J375"")"),0)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IFERROR(__xludf.DUMMYFUNCTION("IMPORTRANGE(""https://docs.google.com/spreadsheets/d/11923uPwbBZFjjGgGUA6NLw09EwE0CqkOc4q9oUmW1yo/edit?usp=sharing"",""สุโขทัย!I376"")"),33673)</f>
        <v>33673</v>
      </c>
      <c r="J481" s="428">
        <f ca="1">IFERROR(__xludf.DUMMYFUNCTION("IMPORTRANGE(""https://docs.google.com/spreadsheets/d/11923uPwbBZFjjGgGUA6NLw09EwE0CqkOc4q9oUmW1yo/edit?usp=sharing"",""สุโขทัย!J376"")"),0)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IFERROR(__xludf.DUMMYFUNCTION("IMPORTRANGE(""https://docs.google.com/spreadsheets/d/11923uPwbBZFjjGgGUA6NLw09EwE0CqkOc4q9oUmW1yo/edit?usp=sharing"",""สุโขทัย!I377"")"),4578)</f>
        <v>4578</v>
      </c>
      <c r="J482" s="428">
        <f ca="1">IFERROR(__xludf.DUMMYFUNCTION("IMPORTRANGE(""https://docs.google.com/spreadsheets/d/11923uPwbBZFjjGgGUA6NLw09EwE0CqkOc4q9oUmW1yo/edit?usp=sharing"",""สุโขทัย!J377"")"),0)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IFERROR(__xludf.DUMMYFUNCTION("IMPORTRANGE(""https://docs.google.com/spreadsheets/d/11923uPwbBZFjjGgGUA6NLw09EwE0CqkOc4q9oUmW1yo/edit?usp=sharing"",""สุโขทัย!I378"")"),0)</f>
        <v>0</v>
      </c>
      <c r="J483" s="198">
        <f ca="1">IFERROR(__xludf.DUMMYFUNCTION("IMPORTRANGE(""https://docs.google.com/spreadsheets/d/11923uPwbBZFjjGgGUA6NLw09EwE0CqkOc4q9oUmW1yo/edit?usp=sharing"",""สุโขทัย!J378"")"),0)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IFERROR(__xludf.DUMMYFUNCTION("IMPORTRANGE(""https://docs.google.com/spreadsheets/d/11923uPwbBZFjjGgGUA6NLw09EwE0CqkOc4q9oUmW1yo/edit?usp=sharing"",""สุโขทัย!I379"")"),0)</f>
        <v>0</v>
      </c>
      <c r="J484" s="198">
        <f ca="1">IFERROR(__xludf.DUMMYFUNCTION("IMPORTRANGE(""https://docs.google.com/spreadsheets/d/11923uPwbBZFjjGgGUA6NLw09EwE0CqkOc4q9oUmW1yo/edit?usp=sharing"",""สุโขทัย!J379"")"),0)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IFERROR(__xludf.DUMMYFUNCTION("IMPORTRANGE(""https://docs.google.com/spreadsheets/d/11923uPwbBZFjjGgGUA6NLw09EwE0CqkOc4q9oUmW1yo/edit?usp=sharing"",""สุโขทัย!I380"")"),0)</f>
        <v>0</v>
      </c>
      <c r="J485" s="198">
        <f ca="1">IFERROR(__xludf.DUMMYFUNCTION("IMPORTRANGE(""https://docs.google.com/spreadsheets/d/11923uPwbBZFjjGgGUA6NLw09EwE0CqkOc4q9oUmW1yo/edit?usp=sharing"",""สุโขทัย!J380"")"),0)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IFERROR(__xludf.DUMMYFUNCTION("IMPORTRANGE(""https://docs.google.com/spreadsheets/d/11923uPwbBZFjjGgGUA6NLw09EwE0CqkOc4q9oUmW1yo/edit?usp=sharing"",""สุโขทัย!I381"")"),0)</f>
        <v>0</v>
      </c>
      <c r="J486" s="198">
        <f ca="1">IFERROR(__xludf.DUMMYFUNCTION("IMPORTRANGE(""https://docs.google.com/spreadsheets/d/11923uPwbBZFjjGgGUA6NLw09EwE0CqkOc4q9oUmW1yo/edit?usp=sharing"",""สุโขทัย!J381"")"),0)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IFERROR(__xludf.DUMMYFUNCTION("IMPORTRANGE(""https://docs.google.com/spreadsheets/d/11923uPwbBZFjjGgGUA6NLw09EwE0CqkOc4q9oUmW1yo/edit?usp=sharing"",""สุโขทัย!I382"")"),0)</f>
        <v>0</v>
      </c>
      <c r="J487" s="428">
        <f ca="1">IFERROR(__xludf.DUMMYFUNCTION("IMPORTRANGE(""https://docs.google.com/spreadsheets/d/11923uPwbBZFjjGgGUA6NLw09EwE0CqkOc4q9oUmW1yo/edit?usp=sharing"",""สุโขทัย!J382"")"),0)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IFERROR(__xludf.DUMMYFUNCTION("IMPORTRANGE(""https://docs.google.com/spreadsheets/d/11923uPwbBZFjjGgGUA6NLw09EwE0CqkOc4q9oUmW1yo/edit?usp=sharing"",""สุโขทัย!I383"")"),0)</f>
        <v>0</v>
      </c>
      <c r="J488" s="428">
        <f ca="1">IFERROR(__xludf.DUMMYFUNCTION("IMPORTRANGE(""https://docs.google.com/spreadsheets/d/11923uPwbBZFjjGgGUA6NLw09EwE0CqkOc4q9oUmW1yo/edit?usp=sharing"",""สุโขทัย!J383"")"),0)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IFERROR(__xludf.DUMMYFUNCTION("IMPORTRANGE(""https://docs.google.com/spreadsheets/d/11923uPwbBZFjjGgGUA6NLw09EwE0CqkOc4q9oUmW1yo/edit?usp=sharing"",""สุโขทัย!I384"")"),0)</f>
        <v>0</v>
      </c>
      <c r="J489" s="198">
        <f ca="1">IFERROR(__xludf.DUMMYFUNCTION("IMPORTRANGE(""https://docs.google.com/spreadsheets/d/11923uPwbBZFjjGgGUA6NLw09EwE0CqkOc4q9oUmW1yo/edit?usp=sharing"",""สุโขทัย!J384"")"),0)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IFERROR(__xludf.DUMMYFUNCTION("IMPORTRANGE(""https://docs.google.com/spreadsheets/d/11923uPwbBZFjjGgGUA6NLw09EwE0CqkOc4q9oUmW1yo/edit?usp=sharing"",""สุโขทัย!I385"")"),0)</f>
        <v>0</v>
      </c>
      <c r="J490" s="198">
        <f ca="1">IFERROR(__xludf.DUMMYFUNCTION("IMPORTRANGE(""https://docs.google.com/spreadsheets/d/11923uPwbBZFjjGgGUA6NLw09EwE0CqkOc4q9oUmW1yo/edit?usp=sharing"",""สุโขทัย!J385"")"),0)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IFERROR(__xludf.DUMMYFUNCTION("IMPORTRANGE(""https://docs.google.com/spreadsheets/d/11923uPwbBZFjjGgGUA6NLw09EwE0CqkOc4q9oUmW1yo/edit?usp=sharing"",""สุโขทัย!I386"")"),0)</f>
        <v>0</v>
      </c>
      <c r="J491" s="198">
        <f ca="1">IFERROR(__xludf.DUMMYFUNCTION("IMPORTRANGE(""https://docs.google.com/spreadsheets/d/11923uPwbBZFjjGgGUA6NLw09EwE0CqkOc4q9oUmW1yo/edit?usp=sharing"",""สุโขทัย!J386"")"),0)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IFERROR(__xludf.DUMMYFUNCTION("IMPORTRANGE(""https://docs.google.com/spreadsheets/d/11923uPwbBZFjjGgGUA6NLw09EwE0CqkOc4q9oUmW1yo/edit?usp=sharing"",""สุโขทัย!I387"")"),0)</f>
        <v>0</v>
      </c>
      <c r="J492" s="198">
        <f ca="1">IFERROR(__xludf.DUMMYFUNCTION("IMPORTRANGE(""https://docs.google.com/spreadsheets/d/11923uPwbBZFjjGgGUA6NLw09EwE0CqkOc4q9oUmW1yo/edit?usp=sharing"",""สุโขทัย!J387"")"),0)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IFERROR(__xludf.DUMMYFUNCTION("IMPORTRANGE(""https://docs.google.com/spreadsheets/d/11923uPwbBZFjjGgGUA6NLw09EwE0CqkOc4q9oUmW1yo/edit?usp=sharing"",""สุโขทัย!I388"")"),0)</f>
        <v>0</v>
      </c>
      <c r="J493" s="198">
        <f ca="1">IFERROR(__xludf.DUMMYFUNCTION("IMPORTRANGE(""https://docs.google.com/spreadsheets/d/11923uPwbBZFjjGgGUA6NLw09EwE0CqkOc4q9oUmW1yo/edit?usp=sharing"",""สุโขทัย!J388"")"),0)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IFERROR(__xludf.DUMMYFUNCTION("IMPORTRANGE(""https://docs.google.com/spreadsheets/d/11923uPwbBZFjjGgGUA6NLw09EwE0CqkOc4q9oUmW1yo/edit?usp=sharing"",""สุโขทัย!I389"")"),0)</f>
        <v>0</v>
      </c>
      <c r="J494" s="444">
        <f ca="1">IFERROR(__xludf.DUMMYFUNCTION("IMPORTRANGE(""https://docs.google.com/spreadsheets/d/11923uPwbBZFjjGgGUA6NLw09EwE0CqkOc4q9oUmW1yo/edit?usp=sharing"",""สุโขทัย!J389"")"),0)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IFERROR(__xludf.DUMMYFUNCTION("IMPORTRANGE(""https://docs.google.com/spreadsheets/d/11923uPwbBZFjjGgGUA6NLw09EwE0CqkOc4q9oUmW1yo/edit?usp=sharing"",""สุโขทัย!I390"")"),0)</f>
        <v>0</v>
      </c>
      <c r="J495" s="444">
        <f ca="1">IFERROR(__xludf.DUMMYFUNCTION("IMPORTRANGE(""https://docs.google.com/spreadsheets/d/11923uPwbBZFjjGgGUA6NLw09EwE0CqkOc4q9oUmW1yo/edit?usp=sharing"",""สุโขทัย!J390"")"),0)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IFERROR(__xludf.DUMMYFUNCTION("IMPORTRANGE(""https://docs.google.com/spreadsheets/d/11923uPwbBZFjjGgGUA6NLw09EwE0CqkOc4q9oUmW1yo/edit?usp=sharing"",""สุโขทัย!I391"")"),0)</f>
        <v>0</v>
      </c>
      <c r="J496" s="444">
        <f ca="1">IFERROR(__xludf.DUMMYFUNCTION("IMPORTRANGE(""https://docs.google.com/spreadsheets/d/11923uPwbBZFjjGgGUA6NLw09EwE0CqkOc4q9oUmW1yo/edit?usp=sharing"",""สุโขทัย!J391"")"),0)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IFERROR(__xludf.DUMMYFUNCTION("IMPORTRANGE(""https://docs.google.com/spreadsheets/d/11923uPwbBZFjjGgGUA6NLw09EwE0CqkOc4q9oUmW1yo/edit?usp=sharing"",""สุโขทัย!I392"")"),0)</f>
        <v>0</v>
      </c>
      <c r="J497" s="451">
        <f ca="1">IFERROR(__xludf.DUMMYFUNCTION("IMPORTRANGE(""https://docs.google.com/spreadsheets/d/11923uPwbBZFjjGgGUA6NLw09EwE0CqkOc4q9oUmW1yo/edit?usp=sharing"",""สุโขทัย!J392"")"),0)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IFERROR(__xludf.DUMMYFUNCTION("IMPORTRANGE(""https://docs.google.com/spreadsheets/d/11923uPwbBZFjjGgGUA6NLw09EwE0CqkOc4q9oUmW1yo/edit?usp=sharing"",""สุโขทัย!I393"")"),0)</f>
        <v>0</v>
      </c>
      <c r="J498" s="428">
        <f ca="1">IFERROR(__xludf.DUMMYFUNCTION("IMPORTRANGE(""https://docs.google.com/spreadsheets/d/11923uPwbBZFjjGgGUA6NLw09EwE0CqkOc4q9oUmW1yo/edit?usp=sharing"",""สุโขทัย!J393"")"),0)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IFERROR(__xludf.DUMMYFUNCTION("IMPORTRANGE(""https://docs.google.com/spreadsheets/d/11923uPwbBZFjjGgGUA6NLw09EwE0CqkOc4q9oUmW1yo/edit?usp=sharing"",""สุโขทัย!I394"")"),0)</f>
        <v>0</v>
      </c>
      <c r="J499" s="428">
        <f ca="1">IFERROR(__xludf.DUMMYFUNCTION("IMPORTRANGE(""https://docs.google.com/spreadsheets/d/11923uPwbBZFjjGgGUA6NLw09EwE0CqkOc4q9oUmW1yo/edit?usp=sharing"",""สุโขทัย!J394"")"),0)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IFERROR(__xludf.DUMMYFUNCTION("IMPORTRANGE(""https://docs.google.com/spreadsheets/d/11923uPwbBZFjjGgGUA6NLw09EwE0CqkOc4q9oUmW1yo/edit?usp=sharing"",""สุโขทัย!I395"")"),0)</f>
        <v>0</v>
      </c>
      <c r="J500" s="170">
        <f ca="1">IFERROR(__xludf.DUMMYFUNCTION("IMPORTRANGE(""https://docs.google.com/spreadsheets/d/11923uPwbBZFjjGgGUA6NLw09EwE0CqkOc4q9oUmW1yo/edit?usp=sharing"",""สุโขทัย!J395"")"),0)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IFERROR(__xludf.DUMMYFUNCTION("IMPORTRANGE(""https://docs.google.com/spreadsheets/d/11923uPwbBZFjjGgGUA6NLw09EwE0CqkOc4q9oUmW1yo/edit?usp=sharing"",""สุโขทัย!I396"")"),0)</f>
        <v>0</v>
      </c>
      <c r="J501" s="170">
        <f ca="1">IFERROR(__xludf.DUMMYFUNCTION("IMPORTRANGE(""https://docs.google.com/spreadsheets/d/11923uPwbBZFjjGgGUA6NLw09EwE0CqkOc4q9oUmW1yo/edit?usp=sharing"",""สุโขทัย!J396"")"),0)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IFERROR(__xludf.DUMMYFUNCTION("IMPORTRANGE(""https://docs.google.com/spreadsheets/d/11923uPwbBZFjjGgGUA6NLw09EwE0CqkOc4q9oUmW1yo/edit?usp=sharing"",""สุโขทัย!I397"")"),0)</f>
        <v>0</v>
      </c>
      <c r="J502" s="198">
        <f ca="1">IFERROR(__xludf.DUMMYFUNCTION("IMPORTRANGE(""https://docs.google.com/spreadsheets/d/11923uPwbBZFjjGgGUA6NLw09EwE0CqkOc4q9oUmW1yo/edit?usp=sharing"",""สุโขทัย!J397"")"),0)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IFERROR(__xludf.DUMMYFUNCTION("IMPORTRANGE(""https://docs.google.com/spreadsheets/d/11923uPwbBZFjjGgGUA6NLw09EwE0CqkOc4q9oUmW1yo/edit?usp=sharing"",""สุโขทัย!I398"")"),0)</f>
        <v>0</v>
      </c>
      <c r="J503" s="207">
        <f ca="1">IFERROR(__xludf.DUMMYFUNCTION("IMPORTRANGE(""https://docs.google.com/spreadsheets/d/11923uPwbBZFjjGgGUA6NLw09EwE0CqkOc4q9oUmW1yo/edit?usp=sharing"",""สุโขทัย!J398"")"),0)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IFERROR(__xludf.DUMMYFUNCTION("IMPORTRANGE(""https://docs.google.com/spreadsheets/d/11923uPwbBZFjjGgGUA6NLw09EwE0CqkOc4q9oUmW1yo/edit?usp=sharing"",""สุโขทัย!I399"")"),0)</f>
        <v>0</v>
      </c>
      <c r="J504" s="198">
        <f ca="1">IFERROR(__xludf.DUMMYFUNCTION("IMPORTRANGE(""https://docs.google.com/spreadsheets/d/11923uPwbBZFjjGgGUA6NLw09EwE0CqkOc4q9oUmW1yo/edit?usp=sharing"",""สุโขทัย!J399"")"),0)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IFERROR(__xludf.DUMMYFUNCTION("IMPORTRANGE(""https://docs.google.com/spreadsheets/d/11923uPwbBZFjjGgGUA6NLw09EwE0CqkOc4q9oUmW1yo/edit?usp=sharing"",""สุโขทัย!I400"")"),0)</f>
        <v>0</v>
      </c>
      <c r="J505" s="207">
        <f ca="1">IFERROR(__xludf.DUMMYFUNCTION("IMPORTRANGE(""https://docs.google.com/spreadsheets/d/11923uPwbBZFjjGgGUA6NLw09EwE0CqkOc4q9oUmW1yo/edit?usp=sharing"",""สุโขทัย!J400"")"),0)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IFERROR(__xludf.DUMMYFUNCTION("IMPORTRANGE(""https://docs.google.com/spreadsheets/d/11923uPwbBZFjjGgGUA6NLw09EwE0CqkOc4q9oUmW1yo/edit?usp=sharing"",""สุโขทัย!I401"")"),0)</f>
        <v>0</v>
      </c>
      <c r="J506" s="198">
        <f ca="1">IFERROR(__xludf.DUMMYFUNCTION("IMPORTRANGE(""https://docs.google.com/spreadsheets/d/11923uPwbBZFjjGgGUA6NLw09EwE0CqkOc4q9oUmW1yo/edit?usp=sharing"",""สุโขทัย!J401"")"),0)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IFERROR(__xludf.DUMMYFUNCTION("IMPORTRANGE(""https://docs.google.com/spreadsheets/d/11923uPwbBZFjjGgGUA6NLw09EwE0CqkOc4q9oUmW1yo/edit?usp=sharing"",""สุโขทัย!I402"")"),0)</f>
        <v>0</v>
      </c>
      <c r="J507" s="207">
        <f ca="1">IFERROR(__xludf.DUMMYFUNCTION("IMPORTRANGE(""https://docs.google.com/spreadsheets/d/11923uPwbBZFjjGgGUA6NLw09EwE0CqkOc4q9oUmW1yo/edit?usp=sharing"",""สุโขทัย!J402"")"),0)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IFERROR(__xludf.DUMMYFUNCTION("IMPORTRANGE(""https://docs.google.com/spreadsheets/d/11923uPwbBZFjjGgGUA6NLw09EwE0CqkOc4q9oUmW1yo/edit?usp=sharing"",""สุโขทัย!I403"")"),0)</f>
        <v>0</v>
      </c>
      <c r="J508" s="170">
        <f ca="1">IFERROR(__xludf.DUMMYFUNCTION("IMPORTRANGE(""https://docs.google.com/spreadsheets/d/11923uPwbBZFjjGgGUA6NLw09EwE0CqkOc4q9oUmW1yo/edit?usp=sharing"",""สุโขทัย!J403"")"),0)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IFERROR(__xludf.DUMMYFUNCTION("IMPORTRANGE(""https://docs.google.com/spreadsheets/d/11923uPwbBZFjjGgGUA6NLw09EwE0CqkOc4q9oUmW1yo/edit?usp=sharing"",""สุโขทัย!I404"")"),0)</f>
        <v>0</v>
      </c>
      <c r="J509" s="170">
        <f ca="1">IFERROR(__xludf.DUMMYFUNCTION("IMPORTRANGE(""https://docs.google.com/spreadsheets/d/11923uPwbBZFjjGgGUA6NLw09EwE0CqkOc4q9oUmW1yo/edit?usp=sharing"",""สุโขทัย!J404"")"),0)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IFERROR(__xludf.DUMMYFUNCTION("IMPORTRANGE(""https://docs.google.com/spreadsheets/d/11923uPwbBZFjjGgGUA6NLw09EwE0CqkOc4q9oUmW1yo/edit?usp=sharing"",""สุโขทัย!I405"")"),0)</f>
        <v>0</v>
      </c>
      <c r="J510" s="207">
        <f ca="1">IFERROR(__xludf.DUMMYFUNCTION("IMPORTRANGE(""https://docs.google.com/spreadsheets/d/11923uPwbBZFjjGgGUA6NLw09EwE0CqkOc4q9oUmW1yo/edit?usp=sharing"",""สุโขทัย!J405"")"),0)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IFERROR(__xludf.DUMMYFUNCTION("IMPORTRANGE(""https://docs.google.com/spreadsheets/d/11923uPwbBZFjjGgGUA6NLw09EwE0CqkOc4q9oUmW1yo/edit?usp=sharing"",""สุโขทัย!I406"")"),0)</f>
        <v>0</v>
      </c>
      <c r="J511" s="207">
        <f ca="1">IFERROR(__xludf.DUMMYFUNCTION("IMPORTRANGE(""https://docs.google.com/spreadsheets/d/11923uPwbBZFjjGgGUA6NLw09EwE0CqkOc4q9oUmW1yo/edit?usp=sharing"",""สุโขทัย!J406"")"),0)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IFERROR(__xludf.DUMMYFUNCTION("IMPORTRANGE(""https://docs.google.com/spreadsheets/d/11923uPwbBZFjjGgGUA6NLw09EwE0CqkOc4q9oUmW1yo/edit?usp=sharing"",""สุโขทัย!I407"")"),0)</f>
        <v>0</v>
      </c>
      <c r="J512" s="207">
        <f ca="1">IFERROR(__xludf.DUMMYFUNCTION("IMPORTRANGE(""https://docs.google.com/spreadsheets/d/11923uPwbBZFjjGgGUA6NLw09EwE0CqkOc4q9oUmW1yo/edit?usp=sharing"",""สุโขทัย!J407"")"),0)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IFERROR(__xludf.DUMMYFUNCTION("IMPORTRANGE(""https://docs.google.com/spreadsheets/d/11923uPwbBZFjjGgGUA6NLw09EwE0CqkOc4q9oUmW1yo/edit?usp=sharing"",""สุโขทัย!I408"")"),0)</f>
        <v>0</v>
      </c>
      <c r="J513" s="207">
        <f ca="1">IFERROR(__xludf.DUMMYFUNCTION("IMPORTRANGE(""https://docs.google.com/spreadsheets/d/11923uPwbBZFjjGgGUA6NLw09EwE0CqkOc4q9oUmW1yo/edit?usp=sharing"",""สุโขทัย!J408"")"),0)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IFERROR(__xludf.DUMMYFUNCTION("IMPORTRANGE(""https://docs.google.com/spreadsheets/d/11923uPwbBZFjjGgGUA6NLw09EwE0CqkOc4q9oUmW1yo/edit?usp=sharing"",""สุโขทัย!I409"")"),0)</f>
        <v>0</v>
      </c>
      <c r="J514" s="207">
        <f ca="1">IFERROR(__xludf.DUMMYFUNCTION("IMPORTRANGE(""https://docs.google.com/spreadsheets/d/11923uPwbBZFjjGgGUA6NLw09EwE0CqkOc4q9oUmW1yo/edit?usp=sharing"",""สุโขทัย!J409"")"),0)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IFERROR(__xludf.DUMMYFUNCTION("IMPORTRANGE(""https://docs.google.com/spreadsheets/d/11923uPwbBZFjjGgGUA6NLw09EwE0CqkOc4q9oUmW1yo/edit?usp=sharing"",""สุโขทัย!I410"")"),0)</f>
        <v>0</v>
      </c>
      <c r="J515" s="207">
        <f ca="1">IFERROR(__xludf.DUMMYFUNCTION("IMPORTRANGE(""https://docs.google.com/spreadsheets/d/11923uPwbBZFjjGgGUA6NLw09EwE0CqkOc4q9oUmW1yo/edit?usp=sharing"",""สุโขทัย!J410"")"),0)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IFERROR(__xludf.DUMMYFUNCTION("IMPORTRANGE(""https://docs.google.com/spreadsheets/d/11923uPwbBZFjjGgGUA6NLw09EwE0CqkOc4q9oUmW1yo/edit?usp=sharing"",""สุโขทัย!I411"")"),0)</f>
        <v>0</v>
      </c>
      <c r="J516" s="276">
        <f ca="1">IFERROR(__xludf.DUMMYFUNCTION("IMPORTRANGE(""https://docs.google.com/spreadsheets/d/11923uPwbBZFjjGgGUA6NLw09EwE0CqkOc4q9oUmW1yo/edit?usp=sharing"",""สุโขทัย!J411"")"),0)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IFERROR(__xludf.DUMMYFUNCTION("IMPORTRANGE(""https://docs.google.com/spreadsheets/d/11923uPwbBZFjjGgGUA6NLw09EwE0CqkOc4q9oUmW1yo/edit?usp=sharing"",""สุโขทัย!I412"")"),0)</f>
        <v>0</v>
      </c>
      <c r="J517" s="292">
        <f ca="1">IFERROR(__xludf.DUMMYFUNCTION("IMPORTRANGE(""https://docs.google.com/spreadsheets/d/11923uPwbBZFjjGgGUA6NLw09EwE0CqkOc4q9oUmW1yo/edit?usp=sharing"",""สุโขทัย!J412"")"),0)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IFERROR(__xludf.DUMMYFUNCTION("IMPORTRANGE(""https://docs.google.com/spreadsheets/d/11923uPwbBZFjjGgGUA6NLw09EwE0CqkOc4q9oUmW1yo/edit?usp=sharing"",""สุโขทัย!I413"")"),0)</f>
        <v>0</v>
      </c>
      <c r="J518" s="292">
        <f ca="1">IFERROR(__xludf.DUMMYFUNCTION("IMPORTRANGE(""https://docs.google.com/spreadsheets/d/11923uPwbBZFjjGgGUA6NLw09EwE0CqkOc4q9oUmW1yo/edit?usp=sharing"",""สุโขทัย!J413"")"),0)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IFERROR(__xludf.DUMMYFUNCTION("IMPORTRANGE(""https://docs.google.com/spreadsheets/d/11923uPwbBZFjjGgGUA6NLw09EwE0CqkOc4q9oUmW1yo/edit?usp=sharing"",""สุโขทัย!I414"")"),0)</f>
        <v>0</v>
      </c>
      <c r="J519" s="197">
        <f ca="1">IFERROR(__xludf.DUMMYFUNCTION("IMPORTRANGE(""https://docs.google.com/spreadsheets/d/11923uPwbBZFjjGgGUA6NLw09EwE0CqkOc4q9oUmW1yo/edit?usp=sharing"",""สุโขทัย!J414"")"),0)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IFERROR(__xludf.DUMMYFUNCTION("IMPORTRANGE(""https://docs.google.com/spreadsheets/d/11923uPwbBZFjjGgGUA6NLw09EwE0CqkOc4q9oUmW1yo/edit?usp=sharing"",""สุโขทัย!I415"")"),0)</f>
        <v>0</v>
      </c>
      <c r="J520" s="197">
        <f ca="1">IFERROR(__xludf.DUMMYFUNCTION("IMPORTRANGE(""https://docs.google.com/spreadsheets/d/11923uPwbBZFjjGgGUA6NLw09EwE0CqkOc4q9oUmW1yo/edit?usp=sharing"",""สุโขทัย!J415"")"),0)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IFERROR(__xludf.DUMMYFUNCTION("IMPORTRANGE(""https://docs.google.com/spreadsheets/d/11923uPwbBZFjjGgGUA6NLw09EwE0CqkOc4q9oUmW1yo/edit?usp=sharing"",""สุโขทัย!I416"")"),0)</f>
        <v>0</v>
      </c>
      <c r="J521" s="197">
        <f ca="1">IFERROR(__xludf.DUMMYFUNCTION("IMPORTRANGE(""https://docs.google.com/spreadsheets/d/11923uPwbBZFjjGgGUA6NLw09EwE0CqkOc4q9oUmW1yo/edit?usp=sharing"",""สุโขทัย!J416"")"),0)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IFERROR(__xludf.DUMMYFUNCTION("IMPORTRANGE(""https://docs.google.com/spreadsheets/d/11923uPwbBZFjjGgGUA6NLw09EwE0CqkOc4q9oUmW1yo/edit?usp=sharing"",""สุโขทัย!I417"")"),0)</f>
        <v>0</v>
      </c>
      <c r="J522" s="197">
        <f ca="1">IFERROR(__xludf.DUMMYFUNCTION("IMPORTRANGE(""https://docs.google.com/spreadsheets/d/11923uPwbBZFjjGgGUA6NLw09EwE0CqkOc4q9oUmW1yo/edit?usp=sharing"",""สุโขทัย!J417"")"),0)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IFERROR(__xludf.DUMMYFUNCTION("IMPORTRANGE(""https://docs.google.com/spreadsheets/d/11923uPwbBZFjjGgGUA6NLw09EwE0CqkOc4q9oUmW1yo/edit?usp=sharing"",""สุโขทัย!I418"")"),0)</f>
        <v>0</v>
      </c>
      <c r="J523" s="197">
        <f ca="1">IFERROR(__xludf.DUMMYFUNCTION("IMPORTRANGE(""https://docs.google.com/spreadsheets/d/11923uPwbBZFjjGgGUA6NLw09EwE0CqkOc4q9oUmW1yo/edit?usp=sharing"",""สุโขทัย!J418"")"),12)</f>
        <v>12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IFERROR(__xludf.DUMMYFUNCTION("IMPORTRANGE(""https://docs.google.com/spreadsheets/d/11923uPwbBZFjjGgGUA6NLw09EwE0CqkOc4q9oUmW1yo/edit?usp=sharing"",""สุโขทัย!I419"")"),0)</f>
        <v>0</v>
      </c>
      <c r="J524" s="197">
        <f ca="1">IFERROR(__xludf.DUMMYFUNCTION("IMPORTRANGE(""https://docs.google.com/spreadsheets/d/11923uPwbBZFjjGgGUA6NLw09EwE0CqkOc4q9oUmW1yo/edit?usp=sharing"",""สุโขทัย!J419"")"),2)</f>
        <v>2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IFERROR(__xludf.DUMMYFUNCTION("IMPORTRANGE(""https://docs.google.com/spreadsheets/d/11923uPwbBZFjjGgGUA6NLw09EwE0CqkOc4q9oUmW1yo/edit?usp=sharing"",""สุโขทัย!I420"")"),12)</f>
        <v>12</v>
      </c>
      <c r="J525" s="292">
        <f ca="1">IFERROR(__xludf.DUMMYFUNCTION("IMPORTRANGE(""https://docs.google.com/spreadsheets/d/11923uPwbBZFjjGgGUA6NLw09EwE0CqkOc4q9oUmW1yo/edit?usp=sharing"",""สุโขทัย!J420"")"),12)</f>
        <v>12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IFERROR(__xludf.DUMMYFUNCTION("IMPORTRANGE(""https://docs.google.com/spreadsheets/d/11923uPwbBZFjjGgGUA6NLw09EwE0CqkOc4q9oUmW1yo/edit?usp=sharing"",""สุโขทัย!I421"")"),2)</f>
        <v>2</v>
      </c>
      <c r="J526" s="292">
        <f ca="1">IFERROR(__xludf.DUMMYFUNCTION("IMPORTRANGE(""https://docs.google.com/spreadsheets/d/11923uPwbBZFjjGgGUA6NLw09EwE0CqkOc4q9oUmW1yo/edit?usp=sharing"",""สุโขทัย!J421"")"),2)</f>
        <v>2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IFERROR(__xludf.DUMMYFUNCTION("IMPORTRANGE(""https://docs.google.com/spreadsheets/d/11923uPwbBZFjjGgGUA6NLw09EwE0CqkOc4q9oUmW1yo/edit?usp=sharing"",""สุโขทัย!I422"")"),0)</f>
        <v>0</v>
      </c>
      <c r="J527" s="207">
        <f ca="1">IFERROR(__xludf.DUMMYFUNCTION("IMPORTRANGE(""https://docs.google.com/spreadsheets/d/11923uPwbBZFjjGgGUA6NLw09EwE0CqkOc4q9oUmW1yo/edit?usp=sharing"",""สุโขทัย!J422"")"),0)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IFERROR(__xludf.DUMMYFUNCTION("IMPORTRANGE(""https://docs.google.com/spreadsheets/d/11923uPwbBZFjjGgGUA6NLw09EwE0CqkOc4q9oUmW1yo/edit?usp=sharing"",""สุโขทัย!I423"")"),0)</f>
        <v>0</v>
      </c>
      <c r="J528" s="207">
        <f ca="1">IFERROR(__xludf.DUMMYFUNCTION("IMPORTRANGE(""https://docs.google.com/spreadsheets/d/11923uPwbBZFjjGgGUA6NLw09EwE0CqkOc4q9oUmW1yo/edit?usp=sharing"",""สุโขทัย!J423"")"),0)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IFERROR(__xludf.DUMMYFUNCTION("IMPORTRANGE(""https://docs.google.com/spreadsheets/d/11923uPwbBZFjjGgGUA6NLw09EwE0CqkOc4q9oUmW1yo/edit?usp=sharing"",""สุโขทัย!I424"")"),0)</f>
        <v>0</v>
      </c>
      <c r="J529" s="207">
        <f ca="1">IFERROR(__xludf.DUMMYFUNCTION("IMPORTRANGE(""https://docs.google.com/spreadsheets/d/11923uPwbBZFjjGgGUA6NLw09EwE0CqkOc4q9oUmW1yo/edit?usp=sharing"",""สุโขทัย!J424"")"),12)</f>
        <v>12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IFERROR(__xludf.DUMMYFUNCTION("IMPORTRANGE(""https://docs.google.com/spreadsheets/d/11923uPwbBZFjjGgGUA6NLw09EwE0CqkOc4q9oUmW1yo/edit?usp=sharing"",""สุโขทัย!I425"")"),0)</f>
        <v>0</v>
      </c>
      <c r="J530" s="207">
        <f ca="1">IFERROR(__xludf.DUMMYFUNCTION("IMPORTRANGE(""https://docs.google.com/spreadsheets/d/11923uPwbBZFjjGgGUA6NLw09EwE0CqkOc4q9oUmW1yo/edit?usp=sharing"",""สุโขทัย!J425"")"),2)</f>
        <v>2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IFERROR(__xludf.DUMMYFUNCTION("IMPORTRANGE(""https://docs.google.com/spreadsheets/d/11923uPwbBZFjjGgGUA6NLw09EwE0CqkOc4q9oUmW1yo/edit?usp=sharing"",""สุโขทัย!I426"")"),0)</f>
        <v>0</v>
      </c>
      <c r="J531" s="207">
        <f ca="1">IFERROR(__xludf.DUMMYFUNCTION("IMPORTRANGE(""https://docs.google.com/spreadsheets/d/11923uPwbBZFjjGgGUA6NLw09EwE0CqkOc4q9oUmW1yo/edit?usp=sharing"",""สุโขทัย!J426"")"),0)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IFERROR(__xludf.DUMMYFUNCTION("IMPORTRANGE(""https://docs.google.com/spreadsheets/d/11923uPwbBZFjjGgGUA6NLw09EwE0CqkOc4q9oUmW1yo/edit?usp=sharing"",""สุโขทัย!I427"")"),0)</f>
        <v>0</v>
      </c>
      <c r="J532" s="474">
        <f ca="1">IFERROR(__xludf.DUMMYFUNCTION("IMPORTRANGE(""https://docs.google.com/spreadsheets/d/11923uPwbBZFjjGgGUA6NLw09EwE0CqkOc4q9oUmW1yo/edit?usp=sharing"",""สุโขทัย!J427"")"),0)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IFERROR(__xludf.DUMMYFUNCTION("IMPORTRANGE(""https://docs.google.com/spreadsheets/d/11923uPwbBZFjjGgGUA6NLw09EwE0CqkOc4q9oUmW1yo/edit?usp=sharing"",""สุโขทัย!I428"")"),22)</f>
        <v>22</v>
      </c>
      <c r="J533" s="418">
        <f ca="1">IFERROR(__xludf.DUMMYFUNCTION("IMPORTRANGE(""https://docs.google.com/spreadsheets/d/11923uPwbBZFjjGgGUA6NLw09EwE0CqkOc4q9oUmW1yo/edit?usp=sharing"",""สุโขทัย!J428"")"),22)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IFERROR(__xludf.DUMMYFUNCTION("IMPORTRANGE(""https://docs.google.com/spreadsheets/d/11923uPwbBZFjjGgGUA6NLw09EwE0CqkOc4q9oUmW1yo/edit?usp=sharing"",""สุโขทัย!L428"")"),34340)</f>
        <v>34340</v>
      </c>
      <c r="M533" s="420"/>
      <c r="N533" s="420">
        <f ca="1">IFERROR(__xludf.DUMMYFUNCTION("IMPORTRANGE(""https://docs.google.com/spreadsheets/d/11923uPwbBZFjjGgGUA6NLw09EwE0CqkOc4q9oUmW1yo/edit?usp=sharing"",""สุโขทัย!M428"")"),18740)</f>
        <v>18740</v>
      </c>
      <c r="O533" s="420">
        <f t="shared" ref="O533:O537" ca="1" si="118">+IF(L533&gt;0,N533*100/L533,0)</f>
        <v>54.571927781013393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IFERROR(__xludf.DUMMYFUNCTION("IMPORTRANGE(""https://docs.google.com/spreadsheets/d/11923uPwbBZFjjGgGUA6NLw09EwE0CqkOc4q9oUmW1yo/edit?usp=sharing"",""สุโขทัย!L429"")"),0)</f>
        <v>0</v>
      </c>
      <c r="M534" s="172"/>
      <c r="N534" s="178">
        <f ca="1">IFERROR(__xludf.DUMMYFUNCTION("IMPORTRANGE(""https://docs.google.com/spreadsheets/d/11923uPwbBZFjjGgGUA6NLw09EwE0CqkOc4q9oUmW1yo/edit?usp=sharing"",""สุโขทัย!M429"")"),0)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IFERROR(__xludf.DUMMYFUNCTION("IMPORTRANGE(""https://docs.google.com/spreadsheets/d/11923uPwbBZFjjGgGUA6NLw09EwE0CqkOc4q9oUmW1yo/edit?usp=sharing"",""สุโขทัย!L430"")"),34340)</f>
        <v>34340</v>
      </c>
      <c r="M535" s="173"/>
      <c r="N535" s="178">
        <f ca="1">IFERROR(__xludf.DUMMYFUNCTION("IMPORTRANGE(""https://docs.google.com/spreadsheets/d/11923uPwbBZFjjGgGUA6NLw09EwE0CqkOc4q9oUmW1yo/edit?usp=sharing"",""สุโขทัย!M430"")"),18740)</f>
        <v>18740</v>
      </c>
      <c r="O535" s="178">
        <f t="shared" ca="1" si="118"/>
        <v>54.571927781013393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IFERROR(__xludf.DUMMYFUNCTION("IMPORTRANGE(""https://docs.google.com/spreadsheets/d/11923uPwbBZFjjGgGUA6NLw09EwE0CqkOc4q9oUmW1yo/edit?usp=sharing"",""สุโขทัย!L431"")"),0)</f>
        <v>0</v>
      </c>
      <c r="M536" s="178"/>
      <c r="N536" s="178">
        <f ca="1">IFERROR(__xludf.DUMMYFUNCTION("IMPORTRANGE(""https://docs.google.com/spreadsheets/d/11923uPwbBZFjjGgGUA6NLw09EwE0CqkOc4q9oUmW1yo/edit?usp=sharing"",""สุโขทัย!M431"")"),0)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IFERROR(__xludf.DUMMYFUNCTION("IMPORTRANGE(""https://docs.google.com/spreadsheets/d/11923uPwbBZFjjGgGUA6NLw09EwE0CqkOc4q9oUmW1yo/edit?usp=sharing"",""สุโขทัย!L432"")"),34340)</f>
        <v>34340</v>
      </c>
      <c r="M537" s="178"/>
      <c r="N537" s="178">
        <f ca="1">IFERROR(__xludf.DUMMYFUNCTION("IMPORTRANGE(""https://docs.google.com/spreadsheets/d/11923uPwbBZFjjGgGUA6NLw09EwE0CqkOc4q9oUmW1yo/edit?usp=sharing"",""สุโขทัย!M432"")"),18740)</f>
        <v>18740</v>
      </c>
      <c r="O537" s="178">
        <f t="shared" ca="1" si="118"/>
        <v>54.571927781013393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IFERROR(__xludf.DUMMYFUNCTION("IMPORTRANGE(""https://docs.google.com/spreadsheets/d/11923uPwbBZFjjGgGUA6NLw09EwE0CqkOc4q9oUmW1yo/edit?usp=sharing"",""สุโขทัย!M433"")"),18740)</f>
        <v>18740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IFERROR(__xludf.DUMMYFUNCTION("IMPORTRANGE(""https://docs.google.com/spreadsheets/d/11923uPwbBZFjjGgGUA6NLw09EwE0CqkOc4q9oUmW1yo/edit?usp=sharing"",""สุโขทัย!M434"")"),0)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IFERROR(__xludf.DUMMYFUNCTION("IMPORTRANGE(""https://docs.google.com/spreadsheets/d/11923uPwbBZFjjGgGUA6NLw09EwE0CqkOc4q9oUmW1yo/edit?usp=sharing"",""สุโขทัย!M435"")"),0)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IFERROR(__xludf.DUMMYFUNCTION("IMPORTRANGE(""https://docs.google.com/spreadsheets/d/11923uPwbBZFjjGgGUA6NLw09EwE0CqkOc4q9oUmW1yo/edit?usp=sharing"",""สุโขทัย!M436"")"),0)</f>
        <v>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IFERROR(__xludf.DUMMYFUNCTION("IMPORTRANGE(""https://docs.google.com/spreadsheets/d/11923uPwbBZFjjGgGUA6NLw09EwE0CqkOc4q9oUmW1yo/edit?usp=sharing"",""สุโขทัย!J438"")"),0)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IFERROR(__xludf.DUMMYFUNCTION("IMPORTRANGE(""https://docs.google.com/spreadsheets/d/11923uPwbBZFjjGgGUA6NLw09EwE0CqkOc4q9oUmW1yo/edit?usp=sharing"",""สุโขทัย!J439"")"),1)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IFERROR(__xludf.DUMMYFUNCTION("IMPORTRANGE(""https://docs.google.com/spreadsheets/d/11923uPwbBZFjjGgGUA6NLw09EwE0CqkOc4q9oUmW1yo/edit?usp=sharing"",""สุโขทัย!J440"")"),1)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IFERROR(__xludf.DUMMYFUNCTION("IMPORTRANGE(""https://docs.google.com/spreadsheets/d/11923uPwbBZFjjGgGUA6NLw09EwE0CqkOc4q9oUmW1yo/edit?usp=sharing"",""สุโขทัย!J441"")"),1)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IFERROR(__xludf.DUMMYFUNCTION("IMPORTRANGE(""https://docs.google.com/spreadsheets/d/11923uPwbBZFjjGgGUA6NLw09EwE0CqkOc4q9oUmW1yo/edit?usp=sharing"",""สุโขทัย!I442"")"),22)</f>
        <v>22</v>
      </c>
      <c r="J547" s="198">
        <f ca="1">IFERROR(__xludf.DUMMYFUNCTION("IMPORTRANGE(""https://docs.google.com/spreadsheets/d/11923uPwbBZFjjGgGUA6NLw09EwE0CqkOc4q9oUmW1yo/edit?usp=sharing"",""สุโขทัย!J442"")"),22)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IFERROR(__xludf.DUMMYFUNCTION("IMPORTRANGE(""https://docs.google.com/spreadsheets/d/11923uPwbBZFjjGgGUA6NLw09EwE0CqkOc4q9oUmW1yo/edit?usp=sharing"",""สุโขทัย!J166"")"),0)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IFERROR(__xludf.DUMMYFUNCTION("IMPORTRANGE(""https://docs.google.com/spreadsheets/d/11923uPwbBZFjjGgGUA6NLw09EwE0CqkOc4q9oUmW1yo/edit?usp=sharing"",""สุโขทัย!J444"")"),0)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IFERROR(__xludf.DUMMYFUNCTION("IMPORTRANGE(""https://docs.google.com/spreadsheets/d/11923uPwbBZFjjGgGUA6NLw09EwE0CqkOc4q9oUmW1yo/edit?usp=sharing"",""สุโขทัย!J445"")"),0)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IFERROR(__xludf.DUMMYFUNCTION("IMPORTRANGE(""https://docs.google.com/spreadsheets/d/11923uPwbBZFjjGgGUA6NLw09EwE0CqkOc4q9oUmW1yo/edit?usp=sharing"",""สุโขทัย!I446"")"),0)</f>
        <v>0</v>
      </c>
      <c r="J551" s="418">
        <f ca="1">IFERROR(__xludf.DUMMYFUNCTION("IMPORTRANGE(""https://docs.google.com/spreadsheets/d/11923uPwbBZFjjGgGUA6NLw09EwE0CqkOc4q9oUmW1yo/edit?usp=sharing"",""สุโขทัย!J446"")"),0)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IFERROR(__xludf.DUMMYFUNCTION("IMPORTRANGE(""https://docs.google.com/spreadsheets/d/11923uPwbBZFjjGgGUA6NLw09EwE0CqkOc4q9oUmW1yo/edit?usp=sharing"",""สุโขทัย!L446"")"),0)</f>
        <v>0</v>
      </c>
      <c r="M551" s="420"/>
      <c r="N551" s="420">
        <f ca="1">IFERROR(__xludf.DUMMYFUNCTION("IMPORTRANGE(""https://docs.google.com/spreadsheets/d/11923uPwbBZFjjGgGUA6NLw09EwE0CqkOc4q9oUmW1yo/edit?usp=sharing"",""สุโขทัย!M446"")"),0)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IFERROR(__xludf.DUMMYFUNCTION("IMPORTRANGE(""https://docs.google.com/spreadsheets/d/11923uPwbBZFjjGgGUA6NLw09EwE0CqkOc4q9oUmW1yo/edit?usp=sharing"",""สุโขทัย!L447"")"),0)</f>
        <v>0</v>
      </c>
      <c r="M552" s="172"/>
      <c r="N552" s="178">
        <f ca="1">IFERROR(__xludf.DUMMYFUNCTION("IMPORTRANGE(""https://docs.google.com/spreadsheets/d/11923uPwbBZFjjGgGUA6NLw09EwE0CqkOc4q9oUmW1yo/edit?usp=sharing"",""สุโขทัย!M447"")"),0)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IFERROR(__xludf.DUMMYFUNCTION("IMPORTRANGE(""https://docs.google.com/spreadsheets/d/11923uPwbBZFjjGgGUA6NLw09EwE0CqkOc4q9oUmW1yo/edit?usp=sharing"",""สุโขทัย!L448"")"),0)</f>
        <v>0</v>
      </c>
      <c r="M553" s="173"/>
      <c r="N553" s="178">
        <f ca="1">IFERROR(__xludf.DUMMYFUNCTION("IMPORTRANGE(""https://docs.google.com/spreadsheets/d/11923uPwbBZFjjGgGUA6NLw09EwE0CqkOc4q9oUmW1yo/edit?usp=sharing"",""สุโขทัย!M448"")"),0)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IFERROR(__xludf.DUMMYFUNCTION("IMPORTRANGE(""https://docs.google.com/spreadsheets/d/11923uPwbBZFjjGgGUA6NLw09EwE0CqkOc4q9oUmW1yo/edit?usp=sharing"",""สุโขทัย!L449"")"),0)</f>
        <v>0</v>
      </c>
      <c r="M554" s="178"/>
      <c r="N554" s="178">
        <f ca="1">IFERROR(__xludf.DUMMYFUNCTION("IMPORTRANGE(""https://docs.google.com/spreadsheets/d/11923uPwbBZFjjGgGUA6NLw09EwE0CqkOc4q9oUmW1yo/edit?usp=sharing"",""สุโขทัย!M449"")"),0)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IFERROR(__xludf.DUMMYFUNCTION("IMPORTRANGE(""https://docs.google.com/spreadsheets/d/11923uPwbBZFjjGgGUA6NLw09EwE0CqkOc4q9oUmW1yo/edit?usp=sharing"",""สุโขทัย!L450"")"),0)</f>
        <v>0</v>
      </c>
      <c r="M555" s="178"/>
      <c r="N555" s="178">
        <f ca="1">IFERROR(__xludf.DUMMYFUNCTION("IMPORTRANGE(""https://docs.google.com/spreadsheets/d/11923uPwbBZFjjGgGUA6NLw09EwE0CqkOc4q9oUmW1yo/edit?usp=sharing"",""สุโขทัย!M450"")"),0)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IFERROR(__xludf.DUMMYFUNCTION("IMPORTRANGE(""https://docs.google.com/spreadsheets/d/11923uPwbBZFjjGgGUA6NLw09EwE0CqkOc4q9oUmW1yo/edit?usp=sharing"",""สุโขทัย!M451"")"),0)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IFERROR(__xludf.DUMMYFUNCTION("IMPORTRANGE(""https://docs.google.com/spreadsheets/d/11923uPwbBZFjjGgGUA6NLw09EwE0CqkOc4q9oUmW1yo/edit?usp=sharing"",""สุโขทัย!M452"")"),0)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IFERROR(__xludf.DUMMYFUNCTION("IMPORTRANGE(""https://docs.google.com/spreadsheets/d/11923uPwbBZFjjGgGUA6NLw09EwE0CqkOc4q9oUmW1yo/edit?usp=sharing"",""สุโขทัย!M453"")"),0)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IFERROR(__xludf.DUMMYFUNCTION("IMPORTRANGE(""https://docs.google.com/spreadsheets/d/11923uPwbBZFjjGgGUA6NLw09EwE0CqkOc4q9oUmW1yo/edit?usp=sharing"",""สุโขทัย!M454"")"),0)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IFERROR(__xludf.DUMMYFUNCTION("IMPORTRANGE(""https://docs.google.com/spreadsheets/d/11923uPwbBZFjjGgGUA6NLw09EwE0CqkOc4q9oUmW1yo/edit?usp=sharing"",""สุโขทัย!I455"")"),0)</f>
        <v>0</v>
      </c>
      <c r="J560" s="170">
        <f ca="1">IFERROR(__xludf.DUMMYFUNCTION("IMPORTRANGE(""https://docs.google.com/spreadsheets/d/11923uPwbBZFjjGgGUA6NLw09EwE0CqkOc4q9oUmW1yo/edit?usp=sharing"",""สุโขทัย!J455"")"),0)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IFERROR(__xludf.DUMMYFUNCTION("IMPORTRANGE(""https://docs.google.com/spreadsheets/d/11923uPwbBZFjjGgGUA6NLw09EwE0CqkOc4q9oUmW1yo/edit?usp=sharing"",""สุโขทัย!I456"")"),0)</f>
        <v>0</v>
      </c>
      <c r="J561" s="213">
        <f ca="1">IFERROR(__xludf.DUMMYFUNCTION("IMPORTRANGE(""https://docs.google.com/spreadsheets/d/11923uPwbBZFjjGgGUA6NLw09EwE0CqkOc4q9oUmW1yo/edit?usp=sharing"",""สุโขทัย!J456"")"),0)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IFERROR(__xludf.DUMMYFUNCTION("IMPORTRANGE(""https://docs.google.com/spreadsheets/d/11923uPwbBZFjjGgGUA6NLw09EwE0CqkOc4q9oUmW1yo/edit?usp=sharing"",""สุโขทัย!I457"")"),"")</f>
        <v/>
      </c>
      <c r="J562" s="213" t="str">
        <f ca="1">IFERROR(__xludf.DUMMYFUNCTION("IMPORTRANGE(""https://docs.google.com/spreadsheets/d/11923uPwbBZFjjGgGUA6NLw09EwE0CqkOc4q9oUmW1yo/edit?usp=sharing"",""สุโขทัย!J457"")"),"")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IFERROR(__xludf.DUMMYFUNCTION("IMPORTRANGE(""https://docs.google.com/spreadsheets/d/11923uPwbBZFjjGgGUA6NLw09EwE0CqkOc4q9oUmW1yo/edit?usp=sharing"",""สุโขทัย!I458"")"),"")</f>
        <v/>
      </c>
      <c r="J563" s="197" t="str">
        <f ca="1">IFERROR(__xludf.DUMMYFUNCTION("IMPORTRANGE(""https://docs.google.com/spreadsheets/d/11923uPwbBZFjjGgGUA6NLw09EwE0CqkOc4q9oUmW1yo/edit?usp=sharing"",""สุโขทัย!J458"")"),"")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IFERROR(__xludf.DUMMYFUNCTION("IMPORTRANGE(""https://docs.google.com/spreadsheets/d/11923uPwbBZFjjGgGUA6NLw09EwE0CqkOc4q9oUmW1yo/edit?usp=sharing"",""สุโขทัย!I459"")"),2100)</f>
        <v>2100</v>
      </c>
      <c r="J564" s="379">
        <f ca="1">IFERROR(__xludf.DUMMYFUNCTION("IMPORTRANGE(""https://docs.google.com/spreadsheets/d/11923uPwbBZFjjGgGUA6NLw09EwE0CqkOc4q9oUmW1yo/edit?usp=sharing"",""สุโขทัย!J459"")"),1233)</f>
        <v>1233</v>
      </c>
      <c r="K564" s="380">
        <f t="shared" ca="1" si="121"/>
        <v>58.714285714285715</v>
      </c>
      <c r="L564" s="381">
        <f ca="1">IFERROR(__xludf.DUMMYFUNCTION("IMPORTRANGE(""https://docs.google.com/spreadsheets/d/11923uPwbBZFjjGgGUA6NLw09EwE0CqkOc4q9oUmW1yo/edit?usp=sharing"",""สุโขทัย!L459"")"),142240)</f>
        <v>142240</v>
      </c>
      <c r="M564" s="381"/>
      <c r="N564" s="381">
        <f ca="1">IFERROR(__xludf.DUMMYFUNCTION("IMPORTRANGE(""https://docs.google.com/spreadsheets/d/11923uPwbBZFjjGgGUA6NLw09EwE0CqkOc4q9oUmW1yo/edit?usp=sharing"",""สุโขทัย!M459"")"),0)</f>
        <v>0</v>
      </c>
      <c r="O564" s="381">
        <f t="shared" ref="O564:O568" ca="1" si="122">+IF(L564&gt;0,N564*100/L564,0)</f>
        <v>0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IFERROR(__xludf.DUMMYFUNCTION("IMPORTRANGE(""https://docs.google.com/spreadsheets/d/11923uPwbBZFjjGgGUA6NLw09EwE0CqkOc4q9oUmW1yo/edit?usp=sharing"",""สุโขทัย!L460"")"),0)</f>
        <v>0</v>
      </c>
      <c r="M565" s="172"/>
      <c r="N565" s="178">
        <f ca="1">IFERROR(__xludf.DUMMYFUNCTION("IMPORTRANGE(""https://docs.google.com/spreadsheets/d/11923uPwbBZFjjGgGUA6NLw09EwE0CqkOc4q9oUmW1yo/edit?usp=sharing"",""สุโขทัย!M460"")"),0)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IFERROR(__xludf.DUMMYFUNCTION("IMPORTRANGE(""https://docs.google.com/spreadsheets/d/11923uPwbBZFjjGgGUA6NLw09EwE0CqkOc4q9oUmW1yo/edit?usp=sharing"",""สุโขทัย!L461"")"),142240)</f>
        <v>142240</v>
      </c>
      <c r="M566" s="173"/>
      <c r="N566" s="178">
        <f ca="1">IFERROR(__xludf.DUMMYFUNCTION("IMPORTRANGE(""https://docs.google.com/spreadsheets/d/11923uPwbBZFjjGgGUA6NLw09EwE0CqkOc4q9oUmW1yo/edit?usp=sharing"",""สุโขทัย!M461"")"),0)</f>
        <v>0</v>
      </c>
      <c r="O566" s="178">
        <f t="shared" ca="1" si="122"/>
        <v>0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IFERROR(__xludf.DUMMYFUNCTION("IMPORTRANGE(""https://docs.google.com/spreadsheets/d/11923uPwbBZFjjGgGUA6NLw09EwE0CqkOc4q9oUmW1yo/edit?usp=sharing"",""สุโขทัย!L462"")"),0)</f>
        <v>0</v>
      </c>
      <c r="M567" s="178"/>
      <c r="N567" s="178">
        <f ca="1">IFERROR(__xludf.DUMMYFUNCTION("IMPORTRANGE(""https://docs.google.com/spreadsheets/d/11923uPwbBZFjjGgGUA6NLw09EwE0CqkOc4q9oUmW1yo/edit?usp=sharing"",""สุโขทัย!M462"")"),0)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IFERROR(__xludf.DUMMYFUNCTION("IMPORTRANGE(""https://docs.google.com/spreadsheets/d/11923uPwbBZFjjGgGUA6NLw09EwE0CqkOc4q9oUmW1yo/edit?usp=sharing"",""สุโขทัย!L463"")"),142240)</f>
        <v>142240</v>
      </c>
      <c r="M568" s="178"/>
      <c r="N568" s="178">
        <f ca="1">IFERROR(__xludf.DUMMYFUNCTION("IMPORTRANGE(""https://docs.google.com/spreadsheets/d/11923uPwbBZFjjGgGUA6NLw09EwE0CqkOc4q9oUmW1yo/edit?usp=sharing"",""สุโขทัย!M463"")"),0)</f>
        <v>0</v>
      </c>
      <c r="O568" s="178">
        <f t="shared" ca="1" si="122"/>
        <v>0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IFERROR(__xludf.DUMMYFUNCTION("IMPORTRANGE(""https://docs.google.com/spreadsheets/d/11923uPwbBZFjjGgGUA6NLw09EwE0CqkOc4q9oUmW1yo/edit?usp=sharing"",""สุโขทัย!M464"")"),0)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IFERROR(__xludf.DUMMYFUNCTION("IMPORTRANGE(""https://docs.google.com/spreadsheets/d/11923uPwbBZFjjGgGUA6NLw09EwE0CqkOc4q9oUmW1yo/edit?usp=sharing"",""สุโขทัย!M465"")"),0)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IFERROR(__xludf.DUMMYFUNCTION("IMPORTRANGE(""https://docs.google.com/spreadsheets/d/11923uPwbBZFjjGgGUA6NLw09EwE0CqkOc4q9oUmW1yo/edit?usp=sharing"",""สุโขทัย!M466"")"),0)</f>
        <v>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IFERROR(__xludf.DUMMYFUNCTION("IMPORTRANGE(""https://docs.google.com/spreadsheets/d/11923uPwbBZFjjGgGUA6NLw09EwE0CqkOc4q9oUmW1yo/edit?usp=sharing"",""สุโขทัย!M467"")"),0)</f>
        <v>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IFERROR(__xludf.DUMMYFUNCTION("IMPORTRANGE(""https://docs.google.com/spreadsheets/d/11923uPwbBZFjjGgGUA6NLw09EwE0CqkOc4q9oUmW1yo/edit?usp=sharing"",""สุโขทัย!I468"")"),2100)</f>
        <v>2100</v>
      </c>
      <c r="J573" s="428">
        <f ca="1">IFERROR(__xludf.DUMMYFUNCTION("IMPORTRANGE(""https://docs.google.com/spreadsheets/d/11923uPwbBZFjjGgGUA6NLw09EwE0CqkOc4q9oUmW1yo/edit?usp=sharing"",""สุโขทัย!J468"")"),1233)</f>
        <v>1233</v>
      </c>
      <c r="K573" s="211">
        <f ca="1">IF(I573&gt;0,J573*100/I573,0)</f>
        <v>58.714285714285715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IFERROR(__xludf.DUMMYFUNCTION("IMPORTRANGE(""https://docs.google.com/spreadsheets/d/11923uPwbBZFjjGgGUA6NLw09EwE0CqkOc4q9oUmW1yo/edit?usp=sharing"",""สุโขทัย!I470"")"),0)</f>
        <v>0</v>
      </c>
      <c r="J575" s="207">
        <f ca="1">IFERROR(__xludf.DUMMYFUNCTION("IMPORTRANGE(""https://docs.google.com/spreadsheets/d/11923uPwbBZFjjGgGUA6NLw09EwE0CqkOc4q9oUmW1yo/edit?usp=sharing"",""สุโขทัย!J470"")"),1)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IFERROR(__xludf.DUMMYFUNCTION("IMPORTRANGE(""https://docs.google.com/spreadsheets/d/11923uPwbBZFjjGgGUA6NLw09EwE0CqkOc4q9oUmW1yo/edit?usp=sharing"",""สุโขทัย!I471"")"),0)</f>
        <v>0</v>
      </c>
      <c r="J576" s="207">
        <f ca="1">IFERROR(__xludf.DUMMYFUNCTION("IMPORTRANGE(""https://docs.google.com/spreadsheets/d/11923uPwbBZFjjGgGUA6NLw09EwE0CqkOc4q9oUmW1yo/edit?usp=sharing"",""สุโขทัย!J471"")"),65)</f>
        <v>65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IFERROR(__xludf.DUMMYFUNCTION("IMPORTRANGE(""https://docs.google.com/spreadsheets/d/11923uPwbBZFjjGgGUA6NLw09EwE0CqkOc4q9oUmW1yo/edit?usp=sharing"",""สุโขทัย!I472"")"),0)</f>
        <v>0</v>
      </c>
      <c r="J577" s="198">
        <f ca="1">IFERROR(__xludf.DUMMYFUNCTION("IMPORTRANGE(""https://docs.google.com/spreadsheets/d/11923uPwbBZFjjGgGUA6NLw09EwE0CqkOc4q9oUmW1yo/edit?usp=sharing"",""สุโขทัย!J472"")"),1168)</f>
        <v>1168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IFERROR(__xludf.DUMMYFUNCTION("IMPORTRANGE(""https://docs.google.com/spreadsheets/d/11923uPwbBZFjjGgGUA6NLw09EwE0CqkOc4q9oUmW1yo/edit?usp=sharing"",""สุโขทัย!I473"")"),0)</f>
        <v>0</v>
      </c>
      <c r="J578" s="207">
        <f ca="1">IFERROR(__xludf.DUMMYFUNCTION("IMPORTRANGE(""https://docs.google.com/spreadsheets/d/11923uPwbBZFjjGgGUA6NLw09EwE0CqkOc4q9oUmW1yo/edit?usp=sharing"",""สุโขทัย!J473"")"),0)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IFERROR(__xludf.DUMMYFUNCTION("IMPORTRANGE(""https://docs.google.com/spreadsheets/d/11923uPwbBZFjjGgGUA6NLw09EwE0CqkOc4q9oUmW1yo/edit?usp=sharing"",""สุโขทัย!I474"")"),0)</f>
        <v>0</v>
      </c>
      <c r="J579" s="207">
        <f ca="1">IFERROR(__xludf.DUMMYFUNCTION("IMPORTRANGE(""https://docs.google.com/spreadsheets/d/11923uPwbBZFjjGgGUA6NLw09EwE0CqkOc4q9oUmW1yo/edit?usp=sharing"",""สุโขทัย!J474"")"),0)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IFERROR(__xludf.DUMMYFUNCTION("IMPORTRANGE(""https://docs.google.com/spreadsheets/d/11923uPwbBZFjjGgGUA6NLw09EwE0CqkOc4q9oUmW1yo/edit?usp=sharing"",""สุโขทัย!I475"")"),90)</f>
        <v>90</v>
      </c>
      <c r="J580" s="379">
        <f ca="1">IFERROR(__xludf.DUMMYFUNCTION("IMPORTRANGE(""https://docs.google.com/spreadsheets/d/11923uPwbBZFjjGgGUA6NLw09EwE0CqkOc4q9oUmW1yo/edit?usp=sharing"",""สุโขทัย!J475"")"),0)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IFERROR(__xludf.DUMMYFUNCTION("IMPORTRANGE(""https://docs.google.com/spreadsheets/d/11923uPwbBZFjjGgGUA6NLw09EwE0CqkOc4q9oUmW1yo/edit?usp=sharing"",""สุโขทัย!L475"")"),296190)</f>
        <v>296190</v>
      </c>
      <c r="M580" s="381"/>
      <c r="N580" s="381">
        <f ca="1">IFERROR(__xludf.DUMMYFUNCTION("IMPORTRANGE(""https://docs.google.com/spreadsheets/d/11923uPwbBZFjjGgGUA6NLw09EwE0CqkOc4q9oUmW1yo/edit?usp=sharing"",""สุโขทัย!M475"")"),0)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IFERROR(__xludf.DUMMYFUNCTION("IMPORTRANGE(""https://docs.google.com/spreadsheets/d/11923uPwbBZFjjGgGUA6NLw09EwE0CqkOc4q9oUmW1yo/edit?usp=sharing"",""สุโขทัย!L476"")"),0)</f>
        <v>0</v>
      </c>
      <c r="M581" s="172"/>
      <c r="N581" s="178">
        <f ca="1">IFERROR(__xludf.DUMMYFUNCTION("IMPORTRANGE(""https://docs.google.com/spreadsheets/d/11923uPwbBZFjjGgGUA6NLw09EwE0CqkOc4q9oUmW1yo/edit?usp=sharing"",""สุโขทัย!M476"")"),0)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IFERROR(__xludf.DUMMYFUNCTION("IMPORTRANGE(""https://docs.google.com/spreadsheets/d/11923uPwbBZFjjGgGUA6NLw09EwE0CqkOc4q9oUmW1yo/edit?usp=sharing"",""สุโขทัย!L477"")"),296190)</f>
        <v>296190</v>
      </c>
      <c r="M582" s="173"/>
      <c r="N582" s="178">
        <f ca="1">IFERROR(__xludf.DUMMYFUNCTION("IMPORTRANGE(""https://docs.google.com/spreadsheets/d/11923uPwbBZFjjGgGUA6NLw09EwE0CqkOc4q9oUmW1yo/edit?usp=sharing"",""สุโขทัย!M477"")"),0)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IFERROR(__xludf.DUMMYFUNCTION("IMPORTRANGE(""https://docs.google.com/spreadsheets/d/11923uPwbBZFjjGgGUA6NLw09EwE0CqkOc4q9oUmW1yo/edit?usp=sharing"",""สุโขทัย!L478"")"),0)</f>
        <v>0</v>
      </c>
      <c r="M583" s="178"/>
      <c r="N583" s="178">
        <f ca="1">IFERROR(__xludf.DUMMYFUNCTION("IMPORTRANGE(""https://docs.google.com/spreadsheets/d/11923uPwbBZFjjGgGUA6NLw09EwE0CqkOc4q9oUmW1yo/edit?usp=sharing"",""สุโขทัย!M478"")"),0)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IFERROR(__xludf.DUMMYFUNCTION("IMPORTRANGE(""https://docs.google.com/spreadsheets/d/11923uPwbBZFjjGgGUA6NLw09EwE0CqkOc4q9oUmW1yo/edit?usp=sharing"",""สุโขทัย!L479"")"),296190)</f>
        <v>296190</v>
      </c>
      <c r="M584" s="178"/>
      <c r="N584" s="178">
        <f ca="1">IFERROR(__xludf.DUMMYFUNCTION("IMPORTRANGE(""https://docs.google.com/spreadsheets/d/11923uPwbBZFjjGgGUA6NLw09EwE0CqkOc4q9oUmW1yo/edit?usp=sharing"",""สุโขทัย!M479"")"),0)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IFERROR(__xludf.DUMMYFUNCTION("IMPORTRANGE(""https://docs.google.com/spreadsheets/d/11923uPwbBZFjjGgGUA6NLw09EwE0CqkOc4q9oUmW1yo/edit?usp=sharing"",""สุโขทัย!M480"")"),0)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IFERROR(__xludf.DUMMYFUNCTION("IMPORTRANGE(""https://docs.google.com/spreadsheets/d/11923uPwbBZFjjGgGUA6NLw09EwE0CqkOc4q9oUmW1yo/edit?usp=sharing"",""สุโขทัย!M481"")"),0)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IFERROR(__xludf.DUMMYFUNCTION("IMPORTRANGE(""https://docs.google.com/spreadsheets/d/11923uPwbBZFjjGgGUA6NLw09EwE0CqkOc4q9oUmW1yo/edit?usp=sharing"",""สุโขทัย!M482"")"),0)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IFERROR(__xludf.DUMMYFUNCTION("IMPORTRANGE(""https://docs.google.com/spreadsheets/d/11923uPwbBZFjjGgGUA6NLw09EwE0CqkOc4q9oUmW1yo/edit?usp=sharing"",""สุโขทัย!M483"")"),0)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IFERROR(__xludf.DUMMYFUNCTION("IMPORTRANGE(""https://docs.google.com/spreadsheets/d/11923uPwbBZFjjGgGUA6NLw09EwE0CqkOc4q9oUmW1yo/edit?usp=sharing"",""สุโขทัย!I484"")"),90)</f>
        <v>90</v>
      </c>
      <c r="J589" s="197">
        <f ca="1">IFERROR(__xludf.DUMMYFUNCTION("IMPORTRANGE(""https://docs.google.com/spreadsheets/d/11923uPwbBZFjjGgGUA6NLw09EwE0CqkOc4q9oUmW1yo/edit?usp=sharing"",""สุโขทัย!J484"")"),0)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IFERROR(__xludf.DUMMYFUNCTION("IMPORTRANGE(""https://docs.google.com/spreadsheets/d/11923uPwbBZFjjGgGUA6NLw09EwE0CqkOc4q9oUmW1yo/edit?usp=sharing"",""สุโขทัย!I485"")"),0)</f>
        <v>0</v>
      </c>
      <c r="J590" s="197">
        <f ca="1">IFERROR(__xludf.DUMMYFUNCTION("IMPORTRANGE(""https://docs.google.com/spreadsheets/d/11923uPwbBZFjjGgGUA6NLw09EwE0CqkOc4q9oUmW1yo/edit?usp=sharing"",""สุโขทัย!J485"")"),0)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IFERROR(__xludf.DUMMYFUNCTION("IMPORTRANGE(""https://docs.google.com/spreadsheets/d/11923uPwbBZFjjGgGUA6NLw09EwE0CqkOc4q9oUmW1yo/edit?usp=sharing"",""สุโขทัย!I486"")"),90)</f>
        <v>90</v>
      </c>
      <c r="J591" s="197">
        <f ca="1">IFERROR(__xludf.DUMMYFUNCTION("IMPORTRANGE(""https://docs.google.com/spreadsheets/d/11923uPwbBZFjjGgGUA6NLw09EwE0CqkOc4q9oUmW1yo/edit?usp=sharing"",""สุโขทัย!J486"")"),21)</f>
        <v>21</v>
      </c>
      <c r="K591" s="171">
        <f t="shared" ca="1" si="125"/>
        <v>23.333333333333332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IFERROR(__xludf.DUMMYFUNCTION("IMPORTRANGE(""https://docs.google.com/spreadsheets/d/11923uPwbBZFjjGgGUA6NLw09EwE0CqkOc4q9oUmW1yo/edit?usp=sharing"",""สุโขทัย!I487"")"),0)</f>
        <v>0</v>
      </c>
      <c r="J592" s="197">
        <f ca="1">IFERROR(__xludf.DUMMYFUNCTION("IMPORTRANGE(""https://docs.google.com/spreadsheets/d/11923uPwbBZFjjGgGUA6NLw09EwE0CqkOc4q9oUmW1yo/edit?usp=sharing"",""สุโขทัย!J487"")"),23.95)</f>
        <v>23.95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IFERROR(__xludf.DUMMYFUNCTION("IMPORTRANGE(""https://docs.google.com/spreadsheets/d/11923uPwbBZFjjGgGUA6NLw09EwE0CqkOc4q9oUmW1yo/edit?usp=sharing"",""สุโขทัย!I488"")"),90)</f>
        <v>90</v>
      </c>
      <c r="J593" s="197">
        <f ca="1">IFERROR(__xludf.DUMMYFUNCTION("IMPORTRANGE(""https://docs.google.com/spreadsheets/d/11923uPwbBZFjjGgGUA6NLw09EwE0CqkOc4q9oUmW1yo/edit?usp=sharing"",""สุโขทัย!J488"")"),0)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IFERROR(__xludf.DUMMYFUNCTION("IMPORTRANGE(""https://docs.google.com/spreadsheets/d/11923uPwbBZFjjGgGUA6NLw09EwE0CqkOc4q9oUmW1yo/edit?usp=sharing"",""สุโขทัย!I489"")"),0)</f>
        <v>0</v>
      </c>
      <c r="J594" s="197">
        <f ca="1">IFERROR(__xludf.DUMMYFUNCTION("IMPORTRANGE(""https://docs.google.com/spreadsheets/d/11923uPwbBZFjjGgGUA6NLw09EwE0CqkOc4q9oUmW1yo/edit?usp=sharing"",""สุโขทัย!J489"")"),0)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IFERROR(__xludf.DUMMYFUNCTION("IMPORTRANGE(""https://docs.google.com/spreadsheets/d/11923uPwbBZFjjGgGUA6NLw09EwE0CqkOc4q9oUmW1yo/edit?usp=sharing"",""สุโขทัย!I490"")"),90)</f>
        <v>90</v>
      </c>
      <c r="J595" s="197">
        <f ca="1">IFERROR(__xludf.DUMMYFUNCTION("IMPORTRANGE(""https://docs.google.com/spreadsheets/d/11923uPwbBZFjjGgGUA6NLw09EwE0CqkOc4q9oUmW1yo/edit?usp=sharing"",""สุโขทัย!J490"")"),0)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IFERROR(__xludf.DUMMYFUNCTION("IMPORTRANGE(""https://docs.google.com/spreadsheets/d/11923uPwbBZFjjGgGUA6NLw09EwE0CqkOc4q9oUmW1yo/edit?usp=sharing"",""สุโขทัย!I491"")"),0)</f>
        <v>0</v>
      </c>
      <c r="J596" s="250">
        <f ca="1">IFERROR(__xludf.DUMMYFUNCTION("IMPORTRANGE(""https://docs.google.com/spreadsheets/d/11923uPwbBZFjjGgGUA6NLw09EwE0CqkOc4q9oUmW1yo/edit?usp=sharing"",""สุโขทัย!J491"")"),0)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IFERROR(__xludf.DUMMYFUNCTION("IMPORTRANGE(""https://docs.google.com/spreadsheets/d/11923uPwbBZFjjGgGUA6NLw09EwE0CqkOc4q9oUmW1yo/edit?usp=sharing"",""สุโขทัย!I492"")"),100)</f>
        <v>100</v>
      </c>
      <c r="J597" s="495">
        <f ca="1">IFERROR(__xludf.DUMMYFUNCTION("IMPORTRANGE(""https://docs.google.com/spreadsheets/d/11923uPwbBZFjjGgGUA6NLw09EwE0CqkOc4q9oUmW1yo/edit?usp=sharing"",""สุโขทัย!J492"")"),0)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IFERROR(__xludf.DUMMYFUNCTION("IMPORTRANGE(""https://docs.google.com/spreadsheets/d/11923uPwbBZFjjGgGUA6NLw09EwE0CqkOc4q9oUmW1yo/edit?usp=sharing"",""สุโขทัย!L492"")"),7300)</f>
        <v>7300</v>
      </c>
      <c r="M597" s="420"/>
      <c r="N597" s="420">
        <f ca="1">IFERROR(__xludf.DUMMYFUNCTION("IMPORTRANGE(""https://docs.google.com/spreadsheets/d/11923uPwbBZFjjGgGUA6NLw09EwE0CqkOc4q9oUmW1yo/edit?usp=sharing"",""สุโขทัย!M492"")"),0)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IFERROR(__xludf.DUMMYFUNCTION("IMPORTRANGE(""https://docs.google.com/spreadsheets/d/11923uPwbBZFjjGgGUA6NLw09EwE0CqkOc4q9oUmW1yo/edit?usp=sharing"",""สุโขทัย!L493"")"),0)</f>
        <v>0</v>
      </c>
      <c r="M598" s="172"/>
      <c r="N598" s="178">
        <f ca="1">IFERROR(__xludf.DUMMYFUNCTION("IMPORTRANGE(""https://docs.google.com/spreadsheets/d/11923uPwbBZFjjGgGUA6NLw09EwE0CqkOc4q9oUmW1yo/edit?usp=sharing"",""สุโขทัย!M493"")"),0)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IFERROR(__xludf.DUMMYFUNCTION("IMPORTRANGE(""https://docs.google.com/spreadsheets/d/11923uPwbBZFjjGgGUA6NLw09EwE0CqkOc4q9oUmW1yo/edit?usp=sharing"",""สุโขทัย!L494"")"),7300)</f>
        <v>7300</v>
      </c>
      <c r="M599" s="173"/>
      <c r="N599" s="178">
        <f ca="1">IFERROR(__xludf.DUMMYFUNCTION("IMPORTRANGE(""https://docs.google.com/spreadsheets/d/11923uPwbBZFjjGgGUA6NLw09EwE0CqkOc4q9oUmW1yo/edit?usp=sharing"",""สุโขทัย!M494"")"),0)</f>
        <v>0</v>
      </c>
      <c r="O599" s="178">
        <f t="shared" ca="1" si="126"/>
        <v>0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IFERROR(__xludf.DUMMYFUNCTION("IMPORTRANGE(""https://docs.google.com/spreadsheets/d/11923uPwbBZFjjGgGUA6NLw09EwE0CqkOc4q9oUmW1yo/edit?usp=sharing"",""สุโขทัย!L495"")"),0)</f>
        <v>0</v>
      </c>
      <c r="M600" s="178"/>
      <c r="N600" s="178">
        <f ca="1">IFERROR(__xludf.DUMMYFUNCTION("IMPORTRANGE(""https://docs.google.com/spreadsheets/d/11923uPwbBZFjjGgGUA6NLw09EwE0CqkOc4q9oUmW1yo/edit?usp=sharing"",""สุโขทัย!M495"")"),0)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IFERROR(__xludf.DUMMYFUNCTION("IMPORTRANGE(""https://docs.google.com/spreadsheets/d/11923uPwbBZFjjGgGUA6NLw09EwE0CqkOc4q9oUmW1yo/edit?usp=sharing"",""สุโขทัย!L496"")"),7300)</f>
        <v>7300</v>
      </c>
      <c r="M601" s="178"/>
      <c r="N601" s="178">
        <f ca="1">IFERROR(__xludf.DUMMYFUNCTION("IMPORTRANGE(""https://docs.google.com/spreadsheets/d/11923uPwbBZFjjGgGUA6NLw09EwE0CqkOc4q9oUmW1yo/edit?usp=sharing"",""สุโขทัย!M496"")"),0)</f>
        <v>0</v>
      </c>
      <c r="O601" s="178">
        <f t="shared" ca="1" si="126"/>
        <v>0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IFERROR(__xludf.DUMMYFUNCTION("IMPORTRANGE(""https://docs.google.com/spreadsheets/d/11923uPwbBZFjjGgGUA6NLw09EwE0CqkOc4q9oUmW1yo/edit?usp=sharing"",""สุโขทัย!M497"")"),0)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IFERROR(__xludf.DUMMYFUNCTION("IMPORTRANGE(""https://docs.google.com/spreadsheets/d/11923uPwbBZFjjGgGUA6NLw09EwE0CqkOc4q9oUmW1yo/edit?usp=sharing"",""สุโขทัย!M498"")"),0)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IFERROR(__xludf.DUMMYFUNCTION("IMPORTRANGE(""https://docs.google.com/spreadsheets/d/11923uPwbBZFjjGgGUA6NLw09EwE0CqkOc4q9oUmW1yo/edit?usp=sharing"",""สุโขทัย!M499"")"),0)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IFERROR(__xludf.DUMMYFUNCTION("IMPORTRANGE(""https://docs.google.com/spreadsheets/d/11923uPwbBZFjjGgGUA6NLw09EwE0CqkOc4q9oUmW1yo/edit?usp=sharing"",""สุโขทัย!M500"")"),0)</f>
        <v>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IFERROR(__xludf.DUMMYFUNCTION("IMPORTRANGE(""https://docs.google.com/spreadsheets/d/11923uPwbBZFjjGgGUA6NLw09EwE0CqkOc4q9oUmW1yo/edit?usp=sharing"",""สุโขทัย!J502"")"),0)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IFERROR(__xludf.DUMMYFUNCTION("IMPORTRANGE(""https://docs.google.com/spreadsheets/d/11923uPwbBZFjjGgGUA6NLw09EwE0CqkOc4q9oUmW1yo/edit?usp=sharing"",""สุโขทัย!J503"")"),1)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IFERROR(__xludf.DUMMYFUNCTION("IMPORTRANGE(""https://docs.google.com/spreadsheets/d/11923uPwbBZFjjGgGUA6NLw09EwE0CqkOc4q9oUmW1yo/edit?usp=sharing"",""สุโขทัย!J166"")"),0)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IFERROR(__xludf.DUMMYFUNCTION("IMPORTRANGE(""https://docs.google.com/spreadsheets/d/11923uPwbBZFjjGgGUA6NLw09EwE0CqkOc4q9oUmW1yo/edit?usp=sharing"",""สุโขทัย!J166"")"),0)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IFERROR(__xludf.DUMMYFUNCTION("IMPORTRANGE(""https://docs.google.com/spreadsheets/d/11923uPwbBZFjjGgGUA6NLw09EwE0CqkOc4q9oUmW1yo/edit?usp=sharing"",""สุโขทัย!I506"")"),100)</f>
        <v>100</v>
      </c>
      <c r="J611" s="170">
        <f ca="1">IFERROR(__xludf.DUMMYFUNCTION("IMPORTRANGE(""https://docs.google.com/spreadsheets/d/11923uPwbBZFjjGgGUA6NLw09EwE0CqkOc4q9oUmW1yo/edit?usp=sharing"",""สุโขทัย!J506"")"),0)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IFERROR(__xludf.DUMMYFUNCTION("IMPORTRANGE(""https://docs.google.com/spreadsheets/d/11923uPwbBZFjjGgGUA6NLw09EwE0CqkOc4q9oUmW1yo/edit?usp=sharing"",""สุโขทัย!I507"")"),0)</f>
        <v>0</v>
      </c>
      <c r="J612" s="207">
        <f ca="1">IFERROR(__xludf.DUMMYFUNCTION("IMPORTRANGE(""https://docs.google.com/spreadsheets/d/11923uPwbBZFjjGgGUA6NLw09EwE0CqkOc4q9oUmW1yo/edit?usp=sharing"",""สุโขทัย!J507"")"),0)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IFERROR(__xludf.DUMMYFUNCTION("IMPORTRANGE(""https://docs.google.com/spreadsheets/d/11923uPwbBZFjjGgGUA6NLw09EwE0CqkOc4q9oUmW1yo/edit?usp=sharing"",""สุโขทัย!I508"")"),0)</f>
        <v>0</v>
      </c>
      <c r="J613" s="207">
        <f ca="1">IFERROR(__xludf.DUMMYFUNCTION("IMPORTRANGE(""https://docs.google.com/spreadsheets/d/11923uPwbBZFjjGgGUA6NLw09EwE0CqkOc4q9oUmW1yo/edit?usp=sharing"",""สุโขทัย!J508"")"),0)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IFERROR(__xludf.DUMMYFUNCTION("IMPORTRANGE(""https://docs.google.com/spreadsheets/d/11923uPwbBZFjjGgGUA6NLw09EwE0CqkOc4q9oUmW1yo/edit?usp=sharing"",""สุโขทัย!I509"")"),0)</f>
        <v>0</v>
      </c>
      <c r="J614" s="207">
        <f ca="1">IFERROR(__xludf.DUMMYFUNCTION("IMPORTRANGE(""https://docs.google.com/spreadsheets/d/11923uPwbBZFjjGgGUA6NLw09EwE0CqkOc4q9oUmW1yo/edit?usp=sharing"",""สุโขทัย!J509"")"),0)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IFERROR(__xludf.DUMMYFUNCTION("IMPORTRANGE(""https://docs.google.com/spreadsheets/d/11923uPwbBZFjjGgGUA6NLw09EwE0CqkOc4q9oUmW1yo/edit?usp=sharing"",""สุโขทัย!I510"")"),0)</f>
        <v>0</v>
      </c>
      <c r="J615" s="207">
        <f ca="1">IFERROR(__xludf.DUMMYFUNCTION("IMPORTRANGE(""https://docs.google.com/spreadsheets/d/11923uPwbBZFjjGgGUA6NLw09EwE0CqkOc4q9oUmW1yo/edit?usp=sharing"",""สุโขทัย!J510"")"),0)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IFERROR(__xludf.DUMMYFUNCTION("IMPORTRANGE(""https://docs.google.com/spreadsheets/d/11923uPwbBZFjjGgGUA6NLw09EwE0CqkOc4q9oUmW1yo/edit?usp=sharing"",""สุโขทัย!I511"")"),0)</f>
        <v>0</v>
      </c>
      <c r="J616" s="207">
        <f ca="1">IFERROR(__xludf.DUMMYFUNCTION("IMPORTRANGE(""https://docs.google.com/spreadsheets/d/11923uPwbBZFjjGgGUA6NLw09EwE0CqkOc4q9oUmW1yo/edit?usp=sharing"",""สุโขทัย!J511"")"),0)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IFERROR(__xludf.DUMMYFUNCTION("IMPORTRANGE(""https://docs.google.com/spreadsheets/d/11923uPwbBZFjjGgGUA6NLw09EwE0CqkOc4q9oUmW1yo/edit?usp=sharing"",""สุโขทัย!I512"")"),0)</f>
        <v>0</v>
      </c>
      <c r="J617" s="197">
        <f ca="1">IFERROR(__xludf.DUMMYFUNCTION("IMPORTRANGE(""https://docs.google.com/spreadsheets/d/11923uPwbBZFjjGgGUA6NLw09EwE0CqkOc4q9oUmW1yo/edit?usp=sharing"",""สุโขทัย!J512"")"),0)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IFERROR(__xludf.DUMMYFUNCTION("IMPORTRANGE(""https://docs.google.com/spreadsheets/d/11923uPwbBZFjjGgGUA6NLw09EwE0CqkOc4q9oUmW1yo/edit?usp=sharing"",""สุโขทัย!I513"")"),0)</f>
        <v>0</v>
      </c>
      <c r="J618" s="198">
        <f ca="1">IFERROR(__xludf.DUMMYFUNCTION("IMPORTRANGE(""https://docs.google.com/spreadsheets/d/11923uPwbBZFjjGgGUA6NLw09EwE0CqkOc4q9oUmW1yo/edit?usp=sharing"",""สุโขทัย!J513"")"),0)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IFERROR(__xludf.DUMMYFUNCTION("IMPORTRANGE(""https://docs.google.com/spreadsheets/d/11923uPwbBZFjjGgGUA6NLw09EwE0CqkOc4q9oUmW1yo/edit?usp=sharing"",""สุโขทัย!I514"")"),0)</f>
        <v>0</v>
      </c>
      <c r="J619" s="198">
        <f ca="1">IFERROR(__xludf.DUMMYFUNCTION("IMPORTRANGE(""https://docs.google.com/spreadsheets/d/11923uPwbBZFjjGgGUA6NLw09EwE0CqkOc4q9oUmW1yo/edit?usp=sharing"",""สุโขทัย!J514"")"),0)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IFERROR(__xludf.DUMMYFUNCTION("IMPORTRANGE(""https://docs.google.com/spreadsheets/d/11923uPwbBZFjjGgGUA6NLw09EwE0CqkOc4q9oUmW1yo/edit?usp=sharing"",""สุโขทัย!I515"")"),0)</f>
        <v>0</v>
      </c>
      <c r="J620" s="212">
        <f ca="1">IFERROR(__xludf.DUMMYFUNCTION("IMPORTRANGE(""https://docs.google.com/spreadsheets/d/11923uPwbBZFjjGgGUA6NLw09EwE0CqkOc4q9oUmW1yo/edit?usp=sharing"",""สุโขทัย!J515"")"),0)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IFERROR(__xludf.DUMMYFUNCTION("IMPORTRANGE(""https://docs.google.com/spreadsheets/d/11923uPwbBZFjjGgGUA6NLw09EwE0CqkOc4q9oUmW1yo/edit?usp=sharing"",""สุโขทัย!I516"")"),0)</f>
        <v>0</v>
      </c>
      <c r="J621" s="212">
        <f ca="1">IFERROR(__xludf.DUMMYFUNCTION("IMPORTRANGE(""https://docs.google.com/spreadsheets/d/11923uPwbBZFjjGgGUA6NLw09EwE0CqkOc4q9oUmW1yo/edit?usp=sharing"",""สุโขทัย!J516"")"),0)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IFERROR(__xludf.DUMMYFUNCTION("IMPORTRANGE(""https://docs.google.com/spreadsheets/d/11923uPwbBZFjjGgGUA6NLw09EwE0CqkOc4q9oUmW1yo/edit?usp=sharing"",""สุโขทัย!I517"")"),0)</f>
        <v>0</v>
      </c>
      <c r="J622" s="198">
        <f ca="1">IFERROR(__xludf.DUMMYFUNCTION("IMPORTRANGE(""https://docs.google.com/spreadsheets/d/11923uPwbBZFjjGgGUA6NLw09EwE0CqkOc4q9oUmW1yo/edit?usp=sharing"",""สุโขทัย!J517"")"),0)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IFERROR(__xludf.DUMMYFUNCTION("IMPORTRANGE(""https://docs.google.com/spreadsheets/d/11923uPwbBZFjjGgGUA6NLw09EwE0CqkOc4q9oUmW1yo/edit?usp=sharing"",""สุโขทัย!I518"")"),0)</f>
        <v>0</v>
      </c>
      <c r="J623" s="198">
        <f ca="1">IFERROR(__xludf.DUMMYFUNCTION("IMPORTRANGE(""https://docs.google.com/spreadsheets/d/11923uPwbBZFjjGgGUA6NLw09EwE0CqkOc4q9oUmW1yo/edit?usp=sharing"",""สุโขทัย!J518"")"),0)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IFERROR(__xludf.DUMMYFUNCTION("IMPORTRANGE(""https://docs.google.com/spreadsheets/d/11923uPwbBZFjjGgGUA6NLw09EwE0CqkOc4q9oUmW1yo/edit?usp=sharing"",""สุโขทัย!I519"")"),0)</f>
        <v>0</v>
      </c>
      <c r="J624" s="197">
        <f ca="1">IFERROR(__xludf.DUMMYFUNCTION("IMPORTRANGE(""https://docs.google.com/spreadsheets/d/11923uPwbBZFjjGgGUA6NLw09EwE0CqkOc4q9oUmW1yo/edit?usp=sharing"",""สุโขทัย!J519"")"),0)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IFERROR(__xludf.DUMMYFUNCTION("IMPORTRANGE(""https://docs.google.com/spreadsheets/d/11923uPwbBZFjjGgGUA6NLw09EwE0CqkOc4q9oUmW1yo/edit?usp=sharing"",""สุโขทัย!I520"")"),0)</f>
        <v>0</v>
      </c>
      <c r="J625" s="198">
        <f ca="1">IFERROR(__xludf.DUMMYFUNCTION("IMPORTRANGE(""https://docs.google.com/spreadsheets/d/11923uPwbBZFjjGgGUA6NLw09EwE0CqkOc4q9oUmW1yo/edit?usp=sharing"",""สุโขทัย!J520"")"),0)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IFERROR(__xludf.DUMMYFUNCTION("IMPORTRANGE(""https://docs.google.com/spreadsheets/d/11923uPwbBZFjjGgGUA6NLw09EwE0CqkOc4q9oUmW1yo/edit?usp=sharing"",""สุโขทัย!I521"")"),0)</f>
        <v>0</v>
      </c>
      <c r="J626" s="198">
        <f ca="1">IFERROR(__xludf.DUMMYFUNCTION("IMPORTRANGE(""https://docs.google.com/spreadsheets/d/11923uPwbBZFjjGgGUA6NLw09EwE0CqkOc4q9oUmW1yo/edit?usp=sharing"",""สุโขทัย!J521"")"),0)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9">
        <f ca="1">IFERROR(__xludf.DUMMYFUNCTION("IMPORTRANGE(""https://docs.google.com/spreadsheets/d/11923uPwbBZFjjGgGUA6NLw09EwE0CqkOc4q9oUmW1yo/edit?usp=sharing"",""สุโขทัย!J523"")"),1057906.06)</f>
        <v>1057906.06</v>
      </c>
      <c r="K628" s="350">
        <f t="shared" ref="K628:K635" ca="1" si="129">IF(I628&gt;0,J628*100/I628,0)</f>
        <v>17.265646411588275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IFERROR(__xludf.DUMMYFUNCTION("IMPORTRANGE(""https://docs.google.com/spreadsheets/d/11923uPwbBZFjjGgGUA6NLw09EwE0CqkOc4q9oUmW1yo/edit?usp=sharing"",""สุโขทัย!I524"")"),426)</f>
        <v>426</v>
      </c>
      <c r="J629" s="349">
        <f ca="1">IFERROR(__xludf.DUMMYFUNCTION("IMPORTRANGE(""https://docs.google.com/spreadsheets/d/11923uPwbBZFjjGgGUA6NLw09EwE0CqkOc4q9oUmW1yo/edit?usp=sharing"",""สุโขทัย!J524"")"),74)</f>
        <v>74</v>
      </c>
      <c r="K629" s="350">
        <f t="shared" ca="1" si="129"/>
        <v>17.370892018779344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9">
        <f ca="1">IFERROR(__xludf.DUMMYFUNCTION("IMPORTRANGE(""https://docs.google.com/spreadsheets/d/11923uPwbBZFjjGgGUA6NLw09EwE0CqkOc4q9oUmW1yo/edit?usp=sharing"",""สุโขทัย!J525"")"),600372.71)</f>
        <v>600372.71</v>
      </c>
      <c r="K630" s="350">
        <f t="shared" ca="1" si="129"/>
        <v>8.5668501862422861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IFERROR(__xludf.DUMMYFUNCTION("IMPORTRANGE(""https://docs.google.com/spreadsheets/d/11923uPwbBZFjjGgGUA6NLw09EwE0CqkOc4q9oUmW1yo/edit?usp=sharing"",""สุโขทัย!I526"")"),256)</f>
        <v>256</v>
      </c>
      <c r="J631" s="349">
        <f ca="1">IFERROR(__xludf.DUMMYFUNCTION("IMPORTRANGE(""https://docs.google.com/spreadsheets/d/11923uPwbBZFjjGgGUA6NLw09EwE0CqkOc4q9oUmW1yo/edit?usp=sharing"",""สุโขทัย!J526"")"),153)</f>
        <v>153</v>
      </c>
      <c r="K631" s="350">
        <f t="shared" ca="1" si="129"/>
        <v>59.765625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IFERROR(__xludf.DUMMYFUNCTION("IMPORTRANGE(""https://docs.google.com/spreadsheets/d/11923uPwbBZFjjGgGUA6NLw09EwE0CqkOc4q9oUmW1yo/edit?usp=sharing"",""สุโขทัย!I527"")"),2664010.23)</f>
        <v>2664010.23</v>
      </c>
      <c r="J632" s="349">
        <f ca="1">IFERROR(__xludf.DUMMYFUNCTION("IMPORTRANGE(""https://docs.google.com/spreadsheets/d/11923uPwbBZFjjGgGUA6NLw09EwE0CqkOc4q9oUmW1yo/edit?usp=sharing"",""สุโขทัย!J527"")"),375723.55)</f>
        <v>375723.55</v>
      </c>
      <c r="K632" s="350">
        <f t="shared" ca="1" si="129"/>
        <v>14.103682702449683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IFERROR(__xludf.DUMMYFUNCTION("IMPORTRANGE(""https://docs.google.com/spreadsheets/d/11923uPwbBZFjjGgGUA6NLw09EwE0CqkOc4q9oUmW1yo/edit?usp=sharing"",""สุโขทัย!I528"")"),180)</f>
        <v>180</v>
      </c>
      <c r="J633" s="349">
        <f ca="1">IFERROR(__xludf.DUMMYFUNCTION("IMPORTRANGE(""https://docs.google.com/spreadsheets/d/11923uPwbBZFjjGgGUA6NLw09EwE0CqkOc4q9oUmW1yo/edit?usp=sharing"",""สุโขทัย!J528"")"),39)</f>
        <v>39</v>
      </c>
      <c r="K633" s="350">
        <f t="shared" ca="1" si="129"/>
        <v>21.666666666666668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IFERROR(__xludf.DUMMYFUNCTION("IMPORTRANGE(""https://docs.google.com/spreadsheets/d/11923uPwbBZFjjGgGUA6NLw09EwE0CqkOc4q9oUmW1yo/edit?usp=sharing"",""สุโขทัย!I529"")"),5000000)</f>
        <v>5000000</v>
      </c>
      <c r="J634" s="349">
        <f ca="1">IFERROR(__xludf.DUMMYFUNCTION("IMPORTRANGE(""https://docs.google.com/spreadsheets/d/11923uPwbBZFjjGgGUA6NLw09EwE0CqkOc4q9oUmW1yo/edit?usp=sharing"",""สุโขทัย!J529"")"),0)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IFERROR(__xludf.DUMMYFUNCTION("IMPORTRANGE(""https://docs.google.com/spreadsheets/d/11923uPwbBZFjjGgGUA6NLw09EwE0CqkOc4q9oUmW1yo/edit?usp=sharing"",""สุโขทัย!I530"")"),114)</f>
        <v>114</v>
      </c>
      <c r="J635" s="519">
        <f ca="1">IFERROR(__xludf.DUMMYFUNCTION("IMPORTRANGE(""https://docs.google.com/spreadsheets/d/11923uPwbBZFjjGgGUA6NLw09EwE0CqkOc4q9oUmW1yo/edit?usp=sharing"",""สุโขทัย!J530"")"),0)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269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5721792</v>
      </c>
      <c r="M8" s="25">
        <f t="shared" ca="1" si="0"/>
        <v>1363395</v>
      </c>
      <c r="N8" s="25">
        <f t="shared" ca="1" si="0"/>
        <v>2124636.4</v>
      </c>
      <c r="O8" s="24">
        <f t="shared" ref="O8:O16" ca="1" si="1">IF(L8&gt;0,N8*100/L8,0)</f>
        <v>37.132359931993335</v>
      </c>
      <c r="P8" s="24">
        <f t="shared" ref="P8:P16" ca="1" si="2">IF(M8&gt;0,N8*100/M8,0)</f>
        <v>155.83425199593663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5721792</v>
      </c>
      <c r="M10" s="32">
        <f t="shared" ca="1" si="4"/>
        <v>1363395</v>
      </c>
      <c r="N10" s="32">
        <f t="shared" ca="1" si="4"/>
        <v>2124636.4</v>
      </c>
      <c r="O10" s="31">
        <f t="shared" ca="1" si="1"/>
        <v>37.132359931993335</v>
      </c>
      <c r="P10" s="31">
        <f t="shared" ca="1" si="2"/>
        <v>155.83425199593663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4749392</v>
      </c>
      <c r="M12" s="40">
        <f t="shared" ca="1" si="6"/>
        <v>1363395</v>
      </c>
      <c r="N12" s="40">
        <f t="shared" ca="1" si="6"/>
        <v>1234236.3999999999</v>
      </c>
      <c r="O12" s="40">
        <f t="shared" ca="1" si="1"/>
        <v>25.987250578600374</v>
      </c>
      <c r="P12" s="40">
        <f t="shared" ca="1" si="2"/>
        <v>90.526692557916078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1880100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2869292</v>
      </c>
      <c r="M14" s="40">
        <f t="shared" si="8"/>
        <v>0</v>
      </c>
      <c r="N14" s="40">
        <f t="shared" ca="1" si="8"/>
        <v>335382.40000000002</v>
      </c>
      <c r="O14" s="43">
        <f t="shared" ca="1" si="1"/>
        <v>11.688681388997706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972400</v>
      </c>
      <c r="M16" s="40">
        <f t="shared" si="10"/>
        <v>0</v>
      </c>
      <c r="N16" s="40">
        <f t="shared" ca="1" si="10"/>
        <v>890400</v>
      </c>
      <c r="O16" s="52">
        <f t="shared" ca="1" si="1"/>
        <v>91.567256273138625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3520865</v>
      </c>
      <c r="M18" s="25">
        <f t="shared" ca="1" si="11"/>
        <v>1363395</v>
      </c>
      <c r="N18" s="25">
        <f t="shared" ca="1" si="11"/>
        <v>1789254</v>
      </c>
      <c r="O18" s="24">
        <f t="shared" ref="O18:O20" ca="1" si="12">IF(L18&gt;0,N18*100/L18,0)</f>
        <v>50.818591454088697</v>
      </c>
      <c r="P18" s="24">
        <f t="shared" ref="P18:P26" ca="1" si="13">IF(M18&gt;0,N18*100/M18,0)</f>
        <v>131.23518862838722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3520865</v>
      </c>
      <c r="M20" s="32">
        <f t="shared" ca="1" si="15"/>
        <v>1363395</v>
      </c>
      <c r="N20" s="32">
        <f t="shared" ca="1" si="15"/>
        <v>1789254</v>
      </c>
      <c r="O20" s="31">
        <f t="shared" ca="1" si="12"/>
        <v>50.818591454088697</v>
      </c>
      <c r="P20" s="31">
        <f t="shared" ca="1" si="13"/>
        <v>131.23518862838722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2548465</v>
      </c>
      <c r="M22" s="44">
        <f t="shared" ca="1" si="18"/>
        <v>1363395</v>
      </c>
      <c r="N22" s="43">
        <f t="shared" ca="1" si="18"/>
        <v>898854</v>
      </c>
      <c r="O22" s="43">
        <f t="shared" ca="1" si="17"/>
        <v>35.270407872974516</v>
      </c>
      <c r="P22" s="43">
        <f t="shared" ca="1" si="13"/>
        <v>65.927629190366702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1880100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668365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972400</v>
      </c>
      <c r="M26" s="52">
        <f t="shared" si="22"/>
        <v>0</v>
      </c>
      <c r="N26" s="52">
        <f t="shared" ca="1" si="22"/>
        <v>890400</v>
      </c>
      <c r="O26" s="52">
        <f t="shared" ca="1" si="17"/>
        <v>91.567256273138625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2200927</v>
      </c>
      <c r="M28" s="25">
        <f t="shared" si="23"/>
        <v>0</v>
      </c>
      <c r="N28" s="25">
        <f t="shared" ca="1" si="23"/>
        <v>335382.40000000002</v>
      </c>
      <c r="O28" s="24">
        <f t="shared" ref="O28:O30" ca="1" si="24">IF(L28&gt;0,N28*100/L28,0)</f>
        <v>15.238233707887632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2200927</v>
      </c>
      <c r="M30" s="32">
        <f t="shared" si="27"/>
        <v>0</v>
      </c>
      <c r="N30" s="32">
        <f t="shared" ca="1" si="27"/>
        <v>335382.40000000002</v>
      </c>
      <c r="O30" s="31">
        <f t="shared" ca="1" si="24"/>
        <v>15.238233707887632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2200927</v>
      </c>
      <c r="M32" s="43">
        <f t="shared" si="30"/>
        <v>0</v>
      </c>
      <c r="N32" s="43">
        <f t="shared" ca="1" si="30"/>
        <v>335382.40000000002</v>
      </c>
      <c r="O32" s="43">
        <f t="shared" ca="1" si="29"/>
        <v>15.238233707887632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2200927</v>
      </c>
      <c r="M34" s="43">
        <f t="shared" si="32"/>
        <v>0</v>
      </c>
      <c r="N34" s="43">
        <f t="shared" ca="1" si="32"/>
        <v>335382.40000000002</v>
      </c>
      <c r="O34" s="43">
        <f t="shared" ca="1" si="29"/>
        <v>15.238233707887632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3520865</v>
      </c>
      <c r="M37" s="57">
        <f t="shared" ca="1" si="33"/>
        <v>1363395</v>
      </c>
      <c r="N37" s="57">
        <f t="shared" ca="1" si="33"/>
        <v>1789254</v>
      </c>
      <c r="O37" s="58">
        <f t="shared" ca="1" si="29"/>
        <v>50.818591454088697</v>
      </c>
      <c r="P37" s="58">
        <f t="shared" ca="1" si="25"/>
        <v>131.23518862838722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1614100</v>
      </c>
      <c r="M41" s="81">
        <f t="shared" ca="1" si="34"/>
        <v>367100</v>
      </c>
      <c r="N41" s="81">
        <f t="shared" ca="1" si="34"/>
        <v>1059382</v>
      </c>
      <c r="O41" s="80">
        <f t="shared" ref="O41:O43" ca="1" si="35">IF(L41&gt;0,N41*100/L41,0)</f>
        <v>65.632984325630389</v>
      </c>
      <c r="P41" s="80">
        <f t="shared" ref="P41:P43" ca="1" si="36">IF(M41&gt;0,N41*100/M41,0)</f>
        <v>288.58131299373468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1614100</v>
      </c>
      <c r="M43" s="81">
        <f t="shared" ca="1" si="38"/>
        <v>367100</v>
      </c>
      <c r="N43" s="81">
        <f t="shared" ca="1" si="38"/>
        <v>1059382</v>
      </c>
      <c r="O43" s="80">
        <f t="shared" ca="1" si="35"/>
        <v>65.632984325630389</v>
      </c>
      <c r="P43" s="80">
        <f t="shared" ca="1" si="36"/>
        <v>288.58131299373468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734100</v>
      </c>
      <c r="M45" s="93">
        <f ca="1">IFERROR(__xludf.DUMMYFUNCTION("IMPORTRANGE(""https://docs.google.com/spreadsheets/d/1Yj_ptqi66GCucihVvJfMjLAmec39IyEx_6qawtMGysU/edit?usp=sharing"",""สบก!Q35"")"),367100)</f>
        <v>367100</v>
      </c>
      <c r="N45" s="93">
        <f ca="1">IFERROR(__xludf.DUMMYFUNCTION("IMPORTRANGE(""https://docs.google.com/spreadsheets/d/1Yj_ptqi66GCucihVvJfMjLAmec39IyEx_6qawtMGysU/edit?usp=sharing"",""สบก!R35"")"),261382)</f>
        <v>261382</v>
      </c>
      <c r="O45" s="94">
        <f ca="1">IF(L45&gt;0,N45*100/L45,0)</f>
        <v>35.605775779866505</v>
      </c>
      <c r="P45" s="94">
        <f ca="1">IF(M45&gt;0,N45*100/M45,0)</f>
        <v>71.20185235630619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IFERROR(__xludf.DUMMYFUNCTION("IMPORTRANGE(""https://docs.google.com/spreadsheets/d/1Yj_ptqi66GCucihVvJfMjLAmec39IyEx_6qawtMGysU/edit?usp=sharing"",""สบก!M35"")"),734100)</f>
        <v>734100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IFERROR(__xludf.DUMMYFUNCTION("IMPORTRANGE(""https://docs.google.com/spreadsheets/d/1Yj_ptqi66GCucihVvJfMjLAmec39IyEx_6qawtMGysU/edit?usp=sharing"",""สบก!N35"")"),0)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IFERROR(__xludf.DUMMYFUNCTION("IMPORTRANGE(""https://docs.google.com/spreadsheets/d/1Yj_ptqi66GCucihVvJfMjLAmec39IyEx_6qawtMGysU/edit?usp=sharing"",""สบก!O35"")"),880000)</f>
        <v>880000</v>
      </c>
      <c r="M49" s="103"/>
      <c r="N49" s="93">
        <f ca="1">IFERROR(__xludf.DUMMYFUNCTION("IMPORTRANGE(""https://docs.google.com/spreadsheets/d/1Yj_ptqi66GCucihVvJfMjLAmec39IyEx_6qawtMGysU/edit?usp=sharing"",""สบก!S35"")"),798000)</f>
        <v>798000</v>
      </c>
      <c r="O49" s="103">
        <f ca="1">IF(L49&gt;0,N49*100/L49,0)</f>
        <v>90.681818181818187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213500</v>
      </c>
      <c r="N53" s="127">
        <f t="shared" ca="1" si="39"/>
        <v>190041</v>
      </c>
      <c r="O53" s="126">
        <f t="shared" ref="O53:O55" ca="1" si="40">IF(L53&gt;0,N53*100/L53,0)</f>
        <v>47.510249999999999</v>
      </c>
      <c r="P53" s="126">
        <f t="shared" ref="P53:P55" ca="1" si="41">IF(M53&gt;0,N53*100/M53,0)</f>
        <v>89.012177985948483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213500</v>
      </c>
      <c r="N55" s="127">
        <f t="shared" ca="1" si="43"/>
        <v>190041</v>
      </c>
      <c r="O55" s="126">
        <f t="shared" ca="1" si="40"/>
        <v>47.510249999999999</v>
      </c>
      <c r="P55" s="126">
        <f t="shared" ca="1" si="41"/>
        <v>89.012177985948483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IFERROR(__xludf.DUMMYFUNCTION("IMPORTRANGE(""https://docs.google.com/spreadsheets/d/1Yj_ptqi66GCucihVvJfMjLAmec39IyEx_6qawtMGysU/edit?usp=sharing"",""สบก!Z35"")"),213500)</f>
        <v>213500</v>
      </c>
      <c r="N57" s="93">
        <f ca="1">IFERROR(__xludf.DUMMYFUNCTION("IMPORTRANGE(""https://docs.google.com/spreadsheets/d/1Yj_ptqi66GCucihVvJfMjLAmec39IyEx_6qawtMGysU/edit?usp=sharing"",""สบก!AA35"")"),190041)</f>
        <v>190041</v>
      </c>
      <c r="O57" s="94">
        <f ca="1">IF(L57&gt;0,N57*100/L57,0)</f>
        <v>47.510249999999999</v>
      </c>
      <c r="P57" s="94">
        <f ca="1">IF(M57&gt;0,N57*100/M57,0)</f>
        <v>89.012177985948483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IFERROR(__xludf.DUMMYFUNCTION("IMPORTRANGE(""https://docs.google.com/spreadsheets/d/1Yj_ptqi66GCucihVvJfMjLAmec39IyEx_6qawtMGysU/edit?usp=sharing"",""สบก!V35"")"),400000)</f>
        <v>400000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IFERROR(__xludf.DUMMYFUNCTION("IMPORTRANGE(""https://docs.google.com/spreadsheets/d/1Yj_ptqi66GCucihVvJfMjLAmec39IyEx_6qawtMGysU/edit?usp=sharing"",""สบก!W35"")"),0)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IFERROR(__xludf.DUMMYFUNCTION("IMPORTRANGE(""https://docs.google.com/spreadsheets/d/1Yj_ptqi66GCucihVvJfMjLAmec39IyEx_6qawtMGysU/edit?usp=sharing"",""สบก!X35"")"),0)</f>
        <v>0</v>
      </c>
      <c r="M61" s="103"/>
      <c r="N61" s="93">
        <f ca="1">IFERROR(__xludf.DUMMYFUNCTION("IMPORTRANGE(""https://docs.google.com/spreadsheets/d/1Yj_ptqi66GCucihVvJfMjLAmec39IyEx_6qawtMGysU/edit?usp=sharing"",""สบก!AB35"")"),0)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IFERROR(__xludf.DUMMYFUNCTION("IMPORTRANGE(""https://docs.google.com/spreadsheets/d/11923uPwbBZFjjGgGUA6NLw09EwE0CqkOc4q9oUmW1yo/edit?usp=sharing"",""อุตรดิตถ์!I9"")"),0)</f>
        <v>0</v>
      </c>
      <c r="J64" s="148">
        <f ca="1">IFERROR(__xludf.DUMMYFUNCTION("IMPORTRANGE(""https://docs.google.com/spreadsheets/d/11923uPwbBZFjjGgGUA6NLw09EwE0CqkOc4q9oUmW1yo/edit?usp=sharing"",""อุตรดิตถ์!J9"")"),0)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IFERROR(__xludf.DUMMYFUNCTION("IMPORTRANGE(""https://docs.google.com/spreadsheets/d/11923uPwbBZFjjGgGUA6NLw09EwE0CqkOc4q9oUmW1yo/edit?usp=sharing"",""อุตรดิตถ์!I10"")"),0)</f>
        <v>0</v>
      </c>
      <c r="J65" s="148">
        <f ca="1">IFERROR(__xludf.DUMMYFUNCTION("IMPORTRANGE(""https://docs.google.com/spreadsheets/d/11923uPwbBZFjjGgGUA6NLw09EwE0CqkOc4q9oUmW1yo/edit?usp=sharing"",""อุตรดิตถ์!J10"")"),0)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IFERROR(__xludf.DUMMYFUNCTION("IMPORTRANGE(""https://docs.google.com/spreadsheets/d/1Yj_ptqi66GCucihVvJfMjLAmec39IyEx_6qawtMGysU/edit?usp=sharing"",""สบก!AI35"")"),0)</f>
        <v>0</v>
      </c>
      <c r="N70" s="177">
        <f ca="1">IFERROR(__xludf.DUMMYFUNCTION("IMPORTRANGE(""https://docs.google.com/spreadsheets/d/1Yj_ptqi66GCucihVvJfMjLAmec39IyEx_6qawtMGysU/edit?usp=sharing"",""สบก!AJ35"")"),0)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IFERROR(__xludf.DUMMYFUNCTION("IMPORTRANGE(""https://docs.google.com/spreadsheets/d/1Yj_ptqi66GCucihVvJfMjLAmec39IyEx_6qawtMGysU/edit?usp=sharing"",""สบก!AE35"")"),0)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IFERROR(__xludf.DUMMYFUNCTION("IMPORTRANGE(""https://docs.google.com/spreadsheets/d/1Yj_ptqi66GCucihVvJfMjLAmec39IyEx_6qawtMGysU/edit?usp=sharing"",""สบก!AF35"")"),0)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IFERROR(__xludf.DUMMYFUNCTION("IMPORTRANGE(""https://docs.google.com/spreadsheets/d/1Yj_ptqi66GCucihVvJfMjLAmec39IyEx_6qawtMGysU/edit?usp=sharing"",""สบก!AG35"")"),0)</f>
        <v>0</v>
      </c>
      <c r="M74" s="103"/>
      <c r="N74" s="93">
        <f ca="1">IFERROR(__xludf.DUMMYFUNCTION("IMPORTRANGE(""https://docs.google.com/spreadsheets/d/1Yj_ptqi66GCucihVvJfMjLAmec39IyEx_6qawtMGysU/edit?usp=sharing"",""สบก!AK35"")"),0)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IFERROR(__xludf.DUMMYFUNCTION("IMPORTRANGE(""https://docs.google.com/spreadsheets/d/11923uPwbBZFjjGgGUA6NLw09EwE0CqkOc4q9oUmW1yo/edit?usp=sharing"",""อุตรดิตถ์!J16"")"),0)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IFERROR(__xludf.DUMMYFUNCTION("IMPORTRANGE(""https://docs.google.com/spreadsheets/d/11923uPwbBZFjjGgGUA6NLw09EwE0CqkOc4q9oUmW1yo/edit?usp=sharing"",""อุตรดิตถ์!J17"")"),0)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IFERROR(__xludf.DUMMYFUNCTION("IMPORTRANGE(""https://docs.google.com/spreadsheets/d/11923uPwbBZFjjGgGUA6NLw09EwE0CqkOc4q9oUmW1yo/edit?usp=sharing"",""อุตรดิตถ์!J18"")"),0)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IFERROR(__xludf.DUMMYFUNCTION("IMPORTRANGE(""https://docs.google.com/spreadsheets/d/11923uPwbBZFjjGgGUA6NLw09EwE0CqkOc4q9oUmW1yo/edit?usp=sharing"",""อุตรดิตถ์!J19"")"),0)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IFERROR(__xludf.DUMMYFUNCTION("IMPORTRANGE(""https://docs.google.com/spreadsheets/d/11923uPwbBZFjjGgGUA6NLw09EwE0CqkOc4q9oUmW1yo/edit?usp=sharing"",""อุตรดิตถ์!I20"")"),0)</f>
        <v>0</v>
      </c>
      <c r="J80" s="210">
        <f ca="1">IFERROR(__xludf.DUMMYFUNCTION("IMPORTRANGE(""https://docs.google.com/spreadsheets/d/11923uPwbBZFjjGgGUA6NLw09EwE0CqkOc4q9oUmW1yo/edit?usp=sharing"",""อุตรดิตถ์!J20"")"),0)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IFERROR(__xludf.DUMMYFUNCTION("IMPORTRANGE(""https://docs.google.com/spreadsheets/d/11923uPwbBZFjjGgGUA6NLw09EwE0CqkOc4q9oUmW1yo/edit?usp=sharing"",""อุตรดิตถ์!I21"")"),0)</f>
        <v>0</v>
      </c>
      <c r="J81" s="210">
        <f ca="1">IFERROR(__xludf.DUMMYFUNCTION("IMPORTRANGE(""https://docs.google.com/spreadsheets/d/11923uPwbBZFjjGgGUA6NLw09EwE0CqkOc4q9oUmW1yo/edit?usp=sharing"",""อุตรดิตถ์!J21"")"),0)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IFERROR(__xludf.DUMMYFUNCTION("IMPORTRANGE(""https://docs.google.com/spreadsheets/d/11923uPwbBZFjjGgGUA6NLw09EwE0CqkOc4q9oUmW1yo/edit?usp=sharing"",""อุตรดิตถ์!I22"")"),0)</f>
        <v>0</v>
      </c>
      <c r="J82" s="213">
        <f ca="1">IFERROR(__xludf.DUMMYFUNCTION("IMPORTRANGE(""https://docs.google.com/spreadsheets/d/11923uPwbBZFjjGgGUA6NLw09EwE0CqkOc4q9oUmW1yo/edit?usp=sharing"",""อุตรดิตถ์!J22"")"),0)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IFERROR(__xludf.DUMMYFUNCTION("IMPORTRANGE(""https://docs.google.com/spreadsheets/d/11923uPwbBZFjjGgGUA6NLw09EwE0CqkOc4q9oUmW1yo/edit?usp=sharing"",""อุตรดิตถ์!I23"")"),0)</f>
        <v>0</v>
      </c>
      <c r="J83" s="213">
        <f ca="1">IFERROR(__xludf.DUMMYFUNCTION("IMPORTRANGE(""https://docs.google.com/spreadsheets/d/11923uPwbBZFjjGgGUA6NLw09EwE0CqkOc4q9oUmW1yo/edit?usp=sharing"",""อุตรดิตถ์!J23"")"),0)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IFERROR(__xludf.DUMMYFUNCTION("IMPORTRANGE(""https://docs.google.com/spreadsheets/d/11923uPwbBZFjjGgGUA6NLw09EwE0CqkOc4q9oUmW1yo/edit?usp=sharing"",""อุตรดิตถ์!I24"")"),0)</f>
        <v>0</v>
      </c>
      <c r="J84" s="198">
        <f ca="1">IFERROR(__xludf.DUMMYFUNCTION("IMPORTRANGE(""https://docs.google.com/spreadsheets/d/11923uPwbBZFjjGgGUA6NLw09EwE0CqkOc4q9oUmW1yo/edit?usp=sharing"",""อุตรดิตถ์!J24"")"),0)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IFERROR(__xludf.DUMMYFUNCTION("IMPORTRANGE(""https://docs.google.com/spreadsheets/d/11923uPwbBZFjjGgGUA6NLw09EwE0CqkOc4q9oUmW1yo/edit?usp=sharing"",""อุตรดิตถ์!I25"")"),0)</f>
        <v>0</v>
      </c>
      <c r="J85" s="198">
        <f ca="1">IFERROR(__xludf.DUMMYFUNCTION("IMPORTRANGE(""https://docs.google.com/spreadsheets/d/11923uPwbBZFjjGgGUA6NLw09EwE0CqkOc4q9oUmW1yo/edit?usp=sharing"",""อุตรดิตถ์!J25"")"),0)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IFERROR(__xludf.DUMMYFUNCTION("IMPORTRANGE(""https://docs.google.com/spreadsheets/d/11923uPwbBZFjjGgGUA6NLw09EwE0CqkOc4q9oUmW1yo/edit?usp=sharing"",""อุตรดิตถ์!I26"")"),0)</f>
        <v>0</v>
      </c>
      <c r="J86" s="213">
        <f ca="1">IFERROR(__xludf.DUMMYFUNCTION("IMPORTRANGE(""https://docs.google.com/spreadsheets/d/11923uPwbBZFjjGgGUA6NLw09EwE0CqkOc4q9oUmW1yo/edit?usp=sharing"",""อุตรดิตถ์!J26"")"),0)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IFERROR(__xludf.DUMMYFUNCTION("IMPORTRANGE(""https://docs.google.com/spreadsheets/d/11923uPwbBZFjjGgGUA6NLw09EwE0CqkOc4q9oUmW1yo/edit?usp=sharing"",""อุตรดิตถ์!I27"")"),0)</f>
        <v>0</v>
      </c>
      <c r="J87" s="213">
        <f ca="1">IFERROR(__xludf.DUMMYFUNCTION("IMPORTRANGE(""https://docs.google.com/spreadsheets/d/11923uPwbBZFjjGgGUA6NLw09EwE0CqkOc4q9oUmW1yo/edit?usp=sharing"",""อุตรดิตถ์!J27"")"),0)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IFERROR(__xludf.DUMMYFUNCTION("IMPORTRANGE(""https://docs.google.com/spreadsheets/d/11923uPwbBZFjjGgGUA6NLw09EwE0CqkOc4q9oUmW1yo/edit?usp=sharing"",""อุตรดิตถ์!I28"")"),0)</f>
        <v>0</v>
      </c>
      <c r="J88" s="213">
        <f ca="1">IFERROR(__xludf.DUMMYFUNCTION("IMPORTRANGE(""https://docs.google.com/spreadsheets/d/11923uPwbBZFjjGgGUA6NLw09EwE0CqkOc4q9oUmW1yo/edit?usp=sharing"",""อุตรดิตถ์!J28"")"),0)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IFERROR(__xludf.DUMMYFUNCTION("IMPORTRANGE(""https://docs.google.com/spreadsheets/d/11923uPwbBZFjjGgGUA6NLw09EwE0CqkOc4q9oUmW1yo/edit?usp=sharing"",""อุตรดิตถ์!J29"")"),0)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IFERROR(__xludf.DUMMYFUNCTION("IMPORTRANGE(""https://docs.google.com/spreadsheets/d/11923uPwbBZFjjGgGUA6NLw09EwE0CqkOc4q9oUmW1yo/edit?usp=sharing"",""อุตรดิตถ์!J30"")"),0)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IFERROR(__xludf.DUMMYFUNCTION("IMPORTRANGE(""https://docs.google.com/spreadsheets/d/11923uPwbBZFjjGgGUA6NLw09EwE0CqkOc4q9oUmW1yo/edit?usp=sharing"",""อุตรดิตถ์!I32"")"),4)</f>
        <v>4</v>
      </c>
      <c r="J92" s="148">
        <f ca="1">IFERROR(__xludf.DUMMYFUNCTION("IMPORTRANGE(""https://docs.google.com/spreadsheets/d/11923uPwbBZFjjGgGUA6NLw09EwE0CqkOc4q9oUmW1yo/edit?usp=sharing"",""อุตรดิตถ์!J32"")"),4)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IFERROR(__xludf.DUMMYFUNCTION("IMPORTRANGE(""https://docs.google.com/spreadsheets/d/11923uPwbBZFjjGgGUA6NLw09EwE0CqkOc4q9oUmW1yo/edit?usp=sharing"",""อุตรดิตถ์!I33"")"),1)</f>
        <v>1</v>
      </c>
      <c r="J93" s="148">
        <f ca="1">IFERROR(__xludf.DUMMYFUNCTION("IMPORTRANGE(""https://docs.google.com/spreadsheets/d/11923uPwbBZFjjGgGUA6NLw09EwE0CqkOc4q9oUmW1yo/edit?usp=sharing"",""อุตรดิตถ์!J33"")"),0)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110385</v>
      </c>
      <c r="O94" s="157">
        <f t="shared" ref="O94:O96" ca="1" si="53">IF(L94&gt;0,N94*100/L94,0)</f>
        <v>51.46153846153846</v>
      </c>
      <c r="P94" s="157">
        <f t="shared" ref="P94:P96" ca="1" si="54">IF(M94&gt;0,N94*100/M94,0)</f>
        <v>160.60672195547795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110385</v>
      </c>
      <c r="O96" s="162">
        <f t="shared" ca="1" si="53"/>
        <v>51.46153846153846</v>
      </c>
      <c r="P96" s="162">
        <f t="shared" ca="1" si="54"/>
        <v>160.60672195547795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IFERROR(__xludf.DUMMYFUNCTION("IMPORTRANGE(""https://docs.google.com/spreadsheets/d/1Yj_ptqi66GCucihVvJfMjLAmec39IyEx_6qawtMGysU/edit?usp=sharing"",""สบก!AR35"")"),68730)</f>
        <v>68730</v>
      </c>
      <c r="N98" s="177">
        <f ca="1">IFERROR(__xludf.DUMMYFUNCTION("IMPORTRANGE(""https://docs.google.com/spreadsheets/d/1Yj_ptqi66GCucihVvJfMjLAmec39IyEx_6qawtMGysU/edit?usp=sharing"",""สบก!AS35"")"),17985)</f>
        <v>17985</v>
      </c>
      <c r="O98" s="178">
        <f ca="1">IF(L98&gt;0,N98*100/L98,0)</f>
        <v>14.72972972972973</v>
      </c>
      <c r="P98" s="178">
        <f ca="1">IF(M98&gt;0,N98*100/M98,0)</f>
        <v>26.167612396333478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IFERROR(__xludf.DUMMYFUNCTION("IMPORTRANGE(""https://docs.google.com/spreadsheets/d/1Yj_ptqi66GCucihVvJfMjLAmec39IyEx_6qawtMGysU/edit?usp=sharing"",""สบก!AN35"")"),0)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IFERROR(__xludf.DUMMYFUNCTION("IMPORTRANGE(""https://docs.google.com/spreadsheets/d/1Yj_ptqi66GCucihVvJfMjLAmec39IyEx_6qawtMGysU/edit?usp=sharing"",""สบก!AO35"")"),122100)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IFERROR(__xludf.DUMMYFUNCTION("IMPORTRANGE(""https://docs.google.com/spreadsheets/d/1Yj_ptqi66GCucihVvJfMjLAmec39IyEx_6qawtMGysU/edit?usp=sharing"",""สบก!AP35"")"),92400)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IFERROR(__xludf.DUMMYFUNCTION("IMPORTRANGE(""https://docs.google.com/spreadsheets/d/1Yj_ptqi66GCucihVvJfMjLAmec39IyEx_6qawtMGysU/edit?usp=sharing"",""สบก!AT35"")"),92400)</f>
        <v>92400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IFERROR(__xludf.DUMMYFUNCTION("IMPORTRANGE(""https://docs.google.com/spreadsheets/d/11923uPwbBZFjjGgGUA6NLw09EwE0CqkOc4q9oUmW1yo/edit?usp=sharing"",""อุตรดิตถ์!J39"")"),0)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IFERROR(__xludf.DUMMYFUNCTION("IMPORTRANGE(""https://docs.google.com/spreadsheets/d/11923uPwbBZFjjGgGUA6NLw09EwE0CqkOc4q9oUmW1yo/edit?usp=sharing"",""อุตรดิตถ์!J40"")"),1)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IFERROR(__xludf.DUMMYFUNCTION("IMPORTRANGE(""https://docs.google.com/spreadsheets/d/11923uPwbBZFjjGgGUA6NLw09EwE0CqkOc4q9oUmW1yo/edit?usp=sharing"",""อุตรดิตถ์!J41"")"),1)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IFERROR(__xludf.DUMMYFUNCTION("IMPORTRANGE(""https://docs.google.com/spreadsheets/d/11923uPwbBZFjjGgGUA6NLw09EwE0CqkOc4q9oUmW1yo/edit?usp=sharing"",""อุตรดิตถ์!J42"")"),1)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IFERROR(__xludf.DUMMYFUNCTION("IMPORTRANGE(""https://docs.google.com/spreadsheets/d/11923uPwbBZFjjGgGUA6NLw09EwE0CqkOc4q9oUmW1yo/edit?usp=sharing"",""อุตรดิตถ์!I43"")"),1)</f>
        <v>1</v>
      </c>
      <c r="J108" s="213">
        <f ca="1">IFERROR(__xludf.DUMMYFUNCTION("IMPORTRANGE(""https://docs.google.com/spreadsheets/d/11923uPwbBZFjjGgGUA6NLw09EwE0CqkOc4q9oUmW1yo/edit?usp=sharing"",""อุตรดิตถ์!J43"")"),1)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IFERROR(__xludf.DUMMYFUNCTION("IMPORTRANGE(""https://docs.google.com/spreadsheets/d/11923uPwbBZFjjGgGUA6NLw09EwE0CqkOc4q9oUmW1yo/edit?usp=sharing"",""อุตรดิตถ์!I44"")"),4)</f>
        <v>4</v>
      </c>
      <c r="J109" s="213">
        <f ca="1">IFERROR(__xludf.DUMMYFUNCTION("IMPORTRANGE(""https://docs.google.com/spreadsheets/d/11923uPwbBZFjjGgGUA6NLw09EwE0CqkOc4q9oUmW1yo/edit?usp=sharing"",""อุตรดิตถ์!J44"")"),4)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IFERROR(__xludf.DUMMYFUNCTION("IMPORTRANGE(""https://docs.google.com/spreadsheets/d/11923uPwbBZFjjGgGUA6NLw09EwE0CqkOc4q9oUmW1yo/edit?usp=sharing"",""อุตรดิตถ์!I45"")"),4)</f>
        <v>4</v>
      </c>
      <c r="J110" s="213">
        <f ca="1">IFERROR(__xludf.DUMMYFUNCTION("IMPORTRANGE(""https://docs.google.com/spreadsheets/d/11923uPwbBZFjjGgGUA6NLw09EwE0CqkOc4q9oUmW1yo/edit?usp=sharing"",""อุตรดิตถ์!J45"")"),4)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IFERROR(__xludf.DUMMYFUNCTION("IMPORTRANGE(""https://docs.google.com/spreadsheets/d/11923uPwbBZFjjGgGUA6NLw09EwE0CqkOc4q9oUmW1yo/edit?usp=sharing"",""อุตรดิตถ์!I46"")"),4)</f>
        <v>4</v>
      </c>
      <c r="J111" s="213">
        <f ca="1">IFERROR(__xludf.DUMMYFUNCTION("IMPORTRANGE(""https://docs.google.com/spreadsheets/d/11923uPwbBZFjjGgGUA6NLw09EwE0CqkOc4q9oUmW1yo/edit?usp=sharing"",""อุตรดิตถ์!J46"")"),4)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IFERROR(__xludf.DUMMYFUNCTION("IMPORTRANGE(""https://docs.google.com/spreadsheets/d/11923uPwbBZFjjGgGUA6NLw09EwE0CqkOc4q9oUmW1yo/edit?usp=sharing"",""อุตรดิตถ์!I47"")"),4)</f>
        <v>4</v>
      </c>
      <c r="J112" s="213">
        <f ca="1">IFERROR(__xludf.DUMMYFUNCTION("IMPORTRANGE(""https://docs.google.com/spreadsheets/d/11923uPwbBZFjjGgGUA6NLw09EwE0CqkOc4q9oUmW1yo/edit?usp=sharing"",""อุตรดิตถ์!J47"")"),0)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IFERROR(__xludf.DUMMYFUNCTION("IMPORTRANGE(""https://docs.google.com/spreadsheets/d/11923uPwbBZFjjGgGUA6NLw09EwE0CqkOc4q9oUmW1yo/edit?usp=sharing"",""อุตรดิตถ์!I48"")"),1)</f>
        <v>1</v>
      </c>
      <c r="J113" s="213">
        <f ca="1">IFERROR(__xludf.DUMMYFUNCTION("IMPORTRANGE(""https://docs.google.com/spreadsheets/d/11923uPwbBZFjjGgGUA6NLw09EwE0CqkOc4q9oUmW1yo/edit?usp=sharing"",""อุตรดิตถ์!J48"")"),0)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IFERROR(__xludf.DUMMYFUNCTION("IMPORTRANGE(""https://docs.google.com/spreadsheets/d/11923uPwbBZFjjGgGUA6NLw09EwE0CqkOc4q9oUmW1yo/edit?usp=sharing"",""อุตรดิตถ์!J49"")"),0)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IFERROR(__xludf.DUMMYFUNCTION("IMPORTRANGE(""https://docs.google.com/spreadsheets/d/11923uPwbBZFjjGgGUA6NLw09EwE0CqkOc4q9oUmW1yo/edit?usp=sharing"",""อุตรดิตถ์!J50"")"),0)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IFERROR(__xludf.DUMMYFUNCTION("IMPORTRANGE(""https://docs.google.com/spreadsheets/d/11923uPwbBZFjjGgGUA6NLw09EwE0CqkOc4q9oUmW1yo/edit?usp=sharing"",""อุตรดิตถ์!I52"")"),20)</f>
        <v>20</v>
      </c>
      <c r="J117" s="148">
        <f ca="1">IFERROR(__xludf.DUMMYFUNCTION("IMPORTRANGE(""https://docs.google.com/spreadsheets/d/11923uPwbBZFjjGgGUA6NLw09EwE0CqkOc4q9oUmW1yo/edit?usp=sharing"",""อุตรดิตถ์!J52"")"),20)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43959</v>
      </c>
      <c r="O118" s="157">
        <f t="shared" ref="O118:O120" ca="1" si="59">IF(L118&gt;0,N118*100/L118,0)</f>
        <v>53.322416302765646</v>
      </c>
      <c r="P118" s="157">
        <f t="shared" ref="P118:P120" ca="1" si="60">IF(M118&gt;0,N118*100/M118,0)</f>
        <v>66.163455749548461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43959</v>
      </c>
      <c r="O120" s="162">
        <f t="shared" ca="1" si="59"/>
        <v>53.322416302765646</v>
      </c>
      <c r="P120" s="162">
        <f t="shared" ca="1" si="60"/>
        <v>66.163455749548461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IFERROR(__xludf.DUMMYFUNCTION("IMPORTRANGE(""https://docs.google.com/spreadsheets/d/1Yj_ptqi66GCucihVvJfMjLAmec39IyEx_6qawtMGysU/edit?usp=sharing"",""สบก!BA35"")"),66440)</f>
        <v>66440</v>
      </c>
      <c r="N122" s="177">
        <f ca="1">IFERROR(__xludf.DUMMYFUNCTION("IMPORTRANGE(""https://docs.google.com/spreadsheets/d/1Yj_ptqi66GCucihVvJfMjLAmec39IyEx_6qawtMGysU/edit?usp=sharing"",""สบก!BB35"")"),43959)</f>
        <v>43959</v>
      </c>
      <c r="O122" s="178">
        <f ca="1">IF(L122&gt;0,N122*100/L122,0)</f>
        <v>53.322416302765646</v>
      </c>
      <c r="P122" s="178">
        <f ca="1">IF(M122&gt;0,N122*100/M122,0)</f>
        <v>66.163455749548461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IFERROR(__xludf.DUMMYFUNCTION("IMPORTRANGE(""https://docs.google.com/spreadsheets/d/1Yj_ptqi66GCucihVvJfMjLAmec39IyEx_6qawtMGysU/edit?usp=sharing"",""สบก!AW35"")"),0)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IFERROR(__xludf.DUMMYFUNCTION("IMPORTRANGE(""https://docs.google.com/spreadsheets/d/1Yj_ptqi66GCucihVvJfMjLAmec39IyEx_6qawtMGysU/edit?usp=sharing"",""สบก!AX35"")"),82440)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IFERROR(__xludf.DUMMYFUNCTION("IMPORTRANGE(""https://docs.google.com/spreadsheets/d/1Yj_ptqi66GCucihVvJfMjLAmec39IyEx_6qawtMGysU/edit?usp=sharing"",""สบก!AY35"")"),0)</f>
        <v>0</v>
      </c>
      <c r="M126" s="103"/>
      <c r="N126" s="93">
        <f ca="1">IFERROR(__xludf.DUMMYFUNCTION("IMPORTRANGE(""https://docs.google.com/spreadsheets/d/1Yj_ptqi66GCucihVvJfMjLAmec39IyEx_6qawtMGysU/edit?usp=sharing"",""สบก!BC35"")"),0)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270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IFERROR(__xludf.DUMMYFUNCTION("IMPORTRANGE(""https://docs.google.com/spreadsheets/d/11923uPwbBZFjjGgGUA6NLw09EwE0CqkOc4q9oUmW1yo/edit?usp=sharing"",""อุตรดิตถ์!J58"")"),0)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IFERROR(__xludf.DUMMYFUNCTION("IMPORTRANGE(""https://docs.google.com/spreadsheets/d/11923uPwbBZFjjGgGUA6NLw09EwE0CqkOc4q9oUmW1yo/edit?usp=sharing"",""อุตรดิตถ์!J59"")"),1)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IFERROR(__xludf.DUMMYFUNCTION("IMPORTRANGE(""https://docs.google.com/spreadsheets/d/11923uPwbBZFjjGgGUA6NLw09EwE0CqkOc4q9oUmW1yo/edit?usp=sharing"",""อุตรดิตถ์!J60"")"),1)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IFERROR(__xludf.DUMMYFUNCTION("IMPORTRANGE(""https://docs.google.com/spreadsheets/d/11923uPwbBZFjjGgGUA6NLw09EwE0CqkOc4q9oUmW1yo/edit?usp=sharing"",""อุตรดิตถ์!J61"")"),1)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IFERROR(__xludf.DUMMYFUNCTION("IMPORTRANGE(""https://docs.google.com/spreadsheets/d/11923uPwbBZFjjGgGUA6NLw09EwE0CqkOc4q9oUmW1yo/edit?usp=sharing"",""อุตรดิตถ์!I62"")"),20)</f>
        <v>20</v>
      </c>
      <c r="J132" s="213">
        <f ca="1">IFERROR(__xludf.DUMMYFUNCTION("IMPORTRANGE(""https://docs.google.com/spreadsheets/d/11923uPwbBZFjjGgGUA6NLw09EwE0CqkOc4q9oUmW1yo/edit?usp=sharing"",""อุตรดิตถ์!J62"")"),20)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IFERROR(__xludf.DUMMYFUNCTION("IMPORTRANGE(""https://docs.google.com/spreadsheets/d/11923uPwbBZFjjGgGUA6NLw09EwE0CqkOc4q9oUmW1yo/edit?usp=sharing"",""อุตรดิตถ์!I63"")"),20)</f>
        <v>20</v>
      </c>
      <c r="J133" s="213">
        <f ca="1">IFERROR(__xludf.DUMMYFUNCTION("IMPORTRANGE(""https://docs.google.com/spreadsheets/d/11923uPwbBZFjjGgGUA6NLw09EwE0CqkOc4q9oUmW1yo/edit?usp=sharing"",""อุตรดิตถ์!J63"")"),0)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IFERROR(__xludf.DUMMYFUNCTION("IMPORTRANGE(""https://docs.google.com/spreadsheets/d/11923uPwbBZFjjGgGUA6NLw09EwE0CqkOc4q9oUmW1yo/edit?usp=sharing"",""อุตรดิตถ์!J64"")"),0)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IFERROR(__xludf.DUMMYFUNCTION("IMPORTRANGE(""https://docs.google.com/spreadsheets/d/11923uPwbBZFjjGgGUA6NLw09EwE0CqkOc4q9oUmW1yo/edit?usp=sharing"",""อุตรดิตถ์!J65"")"),0)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IFERROR(__xludf.DUMMYFUNCTION("IMPORTRANGE(""https://docs.google.com/spreadsheets/d/11923uPwbBZFjjGgGUA6NLw09EwE0CqkOc4q9oUmW1yo/edit?usp=sharing"",""อุตรดิตถ์!I68"")"),0)</f>
        <v>0</v>
      </c>
      <c r="J138" s="276">
        <f ca="1">IFERROR(__xludf.DUMMYFUNCTION("IMPORTRANGE(""https://docs.google.com/spreadsheets/d/11923uPwbBZFjjGgGUA6NLw09EwE0CqkOc4q9oUmW1yo/edit?usp=sharing"",""อุตรดิตถ์!J68"")"),0)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79000</v>
      </c>
      <c r="M140" s="158">
        <f t="shared" ca="1" si="64"/>
        <v>55750</v>
      </c>
      <c r="N140" s="158">
        <f t="shared" ca="1" si="64"/>
        <v>17466</v>
      </c>
      <c r="O140" s="157">
        <f t="shared" ref="O140:O142" ca="1" si="65">IF(L140&gt;0,N140*100/L140,0)</f>
        <v>22.10886075949367</v>
      </c>
      <c r="P140" s="157">
        <f t="shared" ref="P140:P142" ca="1" si="66">IF(M140&gt;0,N140*100/M140,0)</f>
        <v>31.329147982062779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79000</v>
      </c>
      <c r="M142" s="163">
        <f t="shared" ca="1" si="68"/>
        <v>55750</v>
      </c>
      <c r="N142" s="163">
        <f t="shared" ca="1" si="68"/>
        <v>17466</v>
      </c>
      <c r="O142" s="162">
        <f t="shared" ca="1" si="65"/>
        <v>22.10886075949367</v>
      </c>
      <c r="P142" s="162">
        <f t="shared" ca="1" si="66"/>
        <v>31.329147982062779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79000</v>
      </c>
      <c r="M144" s="176">
        <f ca="1">IFERROR(__xludf.DUMMYFUNCTION("IMPORTRANGE(""https://docs.google.com/spreadsheets/d/1Yj_ptqi66GCucihVvJfMjLAmec39IyEx_6qawtMGysU/edit?usp=sharing"",""สบก!BJ35"")"),55750)</f>
        <v>55750</v>
      </c>
      <c r="N144" s="177">
        <f ca="1">IFERROR(__xludf.DUMMYFUNCTION("IMPORTRANGE(""https://docs.google.com/spreadsheets/d/1Yj_ptqi66GCucihVvJfMjLAmec39IyEx_6qawtMGysU/edit?usp=sharing"",""สบก!BK35"")"),17466)</f>
        <v>17466</v>
      </c>
      <c r="O144" s="178">
        <f ca="1">IF(L144&gt;0,N144*100/L144,0)</f>
        <v>22.10886075949367</v>
      </c>
      <c r="P144" s="178">
        <f ca="1">IF(M144&gt;0,N144*100/M144,0)</f>
        <v>31.329147982062779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IFERROR(__xludf.DUMMYFUNCTION("IMPORTRANGE(""https://docs.google.com/spreadsheets/d/1Yj_ptqi66GCucihVvJfMjLAmec39IyEx_6qawtMGysU/edit?usp=sharing"",""สบก!BF35"")"),0)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IFERROR(__xludf.DUMMYFUNCTION("IMPORTRANGE(""https://docs.google.com/spreadsheets/d/1Yj_ptqi66GCucihVvJfMjLAmec39IyEx_6qawtMGysU/edit?usp=sharing"",""สบก!BG35"")"),79000)</f>
        <v>79000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IFERROR(__xludf.DUMMYFUNCTION("IMPORTRANGE(""https://docs.google.com/spreadsheets/d/1Yj_ptqi66GCucihVvJfMjLAmec39IyEx_6qawtMGysU/edit?usp=sharing"",""สบก!BH35"")"),0)</f>
        <v>0</v>
      </c>
      <c r="M148" s="103"/>
      <c r="N148" s="93">
        <f ca="1">IFERROR(__xludf.DUMMYFUNCTION("IMPORTRANGE(""https://docs.google.com/spreadsheets/d/1Yj_ptqi66GCucihVvJfMjLAmec39IyEx_6qawtMGysU/edit?usp=sharing"",""สบก!BL35"")"),0)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IFERROR(__xludf.DUMMYFUNCTION("IMPORTRANGE(""https://docs.google.com/spreadsheets/d/11923uPwbBZFjjGgGUA6NLw09EwE0CqkOc4q9oUmW1yo/edit?usp=sharing"",""อุตรดิตถ์!I74"")"),4)</f>
        <v>4</v>
      </c>
      <c r="J149" s="284">
        <f ca="1">IFERROR(__xludf.DUMMYFUNCTION("IMPORTRANGE(""https://docs.google.com/spreadsheets/d/11923uPwbBZFjjGgGUA6NLw09EwE0CqkOc4q9oUmW1yo/edit?usp=sharing"",""อุตรดิตถ์!J74"")"),1)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IFERROR(__xludf.DUMMYFUNCTION("IMPORTRANGE(""https://docs.google.com/spreadsheets/d/11923uPwbBZFjjGgGUA6NLw09EwE0CqkOc4q9oUmW1yo/edit?usp=sharing"",""อุตรดิตถ์!J79"")"),0)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IFERROR(__xludf.DUMMYFUNCTION("IMPORTRANGE(""https://docs.google.com/spreadsheets/d/11923uPwbBZFjjGgGUA6NLw09EwE0CqkOc4q9oUmW1yo/edit?usp=sharing"",""อุตรดิตถ์!J80"")"),0)</f>
        <v>0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IFERROR(__xludf.DUMMYFUNCTION("IMPORTRANGE(""https://docs.google.com/spreadsheets/d/11923uPwbBZFjjGgGUA6NLw09EwE0CqkOc4q9oUmW1yo/edit?usp=sharing"",""อุตรดิตถ์!J81"")"),1)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IFERROR(__xludf.DUMMYFUNCTION("IMPORTRANGE(""https://docs.google.com/spreadsheets/d/11923uPwbBZFjjGgGUA6NLw09EwE0CqkOc4q9oUmW1yo/edit?usp=sharing"",""อุตรดิตถ์!J82"")"),1)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IFERROR(__xludf.DUMMYFUNCTION("IMPORTRANGE(""https://docs.google.com/spreadsheets/d/11923uPwbBZFjjGgGUA6NLw09EwE0CqkOc4q9oUmW1yo/edit?usp=sharing"",""อุตรดิตถ์!I83"")"),4)</f>
        <v>4</v>
      </c>
      <c r="J158" s="198">
        <f ca="1">IFERROR(__xludf.DUMMYFUNCTION("IMPORTRANGE(""https://docs.google.com/spreadsheets/d/11923uPwbBZFjjGgGUA6NLw09EwE0CqkOc4q9oUmW1yo/edit?usp=sharing"",""อุตรดิตถ์!J83"")"),1)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IFERROR(__xludf.DUMMYFUNCTION("IMPORTRANGE(""https://docs.google.com/spreadsheets/d/11923uPwbBZFjjGgGUA6NLw09EwE0CqkOc4q9oUmW1yo/edit?usp=sharing"",""อุตรดิตถ์!J84"")"),68)</f>
        <v>68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IFERROR(__xludf.DUMMYFUNCTION("IMPORTRANGE(""https://docs.google.com/spreadsheets/d/11923uPwbBZFjjGgGUA6NLw09EwE0CqkOc4q9oUmW1yo/edit?usp=sharing"",""อุตรดิตถ์!J85"")"),68)</f>
        <v>68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IFERROR(__xludf.DUMMYFUNCTION("IMPORTRANGE(""https://docs.google.com/spreadsheets/d/11923uPwbBZFjjGgGUA6NLw09EwE0CqkOc4q9oUmW1yo/edit?usp=sharing"",""อุตรดิตถ์!J86"")"),0)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IFERROR(__xludf.DUMMYFUNCTION("IMPORTRANGE(""https://docs.google.com/spreadsheets/d/11923uPwbBZFjjGgGUA6NLw09EwE0CqkOc4q9oUmW1yo/edit?usp=sharing"",""อุตรดิตถ์!J87"")"),0)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IFERROR(__xludf.DUMMYFUNCTION("IMPORTRANGE(""https://docs.google.com/spreadsheets/d/11923uPwbBZFjjGgGUA6NLw09EwE0CqkOc4q9oUmW1yo/edit?usp=sharing"",""อุตรดิตถ์!J88"")"),0)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IFERROR(__xludf.DUMMYFUNCTION("IMPORTRANGE(""https://docs.google.com/spreadsheets/d/11923uPwbBZFjjGgGUA6NLw09EwE0CqkOc4q9oUmW1yo/edit?usp=sharing"",""อุตรดิตถ์!I89"")"),3)</f>
        <v>3</v>
      </c>
      <c r="J164" s="292">
        <f ca="1">IFERROR(__xludf.DUMMYFUNCTION("IMPORTRANGE(""https://docs.google.com/spreadsheets/d/11923uPwbBZFjjGgGUA6NLw09EwE0CqkOc4q9oUmW1yo/edit?usp=sharing"",""อุตรดิตถ์!J89"")"),0)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IFERROR(__xludf.DUMMYFUNCTION("IMPORTRANGE(""https://docs.google.com/spreadsheets/d/11923uPwbBZFjjGgGUA6NLw09EwE0CqkOc4q9oUmW1yo/edit?usp=sharing"",""อุตรดิตถ์!J94"")"),0)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IFERROR(__xludf.DUMMYFUNCTION("IMPORTRANGE(""https://docs.google.com/spreadsheets/d/11923uPwbBZFjjGgGUA6NLw09EwE0CqkOc4q9oUmW1yo/edit?usp=sharing"",""อุตรดิตถ์!J95"")"),1)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IFERROR(__xludf.DUMMYFUNCTION("IMPORTRANGE(""https://docs.google.com/spreadsheets/d/11923uPwbBZFjjGgGUA6NLw09EwE0CqkOc4q9oUmW1yo/edit?usp=sharing"",""อุตรดิตถ์!J96"")"),1)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IFERROR(__xludf.DUMMYFUNCTION("IMPORTRANGE(""https://docs.google.com/spreadsheets/d/11923uPwbBZFjjGgGUA6NLw09EwE0CqkOc4q9oUmW1yo/edit?usp=sharing"",""อุตรดิตถ์!J97"")"),1)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IFERROR(__xludf.DUMMYFUNCTION("IMPORTRANGE(""https://docs.google.com/spreadsheets/d/11923uPwbBZFjjGgGUA6NLw09EwE0CqkOc4q9oUmW1yo/edit?usp=sharing"",""อุตรดิตถ์!I98"")"),3)</f>
        <v>3</v>
      </c>
      <c r="J173" s="198">
        <f ca="1">IFERROR(__xludf.DUMMYFUNCTION("IMPORTRANGE(""https://docs.google.com/spreadsheets/d/11923uPwbBZFjjGgGUA6NLw09EwE0CqkOc4q9oUmW1yo/edit?usp=sharing"",""อุตรดิตถ์!J98"")"),0)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IFERROR(__xludf.DUMMYFUNCTION("IMPORTRANGE(""https://docs.google.com/spreadsheets/d/11923uPwbBZFjjGgGUA6NLw09EwE0CqkOc4q9oUmW1yo/edit?usp=sharing"",""อุตรดิตถ์!J99"")"),0)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IFERROR(__xludf.DUMMYFUNCTION("IMPORTRANGE(""https://docs.google.com/spreadsheets/d/11923uPwbBZFjjGgGUA6NLw09EwE0CqkOc4q9oUmW1yo/edit?usp=sharing"",""อุตรดิตถ์!J100"")"),0)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IFERROR(__xludf.DUMMYFUNCTION("IMPORTRANGE(""https://docs.google.com/spreadsheets/d/11923uPwbBZFjjGgGUA6NLw09EwE0CqkOc4q9oUmW1yo/edit?usp=sharing"",""อุตรดิตถ์!I101"")"),1)</f>
        <v>1</v>
      </c>
      <c r="J176" s="292">
        <f ca="1">IFERROR(__xludf.DUMMYFUNCTION("IMPORTRANGE(""https://docs.google.com/spreadsheets/d/11923uPwbBZFjjGgGUA6NLw09EwE0CqkOc4q9oUmW1yo/edit?usp=sharing"",""อุตรดิตถ์!J101"")"),1)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IFERROR(__xludf.DUMMYFUNCTION("IMPORTRANGE(""https://docs.google.com/spreadsheets/d/11923uPwbBZFjjGgGUA6NLw09EwE0CqkOc4q9oUmW1yo/edit?usp=sharing"",""อุตรดิตถ์!J106"")"),0)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IFERROR(__xludf.DUMMYFUNCTION("IMPORTRANGE(""https://docs.google.com/spreadsheets/d/11923uPwbBZFjjGgGUA6NLw09EwE0CqkOc4q9oUmW1yo/edit?usp=sharing"",""อุตรดิตถ์!J107"")"),1)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IFERROR(__xludf.DUMMYFUNCTION("IMPORTRANGE(""https://docs.google.com/spreadsheets/d/11923uPwbBZFjjGgGUA6NLw09EwE0CqkOc4q9oUmW1yo/edit?usp=sharing"",""อุตรดิตถ์!J108"")"),1)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IFERROR(__xludf.DUMMYFUNCTION("IMPORTRANGE(""https://docs.google.com/spreadsheets/d/11923uPwbBZFjjGgGUA6NLw09EwE0CqkOc4q9oUmW1yo/edit?usp=sharing"",""อุตรดิตถ์!J109"")"),1)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IFERROR(__xludf.DUMMYFUNCTION("IMPORTRANGE(""https://docs.google.com/spreadsheets/d/11923uPwbBZFjjGgGUA6NLw09EwE0CqkOc4q9oUmW1yo/edit?usp=sharing"",""อุตรดิตถ์!I110"")"),1)</f>
        <v>1</v>
      </c>
      <c r="J185" s="213">
        <f ca="1">IFERROR(__xludf.DUMMYFUNCTION("IMPORTRANGE(""https://docs.google.com/spreadsheets/d/11923uPwbBZFjjGgGUA6NLw09EwE0CqkOc4q9oUmW1yo/edit?usp=sharing"",""อุตรดิตถ์!J110"")"),1)</f>
        <v>1</v>
      </c>
      <c r="K185" s="233">
        <f t="shared" ref="K185:K186" ca="1" si="69">IF(I185&gt;0,J185*100/I185,0)</f>
        <v>100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IFERROR(__xludf.DUMMYFUNCTION("IMPORTRANGE(""https://docs.google.com/spreadsheets/d/11923uPwbBZFjjGgGUA6NLw09EwE0CqkOc4q9oUmW1yo/edit?usp=sharing"",""อุตรดิตถ์!I111"")"),1)</f>
        <v>1</v>
      </c>
      <c r="J186" s="213">
        <f ca="1">IFERROR(__xludf.DUMMYFUNCTION("IMPORTRANGE(""https://docs.google.com/spreadsheets/d/11923uPwbBZFjjGgGUA6NLw09EwE0CqkOc4q9oUmW1yo/edit?usp=sharing"",""อุตรดิตถ์!J111"")"),1)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IFERROR(__xludf.DUMMYFUNCTION("IMPORTRANGE(""https://docs.google.com/spreadsheets/d/11923uPwbBZFjjGgGUA6NLw09EwE0CqkOc4q9oUmW1yo/edit?usp=sharing"",""อุตรดิตถ์!J112"")"),0)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IFERROR(__xludf.DUMMYFUNCTION("IMPORTRANGE(""https://docs.google.com/spreadsheets/d/11923uPwbBZFjjGgGUA6NLw09EwE0CqkOc4q9oUmW1yo/edit?usp=sharing"",""อุตรดิตถ์!J113"")"),0)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IFERROR(__xludf.DUMMYFUNCTION("IMPORTRANGE(""https://docs.google.com/spreadsheets/d/11923uPwbBZFjjGgGUA6NLw09EwE0CqkOc4q9oUmW1yo/edit?usp=sharing"",""อุตรดิตถ์!I114"")"),30000)</f>
        <v>30000</v>
      </c>
      <c r="J189" s="292">
        <f ca="1">IFERROR(__xludf.DUMMYFUNCTION("IMPORTRANGE(""https://docs.google.com/spreadsheets/d/11923uPwbBZFjjGgGUA6NLw09EwE0CqkOc4q9oUmW1yo/edit?usp=sharing"",""อุตรดิตถ์!J114"")"),0)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IFERROR(__xludf.DUMMYFUNCTION("IMPORTRANGE(""https://docs.google.com/spreadsheets/d/11923uPwbBZFjjGgGUA6NLw09EwE0CqkOc4q9oUmW1yo/edit?usp=sharing"",""อุตรดิตถ์!J119"")"),0)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IFERROR(__xludf.DUMMYFUNCTION("IMPORTRANGE(""https://docs.google.com/spreadsheets/d/11923uPwbBZFjjGgGUA6NLw09EwE0CqkOc4q9oUmW1yo/edit?usp=sharing"",""อุตรดิตถ์!J120"")"),1)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IFERROR(__xludf.DUMMYFUNCTION("IMPORTRANGE(""https://docs.google.com/spreadsheets/d/11923uPwbBZFjjGgGUA6NLw09EwE0CqkOc4q9oUmW1yo/edit?usp=sharing"",""อุตรดิตถ์!J121"")"),1)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IFERROR(__xludf.DUMMYFUNCTION("IMPORTRANGE(""https://docs.google.com/spreadsheets/d/11923uPwbBZFjjGgGUA6NLw09EwE0CqkOc4q9oUmW1yo/edit?usp=sharing"",""อุตรดิตถ์!J122"")"),1)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IFERROR(__xludf.DUMMYFUNCTION("IMPORTRANGE(""https://docs.google.com/spreadsheets/d/11923uPwbBZFjjGgGUA6NLw09EwE0CqkOc4q9oUmW1yo/edit?usp=sharing"",""อุตรดิตถ์!I124"")"),30000)</f>
        <v>30000</v>
      </c>
      <c r="J199" s="198">
        <f ca="1">IFERROR(__xludf.DUMMYFUNCTION("IMPORTRANGE(""https://docs.google.com/spreadsheets/d/11923uPwbBZFjjGgGUA6NLw09EwE0CqkOc4q9oUmW1yo/edit?usp=sharing"",""อุตรดิตถ์!J124"")"),0)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IFERROR(__xludf.DUMMYFUNCTION("IMPORTRANGE(""https://docs.google.com/spreadsheets/d/11923uPwbBZFjjGgGUA6NLw09EwE0CqkOc4q9oUmW1yo/edit?usp=sharing"",""อุตรดิตถ์!I125"")"),30000)</f>
        <v>30000</v>
      </c>
      <c r="J200" s="198">
        <f ca="1">IFERROR(__xludf.DUMMYFUNCTION("IMPORTRANGE(""https://docs.google.com/spreadsheets/d/11923uPwbBZFjjGgGUA6NLw09EwE0CqkOc4q9oUmW1yo/edit?usp=sharing"",""อุตรดิตถ์!J125"")"),0)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IFERROR(__xludf.DUMMYFUNCTION("IMPORTRANGE(""https://docs.google.com/spreadsheets/d/11923uPwbBZFjjGgGUA6NLw09EwE0CqkOc4q9oUmW1yo/edit?usp=sharing"",""อุตรดิตถ์!I126"")"),0)</f>
        <v>0</v>
      </c>
      <c r="J201" s="198">
        <f ca="1">IFERROR(__xludf.DUMMYFUNCTION("IMPORTRANGE(""https://docs.google.com/spreadsheets/d/11923uPwbBZFjjGgGUA6NLw09EwE0CqkOc4q9oUmW1yo/edit?usp=sharing"",""อุตรดิตถ์!J126"")"),0)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IFERROR(__xludf.DUMMYFUNCTION("IMPORTRANGE(""https://docs.google.com/spreadsheets/d/11923uPwbBZFjjGgGUA6NLw09EwE0CqkOc4q9oUmW1yo/edit?usp=sharing"",""อุตรดิตถ์!J127"")"),0)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IFERROR(__xludf.DUMMYFUNCTION("IMPORTRANGE(""https://docs.google.com/spreadsheets/d/11923uPwbBZFjjGgGUA6NLw09EwE0CqkOc4q9oUmW1yo/edit?usp=sharing"",""อุตรดิตถ์!J128"")"),0)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IFERROR(__xludf.DUMMYFUNCTION("IMPORTRANGE(""https://docs.google.com/spreadsheets/d/11923uPwbBZFjjGgGUA6NLw09EwE0CqkOc4q9oUmW1yo/edit?usp=sharing"",""อุตรดิตถ์!I129"")"),0)</f>
        <v>0</v>
      </c>
      <c r="J204" s="292">
        <f ca="1">IFERROR(__xludf.DUMMYFUNCTION("IMPORTRANGE(""https://docs.google.com/spreadsheets/d/11923uPwbBZFjjGgGUA6NLw09EwE0CqkOc4q9oUmW1yo/edit?usp=sharing"",""อุตรดิตถ์!J129"")"),0)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IFERROR(__xludf.DUMMYFUNCTION("IMPORTRANGE(""https://docs.google.com/spreadsheets/d/11923uPwbBZFjjGgGUA6NLw09EwE0CqkOc4q9oUmW1yo/edit?usp=sharing"",""อุตรดิตถ์!J134"")"),0)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IFERROR(__xludf.DUMMYFUNCTION("IMPORTRANGE(""https://docs.google.com/spreadsheets/d/11923uPwbBZFjjGgGUA6NLw09EwE0CqkOc4q9oUmW1yo/edit?usp=sharing"",""อุตรดิตถ์!J135"")"),0)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IFERROR(__xludf.DUMMYFUNCTION("IMPORTRANGE(""https://docs.google.com/spreadsheets/d/11923uPwbBZFjjGgGUA6NLw09EwE0CqkOc4q9oUmW1yo/edit?usp=sharing"",""อุตรดิตถ์!J136"")"),0)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IFERROR(__xludf.DUMMYFUNCTION("IMPORTRANGE(""https://docs.google.com/spreadsheets/d/11923uPwbBZFjjGgGUA6NLw09EwE0CqkOc4q9oUmW1yo/edit?usp=sharing"",""อุตรดิตถ์!J137"")"),0)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IFERROR(__xludf.DUMMYFUNCTION("IMPORTRANGE(""https://docs.google.com/spreadsheets/d/11923uPwbBZFjjGgGUA6NLw09EwE0CqkOc4q9oUmW1yo/edit?usp=sharing"",""อุตรดิตถ์!I138"")"),0)</f>
        <v>0</v>
      </c>
      <c r="J213" s="213">
        <f ca="1">IFERROR(__xludf.DUMMYFUNCTION("IMPORTRANGE(""https://docs.google.com/spreadsheets/d/11923uPwbBZFjjGgGUA6NLw09EwE0CqkOc4q9oUmW1yo/edit?usp=sharing"",""อุตรดิตถ์!J138"")"),0)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IFERROR(__xludf.DUMMYFUNCTION("IMPORTRANGE(""https://docs.google.com/spreadsheets/d/11923uPwbBZFjjGgGUA6NLw09EwE0CqkOc4q9oUmW1yo/edit?usp=sharing"",""อุตรดิตถ์!I140"")"),0)</f>
        <v>0</v>
      </c>
      <c r="J215" s="213">
        <f ca="1">IFERROR(__xludf.DUMMYFUNCTION("IMPORTRANGE(""https://docs.google.com/spreadsheets/d/11923uPwbBZFjjGgGUA6NLw09EwE0CqkOc4q9oUmW1yo/edit?usp=sharing"",""อุตรดิตถ์!J140"")"),0)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IFERROR(__xludf.DUMMYFUNCTION("IMPORTRANGE(""https://docs.google.com/spreadsheets/d/11923uPwbBZFjjGgGUA6NLw09EwE0CqkOc4q9oUmW1yo/edit?usp=sharing"",""อุตรดิตถ์!I141"")"),0)</f>
        <v>0</v>
      </c>
      <c r="J216" s="213">
        <f ca="1">IFERROR(__xludf.DUMMYFUNCTION("IMPORTRANGE(""https://docs.google.com/spreadsheets/d/11923uPwbBZFjjGgGUA6NLw09EwE0CqkOc4q9oUmW1yo/edit?usp=sharing"",""อุตรดิตถ์!J141"")"),0)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IFERROR(__xludf.DUMMYFUNCTION("IMPORTRANGE(""https://docs.google.com/spreadsheets/d/11923uPwbBZFjjGgGUA6NLw09EwE0CqkOc4q9oUmW1yo/edit?usp=sharing"",""อุตรดิตถ์!J142"")"),0)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IFERROR(__xludf.DUMMYFUNCTION("IMPORTRANGE(""https://docs.google.com/spreadsheets/d/11923uPwbBZFjjGgGUA6NLw09EwE0CqkOc4q9oUmW1yo/edit?usp=sharing"",""อุตรดิตถ์!J143"")"),0)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IFERROR(__xludf.DUMMYFUNCTION("IMPORTRANGE(""https://docs.google.com/spreadsheets/d/11923uPwbBZFjjGgGUA6NLw09EwE0CqkOc4q9oUmW1yo/edit?usp=sharing"",""อุตรดิตถ์!I144"")"),15)</f>
        <v>15</v>
      </c>
      <c r="J219" s="276">
        <f ca="1">IFERROR(__xludf.DUMMYFUNCTION("IMPORTRANGE(""https://docs.google.com/spreadsheets/d/11923uPwbBZFjjGgGUA6NLw09EwE0CqkOc4q9oUmW1yo/edit?usp=sharing"",""อุตรดิตถ์!J144"")"),15)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20289</v>
      </c>
      <c r="O220" s="157">
        <f t="shared" ref="O220:O222" ca="1" si="73">IF(L220&gt;0,N220*100/L220,0)</f>
        <v>96.042603550295851</v>
      </c>
      <c r="P220" s="157">
        <f t="shared" ref="P220:P222" ca="1" si="74">IF(M220&gt;0,N220*100/M220,0)</f>
        <v>96.042603550295851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20289</v>
      </c>
      <c r="O222" s="162">
        <f t="shared" ca="1" si="73"/>
        <v>96.042603550295851</v>
      </c>
      <c r="P222" s="162">
        <f t="shared" ca="1" si="74"/>
        <v>96.042603550295851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IFERROR(__xludf.DUMMYFUNCTION("IMPORTRANGE(""https://docs.google.com/spreadsheets/d/1Yj_ptqi66GCucihVvJfMjLAmec39IyEx_6qawtMGysU/edit?usp=sharing"",""สบก!BS35"")"),21125)</f>
        <v>21125</v>
      </c>
      <c r="N224" s="177">
        <f ca="1">IFERROR(__xludf.DUMMYFUNCTION("IMPORTRANGE(""https://docs.google.com/spreadsheets/d/1Yj_ptqi66GCucihVvJfMjLAmec39IyEx_6qawtMGysU/edit?usp=sharing"",""สบก!BT35"")"),20289)</f>
        <v>20289</v>
      </c>
      <c r="O224" s="178">
        <f ca="1">IF(L224&gt;0,N224*100/L224,0)</f>
        <v>96.042603550295851</v>
      </c>
      <c r="P224" s="178">
        <f ca="1">IF(M224&gt;0,N224*100/M224,0)</f>
        <v>96.042603550295851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IFERROR(__xludf.DUMMYFUNCTION("IMPORTRANGE(""https://docs.google.com/spreadsheets/d/1Yj_ptqi66GCucihVvJfMjLAmec39IyEx_6qawtMGysU/edit?usp=sharing"",""สบก!BO35"")"),0)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IFERROR(__xludf.DUMMYFUNCTION("IMPORTRANGE(""https://docs.google.com/spreadsheets/d/1Yj_ptqi66GCucihVvJfMjLAmec39IyEx_6qawtMGysU/edit?usp=sharing"",""สบก!BP35"")"),21125)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IFERROR(__xludf.DUMMYFUNCTION("IMPORTRANGE(""https://docs.google.com/spreadsheets/d/1Yj_ptqi66GCucihVvJfMjLAmec39IyEx_6qawtMGysU/edit?usp=sharing"",""สบก!BQ35"")"),0)</f>
        <v>0</v>
      </c>
      <c r="M228" s="103"/>
      <c r="N228" s="93">
        <f ca="1">IFERROR(__xludf.DUMMYFUNCTION("IMPORTRANGE(""https://docs.google.com/spreadsheets/d/1Yj_ptqi66GCucihVvJfMjLAmec39IyEx_6qawtMGysU/edit?usp=sharing"",""สบก!BU35"")"),0)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IFERROR(__xludf.DUMMYFUNCTION("IMPORTRANGE(""https://docs.google.com/spreadsheets/d/11923uPwbBZFjjGgGUA6NLw09EwE0CqkOc4q9oUmW1yo/edit?usp=sharing"",""อุตรดิตถ์!I149"")"),15)</f>
        <v>15</v>
      </c>
      <c r="J229" s="276">
        <f ca="1">IFERROR(__xludf.DUMMYFUNCTION("IMPORTRANGE(""https://docs.google.com/spreadsheets/d/11923uPwbBZFjjGgGUA6NLw09EwE0CqkOc4q9oUmW1yo/edit?usp=sharing"",""อุตรดิตถ์!J149"")"),15)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IFERROR(__xludf.DUMMYFUNCTION("IMPORTRANGE(""https://docs.google.com/spreadsheets/d/11923uPwbBZFjjGgGUA6NLw09EwE0CqkOc4q9oUmW1yo/edit?usp=sharing"",""อุตรดิตถ์!J151"")"),0)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IFERROR(__xludf.DUMMYFUNCTION("IMPORTRANGE(""https://docs.google.com/spreadsheets/d/11923uPwbBZFjjGgGUA6NLw09EwE0CqkOc4q9oUmW1yo/edit?usp=sharing"",""อุตรดิตถ์!J152"")"),1)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IFERROR(__xludf.DUMMYFUNCTION("IMPORTRANGE(""https://docs.google.com/spreadsheets/d/11923uPwbBZFjjGgGUA6NLw09EwE0CqkOc4q9oUmW1yo/edit?usp=sharing"",""อุตรดิตถ์!J153"")"),1)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IFERROR(__xludf.DUMMYFUNCTION("IMPORTRANGE(""https://docs.google.com/spreadsheets/d/11923uPwbBZFjjGgGUA6NLw09EwE0CqkOc4q9oUmW1yo/edit?usp=sharing"",""อุตรดิตถ์!J154"")"),1)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IFERROR(__xludf.DUMMYFUNCTION("IMPORTRANGE(""https://docs.google.com/spreadsheets/d/11923uPwbBZFjjGgGUA6NLw09EwE0CqkOc4q9oUmW1yo/edit?usp=sharing"",""อุตรดิตถ์!I155"")"),15)</f>
        <v>15</v>
      </c>
      <c r="J235" s="198">
        <f ca="1">IFERROR(__xludf.DUMMYFUNCTION("IMPORTRANGE(""https://docs.google.com/spreadsheets/d/11923uPwbBZFjjGgGUA6NLw09EwE0CqkOc4q9oUmW1yo/edit?usp=sharing"",""อุตรดิตถ์!J155"")"),15)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IFERROR(__xludf.DUMMYFUNCTION("IMPORTRANGE(""https://docs.google.com/spreadsheets/d/11923uPwbBZFjjGgGUA6NLw09EwE0CqkOc4q9oUmW1yo/edit?usp=sharing"",""อุตรดิตถ์!J156"")"),1)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IFERROR(__xludf.DUMMYFUNCTION("IMPORTRANGE(""https://docs.google.com/spreadsheets/d/11923uPwbBZFjjGgGUA6NLw09EwE0CqkOc4q9oUmW1yo/edit?usp=sharing"",""อุตรดิตถ์!J157"")"),0)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IFERROR(__xludf.DUMMYFUNCTION("IMPORTRANGE(""https://docs.google.com/spreadsheets/d/11923uPwbBZFjjGgGUA6NLw09EwE0CqkOc4q9oUmW1yo/edit?usp=sharing"",""อุตรดิตถ์!I158"")"),0)</f>
        <v>0</v>
      </c>
      <c r="J238" s="276">
        <f ca="1">IFERROR(__xludf.DUMMYFUNCTION("IMPORTRANGE(""https://docs.google.com/spreadsheets/d/11923uPwbBZFjjGgGUA6NLw09EwE0CqkOc4q9oUmW1yo/edit?usp=sharing"",""อุตรดิตถ์!J158"")"),0)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IFERROR(__xludf.DUMMYFUNCTION("IMPORTRANGE(""https://docs.google.com/spreadsheets/d/11923uPwbBZFjjGgGUA6NLw09EwE0CqkOc4q9oUmW1yo/edit?usp=sharing"",""อุตรดิตถ์!J159"")"),"")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IFERROR(__xludf.DUMMYFUNCTION("IMPORTRANGE(""https://docs.google.com/spreadsheets/d/11923uPwbBZFjjGgGUA6NLw09EwE0CqkOc4q9oUmW1yo/edit?usp=sharing"",""อุตรดิตถ์!J161"")"),0)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IFERROR(__xludf.DUMMYFUNCTION("IMPORTRANGE(""https://docs.google.com/spreadsheets/d/11923uPwbBZFjjGgGUA6NLw09EwE0CqkOc4q9oUmW1yo/edit?usp=sharing"",""อุตรดิตถ์!J162"")"),0)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IFERROR(__xludf.DUMMYFUNCTION("IMPORTRANGE(""https://docs.google.com/spreadsheets/d/11923uPwbBZFjjGgGUA6NLw09EwE0CqkOc4q9oUmW1yo/edit?usp=sharing"",""อุตรดิตถ์!J163"")"),0)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IFERROR(__xludf.DUMMYFUNCTION("IMPORTRANGE(""https://docs.google.com/spreadsheets/d/11923uPwbBZFjjGgGUA6NLw09EwE0CqkOc4q9oUmW1yo/edit?usp=sharing"",""อุตรดิตถ์!I164"")"),0)</f>
        <v>0</v>
      </c>
      <c r="J244" s="197">
        <f ca="1">IFERROR(__xludf.DUMMYFUNCTION("IMPORTRANGE(""https://docs.google.com/spreadsheets/d/11923uPwbBZFjjGgGUA6NLw09EwE0CqkOc4q9oUmW1yo/edit?usp=sharing"",""อุตรดิตถ์!J164"")"),0)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IFERROR(__xludf.DUMMYFUNCTION("IMPORTRANGE(""https://docs.google.com/spreadsheets/d/11923uPwbBZFjjGgGUA6NLw09EwE0CqkOc4q9oUmW1yo/edit?usp=sharing"",""อุตรดิตถ์!J165"")"),0)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IFERROR(__xludf.DUMMYFUNCTION("IMPORTRANGE(""https://docs.google.com/spreadsheets/d/11923uPwbBZFjjGgGUA6NLw09EwE0CqkOc4q9oUmW1yo/edit?usp=sharing"",""อุตรดิตถ์!J166"")"),0)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IFERROR(__xludf.DUMMYFUNCTION("IMPORTRANGE(""https://docs.google.com/spreadsheets/d/11923uPwbBZFjjGgGUA6NLw09EwE0CqkOc4q9oUmW1yo/edit?usp=sharing"",""อุตรดิตถ์!I169"")"),20)</f>
        <v>20</v>
      </c>
      <c r="J249" s="324">
        <f ca="1">IFERROR(__xludf.DUMMYFUNCTION("IMPORTRANGE(""https://docs.google.com/spreadsheets/d/11923uPwbBZFjjGgGUA6NLw09EwE0CqkOc4q9oUmW1yo/edit?usp=sharing"",""อุตรดิตถ์!J169"")"),10)</f>
        <v>10</v>
      </c>
      <c r="K249" s="325">
        <f ca="1">IF(I249&gt;0,J249*100/I249,0)</f>
        <v>50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203400</v>
      </c>
      <c r="M250" s="158">
        <f t="shared" ca="1" si="77"/>
        <v>103000</v>
      </c>
      <c r="N250" s="158">
        <f t="shared" ca="1" si="77"/>
        <v>49542</v>
      </c>
      <c r="O250" s="157">
        <f t="shared" ref="O250:O252" ca="1" si="78">IF(L250&gt;0,N250*100/L250,0)</f>
        <v>24.356932153392329</v>
      </c>
      <c r="P250" s="157">
        <f t="shared" ref="P250:P252" ca="1" si="79">IF(M250&gt;0,N250*100/M250,0)</f>
        <v>48.099029126213594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203400</v>
      </c>
      <c r="M252" s="163">
        <f t="shared" ca="1" si="81"/>
        <v>103000</v>
      </c>
      <c r="N252" s="163">
        <f t="shared" ca="1" si="81"/>
        <v>49542</v>
      </c>
      <c r="O252" s="162">
        <f t="shared" ca="1" si="78"/>
        <v>24.356932153392329</v>
      </c>
      <c r="P252" s="162">
        <f t="shared" ca="1" si="79"/>
        <v>48.099029126213594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203400</v>
      </c>
      <c r="M254" s="176">
        <f ca="1">IFERROR(__xludf.DUMMYFUNCTION("IMPORTRANGE(""https://docs.google.com/spreadsheets/d/1Yj_ptqi66GCucihVvJfMjLAmec39IyEx_6qawtMGysU/edit?usp=sharing"",""สบก!CB35"")"),103000)</f>
        <v>103000</v>
      </c>
      <c r="N254" s="177">
        <f ca="1">IFERROR(__xludf.DUMMYFUNCTION("IMPORTRANGE(""https://docs.google.com/spreadsheets/d/1Yj_ptqi66GCucihVvJfMjLAmec39IyEx_6qawtMGysU/edit?usp=sharing"",""สบก!CC35"")"),49542)</f>
        <v>49542</v>
      </c>
      <c r="O254" s="178">
        <f ca="1">IF(L254&gt;0,N254*100/L254,0)</f>
        <v>24.356932153392329</v>
      </c>
      <c r="P254" s="178">
        <f ca="1">IF(M254&gt;0,N254*100/M254,0)</f>
        <v>48.099029126213594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IFERROR(__xludf.DUMMYFUNCTION("IMPORTRANGE(""https://docs.google.com/spreadsheets/d/1Yj_ptqi66GCucihVvJfMjLAmec39IyEx_6qawtMGysU/edit?usp=sharing"",""สบก!BX35"")"),132000)</f>
        <v>132000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IFERROR(__xludf.DUMMYFUNCTION("IMPORTRANGE(""https://docs.google.com/spreadsheets/d/1Yj_ptqi66GCucihVvJfMjLAmec39IyEx_6qawtMGysU/edit?usp=sharing"",""สบก!BY35"")"),71400)</f>
        <v>71400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IFERROR(__xludf.DUMMYFUNCTION("IMPORTRANGE(""https://docs.google.com/spreadsheets/d/1Yj_ptqi66GCucihVvJfMjLAmec39IyEx_6qawtMGysU/edit?usp=sharing"",""สบก!BZ35"")"),0)</f>
        <v>0</v>
      </c>
      <c r="M258" s="103"/>
      <c r="N258" s="93">
        <f ca="1">IFERROR(__xludf.DUMMYFUNCTION("IMPORTRANGE(""https://docs.google.com/spreadsheets/d/1Yj_ptqi66GCucihVvJfMjLAmec39IyEx_6qawtMGysU/edit?usp=sharing"",""สบก!CD35"")"),0)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IFERROR(__xludf.DUMMYFUNCTION("IMPORTRANGE(""https://docs.google.com/spreadsheets/d/11923uPwbBZFjjGgGUA6NLw09EwE0CqkOc4q9oUmW1yo/edit?usp=sharing"",""อุตรดิตถ์!J175"")"),0)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IFERROR(__xludf.DUMMYFUNCTION("IMPORTRANGE(""https://docs.google.com/spreadsheets/d/11923uPwbBZFjjGgGUA6NLw09EwE0CqkOc4q9oUmW1yo/edit?usp=sharing"",""อุตรดิตถ์!J176"")"),1)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IFERROR(__xludf.DUMMYFUNCTION("IMPORTRANGE(""https://docs.google.com/spreadsheets/d/11923uPwbBZFjjGgGUA6NLw09EwE0CqkOc4q9oUmW1yo/edit?usp=sharing"",""อุตรดิตถ์!J177"")"),1)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IFERROR(__xludf.DUMMYFUNCTION("IMPORTRANGE(""https://docs.google.com/spreadsheets/d/11923uPwbBZFjjGgGUA6NLw09EwE0CqkOc4q9oUmW1yo/edit?usp=sharing"",""อุตรดิตถ์!J178"")"),1)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IFERROR(__xludf.DUMMYFUNCTION("IMPORTRANGE(""https://docs.google.com/spreadsheets/d/11923uPwbBZFjjGgGUA6NLw09EwE0CqkOc4q9oUmW1yo/edit?usp=sharing"",""อุตรดิตถ์!I179"")"),1)</f>
        <v>1</v>
      </c>
      <c r="J264" s="198">
        <f ca="1">IFERROR(__xludf.DUMMYFUNCTION("IMPORTRANGE(""https://docs.google.com/spreadsheets/d/11923uPwbBZFjjGgGUA6NLw09EwE0CqkOc4q9oUmW1yo/edit?usp=sharing"",""อุตรดิตถ์!J179"")"),1)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IFERROR(__xludf.DUMMYFUNCTION("IMPORTRANGE(""https://docs.google.com/spreadsheets/d/11923uPwbBZFjjGgGUA6NLw09EwE0CqkOc4q9oUmW1yo/edit?usp=sharing"",""อุตรดิตถ์!I180"")"),20)</f>
        <v>20</v>
      </c>
      <c r="J265" s="198">
        <f ca="1">IFERROR(__xludf.DUMMYFUNCTION("IMPORTRANGE(""https://docs.google.com/spreadsheets/d/11923uPwbBZFjjGgGUA6NLw09EwE0CqkOc4q9oUmW1yo/edit?usp=sharing"",""อุตรดิตถ์!J180"")"),10)</f>
        <v>10</v>
      </c>
      <c r="K265" s="171">
        <f t="shared" ca="1" si="82"/>
        <v>50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IFERROR(__xludf.DUMMYFUNCTION("IMPORTRANGE(""https://docs.google.com/spreadsheets/d/11923uPwbBZFjjGgGUA6NLw09EwE0CqkOc4q9oUmW1yo/edit?usp=sharing"",""อุตรดิตถ์!I181"")"),20)</f>
        <v>20</v>
      </c>
      <c r="J266" s="198" t="str">
        <f ca="1">IFERROR(__xludf.DUMMYFUNCTION("IMPORTRANGE(""https://docs.google.com/spreadsheets/d/11923uPwbBZFjjGgGUA6NLw09EwE0CqkOc4q9oUmW1yo/edit?usp=sharing"",""อุตรดิตถ์!J181"")"),"")</f>
        <v/>
      </c>
      <c r="K266" s="171" t="e">
        <f t="shared" ca="1" si="82"/>
        <v>#VALUE!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IFERROR(__xludf.DUMMYFUNCTION("IMPORTRANGE(""https://docs.google.com/spreadsheets/d/11923uPwbBZFjjGgGUA6NLw09EwE0CqkOc4q9oUmW1yo/edit?usp=sharing"",""อุตรดิตถ์!I182"")"),1)</f>
        <v>1</v>
      </c>
      <c r="J267" s="198">
        <f ca="1">IFERROR(__xludf.DUMMYFUNCTION("IMPORTRANGE(""https://docs.google.com/spreadsheets/d/11923uPwbBZFjjGgGUA6NLw09EwE0CqkOc4q9oUmW1yo/edit?usp=sharing"",""อุตรดิตถ์!J182"")"),1)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IFERROR(__xludf.DUMMYFUNCTION("IMPORTRANGE(""https://docs.google.com/spreadsheets/d/11923uPwbBZFjjGgGUA6NLw09EwE0CqkOc4q9oUmW1yo/edit?usp=sharing"",""อุตรดิตถ์!J183"")"),0)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IFERROR(__xludf.DUMMYFUNCTION("IMPORTRANGE(""https://docs.google.com/spreadsheets/d/11923uPwbBZFjjGgGUA6NLw09EwE0CqkOc4q9oUmW1yo/edit?usp=sharing"",""อุตรดิตถ์!J184"")"),0)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IFERROR(__xludf.DUMMYFUNCTION("IMPORTRANGE(""https://docs.google.com/spreadsheets/d/11923uPwbBZFjjGgGUA6NLw09EwE0CqkOc4q9oUmW1yo/edit?usp=sharing"",""อุตรดิตถ์!I185"")"),0)</f>
        <v>0</v>
      </c>
      <c r="J270" s="324">
        <f ca="1">IFERROR(__xludf.DUMMYFUNCTION("IMPORTRANGE(""https://docs.google.com/spreadsheets/d/11923uPwbBZFjjGgGUA6NLw09EwE0CqkOc4q9oUmW1yo/edit?usp=sharing"",""อุตรดิตถ์!J185"")"),0)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IFERROR(__xludf.DUMMYFUNCTION("IMPORTRANGE(""https://docs.google.com/spreadsheets/d/1Yj_ptqi66GCucihVvJfMjLAmec39IyEx_6qawtMGysU/edit?usp=sharing"",""สบก!CK35"")"),0)</f>
        <v>0</v>
      </c>
      <c r="N275" s="177">
        <f ca="1">IFERROR(__xludf.DUMMYFUNCTION("IMPORTRANGE(""https://docs.google.com/spreadsheets/d/1Yj_ptqi66GCucihVvJfMjLAmec39IyEx_6qawtMGysU/edit?usp=sharing"",""สบก!CL35"")"),0)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IFERROR(__xludf.DUMMYFUNCTION("IMPORTRANGE(""https://docs.google.com/spreadsheets/d/1Yj_ptqi66GCucihVvJfMjLAmec39IyEx_6qawtMGysU/edit?usp=sharing"",""สบก!CG35"")"),0)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IFERROR(__xludf.DUMMYFUNCTION("IMPORTRANGE(""https://docs.google.com/spreadsheets/d/1Yj_ptqi66GCucihVvJfMjLAmec39IyEx_6qawtMGysU/edit?usp=sharing"",""สบก!CH35"")"),0)</f>
        <v>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IFERROR(__xludf.DUMMYFUNCTION("IMPORTRANGE(""https://docs.google.com/spreadsheets/d/1Yj_ptqi66GCucihVvJfMjLAmec39IyEx_6qawtMGysU/edit?usp=sharing"",""สบก!CI35"")"),0)</f>
        <v>0</v>
      </c>
      <c r="M279" s="103"/>
      <c r="N279" s="93">
        <f ca="1">IFERROR(__xludf.DUMMYFUNCTION("IMPORTRANGE(""https://docs.google.com/spreadsheets/d/1Yj_ptqi66GCucihVvJfMjLAmec39IyEx_6qawtMGysU/edit?usp=sharing"",""สบก!CM35"")"),0)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IFERROR(__xludf.DUMMYFUNCTION("IMPORTRANGE(""https://docs.google.com/spreadsheets/d/11923uPwbBZFjjGgGUA6NLw09EwE0CqkOc4q9oUmW1yo/edit?usp=sharing"",""อุตรดิตถ์!J191"")"),0)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IFERROR(__xludf.DUMMYFUNCTION("IMPORTRANGE(""https://docs.google.com/spreadsheets/d/11923uPwbBZFjjGgGUA6NLw09EwE0CqkOc4q9oUmW1yo/edit?usp=sharing"",""อุตรดิตถ์!J192"")"),0)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IFERROR(__xludf.DUMMYFUNCTION("IMPORTRANGE(""https://docs.google.com/spreadsheets/d/11923uPwbBZFjjGgGUA6NLw09EwE0CqkOc4q9oUmW1yo/edit?usp=sharing"",""อุตรดิตถ์!J193"")"),0)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IFERROR(__xludf.DUMMYFUNCTION("IMPORTRANGE(""https://docs.google.com/spreadsheets/d/11923uPwbBZFjjGgGUA6NLw09EwE0CqkOc4q9oUmW1yo/edit?usp=sharing"",""อุตรดิตถ์!J194"")"),0)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IFERROR(__xludf.DUMMYFUNCTION("IMPORTRANGE(""https://docs.google.com/spreadsheets/d/11923uPwbBZFjjGgGUA6NLw09EwE0CqkOc4q9oUmW1yo/edit?usp=sharing"",""อุตรดิตถ์!I195"")"),0)</f>
        <v>0</v>
      </c>
      <c r="J285" s="198">
        <f ca="1">IFERROR(__xludf.DUMMYFUNCTION("IMPORTRANGE(""https://docs.google.com/spreadsheets/d/11923uPwbBZFjjGgGUA6NLw09EwE0CqkOc4q9oUmW1yo/edit?usp=sharing"",""อุตรดิตถ์!J195"")"),0)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IFERROR(__xludf.DUMMYFUNCTION("IMPORTRANGE(""https://docs.google.com/spreadsheets/d/11923uPwbBZFjjGgGUA6NLw09EwE0CqkOc4q9oUmW1yo/edit?usp=sharing"",""อุตรดิตถ์!J196"")"),0)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IFERROR(__xludf.DUMMYFUNCTION("IMPORTRANGE(""https://docs.google.com/spreadsheets/d/11923uPwbBZFjjGgGUA6NLw09EwE0CqkOc4q9oUmW1yo/edit?usp=sharing"",""อุตรดิตถ์!J197"")"),0)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IFERROR(__xludf.DUMMYFUNCTION("IMPORTRANGE(""https://docs.google.com/spreadsheets/d/11923uPwbBZFjjGgGUA6NLw09EwE0CqkOc4q9oUmW1yo/edit?usp=sharing"",""อุตรดิตถ์!I199"")"),0)</f>
        <v>0</v>
      </c>
      <c r="J289" s="324">
        <f ca="1">IFERROR(__xludf.DUMMYFUNCTION("IMPORTRANGE(""https://docs.google.com/spreadsheets/d/11923uPwbBZFjjGgGUA6NLw09EwE0CqkOc4q9oUmW1yo/edit?usp=sharing"",""อุตรดิตถ์!J199"")"),0)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IFERROR(__xludf.DUMMYFUNCTION("IMPORTRANGE(""https://docs.google.com/spreadsheets/d/1Yj_ptqi66GCucihVvJfMjLAmec39IyEx_6qawtMGysU/edit?usp=sharing"",""สบก!CT35"")"),0)</f>
        <v>0</v>
      </c>
      <c r="N294" s="177">
        <f ca="1">IFERROR(__xludf.DUMMYFUNCTION("IMPORTRANGE(""https://docs.google.com/spreadsheets/d/1Yj_ptqi66GCucihVvJfMjLAmec39IyEx_6qawtMGysU/edit?usp=sharing"",""สบก!CU35"")"),0)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IFERROR(__xludf.DUMMYFUNCTION("IMPORTRANGE(""https://docs.google.com/spreadsheets/d/1Yj_ptqi66GCucihVvJfMjLAmec39IyEx_6qawtMGysU/edit?usp=sharing"",""สบก!CP35"")"),0)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IFERROR(__xludf.DUMMYFUNCTION("IMPORTRANGE(""https://docs.google.com/spreadsheets/d/1Yj_ptqi66GCucihVvJfMjLAmec39IyEx_6qawtMGysU/edit?usp=sharing"",""สบก!CQ35"")"),0)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IFERROR(__xludf.DUMMYFUNCTION("IMPORTRANGE(""https://docs.google.com/spreadsheets/d/1Yj_ptqi66GCucihVvJfMjLAmec39IyEx_6qawtMGysU/edit?usp=sharing"",""สบก!CR35"")"),0)</f>
        <v>0</v>
      </c>
      <c r="M298" s="103"/>
      <c r="N298" s="93">
        <f ca="1">IFERROR(__xludf.DUMMYFUNCTION("IMPORTRANGE(""https://docs.google.com/spreadsheets/d/1Yj_ptqi66GCucihVvJfMjLAmec39IyEx_6qawtMGysU/edit?usp=sharing"",""สบก!CV35"")"),0)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IFERROR(__xludf.DUMMYFUNCTION("IMPORTRANGE(""https://docs.google.com/spreadsheets/d/11923uPwbBZFjjGgGUA6NLw09EwE0CqkOc4q9oUmW1yo/edit?usp=sharing"",""อุตรดิตถ์!J205"")"),0)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IFERROR(__xludf.DUMMYFUNCTION("IMPORTRANGE(""https://docs.google.com/spreadsheets/d/11923uPwbBZFjjGgGUA6NLw09EwE0CqkOc4q9oUmW1yo/edit?usp=sharing"",""อุตรดิตถ์!J206"")"),0)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IFERROR(__xludf.DUMMYFUNCTION("IMPORTRANGE(""https://docs.google.com/spreadsheets/d/11923uPwbBZFjjGgGUA6NLw09EwE0CqkOc4q9oUmW1yo/edit?usp=sharing"",""อุตรดิตถ์!J207"")"),0)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IFERROR(__xludf.DUMMYFUNCTION("IMPORTRANGE(""https://docs.google.com/spreadsheets/d/11923uPwbBZFjjGgGUA6NLw09EwE0CqkOc4q9oUmW1yo/edit?usp=sharing"",""อุตรดิตถ์!J208"")"),0)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IFERROR(__xludf.DUMMYFUNCTION("IMPORTRANGE(""https://docs.google.com/spreadsheets/d/11923uPwbBZFjjGgGUA6NLw09EwE0CqkOc4q9oUmW1yo/edit?usp=sharing"",""อุตรดิตถ์!I209"")"),0)</f>
        <v>0</v>
      </c>
      <c r="J304" s="213">
        <f ca="1">IFERROR(__xludf.DUMMYFUNCTION("IMPORTRANGE(""https://docs.google.com/spreadsheets/d/11923uPwbBZFjjGgGUA6NLw09EwE0CqkOc4q9oUmW1yo/edit?usp=sharing"",""อุตรดิตถ์!J209"")"),0)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IFERROR(__xludf.DUMMYFUNCTION("IMPORTRANGE(""https://docs.google.com/spreadsheets/d/11923uPwbBZFjjGgGUA6NLw09EwE0CqkOc4q9oUmW1yo/edit?usp=sharing"",""อุตรดิตถ์!I211"")"),0)</f>
        <v>0</v>
      </c>
      <c r="J306" s="213">
        <f ca="1">IFERROR(__xludf.DUMMYFUNCTION("IMPORTRANGE(""https://docs.google.com/spreadsheets/d/11923uPwbBZFjjGgGUA6NLw09EwE0CqkOc4q9oUmW1yo/edit?usp=sharing"",""อุตรดิตถ์!J211"")"),0)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IFERROR(__xludf.DUMMYFUNCTION("IMPORTRANGE(""https://docs.google.com/spreadsheets/d/11923uPwbBZFjjGgGUA6NLw09EwE0CqkOc4q9oUmW1yo/edit?usp=sharing"",""อุตรดิตถ์!J212"")"),0)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IFERROR(__xludf.DUMMYFUNCTION("IMPORTRANGE(""https://docs.google.com/spreadsheets/d/11923uPwbBZFjjGgGUA6NLw09EwE0CqkOc4q9oUmW1yo/edit?usp=sharing"",""อุตรดิตถ์!J213"")"),0)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IFERROR(__xludf.DUMMYFUNCTION("IMPORTRANGE(""https://docs.google.com/spreadsheets/d/11923uPwbBZFjjGgGUA6NLw09EwE0CqkOc4q9oUmW1yo/edit?usp=sharing"",""อุตรดิตถ์!I214"")"),0)</f>
        <v>0</v>
      </c>
      <c r="J309" s="341">
        <f ca="1">IFERROR(__xludf.DUMMYFUNCTION("IMPORTRANGE(""https://docs.google.com/spreadsheets/d/11923uPwbBZFjjGgGUA6NLw09EwE0CqkOc4q9oUmW1yo/edit?usp=sharing"",""อุตรดิตถ์!J214"")"),0)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IFERROR(__xludf.DUMMYFUNCTION("IMPORTRANGE(""https://docs.google.com/spreadsheets/d/1Yj_ptqi66GCucihVvJfMjLAmec39IyEx_6qawtMGysU/edit?usp=sharing"",""สบก!DC35"")"),0)</f>
        <v>0</v>
      </c>
      <c r="N314" s="177">
        <f ca="1">IFERROR(__xludf.DUMMYFUNCTION("IMPORTRANGE(""https://docs.google.com/spreadsheets/d/1Yj_ptqi66GCucihVvJfMjLAmec39IyEx_6qawtMGysU/edit?usp=sharing"",""สบก!DD35"")"),0)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IFERROR(__xludf.DUMMYFUNCTION("IMPORTRANGE(""https://docs.google.com/spreadsheets/d/1Yj_ptqi66GCucihVvJfMjLAmec39IyEx_6qawtMGysU/edit?usp=sharing"",""สบก!CY35"")"),0)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IFERROR(__xludf.DUMMYFUNCTION("IMPORTRANGE(""https://docs.google.com/spreadsheets/d/1Yj_ptqi66GCucihVvJfMjLAmec39IyEx_6qawtMGysU/edit?usp=sharing"",""สบก!CZ35"")"),0)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IFERROR(__xludf.DUMMYFUNCTION("IMPORTRANGE(""https://docs.google.com/spreadsheets/d/1Yj_ptqi66GCucihVvJfMjLAmec39IyEx_6qawtMGysU/edit?usp=sharing"",""สบก!DA35"")"),0)</f>
        <v>0</v>
      </c>
      <c r="M318" s="103"/>
      <c r="N318" s="93">
        <f ca="1">IFERROR(__xludf.DUMMYFUNCTION("IMPORTRANGE(""https://docs.google.com/spreadsheets/d/1Yj_ptqi66GCucihVvJfMjLAmec39IyEx_6qawtMGysU/edit?usp=sharing"",""สบก!DE35"")"),0)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IFERROR(__xludf.DUMMYFUNCTION("IMPORTRANGE(""https://docs.google.com/spreadsheets/d/11923uPwbBZFjjGgGUA6NLw09EwE0CqkOc4q9oUmW1yo/edit?usp=sharing"",""อุตรดิตถ์!J220"")"),0)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IFERROR(__xludf.DUMMYFUNCTION("IMPORTRANGE(""https://docs.google.com/spreadsheets/d/11923uPwbBZFjjGgGUA6NLw09EwE0CqkOc4q9oUmW1yo/edit?usp=sharing"",""อุตรดิตถ์!J221"")"),0)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IFERROR(__xludf.DUMMYFUNCTION("IMPORTRANGE(""https://docs.google.com/spreadsheets/d/11923uPwbBZFjjGgGUA6NLw09EwE0CqkOc4q9oUmW1yo/edit?usp=sharing"",""อุตรดิตถ์!J222"")"),0)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IFERROR(__xludf.DUMMYFUNCTION("IMPORTRANGE(""https://docs.google.com/spreadsheets/d/11923uPwbBZFjjGgGUA6NLw09EwE0CqkOc4q9oUmW1yo/edit?usp=sharing"",""อุตรดิตถ์!J223"")"),0)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IFERROR(__xludf.DUMMYFUNCTION("IMPORTRANGE(""https://docs.google.com/spreadsheets/d/11923uPwbBZFjjGgGUA6NLw09EwE0CqkOc4q9oUmW1yo/edit?usp=sharing"",""อุตรดิตถ์!I224"")"),0)</f>
        <v>0</v>
      </c>
      <c r="J324" s="213">
        <f ca="1">IFERROR(__xludf.DUMMYFUNCTION("IMPORTRANGE(""https://docs.google.com/spreadsheets/d/11923uPwbBZFjjGgGUA6NLw09EwE0CqkOc4q9oUmW1yo/edit?usp=sharing"",""อุตรดิตถ์!J224"")"),0)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IFERROR(__xludf.DUMMYFUNCTION("IMPORTRANGE(""https://docs.google.com/spreadsheets/d/11923uPwbBZFjjGgGUA6NLw09EwE0CqkOc4q9oUmW1yo/edit?usp=sharing"",""อุตรดิตถ์!J225"")"),0)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IFERROR(__xludf.DUMMYFUNCTION("IMPORTRANGE(""https://docs.google.com/spreadsheets/d/11923uPwbBZFjjGgGUA6NLw09EwE0CqkOc4q9oUmW1yo/edit?usp=sharing"",""อุตรดิตถ์!J226"")"),0)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IFERROR(__xludf.DUMMYFUNCTION("IMPORTRANGE(""https://docs.google.com/spreadsheets/d/11923uPwbBZFjjGgGUA6NLw09EwE0CqkOc4q9oUmW1yo/edit?usp=sharing"",""อุตรดิตถ์!I228"")"),170)</f>
        <v>170</v>
      </c>
      <c r="J328" s="347">
        <f ca="1">IFERROR(__xludf.DUMMYFUNCTION("IMPORTRANGE(""https://docs.google.com/spreadsheets/d/11923uPwbBZFjjGgGUA6NLw09EwE0CqkOc4q9oUmW1yo/edit?usp=sharing"",""อุตรดิตถ์!J228"")"),66)</f>
        <v>66</v>
      </c>
      <c r="K328" s="325">
        <f ca="1">IF(I328&gt;0,J328*100/I328,0)</f>
        <v>38.823529411764703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906300</v>
      </c>
      <c r="M329" s="158">
        <f t="shared" ca="1" si="98"/>
        <v>467750</v>
      </c>
      <c r="N329" s="158">
        <f t="shared" ca="1" si="98"/>
        <v>298190</v>
      </c>
      <c r="O329" s="157">
        <f t="shared" ref="O329:O331" ca="1" si="99">IF(L329&gt;0,N329*100/L329,0)</f>
        <v>32.90190886020082</v>
      </c>
      <c r="P329" s="157">
        <f t="shared" ref="P329:P331" ca="1" si="100">IF(M329&gt;0,N329*100/M329,0)</f>
        <v>63.749866381614112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906300</v>
      </c>
      <c r="M331" s="163">
        <f t="shared" ca="1" si="102"/>
        <v>467750</v>
      </c>
      <c r="N331" s="163">
        <f t="shared" ca="1" si="102"/>
        <v>298190</v>
      </c>
      <c r="O331" s="162">
        <f t="shared" ca="1" si="99"/>
        <v>32.90190886020082</v>
      </c>
      <c r="P331" s="162">
        <f t="shared" ca="1" si="100"/>
        <v>63.749866381614112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906300</v>
      </c>
      <c r="M333" s="176">
        <f ca="1">IFERROR(__xludf.DUMMYFUNCTION("IMPORTRANGE(""https://docs.google.com/spreadsheets/d/1Yj_ptqi66GCucihVvJfMjLAmec39IyEx_6qawtMGysU/edit?usp=sharing"",""สบก!DL35"")"),467750)</f>
        <v>467750</v>
      </c>
      <c r="N333" s="177">
        <f ca="1">IFERROR(__xludf.DUMMYFUNCTION("IMPORTRANGE(""https://docs.google.com/spreadsheets/d/1Yj_ptqi66GCucihVvJfMjLAmec39IyEx_6qawtMGysU/edit?usp=sharing"",""สบก!DM35"")"),298190)</f>
        <v>298190</v>
      </c>
      <c r="O333" s="178">
        <f ca="1">IF(L333&gt;0,N333*100/L333,0)</f>
        <v>32.90190886020082</v>
      </c>
      <c r="P333" s="178">
        <f ca="1">IF(M333&gt;0,N333*100/M333,0)</f>
        <v>63.749866381614112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IFERROR(__xludf.DUMMYFUNCTION("IMPORTRANGE(""https://docs.google.com/spreadsheets/d/1Yj_ptqi66GCucihVvJfMjLAmec39IyEx_6qawtMGysU/edit?usp=sharing"",""สบก!DH35"")"),614000)</f>
        <v>614000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IFERROR(__xludf.DUMMYFUNCTION("IMPORTRANGE(""https://docs.google.com/spreadsheets/d/1Yj_ptqi66GCucihVvJfMjLAmec39IyEx_6qawtMGysU/edit?usp=sharing"",""สบก!DI35"")"),292300)</f>
        <v>292300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IFERROR(__xludf.DUMMYFUNCTION("IMPORTRANGE(""https://docs.google.com/spreadsheets/d/1Yj_ptqi66GCucihVvJfMjLAmec39IyEx_6qawtMGysU/edit?usp=sharing"",""สบก!DJ35"")"),0)</f>
        <v>0</v>
      </c>
      <c r="M337" s="103"/>
      <c r="N337" s="93">
        <f ca="1">IFERROR(__xludf.DUMMYFUNCTION("IMPORTRANGE(""https://docs.google.com/spreadsheets/d/1Yj_ptqi66GCucihVvJfMjLAmec39IyEx_6qawtMGysU/edit?usp=sharing"",""สบก!DN35"")"),0)</f>
        <v>0</v>
      </c>
      <c r="O337" s="103">
        <f ca="1">IF(L337&gt;0,N337*100/L337,0)</f>
        <v>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IFERROR(__xludf.DUMMYFUNCTION("IMPORTRANGE(""https://docs.google.com/spreadsheets/d/11923uPwbBZFjjGgGUA6NLw09EwE0CqkOc4q9oUmW1yo/edit?usp=sharing"",""อุตรดิตถ์!I234"")"),0)</f>
        <v>0</v>
      </c>
      <c r="J339" s="197">
        <f ca="1">IFERROR(__xludf.DUMMYFUNCTION("IMPORTRANGE(""https://docs.google.com/spreadsheets/d/11923uPwbBZFjjGgGUA6NLw09EwE0CqkOc4q9oUmW1yo/edit?usp=sharing"",""อุตรดิตถ์!J234"")"),34)</f>
        <v>34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IFERROR(__xludf.DUMMYFUNCTION("IMPORTRANGE(""https://docs.google.com/spreadsheets/d/11923uPwbBZFjjGgGUA6NLw09EwE0CqkOc4q9oUmW1yo/edit?usp=sharing"",""อุตรดิตถ์!I235"")"),800)</f>
        <v>800</v>
      </c>
      <c r="J340" s="197">
        <f ca="1">IFERROR(__xludf.DUMMYFUNCTION("IMPORTRANGE(""https://docs.google.com/spreadsheets/d/11923uPwbBZFjjGgGUA6NLw09EwE0CqkOc4q9oUmW1yo/edit?usp=sharing"",""อุตรดิตถ์!J235"")"),163.01)</f>
        <v>163.01</v>
      </c>
      <c r="K340" s="350">
        <f t="shared" ca="1" si="103"/>
        <v>20.376249999999999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IFERROR(__xludf.DUMMYFUNCTION("IMPORTRANGE(""https://docs.google.com/spreadsheets/d/11923uPwbBZFjjGgGUA6NLw09EwE0CqkOc4q9oUmW1yo/edit?usp=sharing"",""อุตรดิตถ์!I236"")"),170)</f>
        <v>170</v>
      </c>
      <c r="J341" s="197">
        <f ca="1">IFERROR(__xludf.DUMMYFUNCTION("IMPORTRANGE(""https://docs.google.com/spreadsheets/d/11923uPwbBZFjjGgGUA6NLw09EwE0CqkOc4q9oUmW1yo/edit?usp=sharing"",""อุตรดิตถ์!J236"")"),91)</f>
        <v>91</v>
      </c>
      <c r="K341" s="350">
        <f t="shared" ca="1" si="103"/>
        <v>53.529411764705884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IFERROR(__xludf.DUMMYFUNCTION("IMPORTRANGE(""https://docs.google.com/spreadsheets/d/11923uPwbBZFjjGgGUA6NLw09EwE0CqkOc4q9oUmW1yo/edit?usp=sharing"",""อุตรดิตถ์!I237"")"),0)</f>
        <v>0</v>
      </c>
      <c r="J342" s="197">
        <f ca="1">IFERROR(__xludf.DUMMYFUNCTION("IMPORTRANGE(""https://docs.google.com/spreadsheets/d/11923uPwbBZFjjGgGUA6NLw09EwE0CqkOc4q9oUmW1yo/edit?usp=sharing"",""อุตรดิตถ์!J237"")"),955.849999999999)</f>
        <v>955.849999999999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IFERROR(__xludf.DUMMYFUNCTION("IMPORTRANGE(""https://docs.google.com/spreadsheets/d/11923uPwbBZFjjGgGUA6NLw09EwE0CqkOc4q9oUmW1yo/edit?usp=sharing"",""อุตรดิตถ์!I238"")"),170)</f>
        <v>170</v>
      </c>
      <c r="J343" s="197">
        <f ca="1">IFERROR(__xludf.DUMMYFUNCTION("IMPORTRANGE(""https://docs.google.com/spreadsheets/d/11923uPwbBZFjjGgGUA6NLw09EwE0CqkOc4q9oUmW1yo/edit?usp=sharing"",""อุตรดิตถ์!J238"")"),0)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IFERROR(__xludf.DUMMYFUNCTION("IMPORTRANGE(""https://docs.google.com/spreadsheets/d/11923uPwbBZFjjGgGUA6NLw09EwE0CqkOc4q9oUmW1yo/edit?usp=sharing"",""อุตรดิตถ์!I239"")"),0)</f>
        <v>0</v>
      </c>
      <c r="J344" s="197">
        <f ca="1">IFERROR(__xludf.DUMMYFUNCTION("IMPORTRANGE(""https://docs.google.com/spreadsheets/d/11923uPwbBZFjjGgGUA6NLw09EwE0CqkOc4q9oUmW1yo/edit?usp=sharing"",""อุตรดิตถ์!J239"")"),0)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IFERROR(__xludf.DUMMYFUNCTION("IMPORTRANGE(""https://docs.google.com/spreadsheets/d/11923uPwbBZFjjGgGUA6NLw09EwE0CqkOc4q9oUmW1yo/edit?usp=sharing"",""อุตรดิตถ์!I240"")"),170)</f>
        <v>170</v>
      </c>
      <c r="J345" s="197">
        <f ca="1">IFERROR(__xludf.DUMMYFUNCTION("IMPORTRANGE(""https://docs.google.com/spreadsheets/d/11923uPwbBZFjjGgGUA6NLw09EwE0CqkOc4q9oUmW1yo/edit?usp=sharing"",""อุตรดิตถ์!J240"")"),66)</f>
        <v>66</v>
      </c>
      <c r="K345" s="350">
        <f t="shared" ca="1" si="103"/>
        <v>38.823529411764703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IFERROR(__xludf.DUMMYFUNCTION("IMPORTRANGE(""https://docs.google.com/spreadsheets/d/11923uPwbBZFjjGgGUA6NLw09EwE0CqkOc4q9oUmW1yo/edit?usp=sharing"",""อุตรดิตถ์!I241"")"),0)</f>
        <v>0</v>
      </c>
      <c r="J346" s="197">
        <f ca="1">IFERROR(__xludf.DUMMYFUNCTION("IMPORTRANGE(""https://docs.google.com/spreadsheets/d/11923uPwbBZFjjGgGUA6NLw09EwE0CqkOc4q9oUmW1yo/edit?usp=sharing"",""อุตรดิตถ์!J241"")"),774.53)</f>
        <v>774.53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IFERROR(__xludf.DUMMYFUNCTION("IMPORTRANGE(""https://docs.google.com/spreadsheets/d/11923uPwbBZFjjGgGUA6NLw09EwE0CqkOc4q9oUmW1yo/edit?usp=sharing"",""อุตรดิตถ์!L242"")"),2200927)</f>
        <v>2200927</v>
      </c>
      <c r="M347" s="366"/>
      <c r="N347" s="366">
        <f ca="1">IFERROR(__xludf.DUMMYFUNCTION("IMPORTRANGE(""https://docs.google.com/spreadsheets/d/11923uPwbBZFjjGgGUA6NLw09EwE0CqkOc4q9oUmW1yo/edit?usp=sharing"",""อุตรดิตถ์!M242"")"),335382.4)</f>
        <v>335382.40000000002</v>
      </c>
      <c r="O347" s="366">
        <f ca="1">+IF(L347&gt;0,N347*100/L347,0)</f>
        <v>15.238233707887632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IFERROR(__xludf.DUMMYFUNCTION("IMPORTRANGE(""https://docs.google.com/spreadsheets/d/11923uPwbBZFjjGgGUA6NLw09EwE0CqkOc4q9oUmW1yo/edit?usp=sharing"",""อุตรดิตถ์!I244"")"),30)</f>
        <v>30</v>
      </c>
      <c r="J349" s="379">
        <f ca="1">IFERROR(__xludf.DUMMYFUNCTION("IMPORTRANGE(""https://docs.google.com/spreadsheets/d/11923uPwbBZFjjGgGUA6NLw09EwE0CqkOc4q9oUmW1yo/edit?usp=sharing"",""อุตรดิตถ์!J244"")"),0)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IFERROR(__xludf.DUMMYFUNCTION("IMPORTRANGE(""https://docs.google.com/spreadsheets/d/11923uPwbBZFjjGgGUA6NLw09EwE0CqkOc4q9oUmW1yo/edit?usp=sharing"",""อุตรดิตถ์!L244"")"),257760)</f>
        <v>257760</v>
      </c>
      <c r="M349" s="381"/>
      <c r="N349" s="381">
        <f ca="1">IFERROR(__xludf.DUMMYFUNCTION("IMPORTRANGE(""https://docs.google.com/spreadsheets/d/11923uPwbBZFjjGgGUA6NLw09EwE0CqkOc4q9oUmW1yo/edit?usp=sharing"",""อุตรดิตถ์!M244"")"),51980)</f>
        <v>51980</v>
      </c>
      <c r="O349" s="381">
        <f ca="1">+IF(L349&gt;0,N349*100/L349,0)</f>
        <v>20.166045934202359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IFERROR(__xludf.DUMMYFUNCTION("IMPORTRANGE(""https://docs.google.com/spreadsheets/d/11923uPwbBZFjjGgGUA6NLw09EwE0CqkOc4q9oUmW1yo/edit?usp=sharing"",""อุตรดิตถ์!I245"")"),30)</f>
        <v>30</v>
      </c>
      <c r="J350" s="379">
        <f ca="1">IFERROR(__xludf.DUMMYFUNCTION("IMPORTRANGE(""https://docs.google.com/spreadsheets/d/11923uPwbBZFjjGgGUA6NLw09EwE0CqkOc4q9oUmW1yo/edit?usp=sharing"",""อุตรดิตถ์!J245"")"),0)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IFERROR(__xludf.DUMMYFUNCTION("IMPORTRANGE(""https://docs.google.com/spreadsheets/d/11923uPwbBZFjjGgGUA6NLw09EwE0CqkOc4q9oUmW1yo/edit?usp=sharing"",""อุตรดิตถ์!L246"")"),0)</f>
        <v>0</v>
      </c>
      <c r="M351" s="172"/>
      <c r="N351" s="172">
        <f ca="1">IFERROR(__xludf.DUMMYFUNCTION("IMPORTRANGE(""https://docs.google.com/spreadsheets/d/11923uPwbBZFjjGgGUA6NLw09EwE0CqkOc4q9oUmW1yo/edit?usp=sharing"",""อุตรดิตถ์!M246"")"),0)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IFERROR(__xludf.DUMMYFUNCTION("IMPORTRANGE(""https://docs.google.com/spreadsheets/d/11923uPwbBZFjjGgGUA6NLw09EwE0CqkOc4q9oUmW1yo/edit?usp=sharing"",""อุตรดิตถ์!L247"")"),257760)</f>
        <v>257760</v>
      </c>
      <c r="M352" s="173"/>
      <c r="N352" s="172">
        <f ca="1">IFERROR(__xludf.DUMMYFUNCTION("IMPORTRANGE(""https://docs.google.com/spreadsheets/d/11923uPwbBZFjjGgGUA6NLw09EwE0CqkOc4q9oUmW1yo/edit?usp=sharing"",""อุตรดิตถ์!M247"")"),51980)</f>
        <v>51980</v>
      </c>
      <c r="O352" s="173">
        <f t="shared" ca="1" si="105"/>
        <v>20.166045934202359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IFERROR(__xludf.DUMMYFUNCTION("IMPORTRANGE(""https://docs.google.com/spreadsheets/d/11923uPwbBZFjjGgGUA6NLw09EwE0CqkOc4q9oUmW1yo/edit?usp=sharing"",""อุตรดิตถ์!L248"")"),0)</f>
        <v>0</v>
      </c>
      <c r="M353" s="178"/>
      <c r="N353" s="178">
        <f ca="1">IFERROR(__xludf.DUMMYFUNCTION("IMPORTRANGE(""https://docs.google.com/spreadsheets/d/11923uPwbBZFjjGgGUA6NLw09EwE0CqkOc4q9oUmW1yo/edit?usp=sharing"",""อุตรดิตถ์!M248"")"),0)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IFERROR(__xludf.DUMMYFUNCTION("IMPORTRANGE(""https://docs.google.com/spreadsheets/d/11923uPwbBZFjjGgGUA6NLw09EwE0CqkOc4q9oUmW1yo/edit?usp=sharing"",""อุตรดิตถ์!L249"")"),257760)</f>
        <v>257760</v>
      </c>
      <c r="M354" s="178"/>
      <c r="N354" s="175">
        <f ca="1">IFERROR(__xludf.DUMMYFUNCTION("IMPORTRANGE(""https://docs.google.com/spreadsheets/d/11923uPwbBZFjjGgGUA6NLw09EwE0CqkOc4q9oUmW1yo/edit?usp=sharing"",""อุตรดิตถ์!M249"")"),51980)</f>
        <v>51980</v>
      </c>
      <c r="O354" s="178">
        <f t="shared" ca="1" si="105"/>
        <v>20.166045934202359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IFERROR(__xludf.DUMMYFUNCTION("IMPORTRANGE(""https://docs.google.com/spreadsheets/d/11923uPwbBZFjjGgGUA6NLw09EwE0CqkOc4q9oUmW1yo/edit?usp=sharing"",""อุตรดิตถ์!M250"")"),19575)</f>
        <v>19575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IFERROR(__xludf.DUMMYFUNCTION("IMPORTRANGE(""https://docs.google.com/spreadsheets/d/11923uPwbBZFjjGgGUA6NLw09EwE0CqkOc4q9oUmW1yo/edit?usp=sharing"",""อุตรดิตถ์!M251"")"),0)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IFERROR(__xludf.DUMMYFUNCTION("IMPORTRANGE(""https://docs.google.com/spreadsheets/d/11923uPwbBZFjjGgGUA6NLw09EwE0CqkOc4q9oUmW1yo/edit?usp=sharing"",""อุตรดิตถ์!M252"")"),31565)</f>
        <v>31565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IFERROR(__xludf.DUMMYFUNCTION("IMPORTRANGE(""https://docs.google.com/spreadsheets/d/11923uPwbBZFjjGgGUA6NLw09EwE0CqkOc4q9oUmW1yo/edit?usp=sharing"",""อุตรดิตถ์!M253"")"),840)</f>
        <v>840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IFERROR(__xludf.DUMMYFUNCTION("IMPORTRANGE(""https://docs.google.com/spreadsheets/d/11923uPwbBZFjjGgGUA6NLw09EwE0CqkOc4q9oUmW1yo/edit?usp=sharing"",""อุตรดิตถ์!J255"")"),0)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IFERROR(__xludf.DUMMYFUNCTION("IMPORTRANGE(""https://docs.google.com/spreadsheets/d/11923uPwbBZFjjGgGUA6NLw09EwE0CqkOc4q9oUmW1yo/edit?usp=sharing"",""อุตรดิตถ์!J256"")"),1)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IFERROR(__xludf.DUMMYFUNCTION("IMPORTRANGE(""https://docs.google.com/spreadsheets/d/11923uPwbBZFjjGgGUA6NLw09EwE0CqkOc4q9oUmW1yo/edit?usp=sharing"",""อุตรดิตถ์!J257"")"),1)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IFERROR(__xludf.DUMMYFUNCTION("IMPORTRANGE(""https://docs.google.com/spreadsheets/d/11923uPwbBZFjjGgGUA6NLw09EwE0CqkOc4q9oUmW1yo/edit?usp=sharing"",""อุตรดิตถ์!J258"")"),1)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IFERROR(__xludf.DUMMYFUNCTION("IMPORTRANGE(""https://docs.google.com/spreadsheets/d/11923uPwbBZFjjGgGUA6NLw09EwE0CqkOc4q9oUmW1yo/edit?usp=sharing"",""อุตรดิตถ์!J166"")"),0)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IFERROR(__xludf.DUMMYFUNCTION("IMPORTRANGE(""https://docs.google.com/spreadsheets/d/11923uPwbBZFjjGgGUA6NLw09EwE0CqkOc4q9oUmW1yo/edit?usp=sharing"",""อุตรดิตถ์!J166"")"),0)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IFERROR(__xludf.DUMMYFUNCTION("IMPORTRANGE(""https://docs.google.com/spreadsheets/d/11923uPwbBZFjjGgGUA6NLw09EwE0CqkOc4q9oUmW1yo/edit?usp=sharing"",""อุตรดิตถ์!J166"")"),0)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IFERROR(__xludf.DUMMYFUNCTION("IMPORTRANGE(""https://docs.google.com/spreadsheets/d/11923uPwbBZFjjGgGUA6NLw09EwE0CqkOc4q9oUmW1yo/edit?usp=sharing"",""อุตรดิตถ์!J166"")"),0)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IFERROR(__xludf.DUMMYFUNCTION("IMPORTRANGE(""https://docs.google.com/spreadsheets/d/11923uPwbBZFjjGgGUA6NLw09EwE0CqkOc4q9oUmW1yo/edit?usp=sharing"",""อุตรดิตถ์!I263"")"),30)</f>
        <v>30</v>
      </c>
      <c r="J368" s="197">
        <f ca="1">IFERROR(__xludf.DUMMYFUNCTION("IMPORTRANGE(""https://docs.google.com/spreadsheets/d/11923uPwbBZFjjGgGUA6NLw09EwE0CqkOc4q9oUmW1yo/edit?usp=sharing"",""อุตรดิตถ์!J263"")"),0)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IFERROR(__xludf.DUMMYFUNCTION("IMPORTRANGE(""https://docs.google.com/spreadsheets/d/11923uPwbBZFjjGgGUA6NLw09EwE0CqkOc4q9oUmW1yo/edit?usp=sharing"",""อุตรดิตถ์!I164"")"),0)</f>
        <v>0</v>
      </c>
      <c r="J369" s="213">
        <f ca="1">IFERROR(__xludf.DUMMYFUNCTION("IMPORTRANGE(""https://docs.google.com/spreadsheets/d/11923uPwbBZFjjGgGUA6NLw09EwE0CqkOc4q9oUmW1yo/edit?usp=sharing"",""อุตรดิตถ์!J164"")"),0)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IFERROR(__xludf.DUMMYFUNCTION("IMPORTRANGE(""https://docs.google.com/spreadsheets/d/11923uPwbBZFjjGgGUA6NLw09EwE0CqkOc4q9oUmW1yo/edit?usp=sharing"",""อุตรดิตถ์!I265"")"),30)</f>
        <v>30</v>
      </c>
      <c r="J370" s="213">
        <f ca="1">IFERROR(__xludf.DUMMYFUNCTION("IMPORTRANGE(""https://docs.google.com/spreadsheets/d/11923uPwbBZFjjGgGUA6NLw09EwE0CqkOc4q9oUmW1yo/edit?usp=sharing"",""อุตรดิตถ์!J265"")"),30)</f>
        <v>30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IFERROR(__xludf.DUMMYFUNCTION("IMPORTRANGE(""https://docs.google.com/spreadsheets/d/11923uPwbBZFjjGgGUA6NLw09EwE0CqkOc4q9oUmW1yo/edit?usp=sharing"",""อุตรดิตถ์!I164"")"),0)</f>
        <v>0</v>
      </c>
      <c r="J371" s="198">
        <f ca="1">IFERROR(__xludf.DUMMYFUNCTION("IMPORTRANGE(""https://docs.google.com/spreadsheets/d/11923uPwbBZFjjGgGUA6NLw09EwE0CqkOc4q9oUmW1yo/edit?usp=sharing"",""อุตรดิตถ์!J164"")"),0)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IFERROR(__xludf.DUMMYFUNCTION("IMPORTRANGE(""https://docs.google.com/spreadsheets/d/11923uPwbBZFjjGgGUA6NLw09EwE0CqkOc4q9oUmW1yo/edit?usp=sharing"",""อุตรดิตถ์!I267"")"),30)</f>
        <v>30</v>
      </c>
      <c r="J372" s="198">
        <f ca="1">IFERROR(__xludf.DUMMYFUNCTION("IMPORTRANGE(""https://docs.google.com/spreadsheets/d/11923uPwbBZFjjGgGUA6NLw09EwE0CqkOc4q9oUmW1yo/edit?usp=sharing"",""อุตรดิตถ์!J267"")"),0)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IFERROR(__xludf.DUMMYFUNCTION("IMPORTRANGE(""https://docs.google.com/spreadsheets/d/11923uPwbBZFjjGgGUA6NLw09EwE0CqkOc4q9oUmW1yo/edit?usp=sharing"",""อุตรดิตถ์!I164"")"),0)</f>
        <v>0</v>
      </c>
      <c r="J373" s="213">
        <f ca="1">IFERROR(__xludf.DUMMYFUNCTION("IMPORTRANGE(""https://docs.google.com/spreadsheets/d/11923uPwbBZFjjGgGUA6NLw09EwE0CqkOc4q9oUmW1yo/edit?usp=sharing"",""อุตรดิตถ์!J164"")"),0)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IFERROR(__xludf.DUMMYFUNCTION("IMPORTRANGE(""https://docs.google.com/spreadsheets/d/11923uPwbBZFjjGgGUA6NLw09EwE0CqkOc4q9oUmW1yo/edit?usp=sharing"",""อุตรดิตถ์!I164"")"),0)</f>
        <v>0</v>
      </c>
      <c r="J374" s="197">
        <f ca="1">IFERROR(__xludf.DUMMYFUNCTION("IMPORTRANGE(""https://docs.google.com/spreadsheets/d/11923uPwbBZFjjGgGUA6NLw09EwE0CqkOc4q9oUmW1yo/edit?usp=sharing"",""อุตรดิตถ์!J164"")"),0)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IFERROR(__xludf.DUMMYFUNCTION("IMPORTRANGE(""https://docs.google.com/spreadsheets/d/11923uPwbBZFjjGgGUA6NLw09EwE0CqkOc4q9oUmW1yo/edit?usp=sharing"",""อุตรดิตถ์!I270"")"),30)</f>
        <v>30</v>
      </c>
      <c r="J375" s="197">
        <f ca="1">IFERROR(__xludf.DUMMYFUNCTION("IMPORTRANGE(""https://docs.google.com/spreadsheets/d/11923uPwbBZFjjGgGUA6NLw09EwE0CqkOc4q9oUmW1yo/edit?usp=sharing"",""อุตรดิตถ์!J270"")"),0)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IFERROR(__xludf.DUMMYFUNCTION("IMPORTRANGE(""https://docs.google.com/spreadsheets/d/11923uPwbBZFjjGgGUA6NLw09EwE0CqkOc4q9oUmW1yo/edit?usp=sharing"",""อุตรดิตถ์!I271"")"),20)</f>
        <v>20</v>
      </c>
      <c r="J376" s="198">
        <f ca="1">IFERROR(__xludf.DUMMYFUNCTION("IMPORTRANGE(""https://docs.google.com/spreadsheets/d/11923uPwbBZFjjGgGUA6NLw09EwE0CqkOc4q9oUmW1yo/edit?usp=sharing"",""อุตรดิตถ์!J271"")"),0)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IFERROR(__xludf.DUMMYFUNCTION("IMPORTRANGE(""https://docs.google.com/spreadsheets/d/11923uPwbBZFjjGgGUA6NLw09EwE0CqkOc4q9oUmW1yo/edit?usp=sharing"",""อุตรดิตถ์!I272"")"),10)</f>
        <v>10</v>
      </c>
      <c r="J377" s="213">
        <f ca="1">IFERROR(__xludf.DUMMYFUNCTION("IMPORTRANGE(""https://docs.google.com/spreadsheets/d/11923uPwbBZFjjGgGUA6NLw09EwE0CqkOc4q9oUmW1yo/edit?usp=sharing"",""อุตรดิตถ์!J272"")"),0)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IFERROR(__xludf.DUMMYFUNCTION("IMPORTRANGE(""https://docs.google.com/spreadsheets/d/11923uPwbBZFjjGgGUA6NLw09EwE0CqkOc4q9oUmW1yo/edit?usp=sharing"",""อุตรดิตถ์!J273"")"),0)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IFERROR(__xludf.DUMMYFUNCTION("IMPORTRANGE(""https://docs.google.com/spreadsheets/d/11923uPwbBZFjjGgGUA6NLw09EwE0CqkOc4q9oUmW1yo/edit?usp=sharing"",""อุตรดิตถ์!J274"")"),0)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IFERROR(__xludf.DUMMYFUNCTION("IMPORTRANGE(""https://docs.google.com/spreadsheets/d/11923uPwbBZFjjGgGUA6NLw09EwE0CqkOc4q9oUmW1yo/edit?usp=sharing"",""อุตรดิตถ์!I275"")"),1000)</f>
        <v>1000</v>
      </c>
      <c r="J380" s="379">
        <f ca="1">IFERROR(__xludf.DUMMYFUNCTION("IMPORTRANGE(""https://docs.google.com/spreadsheets/d/11923uPwbBZFjjGgGUA6NLw09EwE0CqkOc4q9oUmW1yo/edit?usp=sharing"",""อุตรดิตถ์!J275"")"),0)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IFERROR(__xludf.DUMMYFUNCTION("IMPORTRANGE(""https://docs.google.com/spreadsheets/d/11923uPwbBZFjjGgGUA6NLw09EwE0CqkOc4q9oUmW1yo/edit?usp=sharing"",""อุตรดิตถ์!L275"")"),1028520)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IFERROR(__xludf.DUMMYFUNCTION("IMPORTRANGE(""https://docs.google.com/spreadsheets/d/11923uPwbBZFjjGgGUA6NLw09EwE0CqkOc4q9oUmW1yo/edit?usp=sharing"",""อุตรดิตถ์!M275"")"),76589)</f>
        <v>76589</v>
      </c>
      <c r="O380" s="381">
        <f ca="1">+IF(L380&gt;0,N380*100/L380,0)</f>
        <v>7.4465251040329798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IFERROR(__xludf.DUMMYFUNCTION("IMPORTRANGE(""https://docs.google.com/spreadsheets/d/11923uPwbBZFjjGgGUA6NLw09EwE0CqkOc4q9oUmW1yo/edit?usp=sharing"",""อุตรดิตถ์!I276"")"),100)</f>
        <v>100</v>
      </c>
      <c r="J381" s="379">
        <f ca="1">IFERROR(__xludf.DUMMYFUNCTION("IMPORTRANGE(""https://docs.google.com/spreadsheets/d/11923uPwbBZFjjGgGUA6NLw09EwE0CqkOc4q9oUmW1yo/edit?usp=sharing"",""อุตรดิตถ์!J276"")"),0)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IFERROR(__xludf.DUMMYFUNCTION("IMPORTRANGE(""https://docs.google.com/spreadsheets/d/11923uPwbBZFjjGgGUA6NLw09EwE0CqkOc4q9oUmW1yo/edit?usp=sharing"",""อุตรดิตถ์!L277"")"),0)</f>
        <v>0</v>
      </c>
      <c r="M382" s="172"/>
      <c r="N382" s="172">
        <f ca="1">IFERROR(__xludf.DUMMYFUNCTION("IMPORTRANGE(""https://docs.google.com/spreadsheets/d/11923uPwbBZFjjGgGUA6NLw09EwE0CqkOc4q9oUmW1yo/edit?usp=sharing"",""อุตรดิตถ์!M277"")"),0)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IFERROR(__xludf.DUMMYFUNCTION("IMPORTRANGE(""https://docs.google.com/spreadsheets/d/11923uPwbBZFjjGgGUA6NLw09EwE0CqkOc4q9oUmW1yo/edit?usp=sharing"",""อุตรดิตถ์!L278"")"),1028520)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IFERROR(__xludf.DUMMYFUNCTION("IMPORTRANGE(""https://docs.google.com/spreadsheets/d/11923uPwbBZFjjGgGUA6NLw09EwE0CqkOc4q9oUmW1yo/edit?usp=sharing"",""อุตรดิตถ์!M278"")"),76589)</f>
        <v>76589</v>
      </c>
      <c r="O383" s="173">
        <f t="shared" ca="1" si="109"/>
        <v>7.4465251040329798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IFERROR(__xludf.DUMMYFUNCTION("IMPORTRANGE(""https://docs.google.com/spreadsheets/d/11923uPwbBZFjjGgGUA6NLw09EwE0CqkOc4q9oUmW1yo/edit?usp=sharing"",""อุตรดิตถ์!L279"")"),0)</f>
        <v>0</v>
      </c>
      <c r="M384" s="178"/>
      <c r="N384" s="178">
        <f ca="1">IFERROR(__xludf.DUMMYFUNCTION("IMPORTRANGE(""https://docs.google.com/spreadsheets/d/11923uPwbBZFjjGgGUA6NLw09EwE0CqkOc4q9oUmW1yo/edit?usp=sharing"",""อุตรดิตถ์!M279"")"),0)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IFERROR(__xludf.DUMMYFUNCTION("IMPORTRANGE(""https://docs.google.com/spreadsheets/d/11923uPwbBZFjjGgGUA6NLw09EwE0CqkOc4q9oUmW1yo/edit?usp=sharing"",""อุตรดิตถ์!L280"")"),1028520)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IFERROR(__xludf.DUMMYFUNCTION("IMPORTRANGE(""https://docs.google.com/spreadsheets/d/11923uPwbBZFjjGgGUA6NLw09EwE0CqkOc4q9oUmW1yo/edit?usp=sharing"",""อุตรดิตถ์!M280"")"),76589)</f>
        <v>76589</v>
      </c>
      <c r="O385" s="178">
        <f t="shared" ca="1" si="109"/>
        <v>7.4465251040329798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IFERROR(__xludf.DUMMYFUNCTION("IMPORTRANGE(""https://docs.google.com/spreadsheets/d/11923uPwbBZFjjGgGUA6NLw09EwE0CqkOc4q9oUmW1yo/edit?usp=sharing"",""อุตรดิตถ์!M281"")"),11845)</f>
        <v>11845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IFERROR(__xludf.DUMMYFUNCTION("IMPORTRANGE(""https://docs.google.com/spreadsheets/d/11923uPwbBZFjjGgGUA6NLw09EwE0CqkOc4q9oUmW1yo/edit?usp=sharing"",""อุตรดิตถ์!M282"")"),0)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IFERROR(__xludf.DUMMYFUNCTION("IMPORTRANGE(""https://docs.google.com/spreadsheets/d/11923uPwbBZFjjGgGUA6NLw09EwE0CqkOc4q9oUmW1yo/edit?usp=sharing"",""อุตรดิตถ์!M283"")"),52500)</f>
        <v>52500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IFERROR(__xludf.DUMMYFUNCTION("IMPORTRANGE(""https://docs.google.com/spreadsheets/d/11923uPwbBZFjjGgGUA6NLw09EwE0CqkOc4q9oUmW1yo/edit?usp=sharing"",""อุตรดิตถ์!M284"")"),12244)</f>
        <v>12244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IFERROR(__xludf.DUMMYFUNCTION("IMPORTRANGE(""https://docs.google.com/spreadsheets/d/11923uPwbBZFjjGgGUA6NLw09EwE0CqkOc4q9oUmW1yo/edit?usp=sharing"",""อุตรดิตถ์!J286"")"),0)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IFERROR(__xludf.DUMMYFUNCTION("IMPORTRANGE(""https://docs.google.com/spreadsheets/d/11923uPwbBZFjjGgGUA6NLw09EwE0CqkOc4q9oUmW1yo/edit?usp=sharing"",""อุตรดิตถ์!J287"")"),1)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IFERROR(__xludf.DUMMYFUNCTION("IMPORTRANGE(""https://docs.google.com/spreadsheets/d/11923uPwbBZFjjGgGUA6NLw09EwE0CqkOc4q9oUmW1yo/edit?usp=sharing"",""อุตรดิตถ์!J288"")"),1)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IFERROR(__xludf.DUMMYFUNCTION("IMPORTRANGE(""https://docs.google.com/spreadsheets/d/11923uPwbBZFjjGgGUA6NLw09EwE0CqkOc4q9oUmW1yo/edit?usp=sharing"",""อุตรดิตถ์!J289"")"),1)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IFERROR(__xludf.DUMMYFUNCTION("IMPORTRANGE(""https://docs.google.com/spreadsheets/d/11923uPwbBZFjjGgGUA6NLw09EwE0CqkOc4q9oUmW1yo/edit?usp=sharing"",""อุตรดิตถ์!I291"")"),100)</f>
        <v>100</v>
      </c>
      <c r="J396" s="207">
        <f ca="1">IFERROR(__xludf.DUMMYFUNCTION("IMPORTRANGE(""https://docs.google.com/spreadsheets/d/11923uPwbBZFjjGgGUA6NLw09EwE0CqkOc4q9oUmW1yo/edit?usp=sharing"",""อุตรดิตถ์!J291"")"),0)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IFERROR(__xludf.DUMMYFUNCTION("IMPORTRANGE(""https://docs.google.com/spreadsheets/d/11923uPwbBZFjjGgGUA6NLw09EwE0CqkOc4q9oUmW1yo/edit?usp=sharing"",""อุตรดิตถ์!I292"")"),1000)</f>
        <v>1000</v>
      </c>
      <c r="J397" s="207">
        <f ca="1">IFERROR(__xludf.DUMMYFUNCTION("IMPORTRANGE(""https://docs.google.com/spreadsheets/d/11923uPwbBZFjjGgGUA6NLw09EwE0CqkOc4q9oUmW1yo/edit?usp=sharing"",""อุตรดิตถ์!J292"")"),0)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IFERROR(__xludf.DUMMYFUNCTION("IMPORTRANGE(""https://docs.google.com/spreadsheets/d/11923uPwbBZFjjGgGUA6NLw09EwE0CqkOc4q9oUmW1yo/edit?usp=sharing"",""อุตรดิตถ์!I293"")"),100)</f>
        <v>100</v>
      </c>
      <c r="J398" s="207">
        <f ca="1">IFERROR(__xludf.DUMMYFUNCTION("IMPORTRANGE(""https://docs.google.com/spreadsheets/d/11923uPwbBZFjjGgGUA6NLw09EwE0CqkOc4q9oUmW1yo/edit?usp=sharing"",""อุตรดิตถ์!J293"")"),0)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IFERROR(__xludf.DUMMYFUNCTION("IMPORTRANGE(""https://docs.google.com/spreadsheets/d/11923uPwbBZFjjGgGUA6NLw09EwE0CqkOc4q9oUmW1yo/edit?usp=sharing"",""อุตรดิตถ์!J294"")"),0)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IFERROR(__xludf.DUMMYFUNCTION("IMPORTRANGE(""https://docs.google.com/spreadsheets/d/11923uPwbBZFjjGgGUA6NLw09EwE0CqkOc4q9oUmW1yo/edit?usp=sharing"",""อุตรดิตถ์!J295"")"),0)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IFERROR(__xludf.DUMMYFUNCTION("IMPORTRANGE(""https://docs.google.com/spreadsheets/d/11923uPwbBZFjjGgGUA6NLw09EwE0CqkOc4q9oUmW1yo/edit?usp=sharing"",""อุตรดิตถ์!I296"")"),135)</f>
        <v>135</v>
      </c>
      <c r="J401" s="379">
        <f ca="1">IFERROR(__xludf.DUMMYFUNCTION("IMPORTRANGE(""https://docs.google.com/spreadsheets/d/11923uPwbBZFjjGgGUA6NLw09EwE0CqkOc4q9oUmW1yo/edit?usp=sharing"",""อุตรดิตถ์!J296"")"),30)</f>
        <v>30</v>
      </c>
      <c r="K401" s="380">
        <f t="shared" ref="K401:K402" ca="1" si="111">IF(I401&gt;0,J401*100/I401,0)</f>
        <v>22.222222222222221</v>
      </c>
      <c r="L401" s="381">
        <f ca="1">IFERROR(__xludf.DUMMYFUNCTION("IMPORTRANGE(""https://docs.google.com/spreadsheets/d/11923uPwbBZFjjGgGUA6NLw09EwE0CqkOc4q9oUmW1yo/edit?usp=sharing"",""อุตรดิตถ์!L296"")"),159950)</f>
        <v>159950</v>
      </c>
      <c r="M401" s="381"/>
      <c r="N401" s="381">
        <f ca="1">IFERROR(__xludf.DUMMYFUNCTION("IMPORTRANGE(""https://docs.google.com/spreadsheets/d/11923uPwbBZFjjGgGUA6NLw09EwE0CqkOc4q9oUmW1yo/edit?usp=sharing"",""อุตรดิตถ์!M296"")"),35881)</f>
        <v>35881</v>
      </c>
      <c r="O401" s="381">
        <f ca="1">+IF(L401&gt;0,N401*100/L401,0)</f>
        <v>22.432635198499533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IFERROR(__xludf.DUMMYFUNCTION("IMPORTRANGE(""https://docs.google.com/spreadsheets/d/11923uPwbBZFjjGgGUA6NLw09EwE0CqkOc4q9oUmW1yo/edit?usp=sharing"",""อุตรดิตถ์!I297"")"),45)</f>
        <v>45</v>
      </c>
      <c r="J402" s="379">
        <f ca="1">IFERROR(__xludf.DUMMYFUNCTION("IMPORTRANGE(""https://docs.google.com/spreadsheets/d/11923uPwbBZFjjGgGUA6NLw09EwE0CqkOc4q9oUmW1yo/edit?usp=sharing"",""อุตรดิตถ์!J297"")"),10)</f>
        <v>10</v>
      </c>
      <c r="K402" s="380">
        <f t="shared" ca="1" si="111"/>
        <v>22.222222222222221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IFERROR(__xludf.DUMMYFUNCTION("IMPORTRANGE(""https://docs.google.com/spreadsheets/d/11923uPwbBZFjjGgGUA6NLw09EwE0CqkOc4q9oUmW1yo/edit?usp=sharing"",""อุตรดิตถ์!L298"")"),0)</f>
        <v>0</v>
      </c>
      <c r="M403" s="172"/>
      <c r="N403" s="178">
        <f ca="1">IFERROR(__xludf.DUMMYFUNCTION("IMPORTRANGE(""https://docs.google.com/spreadsheets/d/11923uPwbBZFjjGgGUA6NLw09EwE0CqkOc4q9oUmW1yo/edit?usp=sharing"",""อุตรดิตถ์!M298"")"),0)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IFERROR(__xludf.DUMMYFUNCTION("IMPORTRANGE(""https://docs.google.com/spreadsheets/d/11923uPwbBZFjjGgGUA6NLw09EwE0CqkOc4q9oUmW1yo/edit?usp=sharing"",""อุตรดิตถ์!L299"")"),159950)</f>
        <v>159950</v>
      </c>
      <c r="M404" s="173"/>
      <c r="N404" s="178">
        <f ca="1">IFERROR(__xludf.DUMMYFUNCTION("IMPORTRANGE(""https://docs.google.com/spreadsheets/d/11923uPwbBZFjjGgGUA6NLw09EwE0CqkOc4q9oUmW1yo/edit?usp=sharing"",""อุตรดิตถ์!M299"")"),35881)</f>
        <v>35881</v>
      </c>
      <c r="O404" s="178">
        <f t="shared" ca="1" si="112"/>
        <v>22.432635198499533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IFERROR(__xludf.DUMMYFUNCTION("IMPORTRANGE(""https://docs.google.com/spreadsheets/d/11923uPwbBZFjjGgGUA6NLw09EwE0CqkOc4q9oUmW1yo/edit?usp=sharing"",""อุตรดิตถ์!L300"")"),0)</f>
        <v>0</v>
      </c>
      <c r="M405" s="178"/>
      <c r="N405" s="178">
        <f ca="1">IFERROR(__xludf.DUMMYFUNCTION("IMPORTRANGE(""https://docs.google.com/spreadsheets/d/11923uPwbBZFjjGgGUA6NLw09EwE0CqkOc4q9oUmW1yo/edit?usp=sharing"",""อุตรดิตถ์!M300"")"),0)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IFERROR(__xludf.DUMMYFUNCTION("IMPORTRANGE(""https://docs.google.com/spreadsheets/d/11923uPwbBZFjjGgGUA6NLw09EwE0CqkOc4q9oUmW1yo/edit?usp=sharing"",""อุตรดิตถ์!L301"")"),159950)</f>
        <v>159950</v>
      </c>
      <c r="M406" s="178"/>
      <c r="N406" s="178">
        <f ca="1">IFERROR(__xludf.DUMMYFUNCTION("IMPORTRANGE(""https://docs.google.com/spreadsheets/d/11923uPwbBZFjjGgGUA6NLw09EwE0CqkOc4q9oUmW1yo/edit?usp=sharing"",""อุตรดิตถ์!M301"")"),35881)</f>
        <v>35881</v>
      </c>
      <c r="O406" s="178">
        <f t="shared" ca="1" si="112"/>
        <v>22.432635198499533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IFERROR(__xludf.DUMMYFUNCTION("IMPORTRANGE(""https://docs.google.com/spreadsheets/d/11923uPwbBZFjjGgGUA6NLw09EwE0CqkOc4q9oUmW1yo/edit?usp=sharing"",""อุตรดิตถ์!M302"")"),26406)</f>
        <v>26406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IFERROR(__xludf.DUMMYFUNCTION("IMPORTRANGE(""https://docs.google.com/spreadsheets/d/11923uPwbBZFjjGgGUA6NLw09EwE0CqkOc4q9oUmW1yo/edit?usp=sharing"",""อุตรดิตถ์!M303"")"),9475)</f>
        <v>9475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IFERROR(__xludf.DUMMYFUNCTION("IMPORTRANGE(""https://docs.google.com/spreadsheets/d/11923uPwbBZFjjGgGUA6NLw09EwE0CqkOc4q9oUmW1yo/edit?usp=sharing"",""อุตรดิตถ์!M304"")"),0)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IFERROR(__xludf.DUMMYFUNCTION("IMPORTRANGE(""https://docs.google.com/spreadsheets/d/11923uPwbBZFjjGgGUA6NLw09EwE0CqkOc4q9oUmW1yo/edit?usp=sharing"",""อุตรดิตถ์!M305"")"),0)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IFERROR(__xludf.DUMMYFUNCTION("IMPORTRANGE(""https://docs.google.com/spreadsheets/d/11923uPwbBZFjjGgGUA6NLw09EwE0CqkOc4q9oUmW1yo/edit?usp=sharing"",""อุตรดิตถ์!J307"")"),0)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IFERROR(__xludf.DUMMYFUNCTION("IMPORTRANGE(""https://docs.google.com/spreadsheets/d/11923uPwbBZFjjGgGUA6NLw09EwE0CqkOc4q9oUmW1yo/edit?usp=sharing"",""อุตรดิตถ์!J308"")"),1)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IFERROR(__xludf.DUMMYFUNCTION("IMPORTRANGE(""https://docs.google.com/spreadsheets/d/11923uPwbBZFjjGgGUA6NLw09EwE0CqkOc4q9oUmW1yo/edit?usp=sharing"",""อุตรดิตถ์!J309"")"),1)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IFERROR(__xludf.DUMMYFUNCTION("IMPORTRANGE(""https://docs.google.com/spreadsheets/d/11923uPwbBZFjjGgGUA6NLw09EwE0CqkOc4q9oUmW1yo/edit?usp=sharing"",""อุตรดิตถ์!J310"")"),1)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IFERROR(__xludf.DUMMYFUNCTION("IMPORTRANGE(""https://docs.google.com/spreadsheets/d/11923uPwbBZFjjGgGUA6NLw09EwE0CqkOc4q9oUmW1yo/edit?usp=sharing"",""อุตรดิตถ์!I311"")"),45)</f>
        <v>45</v>
      </c>
      <c r="J416" s="210">
        <f ca="1">IFERROR(__xludf.DUMMYFUNCTION("IMPORTRANGE(""https://docs.google.com/spreadsheets/d/11923uPwbBZFjjGgGUA6NLw09EwE0CqkOc4q9oUmW1yo/edit?usp=sharing"",""อุตรดิตถ์!J311"")"),10)</f>
        <v>10</v>
      </c>
      <c r="K416" s="211">
        <f t="shared" ref="K416:K432" ca="1" si="113">IF(I416&gt;0,J416*100/I416,0)</f>
        <v>22.222222222222221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IFERROR(__xludf.DUMMYFUNCTION("IMPORTRANGE(""https://docs.google.com/spreadsheets/d/11923uPwbBZFjjGgGUA6NLw09EwE0CqkOc4q9oUmW1yo/edit?usp=sharing"",""อุตรดิตถ์!I312"")"),10)</f>
        <v>10</v>
      </c>
      <c r="J417" s="400">
        <f ca="1">IFERROR(__xludf.DUMMYFUNCTION("IMPORTRANGE(""https://docs.google.com/spreadsheets/d/11923uPwbBZFjjGgGUA6NLw09EwE0CqkOc4q9oUmW1yo/edit?usp=sharing"",""อุตรดิตถ์!J312"")"),10)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IFERROR(__xludf.DUMMYFUNCTION("IMPORTRANGE(""https://docs.google.com/spreadsheets/d/11923uPwbBZFjjGgGUA6NLw09EwE0CqkOc4q9oUmW1yo/edit?usp=sharing"",""อุตรดิตถ์!I313"")"),30)</f>
        <v>30</v>
      </c>
      <c r="J418" s="401">
        <f ca="1">IFERROR(__xludf.DUMMYFUNCTION("IMPORTRANGE(""https://docs.google.com/spreadsheets/d/11923uPwbBZFjjGgGUA6NLw09EwE0CqkOc4q9oUmW1yo/edit?usp=sharing"",""อุตรดิตถ์!J313"")"),30)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IFERROR(__xludf.DUMMYFUNCTION("IMPORTRANGE(""https://docs.google.com/spreadsheets/d/11923uPwbBZFjjGgGUA6NLw09EwE0CqkOc4q9oUmW1yo/edit?usp=sharing"",""อุตรดิตถ์!I314"")"),10)</f>
        <v>10</v>
      </c>
      <c r="J419" s="402">
        <f ca="1">IFERROR(__xludf.DUMMYFUNCTION("IMPORTRANGE(""https://docs.google.com/spreadsheets/d/11923uPwbBZFjjGgGUA6NLw09EwE0CqkOc4q9oUmW1yo/edit?usp=sharing"",""อุตรดิตถ์!J314"")"),10)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IFERROR(__xludf.DUMMYFUNCTION("IMPORTRANGE(""https://docs.google.com/spreadsheets/d/11923uPwbBZFjjGgGUA6NLw09EwE0CqkOc4q9oUmW1yo/edit?usp=sharing"",""อุตรดิตถ์!I315"")"),10)</f>
        <v>10</v>
      </c>
      <c r="J420" s="402">
        <f ca="1">IFERROR(__xludf.DUMMYFUNCTION("IMPORTRANGE(""https://docs.google.com/spreadsheets/d/11923uPwbBZFjjGgGUA6NLw09EwE0CqkOc4q9oUmW1yo/edit?usp=sharing"",""อุตรดิตถ์!J315"")"),10)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IFERROR(__xludf.DUMMYFUNCTION("IMPORTRANGE(""https://docs.google.com/spreadsheets/d/11923uPwbBZFjjGgGUA6NLw09EwE0CqkOc4q9oUmW1yo/edit?usp=sharing"",""อุตรดิตถ์!I316"")"),25)</f>
        <v>25</v>
      </c>
      <c r="J421" s="400">
        <f ca="1">IFERROR(__xludf.DUMMYFUNCTION("IMPORTRANGE(""https://docs.google.com/spreadsheets/d/11923uPwbBZFjjGgGUA6NLw09EwE0CqkOc4q9oUmW1yo/edit?usp=sharing"",""อุตรดิตถ์!J316"")"),0)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IFERROR(__xludf.DUMMYFUNCTION("IMPORTRANGE(""https://docs.google.com/spreadsheets/d/11923uPwbBZFjjGgGUA6NLw09EwE0CqkOc4q9oUmW1yo/edit?usp=sharing"",""อุตรดิตถ์!I317"")"),75)</f>
        <v>75</v>
      </c>
      <c r="J422" s="401">
        <f ca="1">IFERROR(__xludf.DUMMYFUNCTION("IMPORTRANGE(""https://docs.google.com/spreadsheets/d/11923uPwbBZFjjGgGUA6NLw09EwE0CqkOc4q9oUmW1yo/edit?usp=sharing"",""อุตรดิตถ์!J317"")"),0)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IFERROR(__xludf.DUMMYFUNCTION("IMPORTRANGE(""https://docs.google.com/spreadsheets/d/11923uPwbBZFjjGgGUA6NLw09EwE0CqkOc4q9oUmW1yo/edit?usp=sharing"",""อุตรดิตถ์!I318"")"),25)</f>
        <v>25</v>
      </c>
      <c r="J423" s="402">
        <f ca="1">IFERROR(__xludf.DUMMYFUNCTION("IMPORTRANGE(""https://docs.google.com/spreadsheets/d/11923uPwbBZFjjGgGUA6NLw09EwE0CqkOc4q9oUmW1yo/edit?usp=sharing"",""อุตรดิตถ์!J318"")"),0)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IFERROR(__xludf.DUMMYFUNCTION("IMPORTRANGE(""https://docs.google.com/spreadsheets/d/11923uPwbBZFjjGgGUA6NLw09EwE0CqkOc4q9oUmW1yo/edit?usp=sharing"",""อุตรดิตถ์!I319"")"),25)</f>
        <v>25</v>
      </c>
      <c r="J424" s="402">
        <f ca="1">IFERROR(__xludf.DUMMYFUNCTION("IMPORTRANGE(""https://docs.google.com/spreadsheets/d/11923uPwbBZFjjGgGUA6NLw09EwE0CqkOc4q9oUmW1yo/edit?usp=sharing"",""อุตรดิตถ์!J319"")"),0)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IFERROR(__xludf.DUMMYFUNCTION("IMPORTRANGE(""https://docs.google.com/spreadsheets/d/11923uPwbBZFjjGgGUA6NLw09EwE0CqkOc4q9oUmW1yo/edit?usp=sharing"",""อุตรดิตถ์!I320"")"),25)</f>
        <v>25</v>
      </c>
      <c r="J425" s="402">
        <f ca="1">IFERROR(__xludf.DUMMYFUNCTION("IMPORTRANGE(""https://docs.google.com/spreadsheets/d/11923uPwbBZFjjGgGUA6NLw09EwE0CqkOc4q9oUmW1yo/edit?usp=sharing"",""อุตรดิตถ์!J320"")"),0)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IFERROR(__xludf.DUMMYFUNCTION("IMPORTRANGE(""https://docs.google.com/spreadsheets/d/11923uPwbBZFjjGgGUA6NLw09EwE0CqkOc4q9oUmW1yo/edit?usp=sharing"",""อุตรดิตถ์!I321"")"),10)</f>
        <v>10</v>
      </c>
      <c r="J426" s="400">
        <f ca="1">IFERROR(__xludf.DUMMYFUNCTION("IMPORTRANGE(""https://docs.google.com/spreadsheets/d/11923uPwbBZFjjGgGUA6NLw09EwE0CqkOc4q9oUmW1yo/edit?usp=sharing"",""อุตรดิตถ์!J321"")"),0)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IFERROR(__xludf.DUMMYFUNCTION("IMPORTRANGE(""https://docs.google.com/spreadsheets/d/11923uPwbBZFjjGgGUA6NLw09EwE0CqkOc4q9oUmW1yo/edit?usp=sharing"",""อุตรดิตถ์!I322"")"),30)</f>
        <v>30</v>
      </c>
      <c r="J427" s="401">
        <f ca="1">IFERROR(__xludf.DUMMYFUNCTION("IMPORTRANGE(""https://docs.google.com/spreadsheets/d/11923uPwbBZFjjGgGUA6NLw09EwE0CqkOc4q9oUmW1yo/edit?usp=sharing"",""อุตรดิตถ์!J322"")"),0)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IFERROR(__xludf.DUMMYFUNCTION("IMPORTRANGE(""https://docs.google.com/spreadsheets/d/11923uPwbBZFjjGgGUA6NLw09EwE0CqkOc4q9oUmW1yo/edit?usp=sharing"",""อุตรดิตถ์!I323"")"),10)</f>
        <v>10</v>
      </c>
      <c r="J428" s="402">
        <f ca="1">IFERROR(__xludf.DUMMYFUNCTION("IMPORTRANGE(""https://docs.google.com/spreadsheets/d/11923uPwbBZFjjGgGUA6NLw09EwE0CqkOc4q9oUmW1yo/edit?usp=sharing"",""อุตรดิตถ์!J323"")"),0)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IFERROR(__xludf.DUMMYFUNCTION("IMPORTRANGE(""https://docs.google.com/spreadsheets/d/11923uPwbBZFjjGgGUA6NLw09EwE0CqkOc4q9oUmW1yo/edit?usp=sharing"",""อุตรดิตถ์!I324"")"),10)</f>
        <v>10</v>
      </c>
      <c r="J429" s="402">
        <f ca="1">IFERROR(__xludf.DUMMYFUNCTION("IMPORTRANGE(""https://docs.google.com/spreadsheets/d/11923uPwbBZFjjGgGUA6NLw09EwE0CqkOc4q9oUmW1yo/edit?usp=sharing"",""อุตรดิตถ์!J324"")"),0)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IFERROR(__xludf.DUMMYFUNCTION("IMPORTRANGE(""https://docs.google.com/spreadsheets/d/11923uPwbBZFjjGgGUA6NLw09EwE0CqkOc4q9oUmW1yo/edit?usp=sharing"",""อุตรดิตถ์!I325"")"),35)</f>
        <v>35</v>
      </c>
      <c r="J430" s="400">
        <f ca="1">IFERROR(__xludf.DUMMYFUNCTION("IMPORTRANGE(""https://docs.google.com/spreadsheets/d/11923uPwbBZFjjGgGUA6NLw09EwE0CqkOc4q9oUmW1yo/edit?usp=sharing"",""อุตรดิตถ์!J325"")"),0)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IFERROR(__xludf.DUMMYFUNCTION("IMPORTRANGE(""https://docs.google.com/spreadsheets/d/11923uPwbBZFjjGgGUA6NLw09EwE0CqkOc4q9oUmW1yo/edit?usp=sharing"",""อุตรดิตถ์!I326"")"),10)</f>
        <v>10</v>
      </c>
      <c r="J431" s="402">
        <f ca="1">IFERROR(__xludf.DUMMYFUNCTION("IMPORTRANGE(""https://docs.google.com/spreadsheets/d/11923uPwbBZFjjGgGUA6NLw09EwE0CqkOc4q9oUmW1yo/edit?usp=sharing"",""อุตรดิตถ์!J326"")"),0)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IFERROR(__xludf.DUMMYFUNCTION("IMPORTRANGE(""https://docs.google.com/spreadsheets/d/11923uPwbBZFjjGgGUA6NLw09EwE0CqkOc4q9oUmW1yo/edit?usp=sharing"",""อุตรดิตถ์!I327"")"),25)</f>
        <v>25</v>
      </c>
      <c r="J432" s="402">
        <f ca="1">IFERROR(__xludf.DUMMYFUNCTION("IMPORTRANGE(""https://docs.google.com/spreadsheets/d/11923uPwbBZFjjGgGUA6NLw09EwE0CqkOc4q9oUmW1yo/edit?usp=sharing"",""อุตรดิตถ์!J327"")"),0)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IFERROR(__xludf.DUMMYFUNCTION("IMPORTRANGE(""https://docs.google.com/spreadsheets/d/11923uPwbBZFjjGgGUA6NLw09EwE0CqkOc4q9oUmW1yo/edit?usp=sharing"",""อุตรดิตถ์!J328"")"),0)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IFERROR(__xludf.DUMMYFUNCTION("IMPORTRANGE(""https://docs.google.com/spreadsheets/d/11923uPwbBZFjjGgGUA6NLw09EwE0CqkOc4q9oUmW1yo/edit?usp=sharing"",""อุตรดิตถ์!J329"")"),0)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IFERROR(__xludf.DUMMYFUNCTION("IMPORTRANGE(""https://docs.google.com/spreadsheets/d/11923uPwbBZFjjGgGUA6NLw09EwE0CqkOc4q9oUmW1yo/edit?usp=sharing"",""อุตรดิตถ์!I330"")"),20)</f>
        <v>20</v>
      </c>
      <c r="J435" s="418">
        <f ca="1">IFERROR(__xludf.DUMMYFUNCTION("IMPORTRANGE(""https://docs.google.com/spreadsheets/d/11923uPwbBZFjjGgGUA6NLw09EwE0CqkOc4q9oUmW1yo/edit?usp=sharing"",""อุตรดิตถ์!J330"")"),10)</f>
        <v>10</v>
      </c>
      <c r="K435" s="419">
        <f ca="1">IF(I435&gt;0,J435*100/I435,0)</f>
        <v>50</v>
      </c>
      <c r="L435" s="420">
        <f ca="1">IFERROR(__xludf.DUMMYFUNCTION("IMPORTRANGE(""https://docs.google.com/spreadsheets/d/11923uPwbBZFjjGgGUA6NLw09EwE0CqkOc4q9oUmW1yo/edit?usp=sharing"",""อุตรดิตถ์!L330"")"),95000)</f>
        <v>95000</v>
      </c>
      <c r="M435" s="420"/>
      <c r="N435" s="420">
        <f ca="1">IFERROR(__xludf.DUMMYFUNCTION("IMPORTRANGE(""https://docs.google.com/spreadsheets/d/11923uPwbBZFjjGgGUA6NLw09EwE0CqkOc4q9oUmW1yo/edit?usp=sharing"",""อุตรดิตถ์!M330"")"),20054.4)</f>
        <v>20054.400000000001</v>
      </c>
      <c r="O435" s="420">
        <f t="shared" ref="O435:O439" ca="1" si="114">+IF(L435&gt;0,N435*100/L435,0)</f>
        <v>21.109894736842108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IFERROR(__xludf.DUMMYFUNCTION("IMPORTRANGE(""https://docs.google.com/spreadsheets/d/11923uPwbBZFjjGgGUA6NLw09EwE0CqkOc4q9oUmW1yo/edit?usp=sharing"",""อุตรดิตถ์!L331"")"),0)</f>
        <v>0</v>
      </c>
      <c r="M436" s="172"/>
      <c r="N436" s="178">
        <f ca="1">IFERROR(__xludf.DUMMYFUNCTION("IMPORTRANGE(""https://docs.google.com/spreadsheets/d/11923uPwbBZFjjGgGUA6NLw09EwE0CqkOc4q9oUmW1yo/edit?usp=sharing"",""อุตรดิตถ์!M331"")"),0)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IFERROR(__xludf.DUMMYFUNCTION("IMPORTRANGE(""https://docs.google.com/spreadsheets/d/11923uPwbBZFjjGgGUA6NLw09EwE0CqkOc4q9oUmW1yo/edit?usp=sharing"",""อุตรดิตถ์!L332"")"),95000)</f>
        <v>95000</v>
      </c>
      <c r="M437" s="173"/>
      <c r="N437" s="178">
        <f ca="1">IFERROR(__xludf.DUMMYFUNCTION("IMPORTRANGE(""https://docs.google.com/spreadsheets/d/11923uPwbBZFjjGgGUA6NLw09EwE0CqkOc4q9oUmW1yo/edit?usp=sharing"",""อุตรดิตถ์!M332"")"),20054.4)</f>
        <v>20054.400000000001</v>
      </c>
      <c r="O437" s="178">
        <f t="shared" ca="1" si="114"/>
        <v>21.109894736842108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IFERROR(__xludf.DUMMYFUNCTION("IMPORTRANGE(""https://docs.google.com/spreadsheets/d/11923uPwbBZFjjGgGUA6NLw09EwE0CqkOc4q9oUmW1yo/edit?usp=sharing"",""อุตรดิตถ์!L333"")"),0)</f>
        <v>0</v>
      </c>
      <c r="M438" s="178"/>
      <c r="N438" s="178">
        <f ca="1">IFERROR(__xludf.DUMMYFUNCTION("IMPORTRANGE(""https://docs.google.com/spreadsheets/d/11923uPwbBZFjjGgGUA6NLw09EwE0CqkOc4q9oUmW1yo/edit?usp=sharing"",""อุตรดิตถ์!M333"")"),0)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IFERROR(__xludf.DUMMYFUNCTION("IMPORTRANGE(""https://docs.google.com/spreadsheets/d/11923uPwbBZFjjGgGUA6NLw09EwE0CqkOc4q9oUmW1yo/edit?usp=sharing"",""อุตรดิตถ์!L334"")"),95000)</f>
        <v>95000</v>
      </c>
      <c r="M439" s="178"/>
      <c r="N439" s="178">
        <f ca="1">IFERROR(__xludf.DUMMYFUNCTION("IMPORTRANGE(""https://docs.google.com/spreadsheets/d/11923uPwbBZFjjGgGUA6NLw09EwE0CqkOc4q9oUmW1yo/edit?usp=sharing"",""อุตรดิตถ์!M334"")"),20054.4)</f>
        <v>20054.400000000001</v>
      </c>
      <c r="O439" s="178">
        <f t="shared" ca="1" si="114"/>
        <v>21.109894736842108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IFERROR(__xludf.DUMMYFUNCTION("IMPORTRANGE(""https://docs.google.com/spreadsheets/d/11923uPwbBZFjjGgGUA6NLw09EwE0CqkOc4q9oUmW1yo/edit?usp=sharing"",""อุตรดิตถ์!M335"")"),14176)</f>
        <v>14176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IFERROR(__xludf.DUMMYFUNCTION("IMPORTRANGE(""https://docs.google.com/spreadsheets/d/11923uPwbBZFjjGgGUA6NLw09EwE0CqkOc4q9oUmW1yo/edit?usp=sharing"",""อุตรดิตถ์!M336"")"),0)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IFERROR(__xludf.DUMMYFUNCTION("IMPORTRANGE(""https://docs.google.com/spreadsheets/d/11923uPwbBZFjjGgGUA6NLw09EwE0CqkOc4q9oUmW1yo/edit?usp=sharing"",""อุตรดิตถ์!M337"")"),0)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IFERROR(__xludf.DUMMYFUNCTION("IMPORTRANGE(""https://docs.google.com/spreadsheets/d/11923uPwbBZFjjGgGUA6NLw09EwE0CqkOc4q9oUmW1yo/edit?usp=sharing"",""อุตรดิตถ์!M338"")"),5878.4)</f>
        <v>5878.4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IFERROR(__xludf.DUMMYFUNCTION("IMPORTRANGE(""https://docs.google.com/spreadsheets/d/11923uPwbBZFjjGgGUA6NLw09EwE0CqkOc4q9oUmW1yo/edit?usp=sharing"",""อุตรดิตถ์!J340"")"),0)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IFERROR(__xludf.DUMMYFUNCTION("IMPORTRANGE(""https://docs.google.com/spreadsheets/d/11923uPwbBZFjjGgGUA6NLw09EwE0CqkOc4q9oUmW1yo/edit?usp=sharing"",""อุตรดิตถ์!J341"")"),1)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IFERROR(__xludf.DUMMYFUNCTION("IMPORTRANGE(""https://docs.google.com/spreadsheets/d/11923uPwbBZFjjGgGUA6NLw09EwE0CqkOc4q9oUmW1yo/edit?usp=sharing"",""อุตรดิตถ์!J342"")"),1)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IFERROR(__xludf.DUMMYFUNCTION("IMPORTRANGE(""https://docs.google.com/spreadsheets/d/11923uPwbBZFjjGgGUA6NLw09EwE0CqkOc4q9oUmW1yo/edit?usp=sharing"",""อุตรดิตถ์!J343"")"),1)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IFERROR(__xludf.DUMMYFUNCTION("IMPORTRANGE(""https://docs.google.com/spreadsheets/d/11923uPwbBZFjjGgGUA6NLw09EwE0CqkOc4q9oUmW1yo/edit?usp=sharing"",""อุตรดิตถ์!I344"")"),20)</f>
        <v>20</v>
      </c>
      <c r="J449" s="210">
        <f ca="1">IFERROR(__xludf.DUMMYFUNCTION("IMPORTRANGE(""https://docs.google.com/spreadsheets/d/11923uPwbBZFjjGgGUA6NLw09EwE0CqkOc4q9oUmW1yo/edit?usp=sharing"",""อุตรดิตถ์!J344"")"),10)</f>
        <v>10</v>
      </c>
      <c r="K449" s="171">
        <f t="shared" ref="K449:K452" ca="1" si="115">IF(I449&gt;0,J449*100/I449,0)</f>
        <v>50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IFERROR(__xludf.DUMMYFUNCTION("IMPORTRANGE(""https://docs.google.com/spreadsheets/d/11923uPwbBZFjjGgGUA6NLw09EwE0CqkOc4q9oUmW1yo/edit?usp=sharing"",""อุตรดิตถ์!I345"")"),20)</f>
        <v>20</v>
      </c>
      <c r="J450" s="198">
        <f ca="1">IFERROR(__xludf.DUMMYFUNCTION("IMPORTRANGE(""https://docs.google.com/spreadsheets/d/11923uPwbBZFjjGgGUA6NLw09EwE0CqkOc4q9oUmW1yo/edit?usp=sharing"",""อุตรดิตถ์!J345"")"),10)</f>
        <v>10</v>
      </c>
      <c r="K450" s="171">
        <f t="shared" ca="1" si="115"/>
        <v>50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IFERROR(__xludf.DUMMYFUNCTION("IMPORTRANGE(""https://docs.google.com/spreadsheets/d/11923uPwbBZFjjGgGUA6NLw09EwE0CqkOc4q9oUmW1yo/edit?usp=sharing"",""อุตรดิตถ์!I346"")"),0)</f>
        <v>0</v>
      </c>
      <c r="J451" s="197">
        <f ca="1">IFERROR(__xludf.DUMMYFUNCTION("IMPORTRANGE(""https://docs.google.com/spreadsheets/d/11923uPwbBZFjjGgGUA6NLw09EwE0CqkOc4q9oUmW1yo/edit?usp=sharing"",""อุตรดิตถ์!J346"")"),0)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IFERROR(__xludf.DUMMYFUNCTION("IMPORTRANGE(""https://docs.google.com/spreadsheets/d/11923uPwbBZFjjGgGUA6NLw09EwE0CqkOc4q9oUmW1yo/edit?usp=sharing"",""อุตรดิตถ์!I347"")"),0)</f>
        <v>0</v>
      </c>
      <c r="J452" s="197">
        <f ca="1">IFERROR(__xludf.DUMMYFUNCTION("IMPORTRANGE(""https://docs.google.com/spreadsheets/d/11923uPwbBZFjjGgGUA6NLw09EwE0CqkOc4q9oUmW1yo/edit?usp=sharing"",""อุตรดิตถ์!J347"")"),0)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IFERROR(__xludf.DUMMYFUNCTION("IMPORTRANGE(""https://docs.google.com/spreadsheets/d/11923uPwbBZFjjGgGUA6NLw09EwE0CqkOc4q9oUmW1yo/edit?usp=sharing"",""อุตรดิตถ์!J348"")"),0)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IFERROR(__xludf.DUMMYFUNCTION("IMPORTRANGE(""https://docs.google.com/spreadsheets/d/11923uPwbBZFjjGgGUA6NLw09EwE0CqkOc4q9oUmW1yo/edit?usp=sharing"",""อุตรดิตถ์!J349"")"),0)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IFERROR(__xludf.DUMMYFUNCTION("IMPORTRANGE(""https://docs.google.com/spreadsheets/d/11923uPwbBZFjjGgGUA6NLw09EwE0CqkOc4q9oUmW1yo/edit?usp=sharing"",""อุตรดิตถ์!I350"")"),25853)</f>
        <v>25853</v>
      </c>
      <c r="J455" s="379">
        <f ca="1">IFERROR(__xludf.DUMMYFUNCTION("IMPORTRANGE(""https://docs.google.com/spreadsheets/d/11923uPwbBZFjjGgGUA6NLw09EwE0CqkOc4q9oUmW1yo/edit?usp=sharing"",""อุตรดิตถ์!J350"")"),0)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IFERROR(__xludf.DUMMYFUNCTION("IMPORTRANGE(""https://docs.google.com/spreadsheets/d/11923uPwbBZFjjGgGUA6NLw09EwE0CqkOc4q9oUmW1yo/edit?usp=sharing"",""อุตรดิตถ์!L350"")"),191927)</f>
        <v>191927</v>
      </c>
      <c r="M455" s="381"/>
      <c r="N455" s="381">
        <f ca="1">IFERROR(__xludf.DUMMYFUNCTION("IMPORTRANGE(""https://docs.google.com/spreadsheets/d/11923uPwbBZFjjGgGUA6NLw09EwE0CqkOc4q9oUmW1yo/edit?usp=sharing"",""อุตรดิตถ์!M350"")"),9888)</f>
        <v>9888</v>
      </c>
      <c r="O455" s="381">
        <f t="shared" ref="O455:O459" ca="1" si="116">+IF(L455&gt;0,N455*100/L455,0)</f>
        <v>5.15195881767547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IFERROR(__xludf.DUMMYFUNCTION("IMPORTRANGE(""https://docs.google.com/spreadsheets/d/11923uPwbBZFjjGgGUA6NLw09EwE0CqkOc4q9oUmW1yo/edit?usp=sharing"",""อุตรดิตถ์!L351"")"),0)</f>
        <v>0</v>
      </c>
      <c r="M456" s="172"/>
      <c r="N456" s="178">
        <f ca="1">IFERROR(__xludf.DUMMYFUNCTION("IMPORTRANGE(""https://docs.google.com/spreadsheets/d/11923uPwbBZFjjGgGUA6NLw09EwE0CqkOc4q9oUmW1yo/edit?usp=sharing"",""อุตรดิตถ์!M351"")"),0)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IFERROR(__xludf.DUMMYFUNCTION("IMPORTRANGE(""https://docs.google.com/spreadsheets/d/11923uPwbBZFjjGgGUA6NLw09EwE0CqkOc4q9oUmW1yo/edit?usp=sharing"",""อุตรดิตถ์!L352"")"),191927)</f>
        <v>191927</v>
      </c>
      <c r="M457" s="173"/>
      <c r="N457" s="178">
        <f ca="1">IFERROR(__xludf.DUMMYFUNCTION("IMPORTRANGE(""https://docs.google.com/spreadsheets/d/11923uPwbBZFjjGgGUA6NLw09EwE0CqkOc4q9oUmW1yo/edit?usp=sharing"",""อุตรดิตถ์!M352"")"),9888)</f>
        <v>9888</v>
      </c>
      <c r="O457" s="178">
        <f t="shared" ca="1" si="116"/>
        <v>5.15195881767547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IFERROR(__xludf.DUMMYFUNCTION("IMPORTRANGE(""https://docs.google.com/spreadsheets/d/11923uPwbBZFjjGgGUA6NLw09EwE0CqkOc4q9oUmW1yo/edit?usp=sharing"",""อุตรดิตถ์!L353"")"),0)</f>
        <v>0</v>
      </c>
      <c r="M458" s="178"/>
      <c r="N458" s="178">
        <f ca="1">IFERROR(__xludf.DUMMYFUNCTION("IMPORTRANGE(""https://docs.google.com/spreadsheets/d/11923uPwbBZFjjGgGUA6NLw09EwE0CqkOc4q9oUmW1yo/edit?usp=sharing"",""อุตรดิตถ์!M353"")"),0)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IFERROR(__xludf.DUMMYFUNCTION("IMPORTRANGE(""https://docs.google.com/spreadsheets/d/11923uPwbBZFjjGgGUA6NLw09EwE0CqkOc4q9oUmW1yo/edit?usp=sharing"",""อุตรดิตถ์!L354"")"),191927)</f>
        <v>191927</v>
      </c>
      <c r="M459" s="178"/>
      <c r="N459" s="178">
        <f ca="1">IFERROR(__xludf.DUMMYFUNCTION("IMPORTRANGE(""https://docs.google.com/spreadsheets/d/11923uPwbBZFjjGgGUA6NLw09EwE0CqkOc4q9oUmW1yo/edit?usp=sharing"",""อุตรดิตถ์!M354"")"),9888)</f>
        <v>9888</v>
      </c>
      <c r="O459" s="178">
        <f t="shared" ca="1" si="116"/>
        <v>5.15195881767547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IFERROR(__xludf.DUMMYFUNCTION("IMPORTRANGE(""https://docs.google.com/spreadsheets/d/11923uPwbBZFjjGgGUA6NLw09EwE0CqkOc4q9oUmW1yo/edit?usp=sharing"",""อุตรดิตถ์!M355"")"),0)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IFERROR(__xludf.DUMMYFUNCTION("IMPORTRANGE(""https://docs.google.com/spreadsheets/d/11923uPwbBZFjjGgGUA6NLw09EwE0CqkOc4q9oUmW1yo/edit?usp=sharing"",""อุตรดิตถ์!M356"")"),0)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IFERROR(__xludf.DUMMYFUNCTION("IMPORTRANGE(""https://docs.google.com/spreadsheets/d/11923uPwbBZFjjGgGUA6NLw09EwE0CqkOc4q9oUmW1yo/edit?usp=sharing"",""อุตรดิตถ์!M357"")"),0)</f>
        <v>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IFERROR(__xludf.DUMMYFUNCTION("IMPORTRANGE(""https://docs.google.com/spreadsheets/d/11923uPwbBZFjjGgGUA6NLw09EwE0CqkOc4q9oUmW1yo/edit?usp=sharing"",""อุตรดิตถ์!M358"")"),9888)</f>
        <v>9888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IFERROR(__xludf.DUMMYFUNCTION("IMPORTRANGE(""https://docs.google.com/spreadsheets/d/11923uPwbBZFjjGgGUA6NLw09EwE0CqkOc4q9oUmW1yo/edit?usp=sharing"",""อุตรดิตถ์!I359"")"),25853)</f>
        <v>25853</v>
      </c>
      <c r="J464" s="276">
        <f ca="1">IFERROR(__xludf.DUMMYFUNCTION("IMPORTRANGE(""https://docs.google.com/spreadsheets/d/11923uPwbBZFjjGgGUA6NLw09EwE0CqkOc4q9oUmW1yo/edit?usp=sharing"",""อุตรดิตถ์!J359"")"),0)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IFERROR(__xludf.DUMMYFUNCTION("IMPORTRANGE(""https://docs.google.com/spreadsheets/d/11923uPwbBZFjjGgGUA6NLw09EwE0CqkOc4q9oUmW1yo/edit?usp=sharing"",""อุตรดิตถ์!I360"")"),25853)</f>
        <v>25853</v>
      </c>
      <c r="J465" s="428">
        <f ca="1">IFERROR(__xludf.DUMMYFUNCTION("IMPORTRANGE(""https://docs.google.com/spreadsheets/d/11923uPwbBZFjjGgGUA6NLw09EwE0CqkOc4q9oUmW1yo/edit?usp=sharing"",""อุตรดิตถ์!J360"")"),0)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IFERROR(__xludf.DUMMYFUNCTION("IMPORTRANGE(""https://docs.google.com/spreadsheets/d/11923uPwbBZFjjGgGUA6NLw09EwE0CqkOc4q9oUmW1yo/edit?usp=sharing"",""อุตรดิตถ์!I361"")"),2764)</f>
        <v>2764</v>
      </c>
      <c r="J466" s="428">
        <f ca="1">IFERROR(__xludf.DUMMYFUNCTION("IMPORTRANGE(""https://docs.google.com/spreadsheets/d/11923uPwbBZFjjGgGUA6NLw09EwE0CqkOc4q9oUmW1yo/edit?usp=sharing"",""อุตรดิตถ์!J361"")"),0)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IFERROR(__xludf.DUMMYFUNCTION("IMPORTRANGE(""https://docs.google.com/spreadsheets/d/11923uPwbBZFjjGgGUA6NLw09EwE0CqkOc4q9oUmW1yo/edit?usp=sharing"",""อุตรดิตถ์!I362"")"),0)</f>
        <v>0</v>
      </c>
      <c r="J467" s="198">
        <f ca="1">IFERROR(__xludf.DUMMYFUNCTION("IMPORTRANGE(""https://docs.google.com/spreadsheets/d/11923uPwbBZFjjGgGUA6NLw09EwE0CqkOc4q9oUmW1yo/edit?usp=sharing"",""อุตรดิตถ์!J362"")"),0)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IFERROR(__xludf.DUMMYFUNCTION("IMPORTRANGE(""https://docs.google.com/spreadsheets/d/11923uPwbBZFjjGgGUA6NLw09EwE0CqkOc4q9oUmW1yo/edit?usp=sharing"",""อุตรดิตถ์!I363"")"),0)</f>
        <v>0</v>
      </c>
      <c r="J468" s="198">
        <f ca="1">IFERROR(__xludf.DUMMYFUNCTION("IMPORTRANGE(""https://docs.google.com/spreadsheets/d/11923uPwbBZFjjGgGUA6NLw09EwE0CqkOc4q9oUmW1yo/edit?usp=sharing"",""อุตรดิตถ์!J363"")"),0)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IFERROR(__xludf.DUMMYFUNCTION("IMPORTRANGE(""https://docs.google.com/spreadsheets/d/11923uPwbBZFjjGgGUA6NLw09EwE0CqkOc4q9oUmW1yo/edit?usp=sharing"",""อุตรดิตถ์!I364"")"),0)</f>
        <v>0</v>
      </c>
      <c r="J469" s="198">
        <f ca="1">IFERROR(__xludf.DUMMYFUNCTION("IMPORTRANGE(""https://docs.google.com/spreadsheets/d/11923uPwbBZFjjGgGUA6NLw09EwE0CqkOc4q9oUmW1yo/edit?usp=sharing"",""อุตรดิตถ์!J364"")"),0)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IFERROR(__xludf.DUMMYFUNCTION("IMPORTRANGE(""https://docs.google.com/spreadsheets/d/11923uPwbBZFjjGgGUA6NLw09EwE0CqkOc4q9oUmW1yo/edit?usp=sharing"",""อุตรดิตถ์!I365"")"),0)</f>
        <v>0</v>
      </c>
      <c r="J470" s="198">
        <f ca="1">IFERROR(__xludf.DUMMYFUNCTION("IMPORTRANGE(""https://docs.google.com/spreadsheets/d/11923uPwbBZFjjGgGUA6NLw09EwE0CqkOc4q9oUmW1yo/edit?usp=sharing"",""อุตรดิตถ์!J365"")"),0)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IFERROR(__xludf.DUMMYFUNCTION("IMPORTRANGE(""https://docs.google.com/spreadsheets/d/11923uPwbBZFjjGgGUA6NLw09EwE0CqkOc4q9oUmW1yo/edit?usp=sharing"",""อุตรดิตถ์!I366"")"),0)</f>
        <v>0</v>
      </c>
      <c r="J471" s="198">
        <f ca="1">IFERROR(__xludf.DUMMYFUNCTION("IMPORTRANGE(""https://docs.google.com/spreadsheets/d/11923uPwbBZFjjGgGUA6NLw09EwE0CqkOc4q9oUmW1yo/edit?usp=sharing"",""อุตรดิตถ์!J366"")"),0)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IFERROR(__xludf.DUMMYFUNCTION("IMPORTRANGE(""https://docs.google.com/spreadsheets/d/11923uPwbBZFjjGgGUA6NLw09EwE0CqkOc4q9oUmW1yo/edit?usp=sharing"",""อุตรดิตถ์!I367"")"),0)</f>
        <v>0</v>
      </c>
      <c r="J472" s="198">
        <f ca="1">IFERROR(__xludf.DUMMYFUNCTION("IMPORTRANGE(""https://docs.google.com/spreadsheets/d/11923uPwbBZFjjGgGUA6NLw09EwE0CqkOc4q9oUmW1yo/edit?usp=sharing"",""อุตรดิตถ์!J367"")"),0)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IFERROR(__xludf.DUMMYFUNCTION("IMPORTRANGE(""https://docs.google.com/spreadsheets/d/11923uPwbBZFjjGgGUA6NLw09EwE0CqkOc4q9oUmW1yo/edit?usp=sharing"",""อุตรดิตถ์!I368"")"),25853)</f>
        <v>25853</v>
      </c>
      <c r="J473" s="428">
        <f ca="1">IFERROR(__xludf.DUMMYFUNCTION("IMPORTRANGE(""https://docs.google.com/spreadsheets/d/11923uPwbBZFjjGgGUA6NLw09EwE0CqkOc4q9oUmW1yo/edit?usp=sharing"",""อุตรดิตถ์!J368"")"),0)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IFERROR(__xludf.DUMMYFUNCTION("IMPORTRANGE(""https://docs.google.com/spreadsheets/d/11923uPwbBZFjjGgGUA6NLw09EwE0CqkOc4q9oUmW1yo/edit?usp=sharing"",""อุตรดิตถ์!I369"")"),2764)</f>
        <v>2764</v>
      </c>
      <c r="J474" s="428">
        <f ca="1">IFERROR(__xludf.DUMMYFUNCTION("IMPORTRANGE(""https://docs.google.com/spreadsheets/d/11923uPwbBZFjjGgGUA6NLw09EwE0CqkOc4q9oUmW1yo/edit?usp=sharing"",""อุตรดิตถ์!J369"")"),0)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IFERROR(__xludf.DUMMYFUNCTION("IMPORTRANGE(""https://docs.google.com/spreadsheets/d/11923uPwbBZFjjGgGUA6NLw09EwE0CqkOc4q9oUmW1yo/edit?usp=sharing"",""อุตรดิตถ์!I370"")"),0)</f>
        <v>0</v>
      </c>
      <c r="J475" s="198">
        <f ca="1">IFERROR(__xludf.DUMMYFUNCTION("IMPORTRANGE(""https://docs.google.com/spreadsheets/d/11923uPwbBZFjjGgGUA6NLw09EwE0CqkOc4q9oUmW1yo/edit?usp=sharing"",""อุตรดิตถ์!J370"")"),0)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IFERROR(__xludf.DUMMYFUNCTION("IMPORTRANGE(""https://docs.google.com/spreadsheets/d/11923uPwbBZFjjGgGUA6NLw09EwE0CqkOc4q9oUmW1yo/edit?usp=sharing"",""อุตรดิตถ์!I371"")"),0)</f>
        <v>0</v>
      </c>
      <c r="J476" s="198">
        <f ca="1">IFERROR(__xludf.DUMMYFUNCTION("IMPORTRANGE(""https://docs.google.com/spreadsheets/d/11923uPwbBZFjjGgGUA6NLw09EwE0CqkOc4q9oUmW1yo/edit?usp=sharing"",""อุตรดิตถ์!J371"")"),0)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IFERROR(__xludf.DUMMYFUNCTION("IMPORTRANGE(""https://docs.google.com/spreadsheets/d/11923uPwbBZFjjGgGUA6NLw09EwE0CqkOc4q9oUmW1yo/edit?usp=sharing"",""อุตรดิตถ์!I372"")"),0)</f>
        <v>0</v>
      </c>
      <c r="J477" s="198">
        <f ca="1">IFERROR(__xludf.DUMMYFUNCTION("IMPORTRANGE(""https://docs.google.com/spreadsheets/d/11923uPwbBZFjjGgGUA6NLw09EwE0CqkOc4q9oUmW1yo/edit?usp=sharing"",""อุตรดิตถ์!J372"")"),0)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IFERROR(__xludf.DUMMYFUNCTION("IMPORTRANGE(""https://docs.google.com/spreadsheets/d/11923uPwbBZFjjGgGUA6NLw09EwE0CqkOc4q9oUmW1yo/edit?usp=sharing"",""อุตรดิตถ์!I373"")"),0)</f>
        <v>0</v>
      </c>
      <c r="J478" s="198">
        <f ca="1">IFERROR(__xludf.DUMMYFUNCTION("IMPORTRANGE(""https://docs.google.com/spreadsheets/d/11923uPwbBZFjjGgGUA6NLw09EwE0CqkOc4q9oUmW1yo/edit?usp=sharing"",""อุตรดิตถ์!J373"")"),0)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IFERROR(__xludf.DUMMYFUNCTION("IMPORTRANGE(""https://docs.google.com/spreadsheets/d/11923uPwbBZFjjGgGUA6NLw09EwE0CqkOc4q9oUmW1yo/edit?usp=sharing"",""อุตรดิตถ์!I374"")"),0)</f>
        <v>0</v>
      </c>
      <c r="J479" s="198">
        <f ca="1">IFERROR(__xludf.DUMMYFUNCTION("IMPORTRANGE(""https://docs.google.com/spreadsheets/d/11923uPwbBZFjjGgGUA6NLw09EwE0CqkOc4q9oUmW1yo/edit?usp=sharing"",""อุตรดิตถ์!J374"")"),0)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IFERROR(__xludf.DUMMYFUNCTION("IMPORTRANGE(""https://docs.google.com/spreadsheets/d/11923uPwbBZFjjGgGUA6NLw09EwE0CqkOc4q9oUmW1yo/edit?usp=sharing"",""อุตรดิตถ์!I375"")"),0)</f>
        <v>0</v>
      </c>
      <c r="J480" s="198">
        <f ca="1">IFERROR(__xludf.DUMMYFUNCTION("IMPORTRANGE(""https://docs.google.com/spreadsheets/d/11923uPwbBZFjjGgGUA6NLw09EwE0CqkOc4q9oUmW1yo/edit?usp=sharing"",""อุตรดิตถ์!J375"")"),0)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IFERROR(__xludf.DUMMYFUNCTION("IMPORTRANGE(""https://docs.google.com/spreadsheets/d/11923uPwbBZFjjGgGUA6NLw09EwE0CqkOc4q9oUmW1yo/edit?usp=sharing"",""อุตรดิตถ์!I376"")"),25853)</f>
        <v>25853</v>
      </c>
      <c r="J481" s="428">
        <f ca="1">IFERROR(__xludf.DUMMYFUNCTION("IMPORTRANGE(""https://docs.google.com/spreadsheets/d/11923uPwbBZFjjGgGUA6NLw09EwE0CqkOc4q9oUmW1yo/edit?usp=sharing"",""อุตรดิตถ์!J376"")"),0)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IFERROR(__xludf.DUMMYFUNCTION("IMPORTRANGE(""https://docs.google.com/spreadsheets/d/11923uPwbBZFjjGgGUA6NLw09EwE0CqkOc4q9oUmW1yo/edit?usp=sharing"",""อุตรดิตถ์!I377"")"),2764)</f>
        <v>2764</v>
      </c>
      <c r="J482" s="428">
        <f ca="1">IFERROR(__xludf.DUMMYFUNCTION("IMPORTRANGE(""https://docs.google.com/spreadsheets/d/11923uPwbBZFjjGgGUA6NLw09EwE0CqkOc4q9oUmW1yo/edit?usp=sharing"",""อุตรดิตถ์!J377"")"),0)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IFERROR(__xludf.DUMMYFUNCTION("IMPORTRANGE(""https://docs.google.com/spreadsheets/d/11923uPwbBZFjjGgGUA6NLw09EwE0CqkOc4q9oUmW1yo/edit?usp=sharing"",""อุตรดิตถ์!I378"")"),0)</f>
        <v>0</v>
      </c>
      <c r="J483" s="198">
        <f ca="1">IFERROR(__xludf.DUMMYFUNCTION("IMPORTRANGE(""https://docs.google.com/spreadsheets/d/11923uPwbBZFjjGgGUA6NLw09EwE0CqkOc4q9oUmW1yo/edit?usp=sharing"",""อุตรดิตถ์!J378"")"),0)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IFERROR(__xludf.DUMMYFUNCTION("IMPORTRANGE(""https://docs.google.com/spreadsheets/d/11923uPwbBZFjjGgGUA6NLw09EwE0CqkOc4q9oUmW1yo/edit?usp=sharing"",""อุตรดิตถ์!I379"")"),0)</f>
        <v>0</v>
      </c>
      <c r="J484" s="198">
        <f ca="1">IFERROR(__xludf.DUMMYFUNCTION("IMPORTRANGE(""https://docs.google.com/spreadsheets/d/11923uPwbBZFjjGgGUA6NLw09EwE0CqkOc4q9oUmW1yo/edit?usp=sharing"",""อุตรดิตถ์!J379"")"),0)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IFERROR(__xludf.DUMMYFUNCTION("IMPORTRANGE(""https://docs.google.com/spreadsheets/d/11923uPwbBZFjjGgGUA6NLw09EwE0CqkOc4q9oUmW1yo/edit?usp=sharing"",""อุตรดิตถ์!I380"")"),0)</f>
        <v>0</v>
      </c>
      <c r="J485" s="198">
        <f ca="1">IFERROR(__xludf.DUMMYFUNCTION("IMPORTRANGE(""https://docs.google.com/spreadsheets/d/11923uPwbBZFjjGgGUA6NLw09EwE0CqkOc4q9oUmW1yo/edit?usp=sharing"",""อุตรดิตถ์!J380"")"),0)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IFERROR(__xludf.DUMMYFUNCTION("IMPORTRANGE(""https://docs.google.com/spreadsheets/d/11923uPwbBZFjjGgGUA6NLw09EwE0CqkOc4q9oUmW1yo/edit?usp=sharing"",""อุตรดิตถ์!I381"")"),0)</f>
        <v>0</v>
      </c>
      <c r="J486" s="198">
        <f ca="1">IFERROR(__xludf.DUMMYFUNCTION("IMPORTRANGE(""https://docs.google.com/spreadsheets/d/11923uPwbBZFjjGgGUA6NLw09EwE0CqkOc4q9oUmW1yo/edit?usp=sharing"",""อุตรดิตถ์!J381"")"),0)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IFERROR(__xludf.DUMMYFUNCTION("IMPORTRANGE(""https://docs.google.com/spreadsheets/d/11923uPwbBZFjjGgGUA6NLw09EwE0CqkOc4q9oUmW1yo/edit?usp=sharing"",""อุตรดิตถ์!I382"")"),0)</f>
        <v>0</v>
      </c>
      <c r="J487" s="428">
        <f ca="1">IFERROR(__xludf.DUMMYFUNCTION("IMPORTRANGE(""https://docs.google.com/spreadsheets/d/11923uPwbBZFjjGgGUA6NLw09EwE0CqkOc4q9oUmW1yo/edit?usp=sharing"",""อุตรดิตถ์!J382"")"),0)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IFERROR(__xludf.DUMMYFUNCTION("IMPORTRANGE(""https://docs.google.com/spreadsheets/d/11923uPwbBZFjjGgGUA6NLw09EwE0CqkOc4q9oUmW1yo/edit?usp=sharing"",""อุตรดิตถ์!I383"")"),0)</f>
        <v>0</v>
      </c>
      <c r="J488" s="428">
        <f ca="1">IFERROR(__xludf.DUMMYFUNCTION("IMPORTRANGE(""https://docs.google.com/spreadsheets/d/11923uPwbBZFjjGgGUA6NLw09EwE0CqkOc4q9oUmW1yo/edit?usp=sharing"",""อุตรดิตถ์!J383"")"),0)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IFERROR(__xludf.DUMMYFUNCTION("IMPORTRANGE(""https://docs.google.com/spreadsheets/d/11923uPwbBZFjjGgGUA6NLw09EwE0CqkOc4q9oUmW1yo/edit?usp=sharing"",""อุตรดิตถ์!I384"")"),0)</f>
        <v>0</v>
      </c>
      <c r="J489" s="198">
        <f ca="1">IFERROR(__xludf.DUMMYFUNCTION("IMPORTRANGE(""https://docs.google.com/spreadsheets/d/11923uPwbBZFjjGgGUA6NLw09EwE0CqkOc4q9oUmW1yo/edit?usp=sharing"",""อุตรดิตถ์!J384"")"),0)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IFERROR(__xludf.DUMMYFUNCTION("IMPORTRANGE(""https://docs.google.com/spreadsheets/d/11923uPwbBZFjjGgGUA6NLw09EwE0CqkOc4q9oUmW1yo/edit?usp=sharing"",""อุตรดิตถ์!I385"")"),0)</f>
        <v>0</v>
      </c>
      <c r="J490" s="198">
        <f ca="1">IFERROR(__xludf.DUMMYFUNCTION("IMPORTRANGE(""https://docs.google.com/spreadsheets/d/11923uPwbBZFjjGgGUA6NLw09EwE0CqkOc4q9oUmW1yo/edit?usp=sharing"",""อุตรดิตถ์!J385"")"),0)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IFERROR(__xludf.DUMMYFUNCTION("IMPORTRANGE(""https://docs.google.com/spreadsheets/d/11923uPwbBZFjjGgGUA6NLw09EwE0CqkOc4q9oUmW1yo/edit?usp=sharing"",""อุตรดิตถ์!I386"")"),0)</f>
        <v>0</v>
      </c>
      <c r="J491" s="198">
        <f ca="1">IFERROR(__xludf.DUMMYFUNCTION("IMPORTRANGE(""https://docs.google.com/spreadsheets/d/11923uPwbBZFjjGgGUA6NLw09EwE0CqkOc4q9oUmW1yo/edit?usp=sharing"",""อุตรดิตถ์!J386"")"),0)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IFERROR(__xludf.DUMMYFUNCTION("IMPORTRANGE(""https://docs.google.com/spreadsheets/d/11923uPwbBZFjjGgGUA6NLw09EwE0CqkOc4q9oUmW1yo/edit?usp=sharing"",""อุตรดิตถ์!I387"")"),0)</f>
        <v>0</v>
      </c>
      <c r="J492" s="198">
        <f ca="1">IFERROR(__xludf.DUMMYFUNCTION("IMPORTRANGE(""https://docs.google.com/spreadsheets/d/11923uPwbBZFjjGgGUA6NLw09EwE0CqkOc4q9oUmW1yo/edit?usp=sharing"",""อุตรดิตถ์!J387"")"),0)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IFERROR(__xludf.DUMMYFUNCTION("IMPORTRANGE(""https://docs.google.com/spreadsheets/d/11923uPwbBZFjjGgGUA6NLw09EwE0CqkOc4q9oUmW1yo/edit?usp=sharing"",""อุตรดิตถ์!I388"")"),0)</f>
        <v>0</v>
      </c>
      <c r="J493" s="198">
        <f ca="1">IFERROR(__xludf.DUMMYFUNCTION("IMPORTRANGE(""https://docs.google.com/spreadsheets/d/11923uPwbBZFjjGgGUA6NLw09EwE0CqkOc4q9oUmW1yo/edit?usp=sharing"",""อุตรดิตถ์!J388"")"),0)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IFERROR(__xludf.DUMMYFUNCTION("IMPORTRANGE(""https://docs.google.com/spreadsheets/d/11923uPwbBZFjjGgGUA6NLw09EwE0CqkOc4q9oUmW1yo/edit?usp=sharing"",""อุตรดิตถ์!I389"")"),0)</f>
        <v>0</v>
      </c>
      <c r="J494" s="444">
        <f ca="1">IFERROR(__xludf.DUMMYFUNCTION("IMPORTRANGE(""https://docs.google.com/spreadsheets/d/11923uPwbBZFjjGgGUA6NLw09EwE0CqkOc4q9oUmW1yo/edit?usp=sharing"",""อุตรดิตถ์!J389"")"),0)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IFERROR(__xludf.DUMMYFUNCTION("IMPORTRANGE(""https://docs.google.com/spreadsheets/d/11923uPwbBZFjjGgGUA6NLw09EwE0CqkOc4q9oUmW1yo/edit?usp=sharing"",""อุตรดิตถ์!I390"")"),0)</f>
        <v>0</v>
      </c>
      <c r="J495" s="444">
        <f ca="1">IFERROR(__xludf.DUMMYFUNCTION("IMPORTRANGE(""https://docs.google.com/spreadsheets/d/11923uPwbBZFjjGgGUA6NLw09EwE0CqkOc4q9oUmW1yo/edit?usp=sharing"",""อุตรดิตถ์!J390"")"),0)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IFERROR(__xludf.DUMMYFUNCTION("IMPORTRANGE(""https://docs.google.com/spreadsheets/d/11923uPwbBZFjjGgGUA6NLw09EwE0CqkOc4q9oUmW1yo/edit?usp=sharing"",""อุตรดิตถ์!I391"")"),0)</f>
        <v>0</v>
      </c>
      <c r="J496" s="444">
        <f ca="1">IFERROR(__xludf.DUMMYFUNCTION("IMPORTRANGE(""https://docs.google.com/spreadsheets/d/11923uPwbBZFjjGgGUA6NLw09EwE0CqkOc4q9oUmW1yo/edit?usp=sharing"",""อุตรดิตถ์!J391"")"),0)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IFERROR(__xludf.DUMMYFUNCTION("IMPORTRANGE(""https://docs.google.com/spreadsheets/d/11923uPwbBZFjjGgGUA6NLw09EwE0CqkOc4q9oUmW1yo/edit?usp=sharing"",""อุตรดิตถ์!I392"")"),46)</f>
        <v>46</v>
      </c>
      <c r="J497" s="451">
        <f ca="1">IFERROR(__xludf.DUMMYFUNCTION("IMPORTRANGE(""https://docs.google.com/spreadsheets/d/11923uPwbBZFjjGgGUA6NLw09EwE0CqkOc4q9oUmW1yo/edit?usp=sharing"",""อุตรดิตถ์!J392"")"),0)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IFERROR(__xludf.DUMMYFUNCTION("IMPORTRANGE(""https://docs.google.com/spreadsheets/d/11923uPwbBZFjjGgGUA6NLw09EwE0CqkOc4q9oUmW1yo/edit?usp=sharing"",""อุตรดิตถ์!I393"")"),46)</f>
        <v>46</v>
      </c>
      <c r="J498" s="428">
        <f ca="1">IFERROR(__xludf.DUMMYFUNCTION("IMPORTRANGE(""https://docs.google.com/spreadsheets/d/11923uPwbBZFjjGgGUA6NLw09EwE0CqkOc4q9oUmW1yo/edit?usp=sharing"",""อุตรดิตถ์!J393"")"),0)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IFERROR(__xludf.DUMMYFUNCTION("IMPORTRANGE(""https://docs.google.com/spreadsheets/d/11923uPwbBZFjjGgGUA6NLw09EwE0CqkOc4q9oUmW1yo/edit?usp=sharing"",""อุตรดิตถ์!I394"")"),8)</f>
        <v>8</v>
      </c>
      <c r="J499" s="428">
        <f ca="1">IFERROR(__xludf.DUMMYFUNCTION("IMPORTRANGE(""https://docs.google.com/spreadsheets/d/11923uPwbBZFjjGgGUA6NLw09EwE0CqkOc4q9oUmW1yo/edit?usp=sharing"",""อุตรดิตถ์!J394"")"),0)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IFERROR(__xludf.DUMMYFUNCTION("IMPORTRANGE(""https://docs.google.com/spreadsheets/d/11923uPwbBZFjjGgGUA6NLw09EwE0CqkOc4q9oUmW1yo/edit?usp=sharing"",""อุตรดิตถ์!I395"")"),0)</f>
        <v>0</v>
      </c>
      <c r="J500" s="170">
        <f ca="1">IFERROR(__xludf.DUMMYFUNCTION("IMPORTRANGE(""https://docs.google.com/spreadsheets/d/11923uPwbBZFjjGgGUA6NLw09EwE0CqkOc4q9oUmW1yo/edit?usp=sharing"",""อุตรดิตถ์!J395"")"),0)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IFERROR(__xludf.DUMMYFUNCTION("IMPORTRANGE(""https://docs.google.com/spreadsheets/d/11923uPwbBZFjjGgGUA6NLw09EwE0CqkOc4q9oUmW1yo/edit?usp=sharing"",""อุตรดิตถ์!I396"")"),0)</f>
        <v>0</v>
      </c>
      <c r="J501" s="170">
        <f ca="1">IFERROR(__xludf.DUMMYFUNCTION("IMPORTRANGE(""https://docs.google.com/spreadsheets/d/11923uPwbBZFjjGgGUA6NLw09EwE0CqkOc4q9oUmW1yo/edit?usp=sharing"",""อุตรดิตถ์!J396"")"),0)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IFERROR(__xludf.DUMMYFUNCTION("IMPORTRANGE(""https://docs.google.com/spreadsheets/d/11923uPwbBZFjjGgGUA6NLw09EwE0CqkOc4q9oUmW1yo/edit?usp=sharing"",""อุตรดิตถ์!I397"")"),0)</f>
        <v>0</v>
      </c>
      <c r="J502" s="198">
        <f ca="1">IFERROR(__xludf.DUMMYFUNCTION("IMPORTRANGE(""https://docs.google.com/spreadsheets/d/11923uPwbBZFjjGgGUA6NLw09EwE0CqkOc4q9oUmW1yo/edit?usp=sharing"",""อุตรดิตถ์!J397"")"),0)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IFERROR(__xludf.DUMMYFUNCTION("IMPORTRANGE(""https://docs.google.com/spreadsheets/d/11923uPwbBZFjjGgGUA6NLw09EwE0CqkOc4q9oUmW1yo/edit?usp=sharing"",""อุตรดิตถ์!I398"")"),0)</f>
        <v>0</v>
      </c>
      <c r="J503" s="207">
        <f ca="1">IFERROR(__xludf.DUMMYFUNCTION("IMPORTRANGE(""https://docs.google.com/spreadsheets/d/11923uPwbBZFjjGgGUA6NLw09EwE0CqkOc4q9oUmW1yo/edit?usp=sharing"",""อุตรดิตถ์!J398"")"),0)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IFERROR(__xludf.DUMMYFUNCTION("IMPORTRANGE(""https://docs.google.com/spreadsheets/d/11923uPwbBZFjjGgGUA6NLw09EwE0CqkOc4q9oUmW1yo/edit?usp=sharing"",""อุตรดิตถ์!I399"")"),0)</f>
        <v>0</v>
      </c>
      <c r="J504" s="198">
        <f ca="1">IFERROR(__xludf.DUMMYFUNCTION("IMPORTRANGE(""https://docs.google.com/spreadsheets/d/11923uPwbBZFjjGgGUA6NLw09EwE0CqkOc4q9oUmW1yo/edit?usp=sharing"",""อุตรดิตถ์!J399"")"),0)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IFERROR(__xludf.DUMMYFUNCTION("IMPORTRANGE(""https://docs.google.com/spreadsheets/d/11923uPwbBZFjjGgGUA6NLw09EwE0CqkOc4q9oUmW1yo/edit?usp=sharing"",""อุตรดิตถ์!I400"")"),0)</f>
        <v>0</v>
      </c>
      <c r="J505" s="207">
        <f ca="1">IFERROR(__xludf.DUMMYFUNCTION("IMPORTRANGE(""https://docs.google.com/spreadsheets/d/11923uPwbBZFjjGgGUA6NLw09EwE0CqkOc4q9oUmW1yo/edit?usp=sharing"",""อุตรดิตถ์!J400"")"),0)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IFERROR(__xludf.DUMMYFUNCTION("IMPORTRANGE(""https://docs.google.com/spreadsheets/d/11923uPwbBZFjjGgGUA6NLw09EwE0CqkOc4q9oUmW1yo/edit?usp=sharing"",""อุตรดิตถ์!I401"")"),0)</f>
        <v>0</v>
      </c>
      <c r="J506" s="198">
        <f ca="1">IFERROR(__xludf.DUMMYFUNCTION("IMPORTRANGE(""https://docs.google.com/spreadsheets/d/11923uPwbBZFjjGgGUA6NLw09EwE0CqkOc4q9oUmW1yo/edit?usp=sharing"",""อุตรดิตถ์!J401"")"),0)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IFERROR(__xludf.DUMMYFUNCTION("IMPORTRANGE(""https://docs.google.com/spreadsheets/d/11923uPwbBZFjjGgGUA6NLw09EwE0CqkOc4q9oUmW1yo/edit?usp=sharing"",""อุตรดิตถ์!I402"")"),0)</f>
        <v>0</v>
      </c>
      <c r="J507" s="207">
        <f ca="1">IFERROR(__xludf.DUMMYFUNCTION("IMPORTRANGE(""https://docs.google.com/spreadsheets/d/11923uPwbBZFjjGgGUA6NLw09EwE0CqkOc4q9oUmW1yo/edit?usp=sharing"",""อุตรดิตถ์!J402"")"),0)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IFERROR(__xludf.DUMMYFUNCTION("IMPORTRANGE(""https://docs.google.com/spreadsheets/d/11923uPwbBZFjjGgGUA6NLw09EwE0CqkOc4q9oUmW1yo/edit?usp=sharing"",""อุตรดิตถ์!I403"")"),0)</f>
        <v>0</v>
      </c>
      <c r="J508" s="170">
        <f ca="1">IFERROR(__xludf.DUMMYFUNCTION("IMPORTRANGE(""https://docs.google.com/spreadsheets/d/11923uPwbBZFjjGgGUA6NLw09EwE0CqkOc4q9oUmW1yo/edit?usp=sharing"",""อุตรดิตถ์!J403"")"),0)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IFERROR(__xludf.DUMMYFUNCTION("IMPORTRANGE(""https://docs.google.com/spreadsheets/d/11923uPwbBZFjjGgGUA6NLw09EwE0CqkOc4q9oUmW1yo/edit?usp=sharing"",""อุตรดิตถ์!I404"")"),0)</f>
        <v>0</v>
      </c>
      <c r="J509" s="170">
        <f ca="1">IFERROR(__xludf.DUMMYFUNCTION("IMPORTRANGE(""https://docs.google.com/spreadsheets/d/11923uPwbBZFjjGgGUA6NLw09EwE0CqkOc4q9oUmW1yo/edit?usp=sharing"",""อุตรดิตถ์!J404"")"),0)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IFERROR(__xludf.DUMMYFUNCTION("IMPORTRANGE(""https://docs.google.com/spreadsheets/d/11923uPwbBZFjjGgGUA6NLw09EwE0CqkOc4q9oUmW1yo/edit?usp=sharing"",""อุตรดิตถ์!I405"")"),0)</f>
        <v>0</v>
      </c>
      <c r="J510" s="207">
        <f ca="1">IFERROR(__xludf.DUMMYFUNCTION("IMPORTRANGE(""https://docs.google.com/spreadsheets/d/11923uPwbBZFjjGgGUA6NLw09EwE0CqkOc4q9oUmW1yo/edit?usp=sharing"",""อุตรดิตถ์!J405"")"),0)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IFERROR(__xludf.DUMMYFUNCTION("IMPORTRANGE(""https://docs.google.com/spreadsheets/d/11923uPwbBZFjjGgGUA6NLw09EwE0CqkOc4q9oUmW1yo/edit?usp=sharing"",""อุตรดิตถ์!I406"")"),0)</f>
        <v>0</v>
      </c>
      <c r="J511" s="207">
        <f ca="1">IFERROR(__xludf.DUMMYFUNCTION("IMPORTRANGE(""https://docs.google.com/spreadsheets/d/11923uPwbBZFjjGgGUA6NLw09EwE0CqkOc4q9oUmW1yo/edit?usp=sharing"",""อุตรดิตถ์!J406"")"),0)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IFERROR(__xludf.DUMMYFUNCTION("IMPORTRANGE(""https://docs.google.com/spreadsheets/d/11923uPwbBZFjjGgGUA6NLw09EwE0CqkOc4q9oUmW1yo/edit?usp=sharing"",""อุตรดิตถ์!I407"")"),0)</f>
        <v>0</v>
      </c>
      <c r="J512" s="207">
        <f ca="1">IFERROR(__xludf.DUMMYFUNCTION("IMPORTRANGE(""https://docs.google.com/spreadsheets/d/11923uPwbBZFjjGgGUA6NLw09EwE0CqkOc4q9oUmW1yo/edit?usp=sharing"",""อุตรดิตถ์!J407"")"),0)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IFERROR(__xludf.DUMMYFUNCTION("IMPORTRANGE(""https://docs.google.com/spreadsheets/d/11923uPwbBZFjjGgGUA6NLw09EwE0CqkOc4q9oUmW1yo/edit?usp=sharing"",""อุตรดิตถ์!I408"")"),0)</f>
        <v>0</v>
      </c>
      <c r="J513" s="207">
        <f ca="1">IFERROR(__xludf.DUMMYFUNCTION("IMPORTRANGE(""https://docs.google.com/spreadsheets/d/11923uPwbBZFjjGgGUA6NLw09EwE0CqkOc4q9oUmW1yo/edit?usp=sharing"",""อุตรดิตถ์!J408"")"),0)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IFERROR(__xludf.DUMMYFUNCTION("IMPORTRANGE(""https://docs.google.com/spreadsheets/d/11923uPwbBZFjjGgGUA6NLw09EwE0CqkOc4q9oUmW1yo/edit?usp=sharing"",""อุตรดิตถ์!I409"")"),0)</f>
        <v>0</v>
      </c>
      <c r="J514" s="207">
        <f ca="1">IFERROR(__xludf.DUMMYFUNCTION("IMPORTRANGE(""https://docs.google.com/spreadsheets/d/11923uPwbBZFjjGgGUA6NLw09EwE0CqkOc4q9oUmW1yo/edit?usp=sharing"",""อุตรดิตถ์!J409"")"),0)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IFERROR(__xludf.DUMMYFUNCTION("IMPORTRANGE(""https://docs.google.com/spreadsheets/d/11923uPwbBZFjjGgGUA6NLw09EwE0CqkOc4q9oUmW1yo/edit?usp=sharing"",""อุตรดิตถ์!I410"")"),0)</f>
        <v>0</v>
      </c>
      <c r="J515" s="207">
        <f ca="1">IFERROR(__xludf.DUMMYFUNCTION("IMPORTRANGE(""https://docs.google.com/spreadsheets/d/11923uPwbBZFjjGgGUA6NLw09EwE0CqkOc4q9oUmW1yo/edit?usp=sharing"",""อุตรดิตถ์!J410"")"),0)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IFERROR(__xludf.DUMMYFUNCTION("IMPORTRANGE(""https://docs.google.com/spreadsheets/d/11923uPwbBZFjjGgGUA6NLw09EwE0CqkOc4q9oUmW1yo/edit?usp=sharing"",""อุตรดิตถ์!I411"")"),0)</f>
        <v>0</v>
      </c>
      <c r="J516" s="276">
        <f ca="1">IFERROR(__xludf.DUMMYFUNCTION("IMPORTRANGE(""https://docs.google.com/spreadsheets/d/11923uPwbBZFjjGgGUA6NLw09EwE0CqkOc4q9oUmW1yo/edit?usp=sharing"",""อุตรดิตถ์!J411"")"),0)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IFERROR(__xludf.DUMMYFUNCTION("IMPORTRANGE(""https://docs.google.com/spreadsheets/d/11923uPwbBZFjjGgGUA6NLw09EwE0CqkOc4q9oUmW1yo/edit?usp=sharing"",""อุตรดิตถ์!I412"")"),0)</f>
        <v>0</v>
      </c>
      <c r="J517" s="292">
        <f ca="1">IFERROR(__xludf.DUMMYFUNCTION("IMPORTRANGE(""https://docs.google.com/spreadsheets/d/11923uPwbBZFjjGgGUA6NLw09EwE0CqkOc4q9oUmW1yo/edit?usp=sharing"",""อุตรดิตถ์!J412"")"),0)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IFERROR(__xludf.DUMMYFUNCTION("IMPORTRANGE(""https://docs.google.com/spreadsheets/d/11923uPwbBZFjjGgGUA6NLw09EwE0CqkOc4q9oUmW1yo/edit?usp=sharing"",""อุตรดิตถ์!I413"")"),0)</f>
        <v>0</v>
      </c>
      <c r="J518" s="292">
        <f ca="1">IFERROR(__xludf.DUMMYFUNCTION("IMPORTRANGE(""https://docs.google.com/spreadsheets/d/11923uPwbBZFjjGgGUA6NLw09EwE0CqkOc4q9oUmW1yo/edit?usp=sharing"",""อุตรดิตถ์!J413"")"),0)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IFERROR(__xludf.DUMMYFUNCTION("IMPORTRANGE(""https://docs.google.com/spreadsheets/d/11923uPwbBZFjjGgGUA6NLw09EwE0CqkOc4q9oUmW1yo/edit?usp=sharing"",""อุตรดิตถ์!I414"")"),0)</f>
        <v>0</v>
      </c>
      <c r="J519" s="197">
        <f ca="1">IFERROR(__xludf.DUMMYFUNCTION("IMPORTRANGE(""https://docs.google.com/spreadsheets/d/11923uPwbBZFjjGgGUA6NLw09EwE0CqkOc4q9oUmW1yo/edit?usp=sharing"",""อุตรดิตถ์!J414"")"),0)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IFERROR(__xludf.DUMMYFUNCTION("IMPORTRANGE(""https://docs.google.com/spreadsheets/d/11923uPwbBZFjjGgGUA6NLw09EwE0CqkOc4q9oUmW1yo/edit?usp=sharing"",""อุตรดิตถ์!I415"")"),0)</f>
        <v>0</v>
      </c>
      <c r="J520" s="197">
        <f ca="1">IFERROR(__xludf.DUMMYFUNCTION("IMPORTRANGE(""https://docs.google.com/spreadsheets/d/11923uPwbBZFjjGgGUA6NLw09EwE0CqkOc4q9oUmW1yo/edit?usp=sharing"",""อุตรดิตถ์!J415"")"),0)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IFERROR(__xludf.DUMMYFUNCTION("IMPORTRANGE(""https://docs.google.com/spreadsheets/d/11923uPwbBZFjjGgGUA6NLw09EwE0CqkOc4q9oUmW1yo/edit?usp=sharing"",""อุตรดิตถ์!I416"")"),0)</f>
        <v>0</v>
      </c>
      <c r="J521" s="197">
        <f ca="1">IFERROR(__xludf.DUMMYFUNCTION("IMPORTRANGE(""https://docs.google.com/spreadsheets/d/11923uPwbBZFjjGgGUA6NLw09EwE0CqkOc4q9oUmW1yo/edit?usp=sharing"",""อุตรดิตถ์!J416"")"),0)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IFERROR(__xludf.DUMMYFUNCTION("IMPORTRANGE(""https://docs.google.com/spreadsheets/d/11923uPwbBZFjjGgGUA6NLw09EwE0CqkOc4q9oUmW1yo/edit?usp=sharing"",""อุตรดิตถ์!I417"")"),0)</f>
        <v>0</v>
      </c>
      <c r="J522" s="197">
        <f ca="1">IFERROR(__xludf.DUMMYFUNCTION("IMPORTRANGE(""https://docs.google.com/spreadsheets/d/11923uPwbBZFjjGgGUA6NLw09EwE0CqkOc4q9oUmW1yo/edit?usp=sharing"",""อุตรดิตถ์!J417"")"),0)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IFERROR(__xludf.DUMMYFUNCTION("IMPORTRANGE(""https://docs.google.com/spreadsheets/d/11923uPwbBZFjjGgGUA6NLw09EwE0CqkOc4q9oUmW1yo/edit?usp=sharing"",""อุตรดิตถ์!I418"")"),0)</f>
        <v>0</v>
      </c>
      <c r="J523" s="197">
        <f ca="1">IFERROR(__xludf.DUMMYFUNCTION("IMPORTRANGE(""https://docs.google.com/spreadsheets/d/11923uPwbBZFjjGgGUA6NLw09EwE0CqkOc4q9oUmW1yo/edit?usp=sharing"",""อุตรดิตถ์!J418"")"),0)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IFERROR(__xludf.DUMMYFUNCTION("IMPORTRANGE(""https://docs.google.com/spreadsheets/d/11923uPwbBZFjjGgGUA6NLw09EwE0CqkOc4q9oUmW1yo/edit?usp=sharing"",""อุตรดิตถ์!I419"")"),0)</f>
        <v>0</v>
      </c>
      <c r="J524" s="197">
        <f ca="1">IFERROR(__xludf.DUMMYFUNCTION("IMPORTRANGE(""https://docs.google.com/spreadsheets/d/11923uPwbBZFjjGgGUA6NLw09EwE0CqkOc4q9oUmW1yo/edit?usp=sharing"",""อุตรดิตถ์!J419"")"),0)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IFERROR(__xludf.DUMMYFUNCTION("IMPORTRANGE(""https://docs.google.com/spreadsheets/d/11923uPwbBZFjjGgGUA6NLw09EwE0CqkOc4q9oUmW1yo/edit?usp=sharing"",""อุตรดิตถ์!I420"")"),0)</f>
        <v>0</v>
      </c>
      <c r="J525" s="292">
        <f ca="1">IFERROR(__xludf.DUMMYFUNCTION("IMPORTRANGE(""https://docs.google.com/spreadsheets/d/11923uPwbBZFjjGgGUA6NLw09EwE0CqkOc4q9oUmW1yo/edit?usp=sharing"",""อุตรดิตถ์!J420"")"),0)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IFERROR(__xludf.DUMMYFUNCTION("IMPORTRANGE(""https://docs.google.com/spreadsheets/d/11923uPwbBZFjjGgGUA6NLw09EwE0CqkOc4q9oUmW1yo/edit?usp=sharing"",""อุตรดิตถ์!I421"")"),0)</f>
        <v>0</v>
      </c>
      <c r="J526" s="292">
        <f ca="1">IFERROR(__xludf.DUMMYFUNCTION("IMPORTRANGE(""https://docs.google.com/spreadsheets/d/11923uPwbBZFjjGgGUA6NLw09EwE0CqkOc4q9oUmW1yo/edit?usp=sharing"",""อุตรดิตถ์!J421"")"),0)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IFERROR(__xludf.DUMMYFUNCTION("IMPORTRANGE(""https://docs.google.com/spreadsheets/d/11923uPwbBZFjjGgGUA6NLw09EwE0CqkOc4q9oUmW1yo/edit?usp=sharing"",""อุตรดิตถ์!I422"")"),0)</f>
        <v>0</v>
      </c>
      <c r="J527" s="207">
        <f ca="1">IFERROR(__xludf.DUMMYFUNCTION("IMPORTRANGE(""https://docs.google.com/spreadsheets/d/11923uPwbBZFjjGgGUA6NLw09EwE0CqkOc4q9oUmW1yo/edit?usp=sharing"",""อุตรดิตถ์!J422"")"),0)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IFERROR(__xludf.DUMMYFUNCTION("IMPORTRANGE(""https://docs.google.com/spreadsheets/d/11923uPwbBZFjjGgGUA6NLw09EwE0CqkOc4q9oUmW1yo/edit?usp=sharing"",""อุตรดิตถ์!I423"")"),0)</f>
        <v>0</v>
      </c>
      <c r="J528" s="207">
        <f ca="1">IFERROR(__xludf.DUMMYFUNCTION("IMPORTRANGE(""https://docs.google.com/spreadsheets/d/11923uPwbBZFjjGgGUA6NLw09EwE0CqkOc4q9oUmW1yo/edit?usp=sharing"",""อุตรดิตถ์!J423"")"),0)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IFERROR(__xludf.DUMMYFUNCTION("IMPORTRANGE(""https://docs.google.com/spreadsheets/d/11923uPwbBZFjjGgGUA6NLw09EwE0CqkOc4q9oUmW1yo/edit?usp=sharing"",""อุตรดิตถ์!I424"")"),0)</f>
        <v>0</v>
      </c>
      <c r="J529" s="207">
        <f ca="1">IFERROR(__xludf.DUMMYFUNCTION("IMPORTRANGE(""https://docs.google.com/spreadsheets/d/11923uPwbBZFjjGgGUA6NLw09EwE0CqkOc4q9oUmW1yo/edit?usp=sharing"",""อุตรดิตถ์!J424"")"),0)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IFERROR(__xludf.DUMMYFUNCTION("IMPORTRANGE(""https://docs.google.com/spreadsheets/d/11923uPwbBZFjjGgGUA6NLw09EwE0CqkOc4q9oUmW1yo/edit?usp=sharing"",""อุตรดิตถ์!I425"")"),0)</f>
        <v>0</v>
      </c>
      <c r="J530" s="207">
        <f ca="1">IFERROR(__xludf.DUMMYFUNCTION("IMPORTRANGE(""https://docs.google.com/spreadsheets/d/11923uPwbBZFjjGgGUA6NLw09EwE0CqkOc4q9oUmW1yo/edit?usp=sharing"",""อุตรดิตถ์!J425"")"),0)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IFERROR(__xludf.DUMMYFUNCTION("IMPORTRANGE(""https://docs.google.com/spreadsheets/d/11923uPwbBZFjjGgGUA6NLw09EwE0CqkOc4q9oUmW1yo/edit?usp=sharing"",""อุตรดิตถ์!I426"")"),0)</f>
        <v>0</v>
      </c>
      <c r="J531" s="207">
        <f ca="1">IFERROR(__xludf.DUMMYFUNCTION("IMPORTRANGE(""https://docs.google.com/spreadsheets/d/11923uPwbBZFjjGgGUA6NLw09EwE0CqkOc4q9oUmW1yo/edit?usp=sharing"",""อุตรดิตถ์!J426"")"),0)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IFERROR(__xludf.DUMMYFUNCTION("IMPORTRANGE(""https://docs.google.com/spreadsheets/d/11923uPwbBZFjjGgGUA6NLw09EwE0CqkOc4q9oUmW1yo/edit?usp=sharing"",""อุตรดิตถ์!I427"")"),0)</f>
        <v>0</v>
      </c>
      <c r="J532" s="474">
        <f ca="1">IFERROR(__xludf.DUMMYFUNCTION("IMPORTRANGE(""https://docs.google.com/spreadsheets/d/11923uPwbBZFjjGgGUA6NLw09EwE0CqkOc4q9oUmW1yo/edit?usp=sharing"",""อุตรดิตถ์!J427"")"),0)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IFERROR(__xludf.DUMMYFUNCTION("IMPORTRANGE(""https://docs.google.com/spreadsheets/d/11923uPwbBZFjjGgGUA6NLw09EwE0CqkOc4q9oUmW1yo/edit?usp=sharing"",""อุตรดิตถ์!I428"")"),22)</f>
        <v>22</v>
      </c>
      <c r="J533" s="418">
        <f ca="1">IFERROR(__xludf.DUMMYFUNCTION("IMPORTRANGE(""https://docs.google.com/spreadsheets/d/11923uPwbBZFjjGgGUA6NLw09EwE0CqkOc4q9oUmW1yo/edit?usp=sharing"",""อุตรดิตถ์!J428"")"),22)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IFERROR(__xludf.DUMMYFUNCTION("IMPORTRANGE(""https://docs.google.com/spreadsheets/d/11923uPwbBZFjjGgGUA6NLw09EwE0CqkOc4q9oUmW1yo/edit?usp=sharing"",""อุตรดิตถ์!L428"")"),34340)</f>
        <v>34340</v>
      </c>
      <c r="M533" s="420"/>
      <c r="N533" s="420">
        <f ca="1">IFERROR(__xludf.DUMMYFUNCTION("IMPORTRANGE(""https://docs.google.com/spreadsheets/d/11923uPwbBZFjjGgGUA6NLw09EwE0CqkOc4q9oUmW1yo/edit?usp=sharing"",""อุตรดิตถ์!M428"")"),23281)</f>
        <v>23281</v>
      </c>
      <c r="O533" s="420">
        <f t="shared" ref="O533:O537" ca="1" si="118">+IF(L533&gt;0,N533*100/L533,0)</f>
        <v>67.795573675014566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IFERROR(__xludf.DUMMYFUNCTION("IMPORTRANGE(""https://docs.google.com/spreadsheets/d/11923uPwbBZFjjGgGUA6NLw09EwE0CqkOc4q9oUmW1yo/edit?usp=sharing"",""อุตรดิตถ์!L429"")"),0)</f>
        <v>0</v>
      </c>
      <c r="M534" s="172"/>
      <c r="N534" s="178">
        <f ca="1">IFERROR(__xludf.DUMMYFUNCTION("IMPORTRANGE(""https://docs.google.com/spreadsheets/d/11923uPwbBZFjjGgGUA6NLw09EwE0CqkOc4q9oUmW1yo/edit?usp=sharing"",""อุตรดิตถ์!M429"")"),0)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IFERROR(__xludf.DUMMYFUNCTION("IMPORTRANGE(""https://docs.google.com/spreadsheets/d/11923uPwbBZFjjGgGUA6NLw09EwE0CqkOc4q9oUmW1yo/edit?usp=sharing"",""อุตรดิตถ์!L430"")"),34340)</f>
        <v>34340</v>
      </c>
      <c r="M535" s="173"/>
      <c r="N535" s="178">
        <f ca="1">IFERROR(__xludf.DUMMYFUNCTION("IMPORTRANGE(""https://docs.google.com/spreadsheets/d/11923uPwbBZFjjGgGUA6NLw09EwE0CqkOc4q9oUmW1yo/edit?usp=sharing"",""อุตรดิตถ์!M430"")"),23281)</f>
        <v>23281</v>
      </c>
      <c r="O535" s="178">
        <f t="shared" ca="1" si="118"/>
        <v>67.795573675014566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IFERROR(__xludf.DUMMYFUNCTION("IMPORTRANGE(""https://docs.google.com/spreadsheets/d/11923uPwbBZFjjGgGUA6NLw09EwE0CqkOc4q9oUmW1yo/edit?usp=sharing"",""อุตรดิตถ์!L431"")"),0)</f>
        <v>0</v>
      </c>
      <c r="M536" s="178"/>
      <c r="N536" s="178">
        <f ca="1">IFERROR(__xludf.DUMMYFUNCTION("IMPORTRANGE(""https://docs.google.com/spreadsheets/d/11923uPwbBZFjjGgGUA6NLw09EwE0CqkOc4q9oUmW1yo/edit?usp=sharing"",""อุตรดิตถ์!M431"")"),0)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IFERROR(__xludf.DUMMYFUNCTION("IMPORTRANGE(""https://docs.google.com/spreadsheets/d/11923uPwbBZFjjGgGUA6NLw09EwE0CqkOc4q9oUmW1yo/edit?usp=sharing"",""อุตรดิตถ์!L432"")"),34340)</f>
        <v>34340</v>
      </c>
      <c r="M537" s="178"/>
      <c r="N537" s="178">
        <f ca="1">IFERROR(__xludf.DUMMYFUNCTION("IMPORTRANGE(""https://docs.google.com/spreadsheets/d/11923uPwbBZFjjGgGUA6NLw09EwE0CqkOc4q9oUmW1yo/edit?usp=sharing"",""อุตรดิตถ์!M432"")"),23281)</f>
        <v>23281</v>
      </c>
      <c r="O537" s="178">
        <f t="shared" ca="1" si="118"/>
        <v>67.795573675014566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IFERROR(__xludf.DUMMYFUNCTION("IMPORTRANGE(""https://docs.google.com/spreadsheets/d/11923uPwbBZFjjGgGUA6NLw09EwE0CqkOc4q9oUmW1yo/edit?usp=sharing"",""อุตรดิตถ์!M433"")"),18740)</f>
        <v>18740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IFERROR(__xludf.DUMMYFUNCTION("IMPORTRANGE(""https://docs.google.com/spreadsheets/d/11923uPwbBZFjjGgGUA6NLw09EwE0CqkOc4q9oUmW1yo/edit?usp=sharing"",""อุตรดิตถ์!M434"")"),0)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IFERROR(__xludf.DUMMYFUNCTION("IMPORTRANGE(""https://docs.google.com/spreadsheets/d/11923uPwbBZFjjGgGUA6NLw09EwE0CqkOc4q9oUmW1yo/edit?usp=sharing"",""อุตรดิตถ์!M435"")"),0)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IFERROR(__xludf.DUMMYFUNCTION("IMPORTRANGE(""https://docs.google.com/spreadsheets/d/11923uPwbBZFjjGgGUA6NLw09EwE0CqkOc4q9oUmW1yo/edit?usp=sharing"",""อุตรดิตถ์!M436"")"),4541)</f>
        <v>4541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IFERROR(__xludf.DUMMYFUNCTION("IMPORTRANGE(""https://docs.google.com/spreadsheets/d/11923uPwbBZFjjGgGUA6NLw09EwE0CqkOc4q9oUmW1yo/edit?usp=sharing"",""อุตรดิตถ์!J438"")"),0)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IFERROR(__xludf.DUMMYFUNCTION("IMPORTRANGE(""https://docs.google.com/spreadsheets/d/11923uPwbBZFjjGgGUA6NLw09EwE0CqkOc4q9oUmW1yo/edit?usp=sharing"",""อุตรดิตถ์!J439"")"),1)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IFERROR(__xludf.DUMMYFUNCTION("IMPORTRANGE(""https://docs.google.com/spreadsheets/d/11923uPwbBZFjjGgGUA6NLw09EwE0CqkOc4q9oUmW1yo/edit?usp=sharing"",""อุตรดิตถ์!J440"")"),1)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IFERROR(__xludf.DUMMYFUNCTION("IMPORTRANGE(""https://docs.google.com/spreadsheets/d/11923uPwbBZFjjGgGUA6NLw09EwE0CqkOc4q9oUmW1yo/edit?usp=sharing"",""อุตรดิตถ์!J441"")"),1)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IFERROR(__xludf.DUMMYFUNCTION("IMPORTRANGE(""https://docs.google.com/spreadsheets/d/11923uPwbBZFjjGgGUA6NLw09EwE0CqkOc4q9oUmW1yo/edit?usp=sharing"",""อุตรดิตถ์!I442"")"),22)</f>
        <v>22</v>
      </c>
      <c r="J547" s="198">
        <f ca="1">IFERROR(__xludf.DUMMYFUNCTION("IMPORTRANGE(""https://docs.google.com/spreadsheets/d/11923uPwbBZFjjGgGUA6NLw09EwE0CqkOc4q9oUmW1yo/edit?usp=sharing"",""อุตรดิตถ์!J442"")"),22)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IFERROR(__xludf.DUMMYFUNCTION("IMPORTRANGE(""https://docs.google.com/spreadsheets/d/11923uPwbBZFjjGgGUA6NLw09EwE0CqkOc4q9oUmW1yo/edit?usp=sharing"",""อุตรดิตถ์!J166"")"),0)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IFERROR(__xludf.DUMMYFUNCTION("IMPORTRANGE(""https://docs.google.com/spreadsheets/d/11923uPwbBZFjjGgGUA6NLw09EwE0CqkOc4q9oUmW1yo/edit?usp=sharing"",""อุตรดิตถ์!J444"")"),0)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IFERROR(__xludf.DUMMYFUNCTION("IMPORTRANGE(""https://docs.google.com/spreadsheets/d/11923uPwbBZFjjGgGUA6NLw09EwE0CqkOc4q9oUmW1yo/edit?usp=sharing"",""อุตรดิตถ์!J445"")"),0)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IFERROR(__xludf.DUMMYFUNCTION("IMPORTRANGE(""https://docs.google.com/spreadsheets/d/11923uPwbBZFjjGgGUA6NLw09EwE0CqkOc4q9oUmW1yo/edit?usp=sharing"",""อุตรดิตถ์!I446"")"),5000)</f>
        <v>5000</v>
      </c>
      <c r="J551" s="418">
        <f ca="1">IFERROR(__xludf.DUMMYFUNCTION("IMPORTRANGE(""https://docs.google.com/spreadsheets/d/11923uPwbBZFjjGgGUA6NLw09EwE0CqkOc4q9oUmW1yo/edit?usp=sharing"",""อุตรดิตถ์!J446"")"),1221)</f>
        <v>1221</v>
      </c>
      <c r="K551" s="419">
        <f ca="1">IF(I551&gt;0,J551*100/I551,0)</f>
        <v>24.42</v>
      </c>
      <c r="L551" s="420">
        <f ca="1">IFERROR(__xludf.DUMMYFUNCTION("IMPORTRANGE(""https://docs.google.com/spreadsheets/d/11923uPwbBZFjjGgGUA6NLw09EwE0CqkOc4q9oUmW1yo/edit?usp=sharing"",""อุตรดิตถ์!L446"")"),300000)</f>
        <v>300000</v>
      </c>
      <c r="M551" s="420"/>
      <c r="N551" s="420">
        <f ca="1">IFERROR(__xludf.DUMMYFUNCTION("IMPORTRANGE(""https://docs.google.com/spreadsheets/d/11923uPwbBZFjjGgGUA6NLw09EwE0CqkOc4q9oUmW1yo/edit?usp=sharing"",""อุตรดิตถ์!M446"")"),82251)</f>
        <v>82251</v>
      </c>
      <c r="O551" s="420">
        <f t="shared" ref="O551:O555" ca="1" si="120">+IF(L551&gt;0,N551*100/L551,0)</f>
        <v>27.417000000000002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IFERROR(__xludf.DUMMYFUNCTION("IMPORTRANGE(""https://docs.google.com/spreadsheets/d/11923uPwbBZFjjGgGUA6NLw09EwE0CqkOc4q9oUmW1yo/edit?usp=sharing"",""อุตรดิตถ์!L447"")"),0)</f>
        <v>0</v>
      </c>
      <c r="M552" s="172"/>
      <c r="N552" s="178">
        <f ca="1">IFERROR(__xludf.DUMMYFUNCTION("IMPORTRANGE(""https://docs.google.com/spreadsheets/d/11923uPwbBZFjjGgGUA6NLw09EwE0CqkOc4q9oUmW1yo/edit?usp=sharing"",""อุตรดิตถ์!M447"")"),0)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IFERROR(__xludf.DUMMYFUNCTION("IMPORTRANGE(""https://docs.google.com/spreadsheets/d/11923uPwbBZFjjGgGUA6NLw09EwE0CqkOc4q9oUmW1yo/edit?usp=sharing"",""อุตรดิตถ์!L448"")"),300000)</f>
        <v>300000</v>
      </c>
      <c r="M553" s="173"/>
      <c r="N553" s="178">
        <f ca="1">IFERROR(__xludf.DUMMYFUNCTION("IMPORTRANGE(""https://docs.google.com/spreadsheets/d/11923uPwbBZFjjGgGUA6NLw09EwE0CqkOc4q9oUmW1yo/edit?usp=sharing"",""อุตรดิตถ์!M448"")"),82251)</f>
        <v>82251</v>
      </c>
      <c r="O553" s="178">
        <f t="shared" ca="1" si="120"/>
        <v>27.417000000000002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IFERROR(__xludf.DUMMYFUNCTION("IMPORTRANGE(""https://docs.google.com/spreadsheets/d/11923uPwbBZFjjGgGUA6NLw09EwE0CqkOc4q9oUmW1yo/edit?usp=sharing"",""อุตรดิตถ์!L449"")"),0)</f>
        <v>0</v>
      </c>
      <c r="M554" s="178"/>
      <c r="N554" s="178">
        <f ca="1">IFERROR(__xludf.DUMMYFUNCTION("IMPORTRANGE(""https://docs.google.com/spreadsheets/d/11923uPwbBZFjjGgGUA6NLw09EwE0CqkOc4q9oUmW1yo/edit?usp=sharing"",""อุตรดิตถ์!M449"")"),0)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IFERROR(__xludf.DUMMYFUNCTION("IMPORTRANGE(""https://docs.google.com/spreadsheets/d/11923uPwbBZFjjGgGUA6NLw09EwE0CqkOc4q9oUmW1yo/edit?usp=sharing"",""อุตรดิตถ์!L450"")"),300000)</f>
        <v>300000</v>
      </c>
      <c r="M555" s="178"/>
      <c r="N555" s="178">
        <f ca="1">IFERROR(__xludf.DUMMYFUNCTION("IMPORTRANGE(""https://docs.google.com/spreadsheets/d/11923uPwbBZFjjGgGUA6NLw09EwE0CqkOc4q9oUmW1yo/edit?usp=sharing"",""อุตรดิตถ์!M450"")"),82251)</f>
        <v>82251</v>
      </c>
      <c r="O555" s="178">
        <f t="shared" ca="1" si="120"/>
        <v>27.417000000000002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IFERROR(__xludf.DUMMYFUNCTION("IMPORTRANGE(""https://docs.google.com/spreadsheets/d/11923uPwbBZFjjGgGUA6NLw09EwE0CqkOc4q9oUmW1yo/edit?usp=sharing"",""อุตรดิตถ์!M451"")"),0)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IFERROR(__xludf.DUMMYFUNCTION("IMPORTRANGE(""https://docs.google.com/spreadsheets/d/11923uPwbBZFjjGgGUA6NLw09EwE0CqkOc4q9oUmW1yo/edit?usp=sharing"",""อุตรดิตถ์!M452"")"),0)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IFERROR(__xludf.DUMMYFUNCTION("IMPORTRANGE(""https://docs.google.com/spreadsheets/d/11923uPwbBZFjjGgGUA6NLw09EwE0CqkOc4q9oUmW1yo/edit?usp=sharing"",""อุตรดิตถ์!M453"")"),10800)</f>
        <v>10800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IFERROR(__xludf.DUMMYFUNCTION("IMPORTRANGE(""https://docs.google.com/spreadsheets/d/11923uPwbBZFjjGgGUA6NLw09EwE0CqkOc4q9oUmW1yo/edit?usp=sharing"",""อุตรดิตถ์!M454"")"),71451)</f>
        <v>71451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IFERROR(__xludf.DUMMYFUNCTION("IMPORTRANGE(""https://docs.google.com/spreadsheets/d/11923uPwbBZFjjGgGUA6NLw09EwE0CqkOc4q9oUmW1yo/edit?usp=sharing"",""อุตรดิตถ์!I455"")"),5000)</f>
        <v>5000</v>
      </c>
      <c r="J560" s="170">
        <f ca="1">IFERROR(__xludf.DUMMYFUNCTION("IMPORTRANGE(""https://docs.google.com/spreadsheets/d/11923uPwbBZFjjGgGUA6NLw09EwE0CqkOc4q9oUmW1yo/edit?usp=sharing"",""อุตรดิตถ์!J455"")"),1221)</f>
        <v>1221</v>
      </c>
      <c r="K560" s="233">
        <f t="shared" ref="K560:K564" ca="1" si="121">IF(I560&gt;0,J560*100/I560,0)</f>
        <v>24.42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IFERROR(__xludf.DUMMYFUNCTION("IMPORTRANGE(""https://docs.google.com/spreadsheets/d/11923uPwbBZFjjGgGUA6NLw09EwE0CqkOc4q9oUmW1yo/edit?usp=sharing"",""อุตรดิตถ์!I456"")"),0)</f>
        <v>0</v>
      </c>
      <c r="J561" s="213">
        <f ca="1">IFERROR(__xludf.DUMMYFUNCTION("IMPORTRANGE(""https://docs.google.com/spreadsheets/d/11923uPwbBZFjjGgGUA6NLw09EwE0CqkOc4q9oUmW1yo/edit?usp=sharing"",""อุตรดิตถ์!J456"")"),182)</f>
        <v>182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IFERROR(__xludf.DUMMYFUNCTION("IMPORTRANGE(""https://docs.google.com/spreadsheets/d/11923uPwbBZFjjGgGUA6NLw09EwE0CqkOc4q9oUmW1yo/edit?usp=sharing"",""อุตรดิตถ์!I457"")"),"")</f>
        <v/>
      </c>
      <c r="J562" s="213" t="str">
        <f ca="1">IFERROR(__xludf.DUMMYFUNCTION("IMPORTRANGE(""https://docs.google.com/spreadsheets/d/11923uPwbBZFjjGgGUA6NLw09EwE0CqkOc4q9oUmW1yo/edit?usp=sharing"",""อุตรดิตถ์!J457"")"),"")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IFERROR(__xludf.DUMMYFUNCTION("IMPORTRANGE(""https://docs.google.com/spreadsheets/d/11923uPwbBZFjjGgGUA6NLw09EwE0CqkOc4q9oUmW1yo/edit?usp=sharing"",""อุตรดิตถ์!I458"")"),"")</f>
        <v/>
      </c>
      <c r="J563" s="197" t="str">
        <f ca="1">IFERROR(__xludf.DUMMYFUNCTION("IMPORTRANGE(""https://docs.google.com/spreadsheets/d/11923uPwbBZFjjGgGUA6NLw09EwE0CqkOc4q9oUmW1yo/edit?usp=sharing"",""อุตรดิตถ์!J458"")"),"")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IFERROR(__xludf.DUMMYFUNCTION("IMPORTRANGE(""https://docs.google.com/spreadsheets/d/11923uPwbBZFjjGgGUA6NLw09EwE0CqkOc4q9oUmW1yo/edit?usp=sharing"",""อุตรดิตถ์!I459"")"),1100)</f>
        <v>1100</v>
      </c>
      <c r="J564" s="379">
        <f ca="1">IFERROR(__xludf.DUMMYFUNCTION("IMPORTRANGE(""https://docs.google.com/spreadsheets/d/11923uPwbBZFjjGgGUA6NLw09EwE0CqkOc4q9oUmW1yo/edit?usp=sharing"",""อุตรดิตถ์!J459"")"),1509)</f>
        <v>1509</v>
      </c>
      <c r="K564" s="380">
        <f t="shared" ca="1" si="121"/>
        <v>137.18181818181819</v>
      </c>
      <c r="L564" s="381">
        <f ca="1">IFERROR(__xludf.DUMMYFUNCTION("IMPORTRANGE(""https://docs.google.com/spreadsheets/d/11923uPwbBZFjjGgGUA6NLw09EwE0CqkOc4q9oUmW1yo/edit?usp=sharing"",""อุตรดิตถ์!L459"")"),127280)</f>
        <v>127280</v>
      </c>
      <c r="M564" s="381"/>
      <c r="N564" s="381">
        <f ca="1">IFERROR(__xludf.DUMMYFUNCTION("IMPORTRANGE(""https://docs.google.com/spreadsheets/d/11923uPwbBZFjjGgGUA6NLw09EwE0CqkOc4q9oUmW1yo/edit?usp=sharing"",""อุตรดิตถ์!M459"")"),33858)</f>
        <v>33858</v>
      </c>
      <c r="O564" s="381">
        <f t="shared" ref="O564:O568" ca="1" si="122">+IF(L564&gt;0,N564*100/L564,0)</f>
        <v>26.601194217473289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IFERROR(__xludf.DUMMYFUNCTION("IMPORTRANGE(""https://docs.google.com/spreadsheets/d/11923uPwbBZFjjGgGUA6NLw09EwE0CqkOc4q9oUmW1yo/edit?usp=sharing"",""อุตรดิตถ์!L460"")"),0)</f>
        <v>0</v>
      </c>
      <c r="M565" s="172"/>
      <c r="N565" s="178">
        <f ca="1">IFERROR(__xludf.DUMMYFUNCTION("IMPORTRANGE(""https://docs.google.com/spreadsheets/d/11923uPwbBZFjjGgGUA6NLw09EwE0CqkOc4q9oUmW1yo/edit?usp=sharing"",""อุตรดิตถ์!M460"")"),0)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IFERROR(__xludf.DUMMYFUNCTION("IMPORTRANGE(""https://docs.google.com/spreadsheets/d/11923uPwbBZFjjGgGUA6NLw09EwE0CqkOc4q9oUmW1yo/edit?usp=sharing"",""อุตรดิตถ์!L461"")"),127280)</f>
        <v>127280</v>
      </c>
      <c r="M566" s="173"/>
      <c r="N566" s="178">
        <f ca="1">IFERROR(__xludf.DUMMYFUNCTION("IMPORTRANGE(""https://docs.google.com/spreadsheets/d/11923uPwbBZFjjGgGUA6NLw09EwE0CqkOc4q9oUmW1yo/edit?usp=sharing"",""อุตรดิตถ์!M461"")"),33858)</f>
        <v>33858</v>
      </c>
      <c r="O566" s="178">
        <f t="shared" ca="1" si="122"/>
        <v>26.601194217473289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IFERROR(__xludf.DUMMYFUNCTION("IMPORTRANGE(""https://docs.google.com/spreadsheets/d/11923uPwbBZFjjGgGUA6NLw09EwE0CqkOc4q9oUmW1yo/edit?usp=sharing"",""อุตรดิตถ์!L462"")"),0)</f>
        <v>0</v>
      </c>
      <c r="M567" s="178"/>
      <c r="N567" s="178">
        <f ca="1">IFERROR(__xludf.DUMMYFUNCTION("IMPORTRANGE(""https://docs.google.com/spreadsheets/d/11923uPwbBZFjjGgGUA6NLw09EwE0CqkOc4q9oUmW1yo/edit?usp=sharing"",""อุตรดิตถ์!M462"")"),0)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IFERROR(__xludf.DUMMYFUNCTION("IMPORTRANGE(""https://docs.google.com/spreadsheets/d/11923uPwbBZFjjGgGUA6NLw09EwE0CqkOc4q9oUmW1yo/edit?usp=sharing"",""อุตรดิตถ์!L463"")"),127280)</f>
        <v>127280</v>
      </c>
      <c r="M568" s="178"/>
      <c r="N568" s="178">
        <f ca="1">IFERROR(__xludf.DUMMYFUNCTION("IMPORTRANGE(""https://docs.google.com/spreadsheets/d/11923uPwbBZFjjGgGUA6NLw09EwE0CqkOc4q9oUmW1yo/edit?usp=sharing"",""อุตรดิตถ์!M463"")"),33858)</f>
        <v>33858</v>
      </c>
      <c r="O568" s="178">
        <f t="shared" ca="1" si="122"/>
        <v>26.601194217473289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IFERROR(__xludf.DUMMYFUNCTION("IMPORTRANGE(""https://docs.google.com/spreadsheets/d/11923uPwbBZFjjGgGUA6NLw09EwE0CqkOc4q9oUmW1yo/edit?usp=sharing"",""อุตรดิตถ์!M464"")"),0)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IFERROR(__xludf.DUMMYFUNCTION("IMPORTRANGE(""https://docs.google.com/spreadsheets/d/11923uPwbBZFjjGgGUA6NLw09EwE0CqkOc4q9oUmW1yo/edit?usp=sharing"",""อุตรดิตถ์!M465"")"),0)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IFERROR(__xludf.DUMMYFUNCTION("IMPORTRANGE(""https://docs.google.com/spreadsheets/d/11923uPwbBZFjjGgGUA6NLw09EwE0CqkOc4q9oUmW1yo/edit?usp=sharing"",""อุตรดิตถ์!M466"")"),31568)</f>
        <v>31568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IFERROR(__xludf.DUMMYFUNCTION("IMPORTRANGE(""https://docs.google.com/spreadsheets/d/11923uPwbBZFjjGgGUA6NLw09EwE0CqkOc4q9oUmW1yo/edit?usp=sharing"",""อุตรดิตถ์!M467"")"),2290)</f>
        <v>2290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IFERROR(__xludf.DUMMYFUNCTION("IMPORTRANGE(""https://docs.google.com/spreadsheets/d/11923uPwbBZFjjGgGUA6NLw09EwE0CqkOc4q9oUmW1yo/edit?usp=sharing"",""อุตรดิตถ์!I468"")"),1100)</f>
        <v>1100</v>
      </c>
      <c r="J573" s="428">
        <f ca="1">IFERROR(__xludf.DUMMYFUNCTION("IMPORTRANGE(""https://docs.google.com/spreadsheets/d/11923uPwbBZFjjGgGUA6NLw09EwE0CqkOc4q9oUmW1yo/edit?usp=sharing"",""อุตรดิตถ์!J468"")"),1509)</f>
        <v>1509</v>
      </c>
      <c r="K573" s="211">
        <f ca="1">IF(I573&gt;0,J573*100/I573,0)</f>
        <v>137.18181818181819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IFERROR(__xludf.DUMMYFUNCTION("IMPORTRANGE(""https://docs.google.com/spreadsheets/d/11923uPwbBZFjjGgGUA6NLw09EwE0CqkOc4q9oUmW1yo/edit?usp=sharing"",""อุตรดิตถ์!I470"")"),0)</f>
        <v>0</v>
      </c>
      <c r="J575" s="207">
        <f ca="1">IFERROR(__xludf.DUMMYFUNCTION("IMPORTRANGE(""https://docs.google.com/spreadsheets/d/11923uPwbBZFjjGgGUA6NLw09EwE0CqkOc4q9oUmW1yo/edit?usp=sharing"",""อุตรดิตถ์!J470"")"),3)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IFERROR(__xludf.DUMMYFUNCTION("IMPORTRANGE(""https://docs.google.com/spreadsheets/d/11923uPwbBZFjjGgGUA6NLw09EwE0CqkOc4q9oUmW1yo/edit?usp=sharing"",""อุตรดิตถ์!I471"")"),0)</f>
        <v>0</v>
      </c>
      <c r="J576" s="207">
        <f ca="1">IFERROR(__xludf.DUMMYFUNCTION("IMPORTRANGE(""https://docs.google.com/spreadsheets/d/11923uPwbBZFjjGgGUA6NLw09EwE0CqkOc4q9oUmW1yo/edit?usp=sharing"",""อุตรดิตถ์!J471"")"),170)</f>
        <v>170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IFERROR(__xludf.DUMMYFUNCTION("IMPORTRANGE(""https://docs.google.com/spreadsheets/d/11923uPwbBZFjjGgGUA6NLw09EwE0CqkOc4q9oUmW1yo/edit?usp=sharing"",""อุตรดิตถ์!I472"")"),0)</f>
        <v>0</v>
      </c>
      <c r="J577" s="198">
        <f ca="1">IFERROR(__xludf.DUMMYFUNCTION("IMPORTRANGE(""https://docs.google.com/spreadsheets/d/11923uPwbBZFjjGgGUA6NLw09EwE0CqkOc4q9oUmW1yo/edit?usp=sharing"",""อุตรดิตถ์!J472"")"),898)</f>
        <v>898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IFERROR(__xludf.DUMMYFUNCTION("IMPORTRANGE(""https://docs.google.com/spreadsheets/d/11923uPwbBZFjjGgGUA6NLw09EwE0CqkOc4q9oUmW1yo/edit?usp=sharing"",""อุตรดิตถ์!I473"")"),0)</f>
        <v>0</v>
      </c>
      <c r="J578" s="207">
        <f ca="1">IFERROR(__xludf.DUMMYFUNCTION("IMPORTRANGE(""https://docs.google.com/spreadsheets/d/11923uPwbBZFjjGgGUA6NLw09EwE0CqkOc4q9oUmW1yo/edit?usp=sharing"",""อุตรดิตถ์!J473"")"),0)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IFERROR(__xludf.DUMMYFUNCTION("IMPORTRANGE(""https://docs.google.com/spreadsheets/d/11923uPwbBZFjjGgGUA6NLw09EwE0CqkOc4q9oUmW1yo/edit?usp=sharing"",""อุตรดิตถ์!I474"")"),0)</f>
        <v>0</v>
      </c>
      <c r="J579" s="207">
        <f ca="1">IFERROR(__xludf.DUMMYFUNCTION("IMPORTRANGE(""https://docs.google.com/spreadsheets/d/11923uPwbBZFjjGgGUA6NLw09EwE0CqkOc4q9oUmW1yo/edit?usp=sharing"",""อุตรดิตถ์!J474"")"),441)</f>
        <v>441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IFERROR(__xludf.DUMMYFUNCTION("IMPORTRANGE(""https://docs.google.com/spreadsheets/d/11923uPwbBZFjjGgGUA6NLw09EwE0CqkOc4q9oUmW1yo/edit?usp=sharing"",""อุตรดิตถ์!I475"")"),0)</f>
        <v>0</v>
      </c>
      <c r="J580" s="379">
        <f ca="1">IFERROR(__xludf.DUMMYFUNCTION("IMPORTRANGE(""https://docs.google.com/spreadsheets/d/11923uPwbBZFjjGgGUA6NLw09EwE0CqkOc4q9oUmW1yo/edit?usp=sharing"",""อุตรดิตถ์!J475"")"),0)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IFERROR(__xludf.DUMMYFUNCTION("IMPORTRANGE(""https://docs.google.com/spreadsheets/d/11923uPwbBZFjjGgGUA6NLw09EwE0CqkOc4q9oUmW1yo/edit?usp=sharing"",""อุตรดิตถ์!L475"")"),0)</f>
        <v>0</v>
      </c>
      <c r="M580" s="381"/>
      <c r="N580" s="381">
        <f ca="1">IFERROR(__xludf.DUMMYFUNCTION("IMPORTRANGE(""https://docs.google.com/spreadsheets/d/11923uPwbBZFjjGgGUA6NLw09EwE0CqkOc4q9oUmW1yo/edit?usp=sharing"",""อุตรดิตถ์!M475"")"),0)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IFERROR(__xludf.DUMMYFUNCTION("IMPORTRANGE(""https://docs.google.com/spreadsheets/d/11923uPwbBZFjjGgGUA6NLw09EwE0CqkOc4q9oUmW1yo/edit?usp=sharing"",""อุตรดิตถ์!L476"")"),0)</f>
        <v>0</v>
      </c>
      <c r="M581" s="172"/>
      <c r="N581" s="178">
        <f ca="1">IFERROR(__xludf.DUMMYFUNCTION("IMPORTRANGE(""https://docs.google.com/spreadsheets/d/11923uPwbBZFjjGgGUA6NLw09EwE0CqkOc4q9oUmW1yo/edit?usp=sharing"",""อุตรดิตถ์!M476"")"),0)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IFERROR(__xludf.DUMMYFUNCTION("IMPORTRANGE(""https://docs.google.com/spreadsheets/d/11923uPwbBZFjjGgGUA6NLw09EwE0CqkOc4q9oUmW1yo/edit?usp=sharing"",""อุตรดิตถ์!L477"")"),0)</f>
        <v>0</v>
      </c>
      <c r="M582" s="173"/>
      <c r="N582" s="178">
        <f ca="1">IFERROR(__xludf.DUMMYFUNCTION("IMPORTRANGE(""https://docs.google.com/spreadsheets/d/11923uPwbBZFjjGgGUA6NLw09EwE0CqkOc4q9oUmW1yo/edit?usp=sharing"",""อุตรดิตถ์!M477"")"),0)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IFERROR(__xludf.DUMMYFUNCTION("IMPORTRANGE(""https://docs.google.com/spreadsheets/d/11923uPwbBZFjjGgGUA6NLw09EwE0CqkOc4q9oUmW1yo/edit?usp=sharing"",""อุตรดิตถ์!L478"")"),0)</f>
        <v>0</v>
      </c>
      <c r="M583" s="178"/>
      <c r="N583" s="178">
        <f ca="1">IFERROR(__xludf.DUMMYFUNCTION("IMPORTRANGE(""https://docs.google.com/spreadsheets/d/11923uPwbBZFjjGgGUA6NLw09EwE0CqkOc4q9oUmW1yo/edit?usp=sharing"",""อุตรดิตถ์!M478"")"),0)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IFERROR(__xludf.DUMMYFUNCTION("IMPORTRANGE(""https://docs.google.com/spreadsheets/d/11923uPwbBZFjjGgGUA6NLw09EwE0CqkOc4q9oUmW1yo/edit?usp=sharing"",""อุตรดิตถ์!L479"")"),0)</f>
        <v>0</v>
      </c>
      <c r="M584" s="178"/>
      <c r="N584" s="178">
        <f ca="1">IFERROR(__xludf.DUMMYFUNCTION("IMPORTRANGE(""https://docs.google.com/spreadsheets/d/11923uPwbBZFjjGgGUA6NLw09EwE0CqkOc4q9oUmW1yo/edit?usp=sharing"",""อุตรดิตถ์!M479"")"),0)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IFERROR(__xludf.DUMMYFUNCTION("IMPORTRANGE(""https://docs.google.com/spreadsheets/d/11923uPwbBZFjjGgGUA6NLw09EwE0CqkOc4q9oUmW1yo/edit?usp=sharing"",""อุตรดิตถ์!M480"")"),0)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IFERROR(__xludf.DUMMYFUNCTION("IMPORTRANGE(""https://docs.google.com/spreadsheets/d/11923uPwbBZFjjGgGUA6NLw09EwE0CqkOc4q9oUmW1yo/edit?usp=sharing"",""อุตรดิตถ์!M481"")"),0)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IFERROR(__xludf.DUMMYFUNCTION("IMPORTRANGE(""https://docs.google.com/spreadsheets/d/11923uPwbBZFjjGgGUA6NLw09EwE0CqkOc4q9oUmW1yo/edit?usp=sharing"",""อุตรดิตถ์!M482"")"),0)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IFERROR(__xludf.DUMMYFUNCTION("IMPORTRANGE(""https://docs.google.com/spreadsheets/d/11923uPwbBZFjjGgGUA6NLw09EwE0CqkOc4q9oUmW1yo/edit?usp=sharing"",""อุตรดิตถ์!M483"")"),0)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IFERROR(__xludf.DUMMYFUNCTION("IMPORTRANGE(""https://docs.google.com/spreadsheets/d/11923uPwbBZFjjGgGUA6NLw09EwE0CqkOc4q9oUmW1yo/edit?usp=sharing"",""อุตรดิตถ์!I484"")"),0)</f>
        <v>0</v>
      </c>
      <c r="J589" s="197">
        <f ca="1">IFERROR(__xludf.DUMMYFUNCTION("IMPORTRANGE(""https://docs.google.com/spreadsheets/d/11923uPwbBZFjjGgGUA6NLw09EwE0CqkOc4q9oUmW1yo/edit?usp=sharing"",""อุตรดิตถ์!J484"")"),2)</f>
        <v>2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IFERROR(__xludf.DUMMYFUNCTION("IMPORTRANGE(""https://docs.google.com/spreadsheets/d/11923uPwbBZFjjGgGUA6NLw09EwE0CqkOc4q9oUmW1yo/edit?usp=sharing"",""อุตรดิตถ์!I485"")"),0)</f>
        <v>0</v>
      </c>
      <c r="J590" s="19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IFERROR(__xludf.DUMMYFUNCTION("IMPORTRANGE(""https://docs.google.com/spreadsheets/d/11923uPwbBZFjjGgGUA6NLw09EwE0CqkOc4q9oUmW1yo/edit?usp=sharing"",""อุตรดิตถ์!I486"")"),0)</f>
        <v>0</v>
      </c>
      <c r="J591" s="197">
        <f ca="1">IFERROR(__xludf.DUMMYFUNCTION("IMPORTRANGE(""https://docs.google.com/spreadsheets/d/11923uPwbBZFjjGgGUA6NLw09EwE0CqkOc4q9oUmW1yo/edit?usp=sharing"",""อุตรดิตถ์!J486"")"),2)</f>
        <v>2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IFERROR(__xludf.DUMMYFUNCTION("IMPORTRANGE(""https://docs.google.com/spreadsheets/d/11923uPwbBZFjjGgGUA6NLw09EwE0CqkOc4q9oUmW1yo/edit?usp=sharing"",""อุตรดิตถ์!I487"")"),0)</f>
        <v>0</v>
      </c>
      <c r="J592" s="19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IFERROR(__xludf.DUMMYFUNCTION("IMPORTRANGE(""https://docs.google.com/spreadsheets/d/11923uPwbBZFjjGgGUA6NLw09EwE0CqkOc4q9oUmW1yo/edit?usp=sharing"",""อุตรดิตถ์!I488"")"),0)</f>
        <v>0</v>
      </c>
      <c r="J593" s="197">
        <f ca="1">IFERROR(__xludf.DUMMYFUNCTION("IMPORTRANGE(""https://docs.google.com/spreadsheets/d/11923uPwbBZFjjGgGUA6NLw09EwE0CqkOc4q9oUmW1yo/edit?usp=sharing"",""อุตรดิตถ์!J488"")"),0)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IFERROR(__xludf.DUMMYFUNCTION("IMPORTRANGE(""https://docs.google.com/spreadsheets/d/11923uPwbBZFjjGgGUA6NLw09EwE0CqkOc4q9oUmW1yo/edit?usp=sharing"",""อุตรดิตถ์!I489"")"),0)</f>
        <v>0</v>
      </c>
      <c r="J594" s="197">
        <f ca="1">IFERROR(__xludf.DUMMYFUNCTION("IMPORTRANGE(""https://docs.google.com/spreadsheets/d/11923uPwbBZFjjGgGUA6NLw09EwE0CqkOc4q9oUmW1yo/edit?usp=sharing"",""อุตรดิตถ์!J489"")"),0)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IFERROR(__xludf.DUMMYFUNCTION("IMPORTRANGE(""https://docs.google.com/spreadsheets/d/11923uPwbBZFjjGgGUA6NLw09EwE0CqkOc4q9oUmW1yo/edit?usp=sharing"",""อุตรดิตถ์!I490"")"),0)</f>
        <v>0</v>
      </c>
      <c r="J595" s="197">
        <f ca="1">IFERROR(__xludf.DUMMYFUNCTION("IMPORTRANGE(""https://docs.google.com/spreadsheets/d/11923uPwbBZFjjGgGUA6NLw09EwE0CqkOc4q9oUmW1yo/edit?usp=sharing"",""อุตรดิตถ์!J490"")"),0)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IFERROR(__xludf.DUMMYFUNCTION("IMPORTRANGE(""https://docs.google.com/spreadsheets/d/11923uPwbBZFjjGgGUA6NLw09EwE0CqkOc4q9oUmW1yo/edit?usp=sharing"",""อุตรดิตถ์!I491"")"),0)</f>
        <v>0</v>
      </c>
      <c r="J596" s="250">
        <f ca="1">IFERROR(__xludf.DUMMYFUNCTION("IMPORTRANGE(""https://docs.google.com/spreadsheets/d/11923uPwbBZFjjGgGUA6NLw09EwE0CqkOc4q9oUmW1yo/edit?usp=sharing"",""อุตรดิตถ์!J491"")"),0)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IFERROR(__xludf.DUMMYFUNCTION("IMPORTRANGE(""https://docs.google.com/spreadsheets/d/11923uPwbBZFjjGgGUA6NLw09EwE0CqkOc4q9oUmW1yo/edit?usp=sharing"",""อุตรดิตถ์!I492"")"),50)</f>
        <v>50</v>
      </c>
      <c r="J597" s="495">
        <f ca="1">IFERROR(__xludf.DUMMYFUNCTION("IMPORTRANGE(""https://docs.google.com/spreadsheets/d/11923uPwbBZFjjGgGUA6NLw09EwE0CqkOc4q9oUmW1yo/edit?usp=sharing"",""อุตรดิตถ์!J492"")"),0)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IFERROR(__xludf.DUMMYFUNCTION("IMPORTRANGE(""https://docs.google.com/spreadsheets/d/11923uPwbBZFjjGgGUA6NLw09EwE0CqkOc4q9oUmW1yo/edit?usp=sharing"",""อุตรดิตถ์!L492"")"),6150)</f>
        <v>6150</v>
      </c>
      <c r="M597" s="420"/>
      <c r="N597" s="420">
        <f ca="1">IFERROR(__xludf.DUMMYFUNCTION("IMPORTRANGE(""https://docs.google.com/spreadsheets/d/11923uPwbBZFjjGgGUA6NLw09EwE0CqkOc4q9oUmW1yo/edit?usp=sharing"",""อุตรดิตถ์!M492"")"),1600)</f>
        <v>1600</v>
      </c>
      <c r="O597" s="420">
        <f t="shared" ref="O597:O601" ca="1" si="126">+IF(L597&gt;0,N597*100/L597,0)</f>
        <v>26.016260162601625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IFERROR(__xludf.DUMMYFUNCTION("IMPORTRANGE(""https://docs.google.com/spreadsheets/d/11923uPwbBZFjjGgGUA6NLw09EwE0CqkOc4q9oUmW1yo/edit?usp=sharing"",""อุตรดิตถ์!L493"")"),0)</f>
        <v>0</v>
      </c>
      <c r="M598" s="172"/>
      <c r="N598" s="178">
        <f ca="1">IFERROR(__xludf.DUMMYFUNCTION("IMPORTRANGE(""https://docs.google.com/spreadsheets/d/11923uPwbBZFjjGgGUA6NLw09EwE0CqkOc4q9oUmW1yo/edit?usp=sharing"",""อุตรดิตถ์!M493"")"),0)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IFERROR(__xludf.DUMMYFUNCTION("IMPORTRANGE(""https://docs.google.com/spreadsheets/d/11923uPwbBZFjjGgGUA6NLw09EwE0CqkOc4q9oUmW1yo/edit?usp=sharing"",""อุตรดิตถ์!L494"")"),6150)</f>
        <v>6150</v>
      </c>
      <c r="M599" s="173"/>
      <c r="N599" s="178">
        <f ca="1">IFERROR(__xludf.DUMMYFUNCTION("IMPORTRANGE(""https://docs.google.com/spreadsheets/d/11923uPwbBZFjjGgGUA6NLw09EwE0CqkOc4q9oUmW1yo/edit?usp=sharing"",""อุตรดิตถ์!M494"")"),1600)</f>
        <v>1600</v>
      </c>
      <c r="O599" s="178">
        <f t="shared" ca="1" si="126"/>
        <v>26.016260162601625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IFERROR(__xludf.DUMMYFUNCTION("IMPORTRANGE(""https://docs.google.com/spreadsheets/d/11923uPwbBZFjjGgGUA6NLw09EwE0CqkOc4q9oUmW1yo/edit?usp=sharing"",""อุตรดิตถ์!L495"")"),0)</f>
        <v>0</v>
      </c>
      <c r="M600" s="178"/>
      <c r="N600" s="178">
        <f ca="1">IFERROR(__xludf.DUMMYFUNCTION("IMPORTRANGE(""https://docs.google.com/spreadsheets/d/11923uPwbBZFjjGgGUA6NLw09EwE0CqkOc4q9oUmW1yo/edit?usp=sharing"",""อุตรดิตถ์!M495"")"),0)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IFERROR(__xludf.DUMMYFUNCTION("IMPORTRANGE(""https://docs.google.com/spreadsheets/d/11923uPwbBZFjjGgGUA6NLw09EwE0CqkOc4q9oUmW1yo/edit?usp=sharing"",""อุตรดิตถ์!L496"")"),6150)</f>
        <v>6150</v>
      </c>
      <c r="M601" s="178"/>
      <c r="N601" s="178">
        <f ca="1">IFERROR(__xludf.DUMMYFUNCTION("IMPORTRANGE(""https://docs.google.com/spreadsheets/d/11923uPwbBZFjjGgGUA6NLw09EwE0CqkOc4q9oUmW1yo/edit?usp=sharing"",""อุตรดิตถ์!M496"")"),1600)</f>
        <v>1600</v>
      </c>
      <c r="O601" s="178">
        <f t="shared" ca="1" si="126"/>
        <v>26.016260162601625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IFERROR(__xludf.DUMMYFUNCTION("IMPORTRANGE(""https://docs.google.com/spreadsheets/d/11923uPwbBZFjjGgGUA6NLw09EwE0CqkOc4q9oUmW1yo/edit?usp=sharing"",""อุตรดิตถ์!M497"")"),0)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IFERROR(__xludf.DUMMYFUNCTION("IMPORTRANGE(""https://docs.google.com/spreadsheets/d/11923uPwbBZFjjGgGUA6NLw09EwE0CqkOc4q9oUmW1yo/edit?usp=sharing"",""อุตรดิตถ์!M498"")"),0)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IFERROR(__xludf.DUMMYFUNCTION("IMPORTRANGE(""https://docs.google.com/spreadsheets/d/11923uPwbBZFjjGgGUA6NLw09EwE0CqkOc4q9oUmW1yo/edit?usp=sharing"",""อุตรดิตถ์!M499"")"),0)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IFERROR(__xludf.DUMMYFUNCTION("IMPORTRANGE(""https://docs.google.com/spreadsheets/d/11923uPwbBZFjjGgGUA6NLw09EwE0CqkOc4q9oUmW1yo/edit?usp=sharing"",""อุตรดิตถ์!M500"")"),1600)</f>
        <v>1600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IFERROR(__xludf.DUMMYFUNCTION("IMPORTRANGE(""https://docs.google.com/spreadsheets/d/11923uPwbBZFjjGgGUA6NLw09EwE0CqkOc4q9oUmW1yo/edit?usp=sharing"",""อุตรดิตถ์!J502"")"),0)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IFERROR(__xludf.DUMMYFUNCTION("IMPORTRANGE(""https://docs.google.com/spreadsheets/d/11923uPwbBZFjjGgGUA6NLw09EwE0CqkOc4q9oUmW1yo/edit?usp=sharing"",""อุตรดิตถ์!J503"")"),1)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IFERROR(__xludf.DUMMYFUNCTION("IMPORTRANGE(""https://docs.google.com/spreadsheets/d/11923uPwbBZFjjGgGUA6NLw09EwE0CqkOc4q9oUmW1yo/edit?usp=sharing"",""อุตรดิตถ์!J166"")"),0)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IFERROR(__xludf.DUMMYFUNCTION("IMPORTRANGE(""https://docs.google.com/spreadsheets/d/11923uPwbBZFjjGgGUA6NLw09EwE0CqkOc4q9oUmW1yo/edit?usp=sharing"",""อุตรดิตถ์!J166"")"),0)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IFERROR(__xludf.DUMMYFUNCTION("IMPORTRANGE(""https://docs.google.com/spreadsheets/d/11923uPwbBZFjjGgGUA6NLw09EwE0CqkOc4q9oUmW1yo/edit?usp=sharing"",""อุตรดิตถ์!I506"")"),50)</f>
        <v>50</v>
      </c>
      <c r="J611" s="170">
        <f ca="1">IFERROR(__xludf.DUMMYFUNCTION("IMPORTRANGE(""https://docs.google.com/spreadsheets/d/11923uPwbBZFjjGgGUA6NLw09EwE0CqkOc4q9oUmW1yo/edit?usp=sharing"",""อุตรดิตถ์!J506"")"),0)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IFERROR(__xludf.DUMMYFUNCTION("IMPORTRANGE(""https://docs.google.com/spreadsheets/d/11923uPwbBZFjjGgGUA6NLw09EwE0CqkOc4q9oUmW1yo/edit?usp=sharing"",""อุตรดิตถ์!I507"")"),0)</f>
        <v>0</v>
      </c>
      <c r="J612" s="207">
        <f ca="1">IFERROR(__xludf.DUMMYFUNCTION("IMPORTRANGE(""https://docs.google.com/spreadsheets/d/11923uPwbBZFjjGgGUA6NLw09EwE0CqkOc4q9oUmW1yo/edit?usp=sharing"",""อุตรดิตถ์!J507"")"),0)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IFERROR(__xludf.DUMMYFUNCTION("IMPORTRANGE(""https://docs.google.com/spreadsheets/d/11923uPwbBZFjjGgGUA6NLw09EwE0CqkOc4q9oUmW1yo/edit?usp=sharing"",""อุตรดิตถ์!I508"")"),0)</f>
        <v>0</v>
      </c>
      <c r="J613" s="207">
        <f ca="1">IFERROR(__xludf.DUMMYFUNCTION("IMPORTRANGE(""https://docs.google.com/spreadsheets/d/11923uPwbBZFjjGgGUA6NLw09EwE0CqkOc4q9oUmW1yo/edit?usp=sharing"",""อุตรดิตถ์!J508"")"),0)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IFERROR(__xludf.DUMMYFUNCTION("IMPORTRANGE(""https://docs.google.com/spreadsheets/d/11923uPwbBZFjjGgGUA6NLw09EwE0CqkOc4q9oUmW1yo/edit?usp=sharing"",""อุตรดิตถ์!I509"")"),0)</f>
        <v>0</v>
      </c>
      <c r="J614" s="207">
        <f ca="1">IFERROR(__xludf.DUMMYFUNCTION("IMPORTRANGE(""https://docs.google.com/spreadsheets/d/11923uPwbBZFjjGgGUA6NLw09EwE0CqkOc4q9oUmW1yo/edit?usp=sharing"",""อุตรดิตถ์!J509"")"),0)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IFERROR(__xludf.DUMMYFUNCTION("IMPORTRANGE(""https://docs.google.com/spreadsheets/d/11923uPwbBZFjjGgGUA6NLw09EwE0CqkOc4q9oUmW1yo/edit?usp=sharing"",""อุตรดิตถ์!I510"")"),0)</f>
        <v>0</v>
      </c>
      <c r="J615" s="207">
        <f ca="1">IFERROR(__xludf.DUMMYFUNCTION("IMPORTRANGE(""https://docs.google.com/spreadsheets/d/11923uPwbBZFjjGgGUA6NLw09EwE0CqkOc4q9oUmW1yo/edit?usp=sharing"",""อุตรดิตถ์!J510"")"),0)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IFERROR(__xludf.DUMMYFUNCTION("IMPORTRANGE(""https://docs.google.com/spreadsheets/d/11923uPwbBZFjjGgGUA6NLw09EwE0CqkOc4q9oUmW1yo/edit?usp=sharing"",""อุตรดิตถ์!I511"")"),0)</f>
        <v>0</v>
      </c>
      <c r="J616" s="207">
        <f ca="1">IFERROR(__xludf.DUMMYFUNCTION("IMPORTRANGE(""https://docs.google.com/spreadsheets/d/11923uPwbBZFjjGgGUA6NLw09EwE0CqkOc4q9oUmW1yo/edit?usp=sharing"",""อุตรดิตถ์!J511"")"),0)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IFERROR(__xludf.DUMMYFUNCTION("IMPORTRANGE(""https://docs.google.com/spreadsheets/d/11923uPwbBZFjjGgGUA6NLw09EwE0CqkOc4q9oUmW1yo/edit?usp=sharing"",""อุตรดิตถ์!I512"")"),0)</f>
        <v>0</v>
      </c>
      <c r="J617" s="197">
        <f ca="1">IFERROR(__xludf.DUMMYFUNCTION("IMPORTRANGE(""https://docs.google.com/spreadsheets/d/11923uPwbBZFjjGgGUA6NLw09EwE0CqkOc4q9oUmW1yo/edit?usp=sharing"",""อุตรดิตถ์!J512"")"),0)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IFERROR(__xludf.DUMMYFUNCTION("IMPORTRANGE(""https://docs.google.com/spreadsheets/d/11923uPwbBZFjjGgGUA6NLw09EwE0CqkOc4q9oUmW1yo/edit?usp=sharing"",""อุตรดิตถ์!I513"")"),0)</f>
        <v>0</v>
      </c>
      <c r="J618" s="198">
        <f ca="1">IFERROR(__xludf.DUMMYFUNCTION("IMPORTRANGE(""https://docs.google.com/spreadsheets/d/11923uPwbBZFjjGgGUA6NLw09EwE0CqkOc4q9oUmW1yo/edit?usp=sharing"",""อุตรดิตถ์!J513"")"),0)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IFERROR(__xludf.DUMMYFUNCTION("IMPORTRANGE(""https://docs.google.com/spreadsheets/d/11923uPwbBZFjjGgGUA6NLw09EwE0CqkOc4q9oUmW1yo/edit?usp=sharing"",""อุตรดิตถ์!I514"")"),0)</f>
        <v>0</v>
      </c>
      <c r="J619" s="198">
        <f ca="1">IFERROR(__xludf.DUMMYFUNCTION("IMPORTRANGE(""https://docs.google.com/spreadsheets/d/11923uPwbBZFjjGgGUA6NLw09EwE0CqkOc4q9oUmW1yo/edit?usp=sharing"",""อุตรดิตถ์!J514"")"),0)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IFERROR(__xludf.DUMMYFUNCTION("IMPORTRANGE(""https://docs.google.com/spreadsheets/d/11923uPwbBZFjjGgGUA6NLw09EwE0CqkOc4q9oUmW1yo/edit?usp=sharing"",""อุตรดิตถ์!I515"")"),1577)</f>
        <v>1577</v>
      </c>
      <c r="J620" s="212">
        <f ca="1">IFERROR(__xludf.DUMMYFUNCTION("IMPORTRANGE(""https://docs.google.com/spreadsheets/d/11923uPwbBZFjjGgGUA6NLw09EwE0CqkOc4q9oUmW1yo/edit?usp=sharing"",""อุตรดิตถ์!J515"")"),0)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IFERROR(__xludf.DUMMYFUNCTION("IMPORTRANGE(""https://docs.google.com/spreadsheets/d/11923uPwbBZFjjGgGUA6NLw09EwE0CqkOc4q9oUmW1yo/edit?usp=sharing"",""อุตรดิตถ์!I516"")"),0)</f>
        <v>0</v>
      </c>
      <c r="J621" s="212">
        <f ca="1">IFERROR(__xludf.DUMMYFUNCTION("IMPORTRANGE(""https://docs.google.com/spreadsheets/d/11923uPwbBZFjjGgGUA6NLw09EwE0CqkOc4q9oUmW1yo/edit?usp=sharing"",""อุตรดิตถ์!J516"")"),0)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IFERROR(__xludf.DUMMYFUNCTION("IMPORTRANGE(""https://docs.google.com/spreadsheets/d/11923uPwbBZFjjGgGUA6NLw09EwE0CqkOc4q9oUmW1yo/edit?usp=sharing"",""อุตรดิตถ์!I517"")"),0)</f>
        <v>0</v>
      </c>
      <c r="J622" s="198">
        <f ca="1">IFERROR(__xludf.DUMMYFUNCTION("IMPORTRANGE(""https://docs.google.com/spreadsheets/d/11923uPwbBZFjjGgGUA6NLw09EwE0CqkOc4q9oUmW1yo/edit?usp=sharing"",""อุตรดิตถ์!J517"")"),0)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IFERROR(__xludf.DUMMYFUNCTION("IMPORTRANGE(""https://docs.google.com/spreadsheets/d/11923uPwbBZFjjGgGUA6NLw09EwE0CqkOc4q9oUmW1yo/edit?usp=sharing"",""อุตรดิตถ์!I518"")"),0)</f>
        <v>0</v>
      </c>
      <c r="J623" s="198">
        <f ca="1">IFERROR(__xludf.DUMMYFUNCTION("IMPORTRANGE(""https://docs.google.com/spreadsheets/d/11923uPwbBZFjjGgGUA6NLw09EwE0CqkOc4q9oUmW1yo/edit?usp=sharing"",""อุตรดิตถ์!J518"")"),0)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IFERROR(__xludf.DUMMYFUNCTION("IMPORTRANGE(""https://docs.google.com/spreadsheets/d/11923uPwbBZFjjGgGUA6NLw09EwE0CqkOc4q9oUmW1yo/edit?usp=sharing"",""อุตรดิตถ์!I519"")"),0)</f>
        <v>0</v>
      </c>
      <c r="J624" s="197">
        <f ca="1">IFERROR(__xludf.DUMMYFUNCTION("IMPORTRANGE(""https://docs.google.com/spreadsheets/d/11923uPwbBZFjjGgGUA6NLw09EwE0CqkOc4q9oUmW1yo/edit?usp=sharing"",""อุตรดิตถ์!J519"")"),0)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IFERROR(__xludf.DUMMYFUNCTION("IMPORTRANGE(""https://docs.google.com/spreadsheets/d/11923uPwbBZFjjGgGUA6NLw09EwE0CqkOc4q9oUmW1yo/edit?usp=sharing"",""อุตรดิตถ์!I520"")"),0)</f>
        <v>0</v>
      </c>
      <c r="J625" s="198">
        <f ca="1">IFERROR(__xludf.DUMMYFUNCTION("IMPORTRANGE(""https://docs.google.com/spreadsheets/d/11923uPwbBZFjjGgGUA6NLw09EwE0CqkOc4q9oUmW1yo/edit?usp=sharing"",""อุตรดิตถ์!J520"")"),0)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IFERROR(__xludf.DUMMYFUNCTION("IMPORTRANGE(""https://docs.google.com/spreadsheets/d/11923uPwbBZFjjGgGUA6NLw09EwE0CqkOc4q9oUmW1yo/edit?usp=sharing"",""อุตรดิตถ์!I521"")"),0)</f>
        <v>0</v>
      </c>
      <c r="J626" s="198">
        <f ca="1">IFERROR(__xludf.DUMMYFUNCTION("IMPORTRANGE(""https://docs.google.com/spreadsheets/d/11923uPwbBZFjjGgGUA6NLw09EwE0CqkOc4q9oUmW1yo/edit?usp=sharing"",""อุตรดิตถ์!J521"")"),0)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IFERROR(__xludf.DUMMYFUNCTION("IMPORTRANGE(""https://docs.google.com/spreadsheets/d/11923uPwbBZFjjGgGUA6NLw09EwE0CqkOc4q9oUmW1yo/edit?usp=sharing"",""อุตรดิตถ์!I523"")"),20731392.96)</f>
        <v>20731392.960000001</v>
      </c>
      <c r="J628" s="349">
        <f ca="1">IFERROR(__xludf.DUMMYFUNCTION("IMPORTRANGE(""https://docs.google.com/spreadsheets/d/11923uPwbBZFjjGgGUA6NLw09EwE0CqkOc4q9oUmW1yo/edit?usp=sharing"",""อุตรดิตถ์!J523"")"),4555099.04)</f>
        <v>4555099.04</v>
      </c>
      <c r="K628" s="350">
        <f t="shared" ref="K628:K635" ca="1" si="129">IF(I628&gt;0,J628*100/I628,0)</f>
        <v>21.971987356511907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IFERROR(__xludf.DUMMYFUNCTION("IMPORTRANGE(""https://docs.google.com/spreadsheets/d/11923uPwbBZFjjGgGUA6NLw09EwE0CqkOc4q9oUmW1yo/edit?usp=sharing"",""อุตรดิตถ์!I524"")"),842)</f>
        <v>842</v>
      </c>
      <c r="J629" s="349">
        <f ca="1">IFERROR(__xludf.DUMMYFUNCTION("IMPORTRANGE(""https://docs.google.com/spreadsheets/d/11923uPwbBZFjjGgGUA6NLw09EwE0CqkOc4q9oUmW1yo/edit?usp=sharing"",""อุตรดิตถ์!J524"")"),268)</f>
        <v>268</v>
      </c>
      <c r="K629" s="350">
        <f t="shared" ca="1" si="129"/>
        <v>31.828978622327792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IFERROR(__xludf.DUMMYFUNCTION("IMPORTRANGE(""https://docs.google.com/spreadsheets/d/11923uPwbBZFjjGgGUA6NLw09EwE0CqkOc4q9oUmW1yo/edit?usp=sharing"",""อุตรดิตถ์!I525"")"),19324248.74)</f>
        <v>19324248.739999998</v>
      </c>
      <c r="J630" s="349">
        <f ca="1">IFERROR(__xludf.DUMMYFUNCTION("IMPORTRANGE(""https://docs.google.com/spreadsheets/d/11923uPwbBZFjjGgGUA6NLw09EwE0CqkOc4q9oUmW1yo/edit?usp=sharing"",""อุตรดิตถ์!J525"")"),798730.2)</f>
        <v>798730.2</v>
      </c>
      <c r="K630" s="350">
        <f t="shared" ca="1" si="129"/>
        <v>4.1333053136843452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IFERROR(__xludf.DUMMYFUNCTION("IMPORTRANGE(""https://docs.google.com/spreadsheets/d/11923uPwbBZFjjGgGUA6NLw09EwE0CqkOc4q9oUmW1yo/edit?usp=sharing"",""อุตรดิตถ์!I526"")"),698)</f>
        <v>698</v>
      </c>
      <c r="J631" s="349">
        <f ca="1">IFERROR(__xludf.DUMMYFUNCTION("IMPORTRANGE(""https://docs.google.com/spreadsheets/d/11923uPwbBZFjjGgGUA6NLw09EwE0CqkOc4q9oUmW1yo/edit?usp=sharing"",""อุตรดิตถ์!J526"")"),131)</f>
        <v>131</v>
      </c>
      <c r="K631" s="350">
        <f t="shared" ca="1" si="129"/>
        <v>18.767908309455589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9">
        <f ca="1">IFERROR(__xludf.DUMMYFUNCTION("IMPORTRANGE(""https://docs.google.com/spreadsheets/d/11923uPwbBZFjjGgGUA6NLw09EwE0CqkOc4q9oUmW1yo/edit?usp=sharing"",""อุตรดิตถ์!J527"")"),116099.25)</f>
        <v>116099.25</v>
      </c>
      <c r="K632" s="350">
        <f t="shared" ca="1" si="129"/>
        <v>4.2125651463257556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IFERROR(__xludf.DUMMYFUNCTION("IMPORTRANGE(""https://docs.google.com/spreadsheets/d/11923uPwbBZFjjGgGUA6NLw09EwE0CqkOc4q9oUmW1yo/edit?usp=sharing"",""อุตรดิตถ์!I528"")"),79)</f>
        <v>79</v>
      </c>
      <c r="J633" s="349">
        <f ca="1">IFERROR(__xludf.DUMMYFUNCTION("IMPORTRANGE(""https://docs.google.com/spreadsheets/d/11923uPwbBZFjjGgGUA6NLw09EwE0CqkOc4q9oUmW1yo/edit?usp=sharing"",""อุตรดิตถ์!J528"")"),13)</f>
        <v>13</v>
      </c>
      <c r="K633" s="350">
        <f t="shared" ca="1" si="129"/>
        <v>16.455696202531644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9">
        <f ca="1">IFERROR(__xludf.DUMMYFUNCTION("IMPORTRANGE(""https://docs.google.com/spreadsheets/d/11923uPwbBZFjjGgGUA6NLw09EwE0CqkOc4q9oUmW1yo/edit?usp=sharing"",""อุตรดิตถ์!J529"")"),1660000)</f>
        <v>1660000</v>
      </c>
      <c r="K634" s="350">
        <f t="shared" ca="1" si="129"/>
        <v>11.066666666666666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IFERROR(__xludf.DUMMYFUNCTION("IMPORTRANGE(""https://docs.google.com/spreadsheets/d/11923uPwbBZFjjGgGUA6NLw09EwE0CqkOc4q9oUmW1yo/edit?usp=sharing"",""อุตรดิตถ์!I530"")"),400)</f>
        <v>400</v>
      </c>
      <c r="J635" s="519">
        <f ca="1">IFERROR(__xludf.DUMMYFUNCTION("IMPORTRANGE(""https://docs.google.com/spreadsheets/d/11923uPwbBZFjjGgGUA6NLw09EwE0CqkOc4q9oUmW1yo/edit?usp=sharing"",""อุตรดิตถ์!J530"")"),37)</f>
        <v>37</v>
      </c>
      <c r="K635" s="494">
        <f t="shared" ca="1" si="129"/>
        <v>9.25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271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6693150</v>
      </c>
      <c r="M8" s="25">
        <f t="shared" ca="1" si="0"/>
        <v>2398925</v>
      </c>
      <c r="N8" s="25">
        <f t="shared" ca="1" si="0"/>
        <v>1987050.33</v>
      </c>
      <c r="O8" s="24">
        <f t="shared" ref="O8:O16" ca="1" si="1">IF(L8&gt;0,N8*100/L8,0)</f>
        <v>29.687820084713476</v>
      </c>
      <c r="P8" s="24">
        <f t="shared" ref="P8:P16" ca="1" si="2">IF(M8&gt;0,N8*100/M8,0)</f>
        <v>82.830865074981503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6693150</v>
      </c>
      <c r="M10" s="32">
        <f t="shared" ca="1" si="4"/>
        <v>2398925</v>
      </c>
      <c r="N10" s="32">
        <f t="shared" ca="1" si="4"/>
        <v>1987050.33</v>
      </c>
      <c r="O10" s="31">
        <f t="shared" ca="1" si="1"/>
        <v>29.687820084713476</v>
      </c>
      <c r="P10" s="31">
        <f t="shared" ca="1" si="2"/>
        <v>82.830865074981503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6453750</v>
      </c>
      <c r="M12" s="40">
        <f t="shared" ca="1" si="6"/>
        <v>2398925</v>
      </c>
      <c r="N12" s="40">
        <f t="shared" ca="1" si="6"/>
        <v>1749650.33</v>
      </c>
      <c r="O12" s="40">
        <f t="shared" ca="1" si="1"/>
        <v>27.110599728839823</v>
      </c>
      <c r="P12" s="40">
        <f t="shared" ca="1" si="2"/>
        <v>72.934765780505856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2346000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4107750</v>
      </c>
      <c r="M14" s="40">
        <f t="shared" si="8"/>
        <v>0</v>
      </c>
      <c r="N14" s="40">
        <f t="shared" ca="1" si="8"/>
        <v>421181.33</v>
      </c>
      <c r="O14" s="43">
        <f t="shared" ca="1" si="1"/>
        <v>10.253334063660155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237400</v>
      </c>
      <c r="O16" s="52">
        <f t="shared" ca="1" si="1"/>
        <v>99.16457811194654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4510755</v>
      </c>
      <c r="M18" s="25">
        <f t="shared" ca="1" si="11"/>
        <v>2398925</v>
      </c>
      <c r="N18" s="25">
        <f t="shared" ca="1" si="11"/>
        <v>1565869</v>
      </c>
      <c r="O18" s="24">
        <f t="shared" ref="O18:O20" ca="1" si="12">IF(L18&gt;0,N18*100/L18,0)</f>
        <v>34.714122136981501</v>
      </c>
      <c r="P18" s="24">
        <f t="shared" ref="P18:P26" ca="1" si="13">IF(M18&gt;0,N18*100/M18,0)</f>
        <v>65.273778880123388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4510755</v>
      </c>
      <c r="M20" s="32">
        <f t="shared" ca="1" si="15"/>
        <v>2398925</v>
      </c>
      <c r="N20" s="32">
        <f t="shared" ca="1" si="15"/>
        <v>1565869</v>
      </c>
      <c r="O20" s="31">
        <f t="shared" ca="1" si="12"/>
        <v>34.714122136981501</v>
      </c>
      <c r="P20" s="31">
        <f t="shared" ca="1" si="13"/>
        <v>65.273778880123388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4271355</v>
      </c>
      <c r="M22" s="44">
        <f t="shared" ca="1" si="18"/>
        <v>2398925</v>
      </c>
      <c r="N22" s="43">
        <f t="shared" ca="1" si="18"/>
        <v>1328469</v>
      </c>
      <c r="O22" s="43">
        <f t="shared" ca="1" si="17"/>
        <v>31.101816636641065</v>
      </c>
      <c r="P22" s="43">
        <f t="shared" ca="1" si="13"/>
        <v>55.377679585647741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2346000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1925355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237400</v>
      </c>
      <c r="O26" s="52">
        <f t="shared" ca="1" si="17"/>
        <v>99.16457811194654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2182395</v>
      </c>
      <c r="M28" s="25">
        <f t="shared" si="23"/>
        <v>0</v>
      </c>
      <c r="N28" s="25">
        <f t="shared" ca="1" si="23"/>
        <v>421181.33</v>
      </c>
      <c r="O28" s="24">
        <f t="shared" ref="O28:O30" ca="1" si="24">IF(L28&gt;0,N28*100/L28,0)</f>
        <v>19.29904210740952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2182395</v>
      </c>
      <c r="M30" s="32">
        <f t="shared" si="27"/>
        <v>0</v>
      </c>
      <c r="N30" s="32">
        <f t="shared" ca="1" si="27"/>
        <v>421181.33</v>
      </c>
      <c r="O30" s="31">
        <f t="shared" ca="1" si="24"/>
        <v>19.29904210740952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2182395</v>
      </c>
      <c r="M32" s="43">
        <f t="shared" si="30"/>
        <v>0</v>
      </c>
      <c r="N32" s="43">
        <f t="shared" ca="1" si="30"/>
        <v>421181.33</v>
      </c>
      <c r="O32" s="43">
        <f t="shared" ca="1" si="29"/>
        <v>19.29904210740952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2182395</v>
      </c>
      <c r="M34" s="43">
        <f t="shared" si="32"/>
        <v>0</v>
      </c>
      <c r="N34" s="43">
        <f t="shared" ca="1" si="32"/>
        <v>421181.33</v>
      </c>
      <c r="O34" s="43">
        <f t="shared" ca="1" si="29"/>
        <v>19.29904210740952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4510755</v>
      </c>
      <c r="M37" s="57">
        <f t="shared" ca="1" si="33"/>
        <v>2398925</v>
      </c>
      <c r="N37" s="57">
        <f t="shared" ca="1" si="33"/>
        <v>1565869</v>
      </c>
      <c r="O37" s="58">
        <f t="shared" ca="1" si="29"/>
        <v>34.714122136981501</v>
      </c>
      <c r="P37" s="58">
        <f t="shared" ca="1" si="25"/>
        <v>65.273778880123388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784100</v>
      </c>
      <c r="M41" s="81">
        <f t="shared" ca="1" si="34"/>
        <v>392100</v>
      </c>
      <c r="N41" s="81">
        <f t="shared" ca="1" si="34"/>
        <v>299906</v>
      </c>
      <c r="O41" s="80">
        <f t="shared" ref="O41:O43" ca="1" si="35">IF(L41&gt;0,N41*100/L41,0)</f>
        <v>38.248437699273055</v>
      </c>
      <c r="P41" s="80">
        <f t="shared" ref="P41:P43" ca="1" si="36">IF(M41&gt;0,N41*100/M41,0)</f>
        <v>76.48712063249171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784100</v>
      </c>
      <c r="M43" s="81">
        <f t="shared" ca="1" si="38"/>
        <v>392100</v>
      </c>
      <c r="N43" s="81">
        <f t="shared" ca="1" si="38"/>
        <v>299906</v>
      </c>
      <c r="O43" s="80">
        <f t="shared" ca="1" si="35"/>
        <v>38.248437699273055</v>
      </c>
      <c r="P43" s="80">
        <f t="shared" ca="1" si="36"/>
        <v>76.48712063249171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784100</v>
      </c>
      <c r="M45" s="93">
        <f ca="1">IFERROR(__xludf.DUMMYFUNCTION("IMPORTRANGE(""https://docs.google.com/spreadsheets/d/1Yj_ptqi66GCucihVvJfMjLAmec39IyEx_6qawtMGysU/edit?usp=sharing"",""สบก!Q36"")"),392100)</f>
        <v>392100</v>
      </c>
      <c r="N45" s="93">
        <f ca="1">IFERROR(__xludf.DUMMYFUNCTION("IMPORTRANGE(""https://docs.google.com/spreadsheets/d/1Yj_ptqi66GCucihVvJfMjLAmec39IyEx_6qawtMGysU/edit?usp=sharing"",""สบก!R36"")"),299906)</f>
        <v>299906</v>
      </c>
      <c r="O45" s="94">
        <f ca="1">IF(L45&gt;0,N45*100/L45,0)</f>
        <v>38.248437699273055</v>
      </c>
      <c r="P45" s="94">
        <f ca="1">IF(M45&gt;0,N45*100/M45,0)</f>
        <v>76.48712063249171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IFERROR(__xludf.DUMMYFUNCTION("IMPORTRANGE(""https://docs.google.com/spreadsheets/d/1Yj_ptqi66GCucihVvJfMjLAmec39IyEx_6qawtMGysU/edit?usp=sharing"",""สบก!M36"")"),784100)</f>
        <v>784100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IFERROR(__xludf.DUMMYFUNCTION("IMPORTRANGE(""https://docs.google.com/spreadsheets/d/1Yj_ptqi66GCucihVvJfMjLAmec39IyEx_6qawtMGysU/edit?usp=sharing"",""สบก!N36"")"),0)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IFERROR(__xludf.DUMMYFUNCTION("IMPORTRANGE(""https://docs.google.com/spreadsheets/d/1Yj_ptqi66GCucihVvJfMjLAmec39IyEx_6qawtMGysU/edit?usp=sharing"",""สบก!O36"")"),0)</f>
        <v>0</v>
      </c>
      <c r="M49" s="103"/>
      <c r="N49" s="93">
        <f ca="1">IFERROR(__xludf.DUMMYFUNCTION("IMPORTRANGE(""https://docs.google.com/spreadsheets/d/1Yj_ptqi66GCucihVvJfMjLAmec39IyEx_6qawtMGysU/edit?usp=sharing"",""สบก!S36"")"),0)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750000</v>
      </c>
      <c r="M53" s="127">
        <f t="shared" ca="1" si="39"/>
        <v>393000</v>
      </c>
      <c r="N53" s="127">
        <f t="shared" ca="1" si="39"/>
        <v>290202</v>
      </c>
      <c r="O53" s="126">
        <f t="shared" ref="O53:O55" ca="1" si="40">IF(L53&gt;0,N53*100/L53,0)</f>
        <v>38.693600000000004</v>
      </c>
      <c r="P53" s="126">
        <f t="shared" ref="P53:P55" ca="1" si="41">IF(M53&gt;0,N53*100/M53,0)</f>
        <v>73.842748091603056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750000</v>
      </c>
      <c r="M55" s="127">
        <f t="shared" ca="1" si="43"/>
        <v>393000</v>
      </c>
      <c r="N55" s="127">
        <f t="shared" ca="1" si="43"/>
        <v>290202</v>
      </c>
      <c r="O55" s="126">
        <f t="shared" ca="1" si="40"/>
        <v>38.693600000000004</v>
      </c>
      <c r="P55" s="126">
        <f t="shared" ca="1" si="41"/>
        <v>73.842748091603056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750000</v>
      </c>
      <c r="M57" s="93">
        <f ca="1">IFERROR(__xludf.DUMMYFUNCTION("IMPORTRANGE(""https://docs.google.com/spreadsheets/d/1Yj_ptqi66GCucihVvJfMjLAmec39IyEx_6qawtMGysU/edit?usp=sharing"",""สบก!Z36"")"),393000)</f>
        <v>393000</v>
      </c>
      <c r="N57" s="93">
        <f ca="1">IFERROR(__xludf.DUMMYFUNCTION("IMPORTRANGE(""https://docs.google.com/spreadsheets/d/1Yj_ptqi66GCucihVvJfMjLAmec39IyEx_6qawtMGysU/edit?usp=sharing"",""สบก!AA36"")"),290202)</f>
        <v>290202</v>
      </c>
      <c r="O57" s="94">
        <f ca="1">IF(L57&gt;0,N57*100/L57,0)</f>
        <v>38.693600000000004</v>
      </c>
      <c r="P57" s="94">
        <f ca="1">IF(M57&gt;0,N57*100/M57,0)</f>
        <v>73.842748091603056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IFERROR(__xludf.DUMMYFUNCTION("IMPORTRANGE(""https://docs.google.com/spreadsheets/d/1Yj_ptqi66GCucihVvJfMjLAmec39IyEx_6qawtMGysU/edit?usp=sharing"",""สบก!V36"")"),750000)</f>
        <v>750000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IFERROR(__xludf.DUMMYFUNCTION("IMPORTRANGE(""https://docs.google.com/spreadsheets/d/1Yj_ptqi66GCucihVvJfMjLAmec39IyEx_6qawtMGysU/edit?usp=sharing"",""สบก!W36"")"),0)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IFERROR(__xludf.DUMMYFUNCTION("IMPORTRANGE(""https://docs.google.com/spreadsheets/d/1Yj_ptqi66GCucihVvJfMjLAmec39IyEx_6qawtMGysU/edit?usp=sharing"",""สบก!X36"")"),0)</f>
        <v>0</v>
      </c>
      <c r="M61" s="103"/>
      <c r="N61" s="93">
        <f ca="1">IFERROR(__xludf.DUMMYFUNCTION("IMPORTRANGE(""https://docs.google.com/spreadsheets/d/1Yj_ptqi66GCucihVvJfMjLAmec39IyEx_6qawtMGysU/edit?usp=sharing"",""สบก!AB36"")"),0)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IFERROR(__xludf.DUMMYFUNCTION("IMPORTRANGE(""https://docs.google.com/spreadsheets/d/11923uPwbBZFjjGgGUA6NLw09EwE0CqkOc4q9oUmW1yo/edit?usp=sharing"",""อุทัยธานี!I9"")"),2)</f>
        <v>2</v>
      </c>
      <c r="J64" s="148">
        <f ca="1">IFERROR(__xludf.DUMMYFUNCTION("IMPORTRANGE(""https://docs.google.com/spreadsheets/d/11923uPwbBZFjjGgGUA6NLw09EwE0CqkOc4q9oUmW1yo/edit?usp=sharing"",""อุทัยธานี!J9"")"),2)</f>
        <v>2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IFERROR(__xludf.DUMMYFUNCTION("IMPORTRANGE(""https://docs.google.com/spreadsheets/d/11923uPwbBZFjjGgGUA6NLw09EwE0CqkOc4q9oUmW1yo/edit?usp=sharing"",""อุทัยธานี!I10"")"),70)</f>
        <v>70</v>
      </c>
      <c r="J65" s="148">
        <f ca="1">IFERROR(__xludf.DUMMYFUNCTION("IMPORTRANGE(""https://docs.google.com/spreadsheets/d/11923uPwbBZFjjGgGUA6NLw09EwE0CqkOc4q9oUmW1yo/edit?usp=sharing"",""อุทัยธานี!J10"")"),70)</f>
        <v>70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829500</v>
      </c>
      <c r="M66" s="158">
        <f t="shared" ca="1" si="45"/>
        <v>487300</v>
      </c>
      <c r="N66" s="158">
        <f t="shared" ca="1" si="45"/>
        <v>206846</v>
      </c>
      <c r="O66" s="157">
        <f t="shared" ref="O66:O68" ca="1" si="46">IF(L66&gt;0,N66*100/L66,0)</f>
        <v>24.936226642555756</v>
      </c>
      <c r="P66" s="157">
        <f t="shared" ref="P66:P68" ca="1" si="47">IF(M66&gt;0,N66*100/M66,0)</f>
        <v>42.447363020726449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829500</v>
      </c>
      <c r="M68" s="163">
        <f t="shared" ca="1" si="49"/>
        <v>487300</v>
      </c>
      <c r="N68" s="163">
        <f t="shared" ca="1" si="49"/>
        <v>206846</v>
      </c>
      <c r="O68" s="162">
        <f t="shared" ca="1" si="46"/>
        <v>24.936226642555756</v>
      </c>
      <c r="P68" s="162">
        <f t="shared" ca="1" si="47"/>
        <v>42.447363020726449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829500</v>
      </c>
      <c r="M70" s="176">
        <f ca="1">IFERROR(__xludf.DUMMYFUNCTION("IMPORTRANGE(""https://docs.google.com/spreadsheets/d/1Yj_ptqi66GCucihVvJfMjLAmec39IyEx_6qawtMGysU/edit?usp=sharing"",""สบก!AI36"")"),487300)</f>
        <v>487300</v>
      </c>
      <c r="N70" s="177">
        <f ca="1">IFERROR(__xludf.DUMMYFUNCTION("IMPORTRANGE(""https://docs.google.com/spreadsheets/d/1Yj_ptqi66GCucihVvJfMjLAmec39IyEx_6qawtMGysU/edit?usp=sharing"",""สบก!AJ36"")"),206846)</f>
        <v>206846</v>
      </c>
      <c r="O70" s="178">
        <f ca="1">IF(L70&gt;0,N70*100/L70,0)</f>
        <v>24.936226642555756</v>
      </c>
      <c r="P70" s="178">
        <f ca="1">IF(M70&gt;0,N70*100/M70,0)</f>
        <v>42.447363020726449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IFERROR(__xludf.DUMMYFUNCTION("IMPORTRANGE(""https://docs.google.com/spreadsheets/d/1Yj_ptqi66GCucihVvJfMjLAmec39IyEx_6qawtMGysU/edit?usp=sharing"",""สบก!AE36"")"),179500)</f>
        <v>179500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IFERROR(__xludf.DUMMYFUNCTION("IMPORTRANGE(""https://docs.google.com/spreadsheets/d/1Yj_ptqi66GCucihVvJfMjLAmec39IyEx_6qawtMGysU/edit?usp=sharing"",""สบก!AF36"")"),650000)</f>
        <v>650000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IFERROR(__xludf.DUMMYFUNCTION("IMPORTRANGE(""https://docs.google.com/spreadsheets/d/1Yj_ptqi66GCucihVvJfMjLAmec39IyEx_6qawtMGysU/edit?usp=sharing"",""สบก!AG36"")"),0)</f>
        <v>0</v>
      </c>
      <c r="M74" s="103"/>
      <c r="N74" s="93">
        <f ca="1">IFERROR(__xludf.DUMMYFUNCTION("IMPORTRANGE(""https://docs.google.com/spreadsheets/d/1Yj_ptqi66GCucihVvJfMjLAmec39IyEx_6qawtMGysU/edit?usp=sharing"",""สบก!AK36"")"),0)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IFERROR(__xludf.DUMMYFUNCTION("IMPORTRANGE(""https://docs.google.com/spreadsheets/d/11923uPwbBZFjjGgGUA6NLw09EwE0CqkOc4q9oUmW1yo/edit?usp=sharing"",""อุทัยธานี!J16"")"),0)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IFERROR(__xludf.DUMMYFUNCTION("IMPORTRANGE(""https://docs.google.com/spreadsheets/d/11923uPwbBZFjjGgGUA6NLw09EwE0CqkOc4q9oUmW1yo/edit?usp=sharing"",""อุทัยธานี!J17"")"),1)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IFERROR(__xludf.DUMMYFUNCTION("IMPORTRANGE(""https://docs.google.com/spreadsheets/d/11923uPwbBZFjjGgGUA6NLw09EwE0CqkOc4q9oUmW1yo/edit?usp=sharing"",""อุทัยธานี!J18"")"),1)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IFERROR(__xludf.DUMMYFUNCTION("IMPORTRANGE(""https://docs.google.com/spreadsheets/d/11923uPwbBZFjjGgGUA6NLw09EwE0CqkOc4q9oUmW1yo/edit?usp=sharing"",""อุทัยธานี!J19"")"),1)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IFERROR(__xludf.DUMMYFUNCTION("IMPORTRANGE(""https://docs.google.com/spreadsheets/d/11923uPwbBZFjjGgGUA6NLw09EwE0CqkOc4q9oUmW1yo/edit?usp=sharing"",""อุทัยธานี!I20"")"),2)</f>
        <v>2</v>
      </c>
      <c r="J80" s="210">
        <f ca="1">IFERROR(__xludf.DUMMYFUNCTION("IMPORTRANGE(""https://docs.google.com/spreadsheets/d/11923uPwbBZFjjGgGUA6NLw09EwE0CqkOc4q9oUmW1yo/edit?usp=sharing"",""อุทัยธานี!J20"")"),2)</f>
        <v>2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IFERROR(__xludf.DUMMYFUNCTION("IMPORTRANGE(""https://docs.google.com/spreadsheets/d/11923uPwbBZFjjGgGUA6NLw09EwE0CqkOc4q9oUmW1yo/edit?usp=sharing"",""อุทัยธานี!I21"")"),70)</f>
        <v>70</v>
      </c>
      <c r="J81" s="210">
        <f ca="1">IFERROR(__xludf.DUMMYFUNCTION("IMPORTRANGE(""https://docs.google.com/spreadsheets/d/11923uPwbBZFjjGgGUA6NLw09EwE0CqkOc4q9oUmW1yo/edit?usp=sharing"",""อุทัยธานี!J21"")"),70)</f>
        <v>70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IFERROR(__xludf.DUMMYFUNCTION("IMPORTRANGE(""https://docs.google.com/spreadsheets/d/11923uPwbBZFjjGgGUA6NLw09EwE0CqkOc4q9oUmW1yo/edit?usp=sharing"",""อุทัยธานี!I22"")"),1)</f>
        <v>1</v>
      </c>
      <c r="J82" s="213">
        <f ca="1">IFERROR(__xludf.DUMMYFUNCTION("IMPORTRANGE(""https://docs.google.com/spreadsheets/d/11923uPwbBZFjjGgGUA6NLw09EwE0CqkOc4q9oUmW1yo/edit?usp=sharing"",""อุทัยธานี!J22"")"),1)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IFERROR(__xludf.DUMMYFUNCTION("IMPORTRANGE(""https://docs.google.com/spreadsheets/d/11923uPwbBZFjjGgGUA6NLw09EwE0CqkOc4q9oUmW1yo/edit?usp=sharing"",""อุทัยธานี!I23"")"),30)</f>
        <v>30</v>
      </c>
      <c r="J83" s="213">
        <f ca="1">IFERROR(__xludf.DUMMYFUNCTION("IMPORTRANGE(""https://docs.google.com/spreadsheets/d/11923uPwbBZFjjGgGUA6NLw09EwE0CqkOc4q9oUmW1yo/edit?usp=sharing"",""อุทัยธานี!J23"")"),30)</f>
        <v>30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IFERROR(__xludf.DUMMYFUNCTION("IMPORTRANGE(""https://docs.google.com/spreadsheets/d/11923uPwbBZFjjGgGUA6NLw09EwE0CqkOc4q9oUmW1yo/edit?usp=sharing"",""อุทัยธานี!I24"")"),0)</f>
        <v>0</v>
      </c>
      <c r="J84" s="198">
        <f ca="1">IFERROR(__xludf.DUMMYFUNCTION("IMPORTRANGE(""https://docs.google.com/spreadsheets/d/11923uPwbBZFjjGgGUA6NLw09EwE0CqkOc4q9oUmW1yo/edit?usp=sharing"",""อุทัยธานี!J24"")"),0)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IFERROR(__xludf.DUMMYFUNCTION("IMPORTRANGE(""https://docs.google.com/spreadsheets/d/11923uPwbBZFjjGgGUA6NLw09EwE0CqkOc4q9oUmW1yo/edit?usp=sharing"",""อุทัยธานี!I25"")"),0)</f>
        <v>0</v>
      </c>
      <c r="J85" s="198">
        <f ca="1">IFERROR(__xludf.DUMMYFUNCTION("IMPORTRANGE(""https://docs.google.com/spreadsheets/d/11923uPwbBZFjjGgGUA6NLw09EwE0CqkOc4q9oUmW1yo/edit?usp=sharing"",""อุทัยธานี!J25"")"),0)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IFERROR(__xludf.DUMMYFUNCTION("IMPORTRANGE(""https://docs.google.com/spreadsheets/d/11923uPwbBZFjjGgGUA6NLw09EwE0CqkOc4q9oUmW1yo/edit?usp=sharing"",""อุทัยธานี!I26"")"),1)</f>
        <v>1</v>
      </c>
      <c r="J86" s="213">
        <f ca="1">IFERROR(__xludf.DUMMYFUNCTION("IMPORTRANGE(""https://docs.google.com/spreadsheets/d/11923uPwbBZFjjGgGUA6NLw09EwE0CqkOc4q9oUmW1yo/edit?usp=sharing"",""อุทัยธานี!J26"")"),1)</f>
        <v>1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IFERROR(__xludf.DUMMYFUNCTION("IMPORTRANGE(""https://docs.google.com/spreadsheets/d/11923uPwbBZFjjGgGUA6NLw09EwE0CqkOc4q9oUmW1yo/edit?usp=sharing"",""อุทัยธานี!I27"")"),40)</f>
        <v>40</v>
      </c>
      <c r="J87" s="213">
        <f ca="1">IFERROR(__xludf.DUMMYFUNCTION("IMPORTRANGE(""https://docs.google.com/spreadsheets/d/11923uPwbBZFjjGgGUA6NLw09EwE0CqkOc4q9oUmW1yo/edit?usp=sharing"",""อุทัยธานี!J27"")"),40)</f>
        <v>40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IFERROR(__xludf.DUMMYFUNCTION("IMPORTRANGE(""https://docs.google.com/spreadsheets/d/11923uPwbBZFjjGgGUA6NLw09EwE0CqkOc4q9oUmW1yo/edit?usp=sharing"",""อุทัยธานี!I28"")"),30)</f>
        <v>30</v>
      </c>
      <c r="J88" s="213">
        <f ca="1">IFERROR(__xludf.DUMMYFUNCTION("IMPORTRANGE(""https://docs.google.com/spreadsheets/d/11923uPwbBZFjjGgGUA6NLw09EwE0CqkOc4q9oUmW1yo/edit?usp=sharing"",""อุทัยธานี!J28"")"),0)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IFERROR(__xludf.DUMMYFUNCTION("IMPORTRANGE(""https://docs.google.com/spreadsheets/d/11923uPwbBZFjjGgGUA6NLw09EwE0CqkOc4q9oUmW1yo/edit?usp=sharing"",""อุทัยธานี!J29"")"),0)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IFERROR(__xludf.DUMMYFUNCTION("IMPORTRANGE(""https://docs.google.com/spreadsheets/d/11923uPwbBZFjjGgGUA6NLw09EwE0CqkOc4q9oUmW1yo/edit?usp=sharing"",""อุทัยธานี!J30"")"),0)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IFERROR(__xludf.DUMMYFUNCTION("IMPORTRANGE(""https://docs.google.com/spreadsheets/d/11923uPwbBZFjjGgGUA6NLw09EwE0CqkOc4q9oUmW1yo/edit?usp=sharing"",""อุทัยธานี!I32"")"),4)</f>
        <v>4</v>
      </c>
      <c r="J92" s="148">
        <f ca="1">IFERROR(__xludf.DUMMYFUNCTION("IMPORTRANGE(""https://docs.google.com/spreadsheets/d/11923uPwbBZFjjGgGUA6NLw09EwE0CqkOc4q9oUmW1yo/edit?usp=sharing"",""อุทัยธานี!J32"")"),0)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IFERROR(__xludf.DUMMYFUNCTION("IMPORTRANGE(""https://docs.google.com/spreadsheets/d/11923uPwbBZFjjGgGUA6NLw09EwE0CqkOc4q9oUmW1yo/edit?usp=sharing"",""อุทัยธานี!I33"")"),1)</f>
        <v>1</v>
      </c>
      <c r="J93" s="148">
        <f ca="1">IFERROR(__xludf.DUMMYFUNCTION("IMPORTRANGE(""https://docs.google.com/spreadsheets/d/11923uPwbBZFjjGgGUA6NLw09EwE0CqkOc4q9oUmW1yo/edit?usp=sharing"",""อุทัยธานี!J33"")"),0)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103460</v>
      </c>
      <c r="O94" s="157">
        <f t="shared" ref="O94:O96" ca="1" si="53">IF(L94&gt;0,N94*100/L94,0)</f>
        <v>48.233100233100231</v>
      </c>
      <c r="P94" s="157">
        <f t="shared" ref="P94:P96" ca="1" si="54">IF(M94&gt;0,N94*100/M94,0)</f>
        <v>150.53106358213299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103460</v>
      </c>
      <c r="O96" s="162">
        <f t="shared" ca="1" si="53"/>
        <v>48.233100233100231</v>
      </c>
      <c r="P96" s="162">
        <f t="shared" ca="1" si="54"/>
        <v>150.53106358213299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IFERROR(__xludf.DUMMYFUNCTION("IMPORTRANGE(""https://docs.google.com/spreadsheets/d/1Yj_ptqi66GCucihVvJfMjLAmec39IyEx_6qawtMGysU/edit?usp=sharing"",""สบก!AR36"")"),68730)</f>
        <v>68730</v>
      </c>
      <c r="N98" s="177">
        <f ca="1">IFERROR(__xludf.DUMMYFUNCTION("IMPORTRANGE(""https://docs.google.com/spreadsheets/d/1Yj_ptqi66GCucihVvJfMjLAmec39IyEx_6qawtMGysU/edit?usp=sharing"",""สบก!AS36"")"),11060)</f>
        <v>11060</v>
      </c>
      <c r="O98" s="178">
        <f ca="1">IF(L98&gt;0,N98*100/L98,0)</f>
        <v>9.0581490581490574</v>
      </c>
      <c r="P98" s="178">
        <f ca="1">IF(M98&gt;0,N98*100/M98,0)</f>
        <v>16.091954022988507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IFERROR(__xludf.DUMMYFUNCTION("IMPORTRANGE(""https://docs.google.com/spreadsheets/d/1Yj_ptqi66GCucihVvJfMjLAmec39IyEx_6qawtMGysU/edit?usp=sharing"",""สบก!AN36"")"),0)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IFERROR(__xludf.DUMMYFUNCTION("IMPORTRANGE(""https://docs.google.com/spreadsheets/d/1Yj_ptqi66GCucihVvJfMjLAmec39IyEx_6qawtMGysU/edit?usp=sharing"",""สบก!AO36"")"),122100)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IFERROR(__xludf.DUMMYFUNCTION("IMPORTRANGE(""https://docs.google.com/spreadsheets/d/1Yj_ptqi66GCucihVvJfMjLAmec39IyEx_6qawtMGysU/edit?usp=sharing"",""สบก!AP36"")"),92400)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IFERROR(__xludf.DUMMYFUNCTION("IMPORTRANGE(""https://docs.google.com/spreadsheets/d/1Yj_ptqi66GCucihVvJfMjLAmec39IyEx_6qawtMGysU/edit?usp=sharing"",""สบก!AT36"")"),92400)</f>
        <v>92400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IFERROR(__xludf.DUMMYFUNCTION("IMPORTRANGE(""https://docs.google.com/spreadsheets/d/11923uPwbBZFjjGgGUA6NLw09EwE0CqkOc4q9oUmW1yo/edit?usp=sharing"",""อุทัยธานี!J39"")"),0)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IFERROR(__xludf.DUMMYFUNCTION("IMPORTRANGE(""https://docs.google.com/spreadsheets/d/11923uPwbBZFjjGgGUA6NLw09EwE0CqkOc4q9oUmW1yo/edit?usp=sharing"",""อุทัยธานี!J40"")"),1)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IFERROR(__xludf.DUMMYFUNCTION("IMPORTRANGE(""https://docs.google.com/spreadsheets/d/11923uPwbBZFjjGgGUA6NLw09EwE0CqkOc4q9oUmW1yo/edit?usp=sharing"",""อุทัยธานี!J41"")"),1)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IFERROR(__xludf.DUMMYFUNCTION("IMPORTRANGE(""https://docs.google.com/spreadsheets/d/11923uPwbBZFjjGgGUA6NLw09EwE0CqkOc4q9oUmW1yo/edit?usp=sharing"",""อุทัยธานี!J42"")"),1)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IFERROR(__xludf.DUMMYFUNCTION("IMPORTRANGE(""https://docs.google.com/spreadsheets/d/11923uPwbBZFjjGgGUA6NLw09EwE0CqkOc4q9oUmW1yo/edit?usp=sharing"",""อุทัยธานี!I43"")"),1)</f>
        <v>1</v>
      </c>
      <c r="J108" s="213">
        <f ca="1">IFERROR(__xludf.DUMMYFUNCTION("IMPORTRANGE(""https://docs.google.com/spreadsheets/d/11923uPwbBZFjjGgGUA6NLw09EwE0CqkOc4q9oUmW1yo/edit?usp=sharing"",""อุทัยธานี!J43"")"),1)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IFERROR(__xludf.DUMMYFUNCTION("IMPORTRANGE(""https://docs.google.com/spreadsheets/d/11923uPwbBZFjjGgGUA6NLw09EwE0CqkOc4q9oUmW1yo/edit?usp=sharing"",""อุทัยธานี!I44"")"),4)</f>
        <v>4</v>
      </c>
      <c r="J109" s="213">
        <f ca="1">IFERROR(__xludf.DUMMYFUNCTION("IMPORTRANGE(""https://docs.google.com/spreadsheets/d/11923uPwbBZFjjGgGUA6NLw09EwE0CqkOc4q9oUmW1yo/edit?usp=sharing"",""อุทัยธานี!J44"")"),0)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IFERROR(__xludf.DUMMYFUNCTION("IMPORTRANGE(""https://docs.google.com/spreadsheets/d/11923uPwbBZFjjGgGUA6NLw09EwE0CqkOc4q9oUmW1yo/edit?usp=sharing"",""อุทัยธานี!I45"")"),4)</f>
        <v>4</v>
      </c>
      <c r="J110" s="213">
        <f ca="1">IFERROR(__xludf.DUMMYFUNCTION("IMPORTRANGE(""https://docs.google.com/spreadsheets/d/11923uPwbBZFjjGgGUA6NLw09EwE0CqkOc4q9oUmW1yo/edit?usp=sharing"",""อุทัยธานี!J45"")"),4)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IFERROR(__xludf.DUMMYFUNCTION("IMPORTRANGE(""https://docs.google.com/spreadsheets/d/11923uPwbBZFjjGgGUA6NLw09EwE0CqkOc4q9oUmW1yo/edit?usp=sharing"",""อุทัยธานี!I46"")"),4)</f>
        <v>4</v>
      </c>
      <c r="J111" s="213">
        <f ca="1">IFERROR(__xludf.DUMMYFUNCTION("IMPORTRANGE(""https://docs.google.com/spreadsheets/d/11923uPwbBZFjjGgGUA6NLw09EwE0CqkOc4q9oUmW1yo/edit?usp=sharing"",""อุทัยธานี!J46"")"),0)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IFERROR(__xludf.DUMMYFUNCTION("IMPORTRANGE(""https://docs.google.com/spreadsheets/d/11923uPwbBZFjjGgGUA6NLw09EwE0CqkOc4q9oUmW1yo/edit?usp=sharing"",""อุทัยธานี!I47"")"),4)</f>
        <v>4</v>
      </c>
      <c r="J112" s="213">
        <f ca="1">IFERROR(__xludf.DUMMYFUNCTION("IMPORTRANGE(""https://docs.google.com/spreadsheets/d/11923uPwbBZFjjGgGUA6NLw09EwE0CqkOc4q9oUmW1yo/edit?usp=sharing"",""อุทัยธานี!J47"")"),0)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IFERROR(__xludf.DUMMYFUNCTION("IMPORTRANGE(""https://docs.google.com/spreadsheets/d/11923uPwbBZFjjGgGUA6NLw09EwE0CqkOc4q9oUmW1yo/edit?usp=sharing"",""อุทัยธานี!I48"")"),1)</f>
        <v>1</v>
      </c>
      <c r="J113" s="213">
        <f ca="1">IFERROR(__xludf.DUMMYFUNCTION("IMPORTRANGE(""https://docs.google.com/spreadsheets/d/11923uPwbBZFjjGgGUA6NLw09EwE0CqkOc4q9oUmW1yo/edit?usp=sharing"",""อุทัยธานี!J48"")"),0)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IFERROR(__xludf.DUMMYFUNCTION("IMPORTRANGE(""https://docs.google.com/spreadsheets/d/11923uPwbBZFjjGgGUA6NLw09EwE0CqkOc4q9oUmW1yo/edit?usp=sharing"",""อุทัยธานี!J49"")"),0)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IFERROR(__xludf.DUMMYFUNCTION("IMPORTRANGE(""https://docs.google.com/spreadsheets/d/11923uPwbBZFjjGgGUA6NLw09EwE0CqkOc4q9oUmW1yo/edit?usp=sharing"",""อุทัยธานี!J50"")"),0)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IFERROR(__xludf.DUMMYFUNCTION("IMPORTRANGE(""https://docs.google.com/spreadsheets/d/11923uPwbBZFjjGgGUA6NLw09EwE0CqkOc4q9oUmW1yo/edit?usp=sharing"",""อุทัยธานี!I52"")"),0)</f>
        <v>0</v>
      </c>
      <c r="J117" s="148">
        <f ca="1">IFERROR(__xludf.DUMMYFUNCTION("IMPORTRANGE(""https://docs.google.com/spreadsheets/d/11923uPwbBZFjjGgGUA6NLw09EwE0CqkOc4q9oUmW1yo/edit?usp=sharing"",""อุทัยธานี!J52"")"),0)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IFERROR(__xludf.DUMMYFUNCTION("IMPORTRANGE(""https://docs.google.com/spreadsheets/d/1Yj_ptqi66GCucihVvJfMjLAmec39IyEx_6qawtMGysU/edit?usp=sharing"",""สบก!BA36"")"),0)</f>
        <v>0</v>
      </c>
      <c r="N122" s="177">
        <f ca="1">IFERROR(__xludf.DUMMYFUNCTION("IMPORTRANGE(""https://docs.google.com/spreadsheets/d/1Yj_ptqi66GCucihVvJfMjLAmec39IyEx_6qawtMGysU/edit?usp=sharing"",""สบก!BB36"")"),0)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IFERROR(__xludf.DUMMYFUNCTION("IMPORTRANGE(""https://docs.google.com/spreadsheets/d/1Yj_ptqi66GCucihVvJfMjLAmec39IyEx_6qawtMGysU/edit?usp=sharing"",""สบก!AW36"")"),0)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IFERROR(__xludf.DUMMYFUNCTION("IMPORTRANGE(""https://docs.google.com/spreadsheets/d/1Yj_ptqi66GCucihVvJfMjLAmec39IyEx_6qawtMGysU/edit?usp=sharing"",""สบก!AX36"")"),0)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IFERROR(__xludf.DUMMYFUNCTION("IMPORTRANGE(""https://docs.google.com/spreadsheets/d/1Yj_ptqi66GCucihVvJfMjLAmec39IyEx_6qawtMGysU/edit?usp=sharing"",""สบก!AY36"")"),0)</f>
        <v>0</v>
      </c>
      <c r="M126" s="103"/>
      <c r="N126" s="93">
        <f ca="1">IFERROR(__xludf.DUMMYFUNCTION("IMPORTRANGE(""https://docs.google.com/spreadsheets/d/1Yj_ptqi66GCucihVvJfMjLAmec39IyEx_6qawtMGysU/edit?usp=sharing"",""สบก!BC36"")"),0)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272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IFERROR(__xludf.DUMMYFUNCTION("IMPORTRANGE(""https://docs.google.com/spreadsheets/d/11923uPwbBZFjjGgGUA6NLw09EwE0CqkOc4q9oUmW1yo/edit?usp=sharing"",""อุทัยธานี!J58"")"),0)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IFERROR(__xludf.DUMMYFUNCTION("IMPORTRANGE(""https://docs.google.com/spreadsheets/d/11923uPwbBZFjjGgGUA6NLw09EwE0CqkOc4q9oUmW1yo/edit?usp=sharing"",""อุทัยธานี!J59"")"),0)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IFERROR(__xludf.DUMMYFUNCTION("IMPORTRANGE(""https://docs.google.com/spreadsheets/d/11923uPwbBZFjjGgGUA6NLw09EwE0CqkOc4q9oUmW1yo/edit?usp=sharing"",""อุทัยธานี!J60"")"),0)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IFERROR(__xludf.DUMMYFUNCTION("IMPORTRANGE(""https://docs.google.com/spreadsheets/d/11923uPwbBZFjjGgGUA6NLw09EwE0CqkOc4q9oUmW1yo/edit?usp=sharing"",""อุทัยธานี!J61"")"),0)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IFERROR(__xludf.DUMMYFUNCTION("IMPORTRANGE(""https://docs.google.com/spreadsheets/d/11923uPwbBZFjjGgGUA6NLw09EwE0CqkOc4q9oUmW1yo/edit?usp=sharing"",""อุทัยธานี!I62"")"),0)</f>
        <v>0</v>
      </c>
      <c r="J132" s="213">
        <f ca="1">IFERROR(__xludf.DUMMYFUNCTION("IMPORTRANGE(""https://docs.google.com/spreadsheets/d/11923uPwbBZFjjGgGUA6NLw09EwE0CqkOc4q9oUmW1yo/edit?usp=sharing"",""อุทัยธานี!J62"")"),0)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IFERROR(__xludf.DUMMYFUNCTION("IMPORTRANGE(""https://docs.google.com/spreadsheets/d/11923uPwbBZFjjGgGUA6NLw09EwE0CqkOc4q9oUmW1yo/edit?usp=sharing"",""อุทัยธานี!I63"")"),0)</f>
        <v>0</v>
      </c>
      <c r="J133" s="213">
        <f ca="1">IFERROR(__xludf.DUMMYFUNCTION("IMPORTRANGE(""https://docs.google.com/spreadsheets/d/11923uPwbBZFjjGgGUA6NLw09EwE0CqkOc4q9oUmW1yo/edit?usp=sharing"",""อุทัยธานี!J63"")"),0)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IFERROR(__xludf.DUMMYFUNCTION("IMPORTRANGE(""https://docs.google.com/spreadsheets/d/11923uPwbBZFjjGgGUA6NLw09EwE0CqkOc4q9oUmW1yo/edit?usp=sharing"",""อุทัยธานี!J64"")"),0)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IFERROR(__xludf.DUMMYFUNCTION("IMPORTRANGE(""https://docs.google.com/spreadsheets/d/11923uPwbBZFjjGgGUA6NLw09EwE0CqkOc4q9oUmW1yo/edit?usp=sharing"",""อุทัยธานี!J65"")"),0)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IFERROR(__xludf.DUMMYFUNCTION("IMPORTRANGE(""https://docs.google.com/spreadsheets/d/11923uPwbBZFjjGgGUA6NLw09EwE0CqkOc4q9oUmW1yo/edit?usp=sharing"",""อุทัยธานี!I68"")"),0)</f>
        <v>0</v>
      </c>
      <c r="J138" s="276">
        <f ca="1">IFERROR(__xludf.DUMMYFUNCTION("IMPORTRANGE(""https://docs.google.com/spreadsheets/d/11923uPwbBZFjjGgGUA6NLw09EwE0CqkOc4q9oUmW1yo/edit?usp=sharing"",""อุทัยธานี!J68"")"),0)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83500</v>
      </c>
      <c r="M140" s="158">
        <f t="shared" ca="1" si="64"/>
        <v>45750</v>
      </c>
      <c r="N140" s="158">
        <f t="shared" ca="1" si="64"/>
        <v>2670</v>
      </c>
      <c r="O140" s="157">
        <f t="shared" ref="O140:O142" ca="1" si="65">IF(L140&gt;0,N140*100/L140,0)</f>
        <v>3.1976047904191618</v>
      </c>
      <c r="P140" s="157">
        <f t="shared" ref="P140:P142" ca="1" si="66">IF(M140&gt;0,N140*100/M140,0)</f>
        <v>5.8360655737704921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83500</v>
      </c>
      <c r="M142" s="163">
        <f t="shared" ca="1" si="68"/>
        <v>45750</v>
      </c>
      <c r="N142" s="163">
        <f t="shared" ca="1" si="68"/>
        <v>2670</v>
      </c>
      <c r="O142" s="162">
        <f t="shared" ca="1" si="65"/>
        <v>3.1976047904191618</v>
      </c>
      <c r="P142" s="162">
        <f t="shared" ca="1" si="66"/>
        <v>5.8360655737704921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83500</v>
      </c>
      <c r="M144" s="176">
        <f ca="1">IFERROR(__xludf.DUMMYFUNCTION("IMPORTRANGE(""https://docs.google.com/spreadsheets/d/1Yj_ptqi66GCucihVvJfMjLAmec39IyEx_6qawtMGysU/edit?usp=sharing"",""สบก!BJ36"")"),45750)</f>
        <v>45750</v>
      </c>
      <c r="N144" s="177">
        <f ca="1">IFERROR(__xludf.DUMMYFUNCTION("IMPORTRANGE(""https://docs.google.com/spreadsheets/d/1Yj_ptqi66GCucihVvJfMjLAmec39IyEx_6qawtMGysU/edit?usp=sharing"",""สบก!BK36"")"),2670)</f>
        <v>2670</v>
      </c>
      <c r="O144" s="178">
        <f ca="1">IF(L144&gt;0,N144*100/L144,0)</f>
        <v>3.1976047904191618</v>
      </c>
      <c r="P144" s="178">
        <f ca="1">IF(M144&gt;0,N144*100/M144,0)</f>
        <v>5.8360655737704921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IFERROR(__xludf.DUMMYFUNCTION("IMPORTRANGE(""https://docs.google.com/spreadsheets/d/1Yj_ptqi66GCucihVvJfMjLAmec39IyEx_6qawtMGysU/edit?usp=sharing"",""สบก!BF36"")"),0)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IFERROR(__xludf.DUMMYFUNCTION("IMPORTRANGE(""https://docs.google.com/spreadsheets/d/1Yj_ptqi66GCucihVvJfMjLAmec39IyEx_6qawtMGysU/edit?usp=sharing"",""สบก!BG36"")"),83500)</f>
        <v>83500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IFERROR(__xludf.DUMMYFUNCTION("IMPORTRANGE(""https://docs.google.com/spreadsheets/d/1Yj_ptqi66GCucihVvJfMjLAmec39IyEx_6qawtMGysU/edit?usp=sharing"",""สบก!BH36"")"),0)</f>
        <v>0</v>
      </c>
      <c r="M148" s="103"/>
      <c r="N148" s="93">
        <f ca="1">IFERROR(__xludf.DUMMYFUNCTION("IMPORTRANGE(""https://docs.google.com/spreadsheets/d/1Yj_ptqi66GCucihVvJfMjLAmec39IyEx_6qawtMGysU/edit?usp=sharing"",""สบก!BL36"")"),0)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IFERROR(__xludf.DUMMYFUNCTION("IMPORTRANGE(""https://docs.google.com/spreadsheets/d/11923uPwbBZFjjGgGUA6NLw09EwE0CqkOc4q9oUmW1yo/edit?usp=sharing"",""อุทัยธานี!I74"")"),4)</f>
        <v>4</v>
      </c>
      <c r="J149" s="284">
        <f ca="1">IFERROR(__xludf.DUMMYFUNCTION("IMPORTRANGE(""https://docs.google.com/spreadsheets/d/11923uPwbBZFjjGgGUA6NLw09EwE0CqkOc4q9oUmW1yo/edit?usp=sharing"",""อุทัยธานี!J74"")"),1)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IFERROR(__xludf.DUMMYFUNCTION("IMPORTRANGE(""https://docs.google.com/spreadsheets/d/11923uPwbBZFjjGgGUA6NLw09EwE0CqkOc4q9oUmW1yo/edit?usp=sharing"",""อุทัยธานี!J79"")"),0)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IFERROR(__xludf.DUMMYFUNCTION("IMPORTRANGE(""https://docs.google.com/spreadsheets/d/11923uPwbBZFjjGgGUA6NLw09EwE0CqkOc4q9oUmW1yo/edit?usp=sharing"",""อุทัยธานี!J80"")"),1)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IFERROR(__xludf.DUMMYFUNCTION("IMPORTRANGE(""https://docs.google.com/spreadsheets/d/11923uPwbBZFjjGgGUA6NLw09EwE0CqkOc4q9oUmW1yo/edit?usp=sharing"",""อุทัยธานี!J81"")"),0)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IFERROR(__xludf.DUMMYFUNCTION("IMPORTRANGE(""https://docs.google.com/spreadsheets/d/11923uPwbBZFjjGgGUA6NLw09EwE0CqkOc4q9oUmW1yo/edit?usp=sharing"",""อุทัยธานี!J82"")"),0)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IFERROR(__xludf.DUMMYFUNCTION("IMPORTRANGE(""https://docs.google.com/spreadsheets/d/11923uPwbBZFjjGgGUA6NLw09EwE0CqkOc4q9oUmW1yo/edit?usp=sharing"",""อุทัยธานี!I83"")"),4)</f>
        <v>4</v>
      </c>
      <c r="J158" s="198">
        <f ca="1">IFERROR(__xludf.DUMMYFUNCTION("IMPORTRANGE(""https://docs.google.com/spreadsheets/d/11923uPwbBZFjjGgGUA6NLw09EwE0CqkOc4q9oUmW1yo/edit?usp=sharing"",""อุทัยธานี!J83"")"),1)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IFERROR(__xludf.DUMMYFUNCTION("IMPORTRANGE(""https://docs.google.com/spreadsheets/d/11923uPwbBZFjjGgGUA6NLw09EwE0CqkOc4q9oUmW1yo/edit?usp=sharing"",""อุทัยธานี!J84"")"),10)</f>
        <v>10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IFERROR(__xludf.DUMMYFUNCTION("IMPORTRANGE(""https://docs.google.com/spreadsheets/d/11923uPwbBZFjjGgGUA6NLw09EwE0CqkOc4q9oUmW1yo/edit?usp=sharing"",""อุทัยธานี!J85"")"),10)</f>
        <v>10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IFERROR(__xludf.DUMMYFUNCTION("IMPORTRANGE(""https://docs.google.com/spreadsheets/d/11923uPwbBZFjjGgGUA6NLw09EwE0CqkOc4q9oUmW1yo/edit?usp=sharing"",""อุทัยธานี!J86"")"),0)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IFERROR(__xludf.DUMMYFUNCTION("IMPORTRANGE(""https://docs.google.com/spreadsheets/d/11923uPwbBZFjjGgGUA6NLw09EwE0CqkOc4q9oUmW1yo/edit?usp=sharing"",""อุทัยธานี!J87"")"),0)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IFERROR(__xludf.DUMMYFUNCTION("IMPORTRANGE(""https://docs.google.com/spreadsheets/d/11923uPwbBZFjjGgGUA6NLw09EwE0CqkOc4q9oUmW1yo/edit?usp=sharing"",""อุทัยธานี!J88"")"),0)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IFERROR(__xludf.DUMMYFUNCTION("IMPORTRANGE(""https://docs.google.com/spreadsheets/d/11923uPwbBZFjjGgGUA6NLw09EwE0CqkOc4q9oUmW1yo/edit?usp=sharing"",""อุทัยธานี!I89"")"),3)</f>
        <v>3</v>
      </c>
      <c r="J164" s="292">
        <f ca="1">IFERROR(__xludf.DUMMYFUNCTION("IMPORTRANGE(""https://docs.google.com/spreadsheets/d/11923uPwbBZFjjGgGUA6NLw09EwE0CqkOc4q9oUmW1yo/edit?usp=sharing"",""อุทัยธานี!J89"")"),0)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IFERROR(__xludf.DUMMYFUNCTION("IMPORTRANGE(""https://docs.google.com/spreadsheets/d/11923uPwbBZFjjGgGUA6NLw09EwE0CqkOc4q9oUmW1yo/edit?usp=sharing"",""อุทัยธานี!J94"")"),0)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IFERROR(__xludf.DUMMYFUNCTION("IMPORTRANGE(""https://docs.google.com/spreadsheets/d/11923uPwbBZFjjGgGUA6NLw09EwE0CqkOc4q9oUmW1yo/edit?usp=sharing"",""อุทัยธานี!J95"")"),1)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IFERROR(__xludf.DUMMYFUNCTION("IMPORTRANGE(""https://docs.google.com/spreadsheets/d/11923uPwbBZFjjGgGUA6NLw09EwE0CqkOc4q9oUmW1yo/edit?usp=sharing"",""อุทัยธานี!J96"")"),0)</f>
        <v>0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IFERROR(__xludf.DUMMYFUNCTION("IMPORTRANGE(""https://docs.google.com/spreadsheets/d/11923uPwbBZFjjGgGUA6NLw09EwE0CqkOc4q9oUmW1yo/edit?usp=sharing"",""อุทัยธานี!J97"")"),0)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IFERROR(__xludf.DUMMYFUNCTION("IMPORTRANGE(""https://docs.google.com/spreadsheets/d/11923uPwbBZFjjGgGUA6NLw09EwE0CqkOc4q9oUmW1yo/edit?usp=sharing"",""อุทัยธานี!I98"")"),3)</f>
        <v>3</v>
      </c>
      <c r="J173" s="198">
        <f ca="1">IFERROR(__xludf.DUMMYFUNCTION("IMPORTRANGE(""https://docs.google.com/spreadsheets/d/11923uPwbBZFjjGgGUA6NLw09EwE0CqkOc4q9oUmW1yo/edit?usp=sharing"",""อุทัยธานี!J98"")"),0)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IFERROR(__xludf.DUMMYFUNCTION("IMPORTRANGE(""https://docs.google.com/spreadsheets/d/11923uPwbBZFjjGgGUA6NLw09EwE0CqkOc4q9oUmW1yo/edit?usp=sharing"",""อุทัยธานี!J99"")"),0)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IFERROR(__xludf.DUMMYFUNCTION("IMPORTRANGE(""https://docs.google.com/spreadsheets/d/11923uPwbBZFjjGgGUA6NLw09EwE0CqkOc4q9oUmW1yo/edit?usp=sharing"",""อุทัยธานี!J100"")"),0)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IFERROR(__xludf.DUMMYFUNCTION("IMPORTRANGE(""https://docs.google.com/spreadsheets/d/11923uPwbBZFjjGgGUA6NLw09EwE0CqkOc4q9oUmW1yo/edit?usp=sharing"",""อุทัยธานี!I101"")"),0)</f>
        <v>0</v>
      </c>
      <c r="J176" s="292">
        <f ca="1">IFERROR(__xludf.DUMMYFUNCTION("IMPORTRANGE(""https://docs.google.com/spreadsheets/d/11923uPwbBZFjjGgGUA6NLw09EwE0CqkOc4q9oUmW1yo/edit?usp=sharing"",""อุทัยธานี!J101"")"),0)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IFERROR(__xludf.DUMMYFUNCTION("IMPORTRANGE(""https://docs.google.com/spreadsheets/d/11923uPwbBZFjjGgGUA6NLw09EwE0CqkOc4q9oUmW1yo/edit?usp=sharing"",""อุทัยธานี!J106"")"),0)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IFERROR(__xludf.DUMMYFUNCTION("IMPORTRANGE(""https://docs.google.com/spreadsheets/d/11923uPwbBZFjjGgGUA6NLw09EwE0CqkOc4q9oUmW1yo/edit?usp=sharing"",""อุทัยธานี!J107"")"),0)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IFERROR(__xludf.DUMMYFUNCTION("IMPORTRANGE(""https://docs.google.com/spreadsheets/d/11923uPwbBZFjjGgGUA6NLw09EwE0CqkOc4q9oUmW1yo/edit?usp=sharing"",""อุทัยธานี!J108"")"),0)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IFERROR(__xludf.DUMMYFUNCTION("IMPORTRANGE(""https://docs.google.com/spreadsheets/d/11923uPwbBZFjjGgGUA6NLw09EwE0CqkOc4q9oUmW1yo/edit?usp=sharing"",""อุทัยธานี!J109"")"),0)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IFERROR(__xludf.DUMMYFUNCTION("IMPORTRANGE(""https://docs.google.com/spreadsheets/d/11923uPwbBZFjjGgGUA6NLw09EwE0CqkOc4q9oUmW1yo/edit?usp=sharing"",""อุทัยธานี!I110"")"),0)</f>
        <v>0</v>
      </c>
      <c r="J185" s="213">
        <f ca="1">IFERROR(__xludf.DUMMYFUNCTION("IMPORTRANGE(""https://docs.google.com/spreadsheets/d/11923uPwbBZFjjGgGUA6NLw09EwE0CqkOc4q9oUmW1yo/edit?usp=sharing"",""อุทัยธานี!J110"")"),0)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IFERROR(__xludf.DUMMYFUNCTION("IMPORTRANGE(""https://docs.google.com/spreadsheets/d/11923uPwbBZFjjGgGUA6NLw09EwE0CqkOc4q9oUmW1yo/edit?usp=sharing"",""อุทัยธานี!I111"")"),0)</f>
        <v>0</v>
      </c>
      <c r="J186" s="213">
        <f ca="1">IFERROR(__xludf.DUMMYFUNCTION("IMPORTRANGE(""https://docs.google.com/spreadsheets/d/11923uPwbBZFjjGgGUA6NLw09EwE0CqkOc4q9oUmW1yo/edit?usp=sharing"",""อุทัยธานี!J111"")"),0)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IFERROR(__xludf.DUMMYFUNCTION("IMPORTRANGE(""https://docs.google.com/spreadsheets/d/11923uPwbBZFjjGgGUA6NLw09EwE0CqkOc4q9oUmW1yo/edit?usp=sharing"",""อุทัยธานี!J112"")"),0)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IFERROR(__xludf.DUMMYFUNCTION("IMPORTRANGE(""https://docs.google.com/spreadsheets/d/11923uPwbBZFjjGgGUA6NLw09EwE0CqkOc4q9oUmW1yo/edit?usp=sharing"",""อุทัยธานี!J113"")"),0)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IFERROR(__xludf.DUMMYFUNCTION("IMPORTRANGE(""https://docs.google.com/spreadsheets/d/11923uPwbBZFjjGgGUA6NLw09EwE0CqkOc4q9oUmW1yo/edit?usp=sharing"",""อุทัยธานี!I114"")"),100000)</f>
        <v>100000</v>
      </c>
      <c r="J189" s="292">
        <f ca="1">IFERROR(__xludf.DUMMYFUNCTION("IMPORTRANGE(""https://docs.google.com/spreadsheets/d/11923uPwbBZFjjGgGUA6NLw09EwE0CqkOc4q9oUmW1yo/edit?usp=sharing"",""อุทัยธานี!J114"")"),0)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IFERROR(__xludf.DUMMYFUNCTION("IMPORTRANGE(""https://docs.google.com/spreadsheets/d/11923uPwbBZFjjGgGUA6NLw09EwE0CqkOc4q9oUmW1yo/edit?usp=sharing"",""อุทัยธานี!J119"")"),0)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IFERROR(__xludf.DUMMYFUNCTION("IMPORTRANGE(""https://docs.google.com/spreadsheets/d/11923uPwbBZFjjGgGUA6NLw09EwE0CqkOc4q9oUmW1yo/edit?usp=sharing"",""อุทัยธานี!J120"")"),1)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IFERROR(__xludf.DUMMYFUNCTION("IMPORTRANGE(""https://docs.google.com/spreadsheets/d/11923uPwbBZFjjGgGUA6NLw09EwE0CqkOc4q9oUmW1yo/edit?usp=sharing"",""อุทัยธานี!J121"")"),0)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IFERROR(__xludf.DUMMYFUNCTION("IMPORTRANGE(""https://docs.google.com/spreadsheets/d/11923uPwbBZFjjGgGUA6NLw09EwE0CqkOc4q9oUmW1yo/edit?usp=sharing"",""อุทัยธานี!J122"")"),0)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IFERROR(__xludf.DUMMYFUNCTION("IMPORTRANGE(""https://docs.google.com/spreadsheets/d/11923uPwbBZFjjGgGUA6NLw09EwE0CqkOc4q9oUmW1yo/edit?usp=sharing"",""อุทัยธานี!I124"")"),100000)</f>
        <v>100000</v>
      </c>
      <c r="J199" s="198">
        <f ca="1">IFERROR(__xludf.DUMMYFUNCTION("IMPORTRANGE(""https://docs.google.com/spreadsheets/d/11923uPwbBZFjjGgGUA6NLw09EwE0CqkOc4q9oUmW1yo/edit?usp=sharing"",""อุทัยธานี!J124"")"),0)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IFERROR(__xludf.DUMMYFUNCTION("IMPORTRANGE(""https://docs.google.com/spreadsheets/d/11923uPwbBZFjjGgGUA6NLw09EwE0CqkOc4q9oUmW1yo/edit?usp=sharing"",""อุทัยธานี!I125"")"),100000)</f>
        <v>100000</v>
      </c>
      <c r="J200" s="198">
        <f ca="1">IFERROR(__xludf.DUMMYFUNCTION("IMPORTRANGE(""https://docs.google.com/spreadsheets/d/11923uPwbBZFjjGgGUA6NLw09EwE0CqkOc4q9oUmW1yo/edit?usp=sharing"",""อุทัยธานี!J125"")"),0)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IFERROR(__xludf.DUMMYFUNCTION("IMPORTRANGE(""https://docs.google.com/spreadsheets/d/11923uPwbBZFjjGgGUA6NLw09EwE0CqkOc4q9oUmW1yo/edit?usp=sharing"",""อุทัยธานี!I126"")"),0)</f>
        <v>0</v>
      </c>
      <c r="J201" s="198">
        <f ca="1">IFERROR(__xludf.DUMMYFUNCTION("IMPORTRANGE(""https://docs.google.com/spreadsheets/d/11923uPwbBZFjjGgGUA6NLw09EwE0CqkOc4q9oUmW1yo/edit?usp=sharing"",""อุทัยธานี!J126"")"),0)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IFERROR(__xludf.DUMMYFUNCTION("IMPORTRANGE(""https://docs.google.com/spreadsheets/d/11923uPwbBZFjjGgGUA6NLw09EwE0CqkOc4q9oUmW1yo/edit?usp=sharing"",""อุทัยธานี!J127"")"),0)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IFERROR(__xludf.DUMMYFUNCTION("IMPORTRANGE(""https://docs.google.com/spreadsheets/d/11923uPwbBZFjjGgGUA6NLw09EwE0CqkOc4q9oUmW1yo/edit?usp=sharing"",""อุทัยธานี!J128"")"),0)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IFERROR(__xludf.DUMMYFUNCTION("IMPORTRANGE(""https://docs.google.com/spreadsheets/d/11923uPwbBZFjjGgGUA6NLw09EwE0CqkOc4q9oUmW1yo/edit?usp=sharing"",""อุทัยธานี!I129"")"),0)</f>
        <v>0</v>
      </c>
      <c r="J204" s="292">
        <f ca="1">IFERROR(__xludf.DUMMYFUNCTION("IMPORTRANGE(""https://docs.google.com/spreadsheets/d/11923uPwbBZFjjGgGUA6NLw09EwE0CqkOc4q9oUmW1yo/edit?usp=sharing"",""อุทัยธานี!J129"")"),0)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IFERROR(__xludf.DUMMYFUNCTION("IMPORTRANGE(""https://docs.google.com/spreadsheets/d/11923uPwbBZFjjGgGUA6NLw09EwE0CqkOc4q9oUmW1yo/edit?usp=sharing"",""อุทัยธานี!J134"")"),0)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IFERROR(__xludf.DUMMYFUNCTION("IMPORTRANGE(""https://docs.google.com/spreadsheets/d/11923uPwbBZFjjGgGUA6NLw09EwE0CqkOc4q9oUmW1yo/edit?usp=sharing"",""อุทัยธานี!J135"")"),0)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IFERROR(__xludf.DUMMYFUNCTION("IMPORTRANGE(""https://docs.google.com/spreadsheets/d/11923uPwbBZFjjGgGUA6NLw09EwE0CqkOc4q9oUmW1yo/edit?usp=sharing"",""อุทัยธานี!J136"")"),0)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IFERROR(__xludf.DUMMYFUNCTION("IMPORTRANGE(""https://docs.google.com/spreadsheets/d/11923uPwbBZFjjGgGUA6NLw09EwE0CqkOc4q9oUmW1yo/edit?usp=sharing"",""อุทัยธานี!J137"")"),0)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IFERROR(__xludf.DUMMYFUNCTION("IMPORTRANGE(""https://docs.google.com/spreadsheets/d/11923uPwbBZFjjGgGUA6NLw09EwE0CqkOc4q9oUmW1yo/edit?usp=sharing"",""อุทัยธานี!I138"")"),0)</f>
        <v>0</v>
      </c>
      <c r="J213" s="213">
        <f ca="1">IFERROR(__xludf.DUMMYFUNCTION("IMPORTRANGE(""https://docs.google.com/spreadsheets/d/11923uPwbBZFjjGgGUA6NLw09EwE0CqkOc4q9oUmW1yo/edit?usp=sharing"",""อุทัยธานี!J138"")"),0)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IFERROR(__xludf.DUMMYFUNCTION("IMPORTRANGE(""https://docs.google.com/spreadsheets/d/11923uPwbBZFjjGgGUA6NLw09EwE0CqkOc4q9oUmW1yo/edit?usp=sharing"",""อุทัยธานี!I140"")"),0)</f>
        <v>0</v>
      </c>
      <c r="J215" s="213">
        <f ca="1">IFERROR(__xludf.DUMMYFUNCTION("IMPORTRANGE(""https://docs.google.com/spreadsheets/d/11923uPwbBZFjjGgGUA6NLw09EwE0CqkOc4q9oUmW1yo/edit?usp=sharing"",""อุทัยธานี!J140"")"),0)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IFERROR(__xludf.DUMMYFUNCTION("IMPORTRANGE(""https://docs.google.com/spreadsheets/d/11923uPwbBZFjjGgGUA6NLw09EwE0CqkOc4q9oUmW1yo/edit?usp=sharing"",""อุทัยธานี!I141"")"),0)</f>
        <v>0</v>
      </c>
      <c r="J216" s="213">
        <f ca="1">IFERROR(__xludf.DUMMYFUNCTION("IMPORTRANGE(""https://docs.google.com/spreadsheets/d/11923uPwbBZFjjGgGUA6NLw09EwE0CqkOc4q9oUmW1yo/edit?usp=sharing"",""อุทัยธานี!J141"")"),0)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IFERROR(__xludf.DUMMYFUNCTION("IMPORTRANGE(""https://docs.google.com/spreadsheets/d/11923uPwbBZFjjGgGUA6NLw09EwE0CqkOc4q9oUmW1yo/edit?usp=sharing"",""อุทัยธานี!J142"")"),0)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IFERROR(__xludf.DUMMYFUNCTION("IMPORTRANGE(""https://docs.google.com/spreadsheets/d/11923uPwbBZFjjGgGUA6NLw09EwE0CqkOc4q9oUmW1yo/edit?usp=sharing"",""อุทัยธานี!J143"")"),0)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IFERROR(__xludf.DUMMYFUNCTION("IMPORTRANGE(""https://docs.google.com/spreadsheets/d/11923uPwbBZFjjGgGUA6NLw09EwE0CqkOc4q9oUmW1yo/edit?usp=sharing"",""อุทัยธานี!I144"")"),15)</f>
        <v>15</v>
      </c>
      <c r="J219" s="276">
        <f ca="1">IFERROR(__xludf.DUMMYFUNCTION("IMPORTRANGE(""https://docs.google.com/spreadsheets/d/11923uPwbBZFjjGgGUA6NLw09EwE0CqkOc4q9oUmW1yo/edit?usp=sharing"",""อุทัยธานี!J144"")"),15)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20505</v>
      </c>
      <c r="O220" s="157">
        <f t="shared" ref="O220:O222" ca="1" si="73">IF(L220&gt;0,N220*100/L220,0)</f>
        <v>97.065088757396452</v>
      </c>
      <c r="P220" s="157">
        <f t="shared" ref="P220:P222" ca="1" si="74">IF(M220&gt;0,N220*100/M220,0)</f>
        <v>97.065088757396452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20505</v>
      </c>
      <c r="O222" s="162">
        <f t="shared" ca="1" si="73"/>
        <v>97.065088757396452</v>
      </c>
      <c r="P222" s="162">
        <f t="shared" ca="1" si="74"/>
        <v>97.065088757396452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IFERROR(__xludf.DUMMYFUNCTION("IMPORTRANGE(""https://docs.google.com/spreadsheets/d/1Yj_ptqi66GCucihVvJfMjLAmec39IyEx_6qawtMGysU/edit?usp=sharing"",""สบก!BS36"")"),21125)</f>
        <v>21125</v>
      </c>
      <c r="N224" s="177">
        <f ca="1">IFERROR(__xludf.DUMMYFUNCTION("IMPORTRANGE(""https://docs.google.com/spreadsheets/d/1Yj_ptqi66GCucihVvJfMjLAmec39IyEx_6qawtMGysU/edit?usp=sharing"",""สบก!BT36"")"),20505)</f>
        <v>20505</v>
      </c>
      <c r="O224" s="178">
        <f ca="1">IF(L224&gt;0,N224*100/L224,0)</f>
        <v>97.065088757396452</v>
      </c>
      <c r="P224" s="178">
        <f ca="1">IF(M224&gt;0,N224*100/M224,0)</f>
        <v>97.065088757396452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IFERROR(__xludf.DUMMYFUNCTION("IMPORTRANGE(""https://docs.google.com/spreadsheets/d/1Yj_ptqi66GCucihVvJfMjLAmec39IyEx_6qawtMGysU/edit?usp=sharing"",""สบก!BO36"")"),0)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IFERROR(__xludf.DUMMYFUNCTION("IMPORTRANGE(""https://docs.google.com/spreadsheets/d/1Yj_ptqi66GCucihVvJfMjLAmec39IyEx_6qawtMGysU/edit?usp=sharing"",""สบก!BP36"")"),21125)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IFERROR(__xludf.DUMMYFUNCTION("IMPORTRANGE(""https://docs.google.com/spreadsheets/d/1Yj_ptqi66GCucihVvJfMjLAmec39IyEx_6qawtMGysU/edit?usp=sharing"",""สบก!BQ36"")"),0)</f>
        <v>0</v>
      </c>
      <c r="M228" s="103"/>
      <c r="N228" s="93">
        <f ca="1">IFERROR(__xludf.DUMMYFUNCTION("IMPORTRANGE(""https://docs.google.com/spreadsheets/d/1Yj_ptqi66GCucihVvJfMjLAmec39IyEx_6qawtMGysU/edit?usp=sharing"",""สบก!BU36"")"),0)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IFERROR(__xludf.DUMMYFUNCTION("IMPORTRANGE(""https://docs.google.com/spreadsheets/d/11923uPwbBZFjjGgGUA6NLw09EwE0CqkOc4q9oUmW1yo/edit?usp=sharing"",""อุทัยธานี!I149"")"),15)</f>
        <v>15</v>
      </c>
      <c r="J229" s="276">
        <f ca="1">IFERROR(__xludf.DUMMYFUNCTION("IMPORTRANGE(""https://docs.google.com/spreadsheets/d/11923uPwbBZFjjGgGUA6NLw09EwE0CqkOc4q9oUmW1yo/edit?usp=sharing"",""อุทัยธานี!J149"")"),15)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IFERROR(__xludf.DUMMYFUNCTION("IMPORTRANGE(""https://docs.google.com/spreadsheets/d/11923uPwbBZFjjGgGUA6NLw09EwE0CqkOc4q9oUmW1yo/edit?usp=sharing"",""อุทัยธานี!J151"")"),0)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IFERROR(__xludf.DUMMYFUNCTION("IMPORTRANGE(""https://docs.google.com/spreadsheets/d/11923uPwbBZFjjGgGUA6NLw09EwE0CqkOc4q9oUmW1yo/edit?usp=sharing"",""อุทัยธานี!J152"")"),1)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IFERROR(__xludf.DUMMYFUNCTION("IMPORTRANGE(""https://docs.google.com/spreadsheets/d/11923uPwbBZFjjGgGUA6NLw09EwE0CqkOc4q9oUmW1yo/edit?usp=sharing"",""อุทัยธานี!J153"")"),1)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IFERROR(__xludf.DUMMYFUNCTION("IMPORTRANGE(""https://docs.google.com/spreadsheets/d/11923uPwbBZFjjGgGUA6NLw09EwE0CqkOc4q9oUmW1yo/edit?usp=sharing"",""อุทัยธานี!J154"")"),1)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IFERROR(__xludf.DUMMYFUNCTION("IMPORTRANGE(""https://docs.google.com/spreadsheets/d/11923uPwbBZFjjGgGUA6NLw09EwE0CqkOc4q9oUmW1yo/edit?usp=sharing"",""อุทัยธานี!I155"")"),15)</f>
        <v>15</v>
      </c>
      <c r="J235" s="198">
        <f ca="1">IFERROR(__xludf.DUMMYFUNCTION("IMPORTRANGE(""https://docs.google.com/spreadsheets/d/11923uPwbBZFjjGgGUA6NLw09EwE0CqkOc4q9oUmW1yo/edit?usp=sharing"",""อุทัยธานี!J155"")"),15)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IFERROR(__xludf.DUMMYFUNCTION("IMPORTRANGE(""https://docs.google.com/spreadsheets/d/11923uPwbBZFjjGgGUA6NLw09EwE0CqkOc4q9oUmW1yo/edit?usp=sharing"",""อุทัยธานี!J156"")"),0)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IFERROR(__xludf.DUMMYFUNCTION("IMPORTRANGE(""https://docs.google.com/spreadsheets/d/11923uPwbBZFjjGgGUA6NLw09EwE0CqkOc4q9oUmW1yo/edit?usp=sharing"",""อุทัยธานี!J157"")"),0)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IFERROR(__xludf.DUMMYFUNCTION("IMPORTRANGE(""https://docs.google.com/spreadsheets/d/11923uPwbBZFjjGgGUA6NLw09EwE0CqkOc4q9oUmW1yo/edit?usp=sharing"",""อุทัยธานี!I158"")"),0)</f>
        <v>0</v>
      </c>
      <c r="J238" s="276">
        <f ca="1">IFERROR(__xludf.DUMMYFUNCTION("IMPORTRANGE(""https://docs.google.com/spreadsheets/d/11923uPwbBZFjjGgGUA6NLw09EwE0CqkOc4q9oUmW1yo/edit?usp=sharing"",""อุทัยธานี!J158"")"),0)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IFERROR(__xludf.DUMMYFUNCTION("IMPORTRANGE(""https://docs.google.com/spreadsheets/d/11923uPwbBZFjjGgGUA6NLw09EwE0CqkOc4q9oUmW1yo/edit?usp=sharing"",""อุทัยธานี!J159"")"),"")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IFERROR(__xludf.DUMMYFUNCTION("IMPORTRANGE(""https://docs.google.com/spreadsheets/d/11923uPwbBZFjjGgGUA6NLw09EwE0CqkOc4q9oUmW1yo/edit?usp=sharing"",""อุทัยธานี!J161"")"),0)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IFERROR(__xludf.DUMMYFUNCTION("IMPORTRANGE(""https://docs.google.com/spreadsheets/d/11923uPwbBZFjjGgGUA6NLw09EwE0CqkOc4q9oUmW1yo/edit?usp=sharing"",""อุทัยธานี!J162"")"),0)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IFERROR(__xludf.DUMMYFUNCTION("IMPORTRANGE(""https://docs.google.com/spreadsheets/d/11923uPwbBZFjjGgGUA6NLw09EwE0CqkOc4q9oUmW1yo/edit?usp=sharing"",""อุทัยธานี!J163"")"),0)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IFERROR(__xludf.DUMMYFUNCTION("IMPORTRANGE(""https://docs.google.com/spreadsheets/d/11923uPwbBZFjjGgGUA6NLw09EwE0CqkOc4q9oUmW1yo/edit?usp=sharing"",""อุทัยธานี!I164"")"),0)</f>
        <v>0</v>
      </c>
      <c r="J244" s="197">
        <f ca="1">IFERROR(__xludf.DUMMYFUNCTION("IMPORTRANGE(""https://docs.google.com/spreadsheets/d/11923uPwbBZFjjGgGUA6NLw09EwE0CqkOc4q9oUmW1yo/edit?usp=sharing"",""อุทัยธานี!J164"")"),0)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IFERROR(__xludf.DUMMYFUNCTION("IMPORTRANGE(""https://docs.google.com/spreadsheets/d/11923uPwbBZFjjGgGUA6NLw09EwE0CqkOc4q9oUmW1yo/edit?usp=sharing"",""อุทัยธานี!J165"")"),0)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IFERROR(__xludf.DUMMYFUNCTION("IMPORTRANGE(""https://docs.google.com/spreadsheets/d/11923uPwbBZFjjGgGUA6NLw09EwE0CqkOc4q9oUmW1yo/edit?usp=sharing"",""อุทัยธานี!J166"")"),0)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IFERROR(__xludf.DUMMYFUNCTION("IMPORTRANGE(""https://docs.google.com/spreadsheets/d/11923uPwbBZFjjGgGUA6NLw09EwE0CqkOc4q9oUmW1yo/edit?usp=sharing"",""อุทัยธานี!I169"")"),20)</f>
        <v>20</v>
      </c>
      <c r="J249" s="324">
        <f ca="1">IFERROR(__xludf.DUMMYFUNCTION("IMPORTRANGE(""https://docs.google.com/spreadsheets/d/11923uPwbBZFjjGgGUA6NLw09EwE0CqkOc4q9oUmW1yo/edit?usp=sharing"",""อุทัยธานี!J169"")"),0)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203400</v>
      </c>
      <c r="M250" s="158">
        <f t="shared" ca="1" si="77"/>
        <v>103000</v>
      </c>
      <c r="N250" s="158">
        <f t="shared" ca="1" si="77"/>
        <v>37693</v>
      </c>
      <c r="O250" s="157">
        <f t="shared" ref="O250:O252" ca="1" si="78">IF(L250&gt;0,N250*100/L250,0)</f>
        <v>18.531465093411995</v>
      </c>
      <c r="P250" s="157">
        <f t="shared" ref="P250:P252" ca="1" si="79">IF(M250&gt;0,N250*100/M250,0)</f>
        <v>36.595145631067965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203400</v>
      </c>
      <c r="M252" s="163">
        <f t="shared" ca="1" si="81"/>
        <v>103000</v>
      </c>
      <c r="N252" s="163">
        <f t="shared" ca="1" si="81"/>
        <v>37693</v>
      </c>
      <c r="O252" s="162">
        <f t="shared" ca="1" si="78"/>
        <v>18.531465093411995</v>
      </c>
      <c r="P252" s="162">
        <f t="shared" ca="1" si="79"/>
        <v>36.595145631067965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203400</v>
      </c>
      <c r="M254" s="176">
        <f ca="1">IFERROR(__xludf.DUMMYFUNCTION("IMPORTRANGE(""https://docs.google.com/spreadsheets/d/1Yj_ptqi66GCucihVvJfMjLAmec39IyEx_6qawtMGysU/edit?usp=sharing"",""สบก!CB36"")"),103000)</f>
        <v>103000</v>
      </c>
      <c r="N254" s="177">
        <f ca="1">IFERROR(__xludf.DUMMYFUNCTION("IMPORTRANGE(""https://docs.google.com/spreadsheets/d/1Yj_ptqi66GCucihVvJfMjLAmec39IyEx_6qawtMGysU/edit?usp=sharing"",""สบก!CC36"")"),37693)</f>
        <v>37693</v>
      </c>
      <c r="O254" s="178">
        <f ca="1">IF(L254&gt;0,N254*100/L254,0)</f>
        <v>18.531465093411995</v>
      </c>
      <c r="P254" s="178">
        <f ca="1">IF(M254&gt;0,N254*100/M254,0)</f>
        <v>36.595145631067965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IFERROR(__xludf.DUMMYFUNCTION("IMPORTRANGE(""https://docs.google.com/spreadsheets/d/1Yj_ptqi66GCucihVvJfMjLAmec39IyEx_6qawtMGysU/edit?usp=sharing"",""สบก!BX36"")"),132000)</f>
        <v>132000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IFERROR(__xludf.DUMMYFUNCTION("IMPORTRANGE(""https://docs.google.com/spreadsheets/d/1Yj_ptqi66GCucihVvJfMjLAmec39IyEx_6qawtMGysU/edit?usp=sharing"",""สบก!BY36"")"),71400)</f>
        <v>71400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IFERROR(__xludf.DUMMYFUNCTION("IMPORTRANGE(""https://docs.google.com/spreadsheets/d/1Yj_ptqi66GCucihVvJfMjLAmec39IyEx_6qawtMGysU/edit?usp=sharing"",""สบก!BZ36"")"),0)</f>
        <v>0</v>
      </c>
      <c r="M258" s="103"/>
      <c r="N258" s="93">
        <f ca="1">IFERROR(__xludf.DUMMYFUNCTION("IMPORTRANGE(""https://docs.google.com/spreadsheets/d/1Yj_ptqi66GCucihVvJfMjLAmec39IyEx_6qawtMGysU/edit?usp=sharing"",""สบก!CD36"")"),0)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IFERROR(__xludf.DUMMYFUNCTION("IMPORTRANGE(""https://docs.google.com/spreadsheets/d/11923uPwbBZFjjGgGUA6NLw09EwE0CqkOc4q9oUmW1yo/edit?usp=sharing"",""อุทัยธานี!J175"")"),0)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IFERROR(__xludf.DUMMYFUNCTION("IMPORTRANGE(""https://docs.google.com/spreadsheets/d/11923uPwbBZFjjGgGUA6NLw09EwE0CqkOc4q9oUmW1yo/edit?usp=sharing"",""อุทัยธานี!J176"")"),1)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IFERROR(__xludf.DUMMYFUNCTION("IMPORTRANGE(""https://docs.google.com/spreadsheets/d/11923uPwbBZFjjGgGUA6NLw09EwE0CqkOc4q9oUmW1yo/edit?usp=sharing"",""อุทัยธานี!J177"")"),0)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IFERROR(__xludf.DUMMYFUNCTION("IMPORTRANGE(""https://docs.google.com/spreadsheets/d/11923uPwbBZFjjGgGUA6NLw09EwE0CqkOc4q9oUmW1yo/edit?usp=sharing"",""อุทัยธานี!J178"")"),0)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IFERROR(__xludf.DUMMYFUNCTION("IMPORTRANGE(""https://docs.google.com/spreadsheets/d/11923uPwbBZFjjGgGUA6NLw09EwE0CqkOc4q9oUmW1yo/edit?usp=sharing"",""อุทัยธานี!I179"")"),1)</f>
        <v>1</v>
      </c>
      <c r="J264" s="198">
        <f ca="1">IFERROR(__xludf.DUMMYFUNCTION("IMPORTRANGE(""https://docs.google.com/spreadsheets/d/11923uPwbBZFjjGgGUA6NLw09EwE0CqkOc4q9oUmW1yo/edit?usp=sharing"",""อุทัยธานี!J179"")"),0)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IFERROR(__xludf.DUMMYFUNCTION("IMPORTRANGE(""https://docs.google.com/spreadsheets/d/11923uPwbBZFjjGgGUA6NLw09EwE0CqkOc4q9oUmW1yo/edit?usp=sharing"",""อุทัยธานี!I180"")"),20)</f>
        <v>20</v>
      </c>
      <c r="J265" s="198">
        <f ca="1">IFERROR(__xludf.DUMMYFUNCTION("IMPORTRANGE(""https://docs.google.com/spreadsheets/d/11923uPwbBZFjjGgGUA6NLw09EwE0CqkOc4q9oUmW1yo/edit?usp=sharing"",""อุทัยธานี!J180"")"),0)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IFERROR(__xludf.DUMMYFUNCTION("IMPORTRANGE(""https://docs.google.com/spreadsheets/d/11923uPwbBZFjjGgGUA6NLw09EwE0CqkOc4q9oUmW1yo/edit?usp=sharing"",""อุทัยธานี!I181"")"),20)</f>
        <v>20</v>
      </c>
      <c r="J266" s="198">
        <f ca="1">IFERROR(__xludf.DUMMYFUNCTION("IMPORTRANGE(""https://docs.google.com/spreadsheets/d/11923uPwbBZFjjGgGUA6NLw09EwE0CqkOc4q9oUmW1yo/edit?usp=sharing"",""อุทัยธานี!J181"")"),0)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IFERROR(__xludf.DUMMYFUNCTION("IMPORTRANGE(""https://docs.google.com/spreadsheets/d/11923uPwbBZFjjGgGUA6NLw09EwE0CqkOc4q9oUmW1yo/edit?usp=sharing"",""อุทัยธานี!I182"")"),1)</f>
        <v>1</v>
      </c>
      <c r="J267" s="198">
        <f ca="1">IFERROR(__xludf.DUMMYFUNCTION("IMPORTRANGE(""https://docs.google.com/spreadsheets/d/11923uPwbBZFjjGgGUA6NLw09EwE0CqkOc4q9oUmW1yo/edit?usp=sharing"",""อุทัยธานี!J182"")"),0)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IFERROR(__xludf.DUMMYFUNCTION("IMPORTRANGE(""https://docs.google.com/spreadsheets/d/11923uPwbBZFjjGgGUA6NLw09EwE0CqkOc4q9oUmW1yo/edit?usp=sharing"",""อุทัยธานี!J183"")"),0)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IFERROR(__xludf.DUMMYFUNCTION("IMPORTRANGE(""https://docs.google.com/spreadsheets/d/11923uPwbBZFjjGgGUA6NLw09EwE0CqkOc4q9oUmW1yo/edit?usp=sharing"",""อุทัยธานี!J184"")"),0)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IFERROR(__xludf.DUMMYFUNCTION("IMPORTRANGE(""https://docs.google.com/spreadsheets/d/11923uPwbBZFjjGgGUA6NLw09EwE0CqkOc4q9oUmW1yo/edit?usp=sharing"",""อุทัยธานี!I185"")"),20)</f>
        <v>20</v>
      </c>
      <c r="J270" s="324">
        <f ca="1">IFERROR(__xludf.DUMMYFUNCTION("IMPORTRANGE(""https://docs.google.com/spreadsheets/d/11923uPwbBZFjjGgGUA6NLw09EwE0CqkOc4q9oUmW1yo/edit?usp=sharing"",""อุทัยธานี!J185"")"),20)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100365</v>
      </c>
      <c r="O271" s="157">
        <f t="shared" ref="O271:O273" ca="1" si="84">IF(L271&gt;0,N271*100/L271,0)</f>
        <v>54.665032679738559</v>
      </c>
      <c r="P271" s="157">
        <f t="shared" ref="P271:P273" ca="1" si="85">IF(M271&gt;0,N271*100/M271,0)</f>
        <v>107.91935483870968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100365</v>
      </c>
      <c r="O273" s="162">
        <f t="shared" ca="1" si="84"/>
        <v>54.665032679738559</v>
      </c>
      <c r="P273" s="162">
        <f t="shared" ca="1" si="85"/>
        <v>107.91935483870968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IFERROR(__xludf.DUMMYFUNCTION("IMPORTRANGE(""https://docs.google.com/spreadsheets/d/1Yj_ptqi66GCucihVvJfMjLAmec39IyEx_6qawtMGysU/edit?usp=sharing"",""สบก!CK36"")"),93000)</f>
        <v>93000</v>
      </c>
      <c r="N275" s="177">
        <f ca="1">IFERROR(__xludf.DUMMYFUNCTION("IMPORTRANGE(""https://docs.google.com/spreadsheets/d/1Yj_ptqi66GCucihVvJfMjLAmec39IyEx_6qawtMGysU/edit?usp=sharing"",""สบก!CL36"")"),100365)</f>
        <v>100365</v>
      </c>
      <c r="O275" s="178">
        <f ca="1">IF(L275&gt;0,N275*100/L275,0)</f>
        <v>54.665032679738559</v>
      </c>
      <c r="P275" s="178">
        <f ca="1">IF(M275&gt;0,N275*100/M275,0)</f>
        <v>107.91935483870968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IFERROR(__xludf.DUMMYFUNCTION("IMPORTRANGE(""https://docs.google.com/spreadsheets/d/1Yj_ptqi66GCucihVvJfMjLAmec39IyEx_6qawtMGysU/edit?usp=sharing"",""สบก!CG36"")"),0)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IFERROR(__xludf.DUMMYFUNCTION("IMPORTRANGE(""https://docs.google.com/spreadsheets/d/1Yj_ptqi66GCucihVvJfMjLAmec39IyEx_6qawtMGysU/edit?usp=sharing"",""สบก!CH36"")"),183600)</f>
        <v>183600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IFERROR(__xludf.DUMMYFUNCTION("IMPORTRANGE(""https://docs.google.com/spreadsheets/d/1Yj_ptqi66GCucihVvJfMjLAmec39IyEx_6qawtMGysU/edit?usp=sharing"",""สบก!CI36"")"),0)</f>
        <v>0</v>
      </c>
      <c r="M279" s="103"/>
      <c r="N279" s="93">
        <f ca="1">IFERROR(__xludf.DUMMYFUNCTION("IMPORTRANGE(""https://docs.google.com/spreadsheets/d/1Yj_ptqi66GCucihVvJfMjLAmec39IyEx_6qawtMGysU/edit?usp=sharing"",""สบก!CM36"")"),0)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IFERROR(__xludf.DUMMYFUNCTION("IMPORTRANGE(""https://docs.google.com/spreadsheets/d/11923uPwbBZFjjGgGUA6NLw09EwE0CqkOc4q9oUmW1yo/edit?usp=sharing"",""อุทัยธานี!J191"")"),0)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IFERROR(__xludf.DUMMYFUNCTION("IMPORTRANGE(""https://docs.google.com/spreadsheets/d/11923uPwbBZFjjGgGUA6NLw09EwE0CqkOc4q9oUmW1yo/edit?usp=sharing"",""อุทัยธานี!J192"")"),1)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IFERROR(__xludf.DUMMYFUNCTION("IMPORTRANGE(""https://docs.google.com/spreadsheets/d/11923uPwbBZFjjGgGUA6NLw09EwE0CqkOc4q9oUmW1yo/edit?usp=sharing"",""อุทัยธานี!J193"")"),0)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IFERROR(__xludf.DUMMYFUNCTION("IMPORTRANGE(""https://docs.google.com/spreadsheets/d/11923uPwbBZFjjGgGUA6NLw09EwE0CqkOc4q9oUmW1yo/edit?usp=sharing"",""อุทัยธานี!J194"")"),0)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IFERROR(__xludf.DUMMYFUNCTION("IMPORTRANGE(""https://docs.google.com/spreadsheets/d/11923uPwbBZFjjGgGUA6NLw09EwE0CqkOc4q9oUmW1yo/edit?usp=sharing"",""อุทัยธานี!I195"")"),20)</f>
        <v>20</v>
      </c>
      <c r="J285" s="198">
        <f ca="1">IFERROR(__xludf.DUMMYFUNCTION("IMPORTRANGE(""https://docs.google.com/spreadsheets/d/11923uPwbBZFjjGgGUA6NLw09EwE0CqkOc4q9oUmW1yo/edit?usp=sharing"",""อุทัยธานี!J195"")"),20)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IFERROR(__xludf.DUMMYFUNCTION("IMPORTRANGE(""https://docs.google.com/spreadsheets/d/11923uPwbBZFjjGgGUA6NLw09EwE0CqkOc4q9oUmW1yo/edit?usp=sharing"",""อุทัยธานี!J196"")"),0)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IFERROR(__xludf.DUMMYFUNCTION("IMPORTRANGE(""https://docs.google.com/spreadsheets/d/11923uPwbBZFjjGgGUA6NLw09EwE0CqkOc4q9oUmW1yo/edit?usp=sharing"",""อุทัยธานี!J197"")"),0)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IFERROR(__xludf.DUMMYFUNCTION("IMPORTRANGE(""https://docs.google.com/spreadsheets/d/11923uPwbBZFjjGgGUA6NLw09EwE0CqkOc4q9oUmW1yo/edit?usp=sharing"",""อุทัยธานี!I199"")"),40)</f>
        <v>40</v>
      </c>
      <c r="J289" s="324">
        <f ca="1">IFERROR(__xludf.DUMMYFUNCTION("IMPORTRANGE(""https://docs.google.com/spreadsheets/d/11923uPwbBZFjjGgGUA6NLw09EwE0CqkOc4q9oUmW1yo/edit?usp=sharing"",""อุทัยธานี!J199"")"),0)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120760</v>
      </c>
      <c r="M290" s="158">
        <f t="shared" ca="1" si="88"/>
        <v>55980</v>
      </c>
      <c r="N290" s="158">
        <f t="shared" ca="1" si="88"/>
        <v>18360</v>
      </c>
      <c r="O290" s="157">
        <f t="shared" ref="O290:O292" ca="1" si="89">IF(L290&gt;0,N290*100/L290,0)</f>
        <v>15.203709837694602</v>
      </c>
      <c r="P290" s="157">
        <f t="shared" ref="P290:P292" ca="1" si="90">IF(M290&gt;0,N290*100/M290,0)</f>
        <v>32.79742765273312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120760</v>
      </c>
      <c r="M292" s="163">
        <f t="shared" ca="1" si="92"/>
        <v>55980</v>
      </c>
      <c r="N292" s="163">
        <f t="shared" ca="1" si="92"/>
        <v>18360</v>
      </c>
      <c r="O292" s="162">
        <f t="shared" ca="1" si="89"/>
        <v>15.203709837694602</v>
      </c>
      <c r="P292" s="162">
        <f t="shared" ca="1" si="90"/>
        <v>32.79742765273312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120760</v>
      </c>
      <c r="M294" s="176">
        <f ca="1">IFERROR(__xludf.DUMMYFUNCTION("IMPORTRANGE(""https://docs.google.com/spreadsheets/d/1Yj_ptqi66GCucihVvJfMjLAmec39IyEx_6qawtMGysU/edit?usp=sharing"",""สบก!CT36"")"),55980)</f>
        <v>55980</v>
      </c>
      <c r="N294" s="177">
        <f ca="1">IFERROR(__xludf.DUMMYFUNCTION("IMPORTRANGE(""https://docs.google.com/spreadsheets/d/1Yj_ptqi66GCucihVvJfMjLAmec39IyEx_6qawtMGysU/edit?usp=sharing"",""สบก!CU36"")"),18360)</f>
        <v>18360</v>
      </c>
      <c r="O294" s="178">
        <f ca="1">IF(L294&gt;0,N294*100/L294,0)</f>
        <v>15.203709837694602</v>
      </c>
      <c r="P294" s="178">
        <f ca="1">IF(M294&gt;0,N294*100/M294,0)</f>
        <v>32.79742765273312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IFERROR(__xludf.DUMMYFUNCTION("IMPORTRANGE(""https://docs.google.com/spreadsheets/d/1Yj_ptqi66GCucihVvJfMjLAmec39IyEx_6qawtMGysU/edit?usp=sharing"",""สบก!CP36"")"),0)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IFERROR(__xludf.DUMMYFUNCTION("IMPORTRANGE(""https://docs.google.com/spreadsheets/d/1Yj_ptqi66GCucihVvJfMjLAmec39IyEx_6qawtMGysU/edit?usp=sharing"",""สบก!CQ36"")"),120760)</f>
        <v>120760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IFERROR(__xludf.DUMMYFUNCTION("IMPORTRANGE(""https://docs.google.com/spreadsheets/d/1Yj_ptqi66GCucihVvJfMjLAmec39IyEx_6qawtMGysU/edit?usp=sharing"",""สบก!CR36"")"),0)</f>
        <v>0</v>
      </c>
      <c r="M298" s="103"/>
      <c r="N298" s="93">
        <f ca="1">IFERROR(__xludf.DUMMYFUNCTION("IMPORTRANGE(""https://docs.google.com/spreadsheets/d/1Yj_ptqi66GCucihVvJfMjLAmec39IyEx_6qawtMGysU/edit?usp=sharing"",""สบก!CV36"")"),0)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IFERROR(__xludf.DUMMYFUNCTION("IMPORTRANGE(""https://docs.google.com/spreadsheets/d/11923uPwbBZFjjGgGUA6NLw09EwE0CqkOc4q9oUmW1yo/edit?usp=sharing"",""อุทัยธานี!J205"")"),0)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IFERROR(__xludf.DUMMYFUNCTION("IMPORTRANGE(""https://docs.google.com/spreadsheets/d/11923uPwbBZFjjGgGUA6NLw09EwE0CqkOc4q9oUmW1yo/edit?usp=sharing"",""อุทัยธานี!J206"")"),1)</f>
        <v>1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IFERROR(__xludf.DUMMYFUNCTION("IMPORTRANGE(""https://docs.google.com/spreadsheets/d/11923uPwbBZFjjGgGUA6NLw09EwE0CqkOc4q9oUmW1yo/edit?usp=sharing"",""อุทัยธานี!J207"")"),1)</f>
        <v>1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IFERROR(__xludf.DUMMYFUNCTION("IMPORTRANGE(""https://docs.google.com/spreadsheets/d/11923uPwbBZFjjGgGUA6NLw09EwE0CqkOc4q9oUmW1yo/edit?usp=sharing"",""อุทัยธานี!J208"")"),1)</f>
        <v>1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IFERROR(__xludf.DUMMYFUNCTION("IMPORTRANGE(""https://docs.google.com/spreadsheets/d/11923uPwbBZFjjGgGUA6NLw09EwE0CqkOc4q9oUmW1yo/edit?usp=sharing"",""อุทัยธานี!I209"")"),40)</f>
        <v>40</v>
      </c>
      <c r="J304" s="213">
        <f ca="1">IFERROR(__xludf.DUMMYFUNCTION("IMPORTRANGE(""https://docs.google.com/spreadsheets/d/11923uPwbBZFjjGgGUA6NLw09EwE0CqkOc4q9oUmW1yo/edit?usp=sharing"",""อุทัยธานี!J209"")"),0)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IFERROR(__xludf.DUMMYFUNCTION("IMPORTRANGE(""https://docs.google.com/spreadsheets/d/11923uPwbBZFjjGgGUA6NLw09EwE0CqkOc4q9oUmW1yo/edit?usp=sharing"",""อุทัยธานี!I211"")"),40)</f>
        <v>40</v>
      </c>
      <c r="J306" s="213">
        <f ca="1">IFERROR(__xludf.DUMMYFUNCTION("IMPORTRANGE(""https://docs.google.com/spreadsheets/d/11923uPwbBZFjjGgGUA6NLw09EwE0CqkOc4q9oUmW1yo/edit?usp=sharing"",""อุทัยธานี!J211"")"),0)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IFERROR(__xludf.DUMMYFUNCTION("IMPORTRANGE(""https://docs.google.com/spreadsheets/d/11923uPwbBZFjjGgGUA6NLw09EwE0CqkOc4q9oUmW1yo/edit?usp=sharing"",""อุทัยธานี!J212"")"),0)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IFERROR(__xludf.DUMMYFUNCTION("IMPORTRANGE(""https://docs.google.com/spreadsheets/d/11923uPwbBZFjjGgGUA6NLw09EwE0CqkOc4q9oUmW1yo/edit?usp=sharing"",""อุทัยธานี!J213"")"),0)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IFERROR(__xludf.DUMMYFUNCTION("IMPORTRANGE(""https://docs.google.com/spreadsheets/d/11923uPwbBZFjjGgGUA6NLw09EwE0CqkOc4q9oUmW1yo/edit?usp=sharing"",""อุทัยธานี!I214"")"),1)</f>
        <v>1</v>
      </c>
      <c r="J309" s="341">
        <f ca="1">IFERROR(__xludf.DUMMYFUNCTION("IMPORTRANGE(""https://docs.google.com/spreadsheets/d/11923uPwbBZFjjGgGUA6NLw09EwE0CqkOc4q9oUmW1yo/edit?usp=sharing"",""อุทัยธานี!J214"")"),0)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262600</v>
      </c>
      <c r="M310" s="158">
        <f t="shared" ca="1" si="93"/>
        <v>251300</v>
      </c>
      <c r="N310" s="158">
        <f t="shared" ca="1" si="93"/>
        <v>75820</v>
      </c>
      <c r="O310" s="157">
        <f t="shared" ref="O310:O312" ca="1" si="94">IF(L310&gt;0,N310*100/L310,0)</f>
        <v>28.872810357958873</v>
      </c>
      <c r="P310" s="157">
        <f t="shared" ref="P310:P312" ca="1" si="95">IF(M310&gt;0,N310*100/M310,0)</f>
        <v>30.171110226820534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262600</v>
      </c>
      <c r="M312" s="163">
        <f t="shared" ca="1" si="97"/>
        <v>251300</v>
      </c>
      <c r="N312" s="163">
        <f t="shared" ca="1" si="97"/>
        <v>75820</v>
      </c>
      <c r="O312" s="162">
        <f t="shared" ca="1" si="94"/>
        <v>28.872810357958873</v>
      </c>
      <c r="P312" s="162">
        <f t="shared" ca="1" si="95"/>
        <v>30.171110226820534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262600</v>
      </c>
      <c r="M314" s="176">
        <f ca="1">IFERROR(__xludf.DUMMYFUNCTION("IMPORTRANGE(""https://docs.google.com/spreadsheets/d/1Yj_ptqi66GCucihVvJfMjLAmec39IyEx_6qawtMGysU/edit?usp=sharing"",""สบก!DC36"")"),251300)</f>
        <v>251300</v>
      </c>
      <c r="N314" s="177">
        <f ca="1">IFERROR(__xludf.DUMMYFUNCTION("IMPORTRANGE(""https://docs.google.com/spreadsheets/d/1Yj_ptqi66GCucihVvJfMjLAmec39IyEx_6qawtMGysU/edit?usp=sharing"",""สบก!DD36"")"),75820)</f>
        <v>75820</v>
      </c>
      <c r="O314" s="178">
        <f ca="1">IF(L314&gt;0,N314*100/L314,0)</f>
        <v>28.872810357958873</v>
      </c>
      <c r="P314" s="178">
        <f ca="1">IF(M314&gt;0,N314*100/M314,0)</f>
        <v>30.171110226820534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IFERROR(__xludf.DUMMYFUNCTION("IMPORTRANGE(""https://docs.google.com/spreadsheets/d/1Yj_ptqi66GCucihVvJfMjLAmec39IyEx_6qawtMGysU/edit?usp=sharing"",""สบก!CY36"")"),0)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IFERROR(__xludf.DUMMYFUNCTION("IMPORTRANGE(""https://docs.google.com/spreadsheets/d/1Yj_ptqi66GCucihVvJfMjLAmec39IyEx_6qawtMGysU/edit?usp=sharing"",""สบก!CZ36"")"),262600)</f>
        <v>262600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IFERROR(__xludf.DUMMYFUNCTION("IMPORTRANGE(""https://docs.google.com/spreadsheets/d/1Yj_ptqi66GCucihVvJfMjLAmec39IyEx_6qawtMGysU/edit?usp=sharing"",""สบก!DA36"")"),0)</f>
        <v>0</v>
      </c>
      <c r="M318" s="103"/>
      <c r="N318" s="93">
        <f ca="1">IFERROR(__xludf.DUMMYFUNCTION("IMPORTRANGE(""https://docs.google.com/spreadsheets/d/1Yj_ptqi66GCucihVvJfMjLAmec39IyEx_6qawtMGysU/edit?usp=sharing"",""สบก!DE36"")"),0)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IFERROR(__xludf.DUMMYFUNCTION("IMPORTRANGE(""https://docs.google.com/spreadsheets/d/11923uPwbBZFjjGgGUA6NLw09EwE0CqkOc4q9oUmW1yo/edit?usp=sharing"",""อุทัยธานี!J220"")"),0)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IFERROR(__xludf.DUMMYFUNCTION("IMPORTRANGE(""https://docs.google.com/spreadsheets/d/11923uPwbBZFjjGgGUA6NLw09EwE0CqkOc4q9oUmW1yo/edit?usp=sharing"",""อุทัยธานี!J221"")"),1)</f>
        <v>1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IFERROR(__xludf.DUMMYFUNCTION("IMPORTRANGE(""https://docs.google.com/spreadsheets/d/11923uPwbBZFjjGgGUA6NLw09EwE0CqkOc4q9oUmW1yo/edit?usp=sharing"",""อุทัยธานี!J222"")"),1)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IFERROR(__xludf.DUMMYFUNCTION("IMPORTRANGE(""https://docs.google.com/spreadsheets/d/11923uPwbBZFjjGgGUA6NLw09EwE0CqkOc4q9oUmW1yo/edit?usp=sharing"",""อุทัยธานี!J223"")"),1)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IFERROR(__xludf.DUMMYFUNCTION("IMPORTRANGE(""https://docs.google.com/spreadsheets/d/11923uPwbBZFjjGgGUA6NLw09EwE0CqkOc4q9oUmW1yo/edit?usp=sharing"",""อุทัยธานี!I224"")"),1)</f>
        <v>1</v>
      </c>
      <c r="J324" s="213">
        <f ca="1">IFERROR(__xludf.DUMMYFUNCTION("IMPORTRANGE(""https://docs.google.com/spreadsheets/d/11923uPwbBZFjjGgGUA6NLw09EwE0CqkOc4q9oUmW1yo/edit?usp=sharing"",""อุทัยธานี!J224"")"),0)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IFERROR(__xludf.DUMMYFUNCTION("IMPORTRANGE(""https://docs.google.com/spreadsheets/d/11923uPwbBZFjjGgGUA6NLw09EwE0CqkOc4q9oUmW1yo/edit?usp=sharing"",""อุทัยธานี!J225"")"),0)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IFERROR(__xludf.DUMMYFUNCTION("IMPORTRANGE(""https://docs.google.com/spreadsheets/d/11923uPwbBZFjjGgGUA6NLw09EwE0CqkOc4q9oUmW1yo/edit?usp=sharing"",""อุทัยธานี!J226"")"),0)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IFERROR(__xludf.DUMMYFUNCTION("IMPORTRANGE(""https://docs.google.com/spreadsheets/d/11923uPwbBZFjjGgGUA6NLw09EwE0CqkOc4q9oUmW1yo/edit?usp=sharing"",""อุทัยธานี!I228"")"),215)</f>
        <v>215</v>
      </c>
      <c r="J328" s="347">
        <f ca="1">IFERROR(__xludf.DUMMYFUNCTION("IMPORTRANGE(""https://docs.google.com/spreadsheets/d/11923uPwbBZFjjGgGUA6NLw09EwE0CqkOc4q9oUmW1yo/edit?usp=sharing"",""อุทัยธานี!J228"")"),25)</f>
        <v>25</v>
      </c>
      <c r="K328" s="325">
        <f ca="1">IF(I328&gt;0,J328*100/I328,0)</f>
        <v>11.627906976744185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1057670</v>
      </c>
      <c r="M329" s="158">
        <f t="shared" ca="1" si="98"/>
        <v>487640</v>
      </c>
      <c r="N329" s="158">
        <f t="shared" ca="1" si="98"/>
        <v>410042</v>
      </c>
      <c r="O329" s="157">
        <f t="shared" ref="O329:O331" ca="1" si="99">IF(L329&gt;0,N329*100/L329,0)</f>
        <v>38.768424934053158</v>
      </c>
      <c r="P329" s="157">
        <f t="shared" ref="P329:P331" ca="1" si="100">IF(M329&gt;0,N329*100/M329,0)</f>
        <v>84.087031416618814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1057670</v>
      </c>
      <c r="M331" s="163">
        <f t="shared" ca="1" si="102"/>
        <v>487640</v>
      </c>
      <c r="N331" s="163">
        <f t="shared" ca="1" si="102"/>
        <v>410042</v>
      </c>
      <c r="O331" s="162">
        <f t="shared" ca="1" si="99"/>
        <v>38.768424934053158</v>
      </c>
      <c r="P331" s="162">
        <f t="shared" ca="1" si="100"/>
        <v>84.087031416618814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910670</v>
      </c>
      <c r="M333" s="176">
        <f ca="1">IFERROR(__xludf.DUMMYFUNCTION("IMPORTRANGE(""https://docs.google.com/spreadsheets/d/1Yj_ptqi66GCucihVvJfMjLAmec39IyEx_6qawtMGysU/edit?usp=sharing"",""สบก!DL36"")"),487640)</f>
        <v>487640</v>
      </c>
      <c r="N333" s="177">
        <f ca="1">IFERROR(__xludf.DUMMYFUNCTION("IMPORTRANGE(""https://docs.google.com/spreadsheets/d/1Yj_ptqi66GCucihVvJfMjLAmec39IyEx_6qawtMGysU/edit?usp=sharing"",""สบก!DM36"")"),265042)</f>
        <v>265042</v>
      </c>
      <c r="O333" s="178">
        <f ca="1">IF(L333&gt;0,N333*100/L333,0)</f>
        <v>29.104066236946423</v>
      </c>
      <c r="P333" s="178">
        <f ca="1">IF(M333&gt;0,N333*100/M333,0)</f>
        <v>54.351980969567713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IFERROR(__xludf.DUMMYFUNCTION("IMPORTRANGE(""https://docs.google.com/spreadsheets/d/1Yj_ptqi66GCucihVvJfMjLAmec39IyEx_6qawtMGysU/edit?usp=sharing"",""สบก!DH36"")"),500400)</f>
        <v>500400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IFERROR(__xludf.DUMMYFUNCTION("IMPORTRANGE(""https://docs.google.com/spreadsheets/d/1Yj_ptqi66GCucihVvJfMjLAmec39IyEx_6qawtMGysU/edit?usp=sharing"",""สบก!DI36"")"),410270)</f>
        <v>410270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IFERROR(__xludf.DUMMYFUNCTION("IMPORTRANGE(""https://docs.google.com/spreadsheets/d/1Yj_ptqi66GCucihVvJfMjLAmec39IyEx_6qawtMGysU/edit?usp=sharing"",""สบก!DJ36"")"),147000)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IFERROR(__xludf.DUMMYFUNCTION("IMPORTRANGE(""https://docs.google.com/spreadsheets/d/1Yj_ptqi66GCucihVvJfMjLAmec39IyEx_6qawtMGysU/edit?usp=sharing"",""สบก!DN36"")"),145000)</f>
        <v>145000</v>
      </c>
      <c r="O337" s="103">
        <f ca="1">IF(L337&gt;0,N337*100/L337,0)</f>
        <v>98.639455782312922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IFERROR(__xludf.DUMMYFUNCTION("IMPORTRANGE(""https://docs.google.com/spreadsheets/d/11923uPwbBZFjjGgGUA6NLw09EwE0CqkOc4q9oUmW1yo/edit?usp=sharing"",""อุทัยธานี!I234"")"),0)</f>
        <v>0</v>
      </c>
      <c r="J339" s="197">
        <f ca="1">IFERROR(__xludf.DUMMYFUNCTION("IMPORTRANGE(""https://docs.google.com/spreadsheets/d/11923uPwbBZFjjGgGUA6NLw09EwE0CqkOc4q9oUmW1yo/edit?usp=sharing"",""อุทัยธานี!J234"")"),5)</f>
        <v>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IFERROR(__xludf.DUMMYFUNCTION("IMPORTRANGE(""https://docs.google.com/spreadsheets/d/11923uPwbBZFjjGgGUA6NLw09EwE0CqkOc4q9oUmW1yo/edit?usp=sharing"",""อุทัยธานี!I235"")"),2000)</f>
        <v>2000</v>
      </c>
      <c r="J340" s="197">
        <f ca="1">IFERROR(__xludf.DUMMYFUNCTION("IMPORTRANGE(""https://docs.google.com/spreadsheets/d/11923uPwbBZFjjGgGUA6NLw09EwE0CqkOc4q9oUmW1yo/edit?usp=sharing"",""อุทัยธานี!J235"")"),25.14)</f>
        <v>25.14</v>
      </c>
      <c r="K340" s="350">
        <f t="shared" ca="1" si="103"/>
        <v>1.2569999999999999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IFERROR(__xludf.DUMMYFUNCTION("IMPORTRANGE(""https://docs.google.com/spreadsheets/d/11923uPwbBZFjjGgGUA6NLw09EwE0CqkOc4q9oUmW1yo/edit?usp=sharing"",""อุทัยธานี!I236"")"),215)</f>
        <v>215</v>
      </c>
      <c r="J341" s="197">
        <f ca="1">IFERROR(__xludf.DUMMYFUNCTION("IMPORTRANGE(""https://docs.google.com/spreadsheets/d/11923uPwbBZFjjGgGUA6NLw09EwE0CqkOc4q9oUmW1yo/edit?usp=sharing"",""อุทัยธานี!J236"")"),28)</f>
        <v>28</v>
      </c>
      <c r="K341" s="350">
        <f t="shared" ca="1" si="103"/>
        <v>13.023255813953488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IFERROR(__xludf.DUMMYFUNCTION("IMPORTRANGE(""https://docs.google.com/spreadsheets/d/11923uPwbBZFjjGgGUA6NLw09EwE0CqkOc4q9oUmW1yo/edit?usp=sharing"",""อุทัยธานี!I237"")"),0)</f>
        <v>0</v>
      </c>
      <c r="J342" s="197">
        <f ca="1">IFERROR(__xludf.DUMMYFUNCTION("IMPORTRANGE(""https://docs.google.com/spreadsheets/d/11923uPwbBZFjjGgGUA6NLw09EwE0CqkOc4q9oUmW1yo/edit?usp=sharing"",""อุทัยธานี!J237"")"),553.02)</f>
        <v>553.02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IFERROR(__xludf.DUMMYFUNCTION("IMPORTRANGE(""https://docs.google.com/spreadsheets/d/11923uPwbBZFjjGgGUA6NLw09EwE0CqkOc4q9oUmW1yo/edit?usp=sharing"",""อุทัยธานี!I238"")"),215)</f>
        <v>215</v>
      </c>
      <c r="J343" s="197">
        <f ca="1">IFERROR(__xludf.DUMMYFUNCTION("IMPORTRANGE(""https://docs.google.com/spreadsheets/d/11923uPwbBZFjjGgGUA6NLw09EwE0CqkOc4q9oUmW1yo/edit?usp=sharing"",""อุทัยธานี!J238"")"),0)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IFERROR(__xludf.DUMMYFUNCTION("IMPORTRANGE(""https://docs.google.com/spreadsheets/d/11923uPwbBZFjjGgGUA6NLw09EwE0CqkOc4q9oUmW1yo/edit?usp=sharing"",""อุทัยธานี!I239"")"),0)</f>
        <v>0</v>
      </c>
      <c r="J344" s="197">
        <f ca="1">IFERROR(__xludf.DUMMYFUNCTION("IMPORTRANGE(""https://docs.google.com/spreadsheets/d/11923uPwbBZFjjGgGUA6NLw09EwE0CqkOc4q9oUmW1yo/edit?usp=sharing"",""อุทัยธานี!J239"")"),0)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IFERROR(__xludf.DUMMYFUNCTION("IMPORTRANGE(""https://docs.google.com/spreadsheets/d/11923uPwbBZFjjGgGUA6NLw09EwE0CqkOc4q9oUmW1yo/edit?usp=sharing"",""อุทัยธานี!I240"")"),215)</f>
        <v>215</v>
      </c>
      <c r="J345" s="197">
        <f ca="1">IFERROR(__xludf.DUMMYFUNCTION("IMPORTRANGE(""https://docs.google.com/spreadsheets/d/11923uPwbBZFjjGgGUA6NLw09EwE0CqkOc4q9oUmW1yo/edit?usp=sharing"",""อุทัยธานี!J240"")"),25)</f>
        <v>25</v>
      </c>
      <c r="K345" s="350">
        <f t="shared" ca="1" si="103"/>
        <v>11.627906976744185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IFERROR(__xludf.DUMMYFUNCTION("IMPORTRANGE(""https://docs.google.com/spreadsheets/d/11923uPwbBZFjjGgGUA6NLw09EwE0CqkOc4q9oUmW1yo/edit?usp=sharing"",""อุทัยธานี!I241"")"),0)</f>
        <v>0</v>
      </c>
      <c r="J346" s="197">
        <f ca="1">IFERROR(__xludf.DUMMYFUNCTION("IMPORTRANGE(""https://docs.google.com/spreadsheets/d/11923uPwbBZFjjGgGUA6NLw09EwE0CqkOc4q9oUmW1yo/edit?usp=sharing"",""อุทัยธานี!J241"")"),487.47)</f>
        <v>487.47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IFERROR(__xludf.DUMMYFUNCTION("IMPORTRANGE(""https://docs.google.com/spreadsheets/d/11923uPwbBZFjjGgGUA6NLw09EwE0CqkOc4q9oUmW1yo/edit?usp=sharing"",""อุทัยธานี!L242"")"),2182395)</f>
        <v>2182395</v>
      </c>
      <c r="M347" s="366"/>
      <c r="N347" s="366">
        <f ca="1">IFERROR(__xludf.DUMMYFUNCTION("IMPORTRANGE(""https://docs.google.com/spreadsheets/d/11923uPwbBZFjjGgGUA6NLw09EwE0CqkOc4q9oUmW1yo/edit?usp=sharing"",""อุทัยธานี!M242"")"),421181.33)</f>
        <v>421181.33</v>
      </c>
      <c r="O347" s="366">
        <f ca="1">+IF(L347&gt;0,N347*100/L347,0)</f>
        <v>19.29904210740952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IFERROR(__xludf.DUMMYFUNCTION("IMPORTRANGE(""https://docs.google.com/spreadsheets/d/11923uPwbBZFjjGgGUA6NLw09EwE0CqkOc4q9oUmW1yo/edit?usp=sharing"",""อุทัยธานี!I244"")"),70)</f>
        <v>70</v>
      </c>
      <c r="J349" s="379">
        <f ca="1">IFERROR(__xludf.DUMMYFUNCTION("IMPORTRANGE(""https://docs.google.com/spreadsheets/d/11923uPwbBZFjjGgGUA6NLw09EwE0CqkOc4q9oUmW1yo/edit?usp=sharing"",""อุทัยธานี!J244"")"),20)</f>
        <v>20</v>
      </c>
      <c r="K349" s="380">
        <f t="shared" ref="K349:K350" ca="1" si="104">IF(I349&gt;0,J349*100/I349,0)</f>
        <v>28.571428571428573</v>
      </c>
      <c r="L349" s="381">
        <f ca="1">IFERROR(__xludf.DUMMYFUNCTION("IMPORTRANGE(""https://docs.google.com/spreadsheets/d/11923uPwbBZFjjGgGUA6NLw09EwE0CqkOc4q9oUmW1yo/edit?usp=sharing"",""อุทัยธานี!L244"")"),303160)</f>
        <v>303160</v>
      </c>
      <c r="M349" s="381"/>
      <c r="N349" s="381">
        <f ca="1">IFERROR(__xludf.DUMMYFUNCTION("IMPORTRANGE(""https://docs.google.com/spreadsheets/d/11923uPwbBZFjjGgGUA6NLw09EwE0CqkOc4q9oUmW1yo/edit?usp=sharing"",""อุทัยธานี!M244"")"),86680)</f>
        <v>86680</v>
      </c>
      <c r="O349" s="381">
        <f ca="1">+IF(L349&gt;0,N349*100/L349,0)</f>
        <v>28.592162554426704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IFERROR(__xludf.DUMMYFUNCTION("IMPORTRANGE(""https://docs.google.com/spreadsheets/d/11923uPwbBZFjjGgGUA6NLw09EwE0CqkOc4q9oUmW1yo/edit?usp=sharing"",""อุทัยธานี!I245"")"),40)</f>
        <v>40</v>
      </c>
      <c r="J350" s="379">
        <f ca="1">IFERROR(__xludf.DUMMYFUNCTION("IMPORTRANGE(""https://docs.google.com/spreadsheets/d/11923uPwbBZFjjGgGUA6NLw09EwE0CqkOc4q9oUmW1yo/edit?usp=sharing"",""อุทัยธานี!J245"")"),0)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IFERROR(__xludf.DUMMYFUNCTION("IMPORTRANGE(""https://docs.google.com/spreadsheets/d/11923uPwbBZFjjGgGUA6NLw09EwE0CqkOc4q9oUmW1yo/edit?usp=sharing"",""อุทัยธานี!L246"")"),0)</f>
        <v>0</v>
      </c>
      <c r="M351" s="172"/>
      <c r="N351" s="172">
        <f ca="1">IFERROR(__xludf.DUMMYFUNCTION("IMPORTRANGE(""https://docs.google.com/spreadsheets/d/11923uPwbBZFjjGgGUA6NLw09EwE0CqkOc4q9oUmW1yo/edit?usp=sharing"",""อุทัยธานี!M246"")"),0)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IFERROR(__xludf.DUMMYFUNCTION("IMPORTRANGE(""https://docs.google.com/spreadsheets/d/11923uPwbBZFjjGgGUA6NLw09EwE0CqkOc4q9oUmW1yo/edit?usp=sharing"",""อุทัยธานี!L247"")"),303160)</f>
        <v>303160</v>
      </c>
      <c r="M352" s="173"/>
      <c r="N352" s="172">
        <f ca="1">IFERROR(__xludf.DUMMYFUNCTION("IMPORTRANGE(""https://docs.google.com/spreadsheets/d/11923uPwbBZFjjGgGUA6NLw09EwE0CqkOc4q9oUmW1yo/edit?usp=sharing"",""อุทัยธานี!M247"")"),86680)</f>
        <v>86680</v>
      </c>
      <c r="O352" s="173">
        <f t="shared" ca="1" si="105"/>
        <v>28.592162554426704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IFERROR(__xludf.DUMMYFUNCTION("IMPORTRANGE(""https://docs.google.com/spreadsheets/d/11923uPwbBZFjjGgGUA6NLw09EwE0CqkOc4q9oUmW1yo/edit?usp=sharing"",""อุทัยธานี!L248"")"),0)</f>
        <v>0</v>
      </c>
      <c r="M353" s="178"/>
      <c r="N353" s="178">
        <f ca="1">IFERROR(__xludf.DUMMYFUNCTION("IMPORTRANGE(""https://docs.google.com/spreadsheets/d/11923uPwbBZFjjGgGUA6NLw09EwE0CqkOc4q9oUmW1yo/edit?usp=sharing"",""อุทัยธานี!M248"")"),0)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IFERROR(__xludf.DUMMYFUNCTION("IMPORTRANGE(""https://docs.google.com/spreadsheets/d/11923uPwbBZFjjGgGUA6NLw09EwE0CqkOc4q9oUmW1yo/edit?usp=sharing"",""อุทัยธานี!L249"")"),303160)</f>
        <v>303160</v>
      </c>
      <c r="M354" s="178"/>
      <c r="N354" s="175">
        <f ca="1">IFERROR(__xludf.DUMMYFUNCTION("IMPORTRANGE(""https://docs.google.com/spreadsheets/d/11923uPwbBZFjjGgGUA6NLw09EwE0CqkOc4q9oUmW1yo/edit?usp=sharing"",""อุทัยธานี!M249"")"),86680)</f>
        <v>86680</v>
      </c>
      <c r="O354" s="178">
        <f t="shared" ca="1" si="105"/>
        <v>28.592162554426704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IFERROR(__xludf.DUMMYFUNCTION("IMPORTRANGE(""https://docs.google.com/spreadsheets/d/11923uPwbBZFjjGgGUA6NLw09EwE0CqkOc4q9oUmW1yo/edit?usp=sharing"",""อุทัยธานี!M250"")"),40320)</f>
        <v>40320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IFERROR(__xludf.DUMMYFUNCTION("IMPORTRANGE(""https://docs.google.com/spreadsheets/d/11923uPwbBZFjjGgGUA6NLw09EwE0CqkOc4q9oUmW1yo/edit?usp=sharing"",""อุทัยธานี!M251"")"),0)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IFERROR(__xludf.DUMMYFUNCTION("IMPORTRANGE(""https://docs.google.com/spreadsheets/d/11923uPwbBZFjjGgGUA6NLw09EwE0CqkOc4q9oUmW1yo/edit?usp=sharing"",""อุทัยธานี!M252"")"),31580)</f>
        <v>31580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IFERROR(__xludf.DUMMYFUNCTION("IMPORTRANGE(""https://docs.google.com/spreadsheets/d/11923uPwbBZFjjGgGUA6NLw09EwE0CqkOc4q9oUmW1yo/edit?usp=sharing"",""อุทัยธานี!M253"")"),14780)</f>
        <v>14780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IFERROR(__xludf.DUMMYFUNCTION("IMPORTRANGE(""https://docs.google.com/spreadsheets/d/11923uPwbBZFjjGgGUA6NLw09EwE0CqkOc4q9oUmW1yo/edit?usp=sharing"",""อุทัยธานี!J255"")"),0)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IFERROR(__xludf.DUMMYFUNCTION("IMPORTRANGE(""https://docs.google.com/spreadsheets/d/11923uPwbBZFjjGgGUA6NLw09EwE0CqkOc4q9oUmW1yo/edit?usp=sharing"",""อุทัยธานี!J256"")"),1)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IFERROR(__xludf.DUMMYFUNCTION("IMPORTRANGE(""https://docs.google.com/spreadsheets/d/11923uPwbBZFjjGgGUA6NLw09EwE0CqkOc4q9oUmW1yo/edit?usp=sharing"",""อุทัยธานี!J257"")"),1)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IFERROR(__xludf.DUMMYFUNCTION("IMPORTRANGE(""https://docs.google.com/spreadsheets/d/11923uPwbBZFjjGgGUA6NLw09EwE0CqkOc4q9oUmW1yo/edit?usp=sharing"",""อุทัยธานี!J258"")"),1)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IFERROR(__xludf.DUMMYFUNCTION("IMPORTRANGE(""https://docs.google.com/spreadsheets/d/11923uPwbBZFjjGgGUA6NLw09EwE0CqkOc4q9oUmW1yo/edit?usp=sharing"",""อุทัยธานี!J166"")"),0)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IFERROR(__xludf.DUMMYFUNCTION("IMPORTRANGE(""https://docs.google.com/spreadsheets/d/11923uPwbBZFjjGgGUA6NLw09EwE0CqkOc4q9oUmW1yo/edit?usp=sharing"",""อุทัยธานี!J166"")"),0)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IFERROR(__xludf.DUMMYFUNCTION("IMPORTRANGE(""https://docs.google.com/spreadsheets/d/11923uPwbBZFjjGgGUA6NLw09EwE0CqkOc4q9oUmW1yo/edit?usp=sharing"",""อุทัยธานี!J166"")"),0)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IFERROR(__xludf.DUMMYFUNCTION("IMPORTRANGE(""https://docs.google.com/spreadsheets/d/11923uPwbBZFjjGgGUA6NLw09EwE0CqkOc4q9oUmW1yo/edit?usp=sharing"",""อุทัยธานี!J166"")"),0)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IFERROR(__xludf.DUMMYFUNCTION("IMPORTRANGE(""https://docs.google.com/spreadsheets/d/11923uPwbBZFjjGgGUA6NLw09EwE0CqkOc4q9oUmW1yo/edit?usp=sharing"",""อุทัยธานี!I263"")"),40)</f>
        <v>40</v>
      </c>
      <c r="J368" s="197">
        <f ca="1">IFERROR(__xludf.DUMMYFUNCTION("IMPORTRANGE(""https://docs.google.com/spreadsheets/d/11923uPwbBZFjjGgGUA6NLw09EwE0CqkOc4q9oUmW1yo/edit?usp=sharing"",""อุทัยธานี!J263"")"),0)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IFERROR(__xludf.DUMMYFUNCTION("IMPORTRANGE(""https://docs.google.com/spreadsheets/d/11923uPwbBZFjjGgGUA6NLw09EwE0CqkOc4q9oUmW1yo/edit?usp=sharing"",""อุทัยธานี!I164"")"),0)</f>
        <v>0</v>
      </c>
      <c r="J369" s="213">
        <f ca="1">IFERROR(__xludf.DUMMYFUNCTION("IMPORTRANGE(""https://docs.google.com/spreadsheets/d/11923uPwbBZFjjGgGUA6NLw09EwE0CqkOc4q9oUmW1yo/edit?usp=sharing"",""อุทัยธานี!J164"")"),0)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IFERROR(__xludf.DUMMYFUNCTION("IMPORTRANGE(""https://docs.google.com/spreadsheets/d/11923uPwbBZFjjGgGUA6NLw09EwE0CqkOc4q9oUmW1yo/edit?usp=sharing"",""อุทัยธานี!I265"")"),40)</f>
        <v>40</v>
      </c>
      <c r="J370" s="213">
        <f ca="1">IFERROR(__xludf.DUMMYFUNCTION("IMPORTRANGE(""https://docs.google.com/spreadsheets/d/11923uPwbBZFjjGgGUA6NLw09EwE0CqkOc4q9oUmW1yo/edit?usp=sharing"",""อุทัยธานี!J265"")"),40)</f>
        <v>40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IFERROR(__xludf.DUMMYFUNCTION("IMPORTRANGE(""https://docs.google.com/spreadsheets/d/11923uPwbBZFjjGgGUA6NLw09EwE0CqkOc4q9oUmW1yo/edit?usp=sharing"",""อุทัยธานี!I164"")"),0)</f>
        <v>0</v>
      </c>
      <c r="J371" s="198">
        <f ca="1">IFERROR(__xludf.DUMMYFUNCTION("IMPORTRANGE(""https://docs.google.com/spreadsheets/d/11923uPwbBZFjjGgGUA6NLw09EwE0CqkOc4q9oUmW1yo/edit?usp=sharing"",""อุทัยธานี!J164"")"),0)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IFERROR(__xludf.DUMMYFUNCTION("IMPORTRANGE(""https://docs.google.com/spreadsheets/d/11923uPwbBZFjjGgGUA6NLw09EwE0CqkOc4q9oUmW1yo/edit?usp=sharing"",""อุทัยธานี!I267"")"),40)</f>
        <v>40</v>
      </c>
      <c r="J372" s="198">
        <f ca="1">IFERROR(__xludf.DUMMYFUNCTION("IMPORTRANGE(""https://docs.google.com/spreadsheets/d/11923uPwbBZFjjGgGUA6NLw09EwE0CqkOc4q9oUmW1yo/edit?usp=sharing"",""อุทัยธานี!J267"")"),0)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IFERROR(__xludf.DUMMYFUNCTION("IMPORTRANGE(""https://docs.google.com/spreadsheets/d/11923uPwbBZFjjGgGUA6NLw09EwE0CqkOc4q9oUmW1yo/edit?usp=sharing"",""อุทัยธานี!I164"")"),0)</f>
        <v>0</v>
      </c>
      <c r="J373" s="213">
        <f ca="1">IFERROR(__xludf.DUMMYFUNCTION("IMPORTRANGE(""https://docs.google.com/spreadsheets/d/11923uPwbBZFjjGgGUA6NLw09EwE0CqkOc4q9oUmW1yo/edit?usp=sharing"",""อุทัยธานี!J164"")"),0)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IFERROR(__xludf.DUMMYFUNCTION("IMPORTRANGE(""https://docs.google.com/spreadsheets/d/11923uPwbBZFjjGgGUA6NLw09EwE0CqkOc4q9oUmW1yo/edit?usp=sharing"",""อุทัยธานี!I164"")"),0)</f>
        <v>0</v>
      </c>
      <c r="J374" s="197">
        <f ca="1">IFERROR(__xludf.DUMMYFUNCTION("IMPORTRANGE(""https://docs.google.com/spreadsheets/d/11923uPwbBZFjjGgGUA6NLw09EwE0CqkOc4q9oUmW1yo/edit?usp=sharing"",""อุทัยธานี!J164"")"),0)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IFERROR(__xludf.DUMMYFUNCTION("IMPORTRANGE(""https://docs.google.com/spreadsheets/d/11923uPwbBZFjjGgGUA6NLw09EwE0CqkOc4q9oUmW1yo/edit?usp=sharing"",""อุทัยธานี!I270"")"),70)</f>
        <v>70</v>
      </c>
      <c r="J375" s="197">
        <f ca="1">IFERROR(__xludf.DUMMYFUNCTION("IMPORTRANGE(""https://docs.google.com/spreadsheets/d/11923uPwbBZFjjGgGUA6NLw09EwE0CqkOc4q9oUmW1yo/edit?usp=sharing"",""อุทัยธานี!J270"")"),20)</f>
        <v>20</v>
      </c>
      <c r="K375" s="171">
        <f t="shared" ref="K375:K377" ca="1" si="107">IF(I375&gt;0,J375*100/I375,0)</f>
        <v>28.571428571428573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IFERROR(__xludf.DUMMYFUNCTION("IMPORTRANGE(""https://docs.google.com/spreadsheets/d/11923uPwbBZFjjGgGUA6NLw09EwE0CqkOc4q9oUmW1yo/edit?usp=sharing"",""อุทัยธานี!I271"")"),20)</f>
        <v>20</v>
      </c>
      <c r="J376" s="198">
        <f ca="1">IFERROR(__xludf.DUMMYFUNCTION("IMPORTRANGE(""https://docs.google.com/spreadsheets/d/11923uPwbBZFjjGgGUA6NLw09EwE0CqkOc4q9oUmW1yo/edit?usp=sharing"",""อุทัยธานี!J271"")"),20)</f>
        <v>20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IFERROR(__xludf.DUMMYFUNCTION("IMPORTRANGE(""https://docs.google.com/spreadsheets/d/11923uPwbBZFjjGgGUA6NLw09EwE0CqkOc4q9oUmW1yo/edit?usp=sharing"",""อุทัยธานี!I272"")"),50)</f>
        <v>50</v>
      </c>
      <c r="J377" s="213">
        <f ca="1">IFERROR(__xludf.DUMMYFUNCTION("IMPORTRANGE(""https://docs.google.com/spreadsheets/d/11923uPwbBZFjjGgGUA6NLw09EwE0CqkOc4q9oUmW1yo/edit?usp=sharing"",""อุทัยธานี!J272"")"),0)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IFERROR(__xludf.DUMMYFUNCTION("IMPORTRANGE(""https://docs.google.com/spreadsheets/d/11923uPwbBZFjjGgGUA6NLw09EwE0CqkOc4q9oUmW1yo/edit?usp=sharing"",""อุทัยธานี!J273"")"),0)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IFERROR(__xludf.DUMMYFUNCTION("IMPORTRANGE(""https://docs.google.com/spreadsheets/d/11923uPwbBZFjjGgGUA6NLw09EwE0CqkOc4q9oUmW1yo/edit?usp=sharing"",""อุทัยธานี!J274"")"),0)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IFERROR(__xludf.DUMMYFUNCTION("IMPORTRANGE(""https://docs.google.com/spreadsheets/d/11923uPwbBZFjjGgGUA6NLw09EwE0CqkOc4q9oUmW1yo/edit?usp=sharing"",""อุทัยธานี!I275"")"),1000)</f>
        <v>1000</v>
      </c>
      <c r="J380" s="379">
        <f ca="1">IFERROR(__xludf.DUMMYFUNCTION("IMPORTRANGE(""https://docs.google.com/spreadsheets/d/11923uPwbBZFjjGgGUA6NLw09EwE0CqkOc4q9oUmW1yo/edit?usp=sharing"",""อุทัยธานี!J275"")"),0)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IFERROR(__xludf.DUMMYFUNCTION("IMPORTRANGE(""https://docs.google.com/spreadsheets/d/11923uPwbBZFjjGgGUA6NLw09EwE0CqkOc4q9oUmW1yo/edit?usp=sharing"",""อุทัยธานี!L275"")"),1028520)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IFERROR(__xludf.DUMMYFUNCTION("IMPORTRANGE(""https://docs.google.com/spreadsheets/d/11923uPwbBZFjjGgGUA6NLw09EwE0CqkOc4q9oUmW1yo/edit?usp=sharing"",""อุทัยธานี!M275"")"),171791)</f>
        <v>171791</v>
      </c>
      <c r="O380" s="381">
        <f ca="1">+IF(L380&gt;0,N380*100/L380,0)</f>
        <v>16.702737914673513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IFERROR(__xludf.DUMMYFUNCTION("IMPORTRANGE(""https://docs.google.com/spreadsheets/d/11923uPwbBZFjjGgGUA6NLw09EwE0CqkOc4q9oUmW1yo/edit?usp=sharing"",""อุทัยธานี!I276"")"),100)</f>
        <v>100</v>
      </c>
      <c r="J381" s="379">
        <f ca="1">IFERROR(__xludf.DUMMYFUNCTION("IMPORTRANGE(""https://docs.google.com/spreadsheets/d/11923uPwbBZFjjGgGUA6NLw09EwE0CqkOc4q9oUmW1yo/edit?usp=sharing"",""อุทัยธานี!J276"")"),100)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IFERROR(__xludf.DUMMYFUNCTION("IMPORTRANGE(""https://docs.google.com/spreadsheets/d/11923uPwbBZFjjGgGUA6NLw09EwE0CqkOc4q9oUmW1yo/edit?usp=sharing"",""อุทัยธานี!L277"")"),0)</f>
        <v>0</v>
      </c>
      <c r="M382" s="172"/>
      <c r="N382" s="172">
        <f ca="1">IFERROR(__xludf.DUMMYFUNCTION("IMPORTRANGE(""https://docs.google.com/spreadsheets/d/11923uPwbBZFjjGgGUA6NLw09EwE0CqkOc4q9oUmW1yo/edit?usp=sharing"",""อุทัยธานี!M277"")"),0)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IFERROR(__xludf.DUMMYFUNCTION("IMPORTRANGE(""https://docs.google.com/spreadsheets/d/11923uPwbBZFjjGgGUA6NLw09EwE0CqkOc4q9oUmW1yo/edit?usp=sharing"",""อุทัยธานี!L278"")"),1028520)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IFERROR(__xludf.DUMMYFUNCTION("IMPORTRANGE(""https://docs.google.com/spreadsheets/d/11923uPwbBZFjjGgGUA6NLw09EwE0CqkOc4q9oUmW1yo/edit?usp=sharing"",""อุทัยธานี!M278"")"),171791)</f>
        <v>171791</v>
      </c>
      <c r="O383" s="173">
        <f t="shared" ca="1" si="109"/>
        <v>16.702737914673513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IFERROR(__xludf.DUMMYFUNCTION("IMPORTRANGE(""https://docs.google.com/spreadsheets/d/11923uPwbBZFjjGgGUA6NLw09EwE0CqkOc4q9oUmW1yo/edit?usp=sharing"",""อุทัยธานี!L279"")"),0)</f>
        <v>0</v>
      </c>
      <c r="M384" s="178"/>
      <c r="N384" s="178">
        <f ca="1">IFERROR(__xludf.DUMMYFUNCTION("IMPORTRANGE(""https://docs.google.com/spreadsheets/d/11923uPwbBZFjjGgGUA6NLw09EwE0CqkOc4q9oUmW1yo/edit?usp=sharing"",""อุทัยธานี!M279"")"),0)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IFERROR(__xludf.DUMMYFUNCTION("IMPORTRANGE(""https://docs.google.com/spreadsheets/d/11923uPwbBZFjjGgGUA6NLw09EwE0CqkOc4q9oUmW1yo/edit?usp=sharing"",""อุทัยธานี!L280"")"),1028520)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IFERROR(__xludf.DUMMYFUNCTION("IMPORTRANGE(""https://docs.google.com/spreadsheets/d/11923uPwbBZFjjGgGUA6NLw09EwE0CqkOc4q9oUmW1yo/edit?usp=sharing"",""อุทัยธานี!M280"")"),171791)</f>
        <v>171791</v>
      </c>
      <c r="O385" s="178">
        <f t="shared" ca="1" si="109"/>
        <v>16.702737914673513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IFERROR(__xludf.DUMMYFUNCTION("IMPORTRANGE(""https://docs.google.com/spreadsheets/d/11923uPwbBZFjjGgGUA6NLw09EwE0CqkOc4q9oUmW1yo/edit?usp=sharing"",""อุทัยธานี!M281"")"),125940)</f>
        <v>125940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IFERROR(__xludf.DUMMYFUNCTION("IMPORTRANGE(""https://docs.google.com/spreadsheets/d/11923uPwbBZFjjGgGUA6NLw09EwE0CqkOc4q9oUmW1yo/edit?usp=sharing"",""อุทัยธานี!M282"")"),0)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IFERROR(__xludf.DUMMYFUNCTION("IMPORTRANGE(""https://docs.google.com/spreadsheets/d/11923uPwbBZFjjGgGUA6NLw09EwE0CqkOc4q9oUmW1yo/edit?usp=sharing"",""อุทัยธานี!M283"")"),30491)</f>
        <v>30491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IFERROR(__xludf.DUMMYFUNCTION("IMPORTRANGE(""https://docs.google.com/spreadsheets/d/11923uPwbBZFjjGgGUA6NLw09EwE0CqkOc4q9oUmW1yo/edit?usp=sharing"",""อุทัยธานี!M284"")"),15360)</f>
        <v>15360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IFERROR(__xludf.DUMMYFUNCTION("IMPORTRANGE(""https://docs.google.com/spreadsheets/d/11923uPwbBZFjjGgGUA6NLw09EwE0CqkOc4q9oUmW1yo/edit?usp=sharing"",""อุทัยธานี!J286"")"),0)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IFERROR(__xludf.DUMMYFUNCTION("IMPORTRANGE(""https://docs.google.com/spreadsheets/d/11923uPwbBZFjjGgGUA6NLw09EwE0CqkOc4q9oUmW1yo/edit?usp=sharing"",""อุทัยธานี!J287"")"),1)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IFERROR(__xludf.DUMMYFUNCTION("IMPORTRANGE(""https://docs.google.com/spreadsheets/d/11923uPwbBZFjjGgGUA6NLw09EwE0CqkOc4q9oUmW1yo/edit?usp=sharing"",""อุทัยธานี!J288"")"),0)</f>
        <v>0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IFERROR(__xludf.DUMMYFUNCTION("IMPORTRANGE(""https://docs.google.com/spreadsheets/d/11923uPwbBZFjjGgGUA6NLw09EwE0CqkOc4q9oUmW1yo/edit?usp=sharing"",""อุทัยธานี!J289"")"),0)</f>
        <v>0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IFERROR(__xludf.DUMMYFUNCTION("IMPORTRANGE(""https://docs.google.com/spreadsheets/d/11923uPwbBZFjjGgGUA6NLw09EwE0CqkOc4q9oUmW1yo/edit?usp=sharing"",""อุทัยธานี!I291"")"),100)</f>
        <v>100</v>
      </c>
      <c r="J396" s="207">
        <f ca="1">IFERROR(__xludf.DUMMYFUNCTION("IMPORTRANGE(""https://docs.google.com/spreadsheets/d/11923uPwbBZFjjGgGUA6NLw09EwE0CqkOc4q9oUmW1yo/edit?usp=sharing"",""อุทัยธานี!J291"")"),100)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IFERROR(__xludf.DUMMYFUNCTION("IMPORTRANGE(""https://docs.google.com/spreadsheets/d/11923uPwbBZFjjGgGUA6NLw09EwE0CqkOc4q9oUmW1yo/edit?usp=sharing"",""อุทัยธานี!I292"")"),1000)</f>
        <v>1000</v>
      </c>
      <c r="J397" s="207">
        <f ca="1">IFERROR(__xludf.DUMMYFUNCTION("IMPORTRANGE(""https://docs.google.com/spreadsheets/d/11923uPwbBZFjjGgGUA6NLw09EwE0CqkOc4q9oUmW1yo/edit?usp=sharing"",""อุทัยธานี!J292"")"),0)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IFERROR(__xludf.DUMMYFUNCTION("IMPORTRANGE(""https://docs.google.com/spreadsheets/d/11923uPwbBZFjjGgGUA6NLw09EwE0CqkOc4q9oUmW1yo/edit?usp=sharing"",""อุทัยธานี!I293"")"),100)</f>
        <v>100</v>
      </c>
      <c r="J398" s="207">
        <f ca="1">IFERROR(__xludf.DUMMYFUNCTION("IMPORTRANGE(""https://docs.google.com/spreadsheets/d/11923uPwbBZFjjGgGUA6NLw09EwE0CqkOc4q9oUmW1yo/edit?usp=sharing"",""อุทัยธานี!J293"")"),0)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IFERROR(__xludf.DUMMYFUNCTION("IMPORTRANGE(""https://docs.google.com/spreadsheets/d/11923uPwbBZFjjGgGUA6NLw09EwE0CqkOc4q9oUmW1yo/edit?usp=sharing"",""อุทัยธานี!J294"")"),0)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IFERROR(__xludf.DUMMYFUNCTION("IMPORTRANGE(""https://docs.google.com/spreadsheets/d/11923uPwbBZFjjGgGUA6NLw09EwE0CqkOc4q9oUmW1yo/edit?usp=sharing"",""อุทัยธานี!J295"")"),0)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IFERROR(__xludf.DUMMYFUNCTION("IMPORTRANGE(""https://docs.google.com/spreadsheets/d/11923uPwbBZFjjGgGUA6NLw09EwE0CqkOc4q9oUmW1yo/edit?usp=sharing"",""อุทัยธานี!I296"")"),150)</f>
        <v>150</v>
      </c>
      <c r="J401" s="379">
        <f ca="1">IFERROR(__xludf.DUMMYFUNCTION("IMPORTRANGE(""https://docs.google.com/spreadsheets/d/11923uPwbBZFjjGgGUA6NLw09EwE0CqkOc4q9oUmW1yo/edit?usp=sharing"",""อุทัยธานี!J296"")"),0)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IFERROR(__xludf.DUMMYFUNCTION("IMPORTRANGE(""https://docs.google.com/spreadsheets/d/11923uPwbBZFjjGgGUA6NLw09EwE0CqkOc4q9oUmW1yo/edit?usp=sharing"",""อุทัยธานี!L296"")"),177900)</f>
        <v>177900</v>
      </c>
      <c r="M401" s="381"/>
      <c r="N401" s="381">
        <f ca="1">IFERROR(__xludf.DUMMYFUNCTION("IMPORTRANGE(""https://docs.google.com/spreadsheets/d/11923uPwbBZFjjGgGUA6NLw09EwE0CqkOc4q9oUmW1yo/edit?usp=sharing"",""อุทัยธานี!M296"")"),28050)</f>
        <v>28050</v>
      </c>
      <c r="O401" s="381">
        <f ca="1">+IF(L401&gt;0,N401*100/L401,0)</f>
        <v>15.767284991568296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IFERROR(__xludf.DUMMYFUNCTION("IMPORTRANGE(""https://docs.google.com/spreadsheets/d/11923uPwbBZFjjGgGUA6NLw09EwE0CqkOc4q9oUmW1yo/edit?usp=sharing"",""อุทัยธานี!I297"")"),50)</f>
        <v>50</v>
      </c>
      <c r="J402" s="379">
        <f ca="1">IFERROR(__xludf.DUMMYFUNCTION("IMPORTRANGE(""https://docs.google.com/spreadsheets/d/11923uPwbBZFjjGgGUA6NLw09EwE0CqkOc4q9oUmW1yo/edit?usp=sharing"",""อุทัยธานี!J297"")"),0)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IFERROR(__xludf.DUMMYFUNCTION("IMPORTRANGE(""https://docs.google.com/spreadsheets/d/11923uPwbBZFjjGgGUA6NLw09EwE0CqkOc4q9oUmW1yo/edit?usp=sharing"",""อุทัยธานี!L298"")"),0)</f>
        <v>0</v>
      </c>
      <c r="M403" s="172"/>
      <c r="N403" s="178">
        <f ca="1">IFERROR(__xludf.DUMMYFUNCTION("IMPORTRANGE(""https://docs.google.com/spreadsheets/d/11923uPwbBZFjjGgGUA6NLw09EwE0CqkOc4q9oUmW1yo/edit?usp=sharing"",""อุทัยธานี!M298"")"),0)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IFERROR(__xludf.DUMMYFUNCTION("IMPORTRANGE(""https://docs.google.com/spreadsheets/d/11923uPwbBZFjjGgGUA6NLw09EwE0CqkOc4q9oUmW1yo/edit?usp=sharing"",""อุทัยธานี!L299"")"),177900)</f>
        <v>177900</v>
      </c>
      <c r="M404" s="173"/>
      <c r="N404" s="178">
        <f ca="1">IFERROR(__xludf.DUMMYFUNCTION("IMPORTRANGE(""https://docs.google.com/spreadsheets/d/11923uPwbBZFjjGgGUA6NLw09EwE0CqkOc4q9oUmW1yo/edit?usp=sharing"",""อุทัยธานี!M299"")"),28050)</f>
        <v>28050</v>
      </c>
      <c r="O404" s="178">
        <f t="shared" ca="1" si="112"/>
        <v>15.767284991568296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IFERROR(__xludf.DUMMYFUNCTION("IMPORTRANGE(""https://docs.google.com/spreadsheets/d/11923uPwbBZFjjGgGUA6NLw09EwE0CqkOc4q9oUmW1yo/edit?usp=sharing"",""อุทัยธานี!L300"")"),0)</f>
        <v>0</v>
      </c>
      <c r="M405" s="178"/>
      <c r="N405" s="178">
        <f ca="1">IFERROR(__xludf.DUMMYFUNCTION("IMPORTRANGE(""https://docs.google.com/spreadsheets/d/11923uPwbBZFjjGgGUA6NLw09EwE0CqkOc4q9oUmW1yo/edit?usp=sharing"",""อุทัยธานี!M300"")"),0)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IFERROR(__xludf.DUMMYFUNCTION("IMPORTRANGE(""https://docs.google.com/spreadsheets/d/11923uPwbBZFjjGgGUA6NLw09EwE0CqkOc4q9oUmW1yo/edit?usp=sharing"",""อุทัยธานี!L301"")"),177900)</f>
        <v>177900</v>
      </c>
      <c r="M406" s="178"/>
      <c r="N406" s="178">
        <f ca="1">IFERROR(__xludf.DUMMYFUNCTION("IMPORTRANGE(""https://docs.google.com/spreadsheets/d/11923uPwbBZFjjGgGUA6NLw09EwE0CqkOc4q9oUmW1yo/edit?usp=sharing"",""อุทัยธานี!M301"")"),28050)</f>
        <v>28050</v>
      </c>
      <c r="O406" s="178">
        <f t="shared" ca="1" si="112"/>
        <v>15.767284991568296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IFERROR(__xludf.DUMMYFUNCTION("IMPORTRANGE(""https://docs.google.com/spreadsheets/d/11923uPwbBZFjjGgGUA6NLw09EwE0CqkOc4q9oUmW1yo/edit?usp=sharing"",""อุทัยธานี!M302"")"),14990)</f>
        <v>14990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IFERROR(__xludf.DUMMYFUNCTION("IMPORTRANGE(""https://docs.google.com/spreadsheets/d/11923uPwbBZFjjGgGUA6NLw09EwE0CqkOc4q9oUmW1yo/edit?usp=sharing"",""อุทัยธานี!M303"")"),0)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IFERROR(__xludf.DUMMYFUNCTION("IMPORTRANGE(""https://docs.google.com/spreadsheets/d/11923uPwbBZFjjGgGUA6NLw09EwE0CqkOc4q9oUmW1yo/edit?usp=sharing"",""อุทัยธานี!M304"")"),0)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IFERROR(__xludf.DUMMYFUNCTION("IMPORTRANGE(""https://docs.google.com/spreadsheets/d/11923uPwbBZFjjGgGUA6NLw09EwE0CqkOc4q9oUmW1yo/edit?usp=sharing"",""อุทัยธานี!M305"")"),13060)</f>
        <v>13060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IFERROR(__xludf.DUMMYFUNCTION("IMPORTRANGE(""https://docs.google.com/spreadsheets/d/11923uPwbBZFjjGgGUA6NLw09EwE0CqkOc4q9oUmW1yo/edit?usp=sharing"",""อุทัยธานี!J307"")"),0)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IFERROR(__xludf.DUMMYFUNCTION("IMPORTRANGE(""https://docs.google.com/spreadsheets/d/11923uPwbBZFjjGgGUA6NLw09EwE0CqkOc4q9oUmW1yo/edit?usp=sharing"",""อุทัยธานี!J308"")"),1)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IFERROR(__xludf.DUMMYFUNCTION("IMPORTRANGE(""https://docs.google.com/spreadsheets/d/11923uPwbBZFjjGgGUA6NLw09EwE0CqkOc4q9oUmW1yo/edit?usp=sharing"",""อุทัยธานี!J309"")"),0)</f>
        <v>0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IFERROR(__xludf.DUMMYFUNCTION("IMPORTRANGE(""https://docs.google.com/spreadsheets/d/11923uPwbBZFjjGgGUA6NLw09EwE0CqkOc4q9oUmW1yo/edit?usp=sharing"",""อุทัยธานี!J310"")"),0)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IFERROR(__xludf.DUMMYFUNCTION("IMPORTRANGE(""https://docs.google.com/spreadsheets/d/11923uPwbBZFjjGgGUA6NLw09EwE0CqkOc4q9oUmW1yo/edit?usp=sharing"",""อุทัยธานี!I311"")"),50)</f>
        <v>50</v>
      </c>
      <c r="J416" s="210">
        <f ca="1">IFERROR(__xludf.DUMMYFUNCTION("IMPORTRANGE(""https://docs.google.com/spreadsheets/d/11923uPwbBZFjjGgGUA6NLw09EwE0CqkOc4q9oUmW1yo/edit?usp=sharing"",""อุทัยธานี!J311"")"),0)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IFERROR(__xludf.DUMMYFUNCTION("IMPORTRANGE(""https://docs.google.com/spreadsheets/d/11923uPwbBZFjjGgGUA6NLw09EwE0CqkOc4q9oUmW1yo/edit?usp=sharing"",""อุทัยธานี!I312"")"),20)</f>
        <v>20</v>
      </c>
      <c r="J417" s="400">
        <f ca="1">IFERROR(__xludf.DUMMYFUNCTION("IMPORTRANGE(""https://docs.google.com/spreadsheets/d/11923uPwbBZFjjGgGUA6NLw09EwE0CqkOc4q9oUmW1yo/edit?usp=sharing"",""อุทัยธานี!J312"")"),0)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IFERROR(__xludf.DUMMYFUNCTION("IMPORTRANGE(""https://docs.google.com/spreadsheets/d/11923uPwbBZFjjGgGUA6NLw09EwE0CqkOc4q9oUmW1yo/edit?usp=sharing"",""อุทัยธานี!I313"")"),60)</f>
        <v>60</v>
      </c>
      <c r="J418" s="401">
        <f ca="1">IFERROR(__xludf.DUMMYFUNCTION("IMPORTRANGE(""https://docs.google.com/spreadsheets/d/11923uPwbBZFjjGgGUA6NLw09EwE0CqkOc4q9oUmW1yo/edit?usp=sharing"",""อุทัยธานี!J313"")"),0)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IFERROR(__xludf.DUMMYFUNCTION("IMPORTRANGE(""https://docs.google.com/spreadsheets/d/11923uPwbBZFjjGgGUA6NLw09EwE0CqkOc4q9oUmW1yo/edit?usp=sharing"",""อุทัยธานี!I314"")"),20)</f>
        <v>20</v>
      </c>
      <c r="J419" s="402">
        <f ca="1">IFERROR(__xludf.DUMMYFUNCTION("IMPORTRANGE(""https://docs.google.com/spreadsheets/d/11923uPwbBZFjjGgGUA6NLw09EwE0CqkOc4q9oUmW1yo/edit?usp=sharing"",""อุทัยธานี!J314"")"),0)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IFERROR(__xludf.DUMMYFUNCTION("IMPORTRANGE(""https://docs.google.com/spreadsheets/d/11923uPwbBZFjjGgGUA6NLw09EwE0CqkOc4q9oUmW1yo/edit?usp=sharing"",""อุทัยธานี!I315"")"),20)</f>
        <v>20</v>
      </c>
      <c r="J420" s="402">
        <f ca="1">IFERROR(__xludf.DUMMYFUNCTION("IMPORTRANGE(""https://docs.google.com/spreadsheets/d/11923uPwbBZFjjGgGUA6NLw09EwE0CqkOc4q9oUmW1yo/edit?usp=sharing"",""อุทัยธานี!J315"")"),20)</f>
        <v>20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IFERROR(__xludf.DUMMYFUNCTION("IMPORTRANGE(""https://docs.google.com/spreadsheets/d/11923uPwbBZFjjGgGUA6NLw09EwE0CqkOc4q9oUmW1yo/edit?usp=sharing"",""อุทัยธานี!I316"")"),20)</f>
        <v>20</v>
      </c>
      <c r="J421" s="400">
        <f ca="1">IFERROR(__xludf.DUMMYFUNCTION("IMPORTRANGE(""https://docs.google.com/spreadsheets/d/11923uPwbBZFjjGgGUA6NLw09EwE0CqkOc4q9oUmW1yo/edit?usp=sharing"",""อุทัยธานี!J316"")"),0)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IFERROR(__xludf.DUMMYFUNCTION("IMPORTRANGE(""https://docs.google.com/spreadsheets/d/11923uPwbBZFjjGgGUA6NLw09EwE0CqkOc4q9oUmW1yo/edit?usp=sharing"",""อุทัยธานี!I317"")"),60)</f>
        <v>60</v>
      </c>
      <c r="J422" s="401">
        <f ca="1">IFERROR(__xludf.DUMMYFUNCTION("IMPORTRANGE(""https://docs.google.com/spreadsheets/d/11923uPwbBZFjjGgGUA6NLw09EwE0CqkOc4q9oUmW1yo/edit?usp=sharing"",""อุทัยธานี!J317"")"),0)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IFERROR(__xludf.DUMMYFUNCTION("IMPORTRANGE(""https://docs.google.com/spreadsheets/d/11923uPwbBZFjjGgGUA6NLw09EwE0CqkOc4q9oUmW1yo/edit?usp=sharing"",""อุทัยธานี!I318"")"),20)</f>
        <v>20</v>
      </c>
      <c r="J423" s="402">
        <f ca="1">IFERROR(__xludf.DUMMYFUNCTION("IMPORTRANGE(""https://docs.google.com/spreadsheets/d/11923uPwbBZFjjGgGUA6NLw09EwE0CqkOc4q9oUmW1yo/edit?usp=sharing"",""อุทัยธานี!J318"")"),0)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IFERROR(__xludf.DUMMYFUNCTION("IMPORTRANGE(""https://docs.google.com/spreadsheets/d/11923uPwbBZFjjGgGUA6NLw09EwE0CqkOc4q9oUmW1yo/edit?usp=sharing"",""อุทัยธานี!I319"")"),20)</f>
        <v>20</v>
      </c>
      <c r="J424" s="402">
        <f ca="1">IFERROR(__xludf.DUMMYFUNCTION("IMPORTRANGE(""https://docs.google.com/spreadsheets/d/11923uPwbBZFjjGgGUA6NLw09EwE0CqkOc4q9oUmW1yo/edit?usp=sharing"",""อุทัยธานี!J319"")"),0)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IFERROR(__xludf.DUMMYFUNCTION("IMPORTRANGE(""https://docs.google.com/spreadsheets/d/11923uPwbBZFjjGgGUA6NLw09EwE0CqkOc4q9oUmW1yo/edit?usp=sharing"",""อุทัยธานี!I320"")"),20)</f>
        <v>20</v>
      </c>
      <c r="J425" s="402">
        <f ca="1">IFERROR(__xludf.DUMMYFUNCTION("IMPORTRANGE(""https://docs.google.com/spreadsheets/d/11923uPwbBZFjjGgGUA6NLw09EwE0CqkOc4q9oUmW1yo/edit?usp=sharing"",""อุทัยธานี!J320"")"),0)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IFERROR(__xludf.DUMMYFUNCTION("IMPORTRANGE(""https://docs.google.com/spreadsheets/d/11923uPwbBZFjjGgGUA6NLw09EwE0CqkOc4q9oUmW1yo/edit?usp=sharing"",""อุทัยธานี!I321"")"),10)</f>
        <v>10</v>
      </c>
      <c r="J426" s="400">
        <f ca="1">IFERROR(__xludf.DUMMYFUNCTION("IMPORTRANGE(""https://docs.google.com/spreadsheets/d/11923uPwbBZFjjGgGUA6NLw09EwE0CqkOc4q9oUmW1yo/edit?usp=sharing"",""อุทัยธานี!J321"")"),0)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IFERROR(__xludf.DUMMYFUNCTION("IMPORTRANGE(""https://docs.google.com/spreadsheets/d/11923uPwbBZFjjGgGUA6NLw09EwE0CqkOc4q9oUmW1yo/edit?usp=sharing"",""อุทัยธานี!I322"")"),30)</f>
        <v>30</v>
      </c>
      <c r="J427" s="401">
        <f ca="1">IFERROR(__xludf.DUMMYFUNCTION("IMPORTRANGE(""https://docs.google.com/spreadsheets/d/11923uPwbBZFjjGgGUA6NLw09EwE0CqkOc4q9oUmW1yo/edit?usp=sharing"",""อุทัยธานี!J322"")"),0)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IFERROR(__xludf.DUMMYFUNCTION("IMPORTRANGE(""https://docs.google.com/spreadsheets/d/11923uPwbBZFjjGgGUA6NLw09EwE0CqkOc4q9oUmW1yo/edit?usp=sharing"",""อุทัยธานี!I323"")"),10)</f>
        <v>10</v>
      </c>
      <c r="J428" s="402">
        <f ca="1">IFERROR(__xludf.DUMMYFUNCTION("IMPORTRANGE(""https://docs.google.com/spreadsheets/d/11923uPwbBZFjjGgGUA6NLw09EwE0CqkOc4q9oUmW1yo/edit?usp=sharing"",""อุทัยธานี!J323"")"),10)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IFERROR(__xludf.DUMMYFUNCTION("IMPORTRANGE(""https://docs.google.com/spreadsheets/d/11923uPwbBZFjjGgGUA6NLw09EwE0CqkOc4q9oUmW1yo/edit?usp=sharing"",""อุทัยธานี!I324"")"),10)</f>
        <v>10</v>
      </c>
      <c r="J429" s="402">
        <f ca="1">IFERROR(__xludf.DUMMYFUNCTION("IMPORTRANGE(""https://docs.google.com/spreadsheets/d/11923uPwbBZFjjGgGUA6NLw09EwE0CqkOc4q9oUmW1yo/edit?usp=sharing"",""อุทัยธานี!J324"")"),0)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IFERROR(__xludf.DUMMYFUNCTION("IMPORTRANGE(""https://docs.google.com/spreadsheets/d/11923uPwbBZFjjGgGUA6NLw09EwE0CqkOc4q9oUmW1yo/edit?usp=sharing"",""อุทัยธานี!I325"")"),40)</f>
        <v>40</v>
      </c>
      <c r="J430" s="400">
        <f ca="1">IFERROR(__xludf.DUMMYFUNCTION("IMPORTRANGE(""https://docs.google.com/spreadsheets/d/11923uPwbBZFjjGgGUA6NLw09EwE0CqkOc4q9oUmW1yo/edit?usp=sharing"",""อุทัยธานี!J325"")"),0)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IFERROR(__xludf.DUMMYFUNCTION("IMPORTRANGE(""https://docs.google.com/spreadsheets/d/11923uPwbBZFjjGgGUA6NLw09EwE0CqkOc4q9oUmW1yo/edit?usp=sharing"",""อุทัยธานี!I326"")"),20)</f>
        <v>20</v>
      </c>
      <c r="J431" s="402">
        <f ca="1">IFERROR(__xludf.DUMMYFUNCTION("IMPORTRANGE(""https://docs.google.com/spreadsheets/d/11923uPwbBZFjjGgGUA6NLw09EwE0CqkOc4q9oUmW1yo/edit?usp=sharing"",""อุทัยธานี!J326"")"),0)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IFERROR(__xludf.DUMMYFUNCTION("IMPORTRANGE(""https://docs.google.com/spreadsheets/d/11923uPwbBZFjjGgGUA6NLw09EwE0CqkOc4q9oUmW1yo/edit?usp=sharing"",""อุทัยธานี!I327"")"),20)</f>
        <v>20</v>
      </c>
      <c r="J432" s="402">
        <f ca="1">IFERROR(__xludf.DUMMYFUNCTION("IMPORTRANGE(""https://docs.google.com/spreadsheets/d/11923uPwbBZFjjGgGUA6NLw09EwE0CqkOc4q9oUmW1yo/edit?usp=sharing"",""อุทัยธานี!J327"")"),0)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IFERROR(__xludf.DUMMYFUNCTION("IMPORTRANGE(""https://docs.google.com/spreadsheets/d/11923uPwbBZFjjGgGUA6NLw09EwE0CqkOc4q9oUmW1yo/edit?usp=sharing"",""อุทัยธานี!J328"")"),0)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IFERROR(__xludf.DUMMYFUNCTION("IMPORTRANGE(""https://docs.google.com/spreadsheets/d/11923uPwbBZFjjGgGUA6NLw09EwE0CqkOc4q9oUmW1yo/edit?usp=sharing"",""อุทัยธานี!J329"")"),0)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IFERROR(__xludf.DUMMYFUNCTION("IMPORTRANGE(""https://docs.google.com/spreadsheets/d/11923uPwbBZFjjGgGUA6NLw09EwE0CqkOc4q9oUmW1yo/edit?usp=sharing"",""อุทัยธานี!I330"")"),15)</f>
        <v>15</v>
      </c>
      <c r="J435" s="418">
        <f ca="1">IFERROR(__xludf.DUMMYFUNCTION("IMPORTRANGE(""https://docs.google.com/spreadsheets/d/11923uPwbBZFjjGgGUA6NLw09EwE0CqkOc4q9oUmW1yo/edit?usp=sharing"",""อุทัยธานี!J330"")"),15)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IFERROR(__xludf.DUMMYFUNCTION("IMPORTRANGE(""https://docs.google.com/spreadsheets/d/11923uPwbBZFjjGgGUA6NLw09EwE0CqkOc4q9oUmW1yo/edit?usp=sharing"",""อุทัยธานี!L330"")"),83000)</f>
        <v>83000</v>
      </c>
      <c r="M435" s="420"/>
      <c r="N435" s="420">
        <f ca="1">IFERROR(__xludf.DUMMYFUNCTION("IMPORTRANGE(""https://docs.google.com/spreadsheets/d/11923uPwbBZFjjGgGUA6NLw09EwE0CqkOc4q9oUmW1yo/edit?usp=sharing"",""อุทัยธานี!M330"")"),49090)</f>
        <v>49090</v>
      </c>
      <c r="O435" s="420">
        <f t="shared" ref="O435:O439" ca="1" si="114">+IF(L435&gt;0,N435*100/L435,0)</f>
        <v>59.144578313253014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IFERROR(__xludf.DUMMYFUNCTION("IMPORTRANGE(""https://docs.google.com/spreadsheets/d/11923uPwbBZFjjGgGUA6NLw09EwE0CqkOc4q9oUmW1yo/edit?usp=sharing"",""อุทัยธานี!L331"")"),0)</f>
        <v>0</v>
      </c>
      <c r="M436" s="172"/>
      <c r="N436" s="178">
        <f ca="1">IFERROR(__xludf.DUMMYFUNCTION("IMPORTRANGE(""https://docs.google.com/spreadsheets/d/11923uPwbBZFjjGgGUA6NLw09EwE0CqkOc4q9oUmW1yo/edit?usp=sharing"",""อุทัยธานี!M331"")"),0)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IFERROR(__xludf.DUMMYFUNCTION("IMPORTRANGE(""https://docs.google.com/spreadsheets/d/11923uPwbBZFjjGgGUA6NLw09EwE0CqkOc4q9oUmW1yo/edit?usp=sharing"",""อุทัยธานี!L332"")"),83000)</f>
        <v>83000</v>
      </c>
      <c r="M437" s="173"/>
      <c r="N437" s="178">
        <f ca="1">IFERROR(__xludf.DUMMYFUNCTION("IMPORTRANGE(""https://docs.google.com/spreadsheets/d/11923uPwbBZFjjGgGUA6NLw09EwE0CqkOc4q9oUmW1yo/edit?usp=sharing"",""อุทัยธานี!M332"")"),49090)</f>
        <v>49090</v>
      </c>
      <c r="O437" s="178">
        <f t="shared" ca="1" si="114"/>
        <v>59.144578313253014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IFERROR(__xludf.DUMMYFUNCTION("IMPORTRANGE(""https://docs.google.com/spreadsheets/d/11923uPwbBZFjjGgGUA6NLw09EwE0CqkOc4q9oUmW1yo/edit?usp=sharing"",""อุทัยธานี!L333"")"),0)</f>
        <v>0</v>
      </c>
      <c r="M438" s="178"/>
      <c r="N438" s="178">
        <f ca="1">IFERROR(__xludf.DUMMYFUNCTION("IMPORTRANGE(""https://docs.google.com/spreadsheets/d/11923uPwbBZFjjGgGUA6NLw09EwE0CqkOc4q9oUmW1yo/edit?usp=sharing"",""อุทัยธานี!M333"")"),0)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IFERROR(__xludf.DUMMYFUNCTION("IMPORTRANGE(""https://docs.google.com/spreadsheets/d/11923uPwbBZFjjGgGUA6NLw09EwE0CqkOc4q9oUmW1yo/edit?usp=sharing"",""อุทัยธานี!L334"")"),83000)</f>
        <v>83000</v>
      </c>
      <c r="M439" s="178"/>
      <c r="N439" s="178">
        <f ca="1">IFERROR(__xludf.DUMMYFUNCTION("IMPORTRANGE(""https://docs.google.com/spreadsheets/d/11923uPwbBZFjjGgGUA6NLw09EwE0CqkOc4q9oUmW1yo/edit?usp=sharing"",""อุทัยธานี!M334"")"),49090)</f>
        <v>49090</v>
      </c>
      <c r="O439" s="178">
        <f t="shared" ca="1" si="114"/>
        <v>59.144578313253014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IFERROR(__xludf.DUMMYFUNCTION("IMPORTRANGE(""https://docs.google.com/spreadsheets/d/11923uPwbBZFjjGgGUA6NLw09EwE0CqkOc4q9oUmW1yo/edit?usp=sharing"",""อุทัยธานี!M335"")"),32200)</f>
        <v>32200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IFERROR(__xludf.DUMMYFUNCTION("IMPORTRANGE(""https://docs.google.com/spreadsheets/d/11923uPwbBZFjjGgGUA6NLw09EwE0CqkOc4q9oUmW1yo/edit?usp=sharing"",""อุทัยธานี!M336"")"),0)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IFERROR(__xludf.DUMMYFUNCTION("IMPORTRANGE(""https://docs.google.com/spreadsheets/d/11923uPwbBZFjjGgGUA6NLw09EwE0CqkOc4q9oUmW1yo/edit?usp=sharing"",""อุทัยธานี!M337"")"),0)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IFERROR(__xludf.DUMMYFUNCTION("IMPORTRANGE(""https://docs.google.com/spreadsheets/d/11923uPwbBZFjjGgGUA6NLw09EwE0CqkOc4q9oUmW1yo/edit?usp=sharing"",""อุทัยธานี!M338"")"),16890)</f>
        <v>16890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IFERROR(__xludf.DUMMYFUNCTION("IMPORTRANGE(""https://docs.google.com/spreadsheets/d/11923uPwbBZFjjGgGUA6NLw09EwE0CqkOc4q9oUmW1yo/edit?usp=sharing"",""อุทัยธานี!J340"")"),0)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IFERROR(__xludf.DUMMYFUNCTION("IMPORTRANGE(""https://docs.google.com/spreadsheets/d/11923uPwbBZFjjGgGUA6NLw09EwE0CqkOc4q9oUmW1yo/edit?usp=sharing"",""อุทัยธานี!J341"")"),1)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IFERROR(__xludf.DUMMYFUNCTION("IMPORTRANGE(""https://docs.google.com/spreadsheets/d/11923uPwbBZFjjGgGUA6NLw09EwE0CqkOc4q9oUmW1yo/edit?usp=sharing"",""อุทัยธานี!J342"")"),1)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IFERROR(__xludf.DUMMYFUNCTION("IMPORTRANGE(""https://docs.google.com/spreadsheets/d/11923uPwbBZFjjGgGUA6NLw09EwE0CqkOc4q9oUmW1yo/edit?usp=sharing"",""อุทัยธานี!J343"")"),1)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IFERROR(__xludf.DUMMYFUNCTION("IMPORTRANGE(""https://docs.google.com/spreadsheets/d/11923uPwbBZFjjGgGUA6NLw09EwE0CqkOc4q9oUmW1yo/edit?usp=sharing"",""อุทัยธานี!I344"")"),15)</f>
        <v>15</v>
      </c>
      <c r="J449" s="210">
        <f ca="1">IFERROR(__xludf.DUMMYFUNCTION("IMPORTRANGE(""https://docs.google.com/spreadsheets/d/11923uPwbBZFjjGgGUA6NLw09EwE0CqkOc4q9oUmW1yo/edit?usp=sharing"",""อุทัยธานี!J344"")"),15)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IFERROR(__xludf.DUMMYFUNCTION("IMPORTRANGE(""https://docs.google.com/spreadsheets/d/11923uPwbBZFjjGgGUA6NLw09EwE0CqkOc4q9oUmW1yo/edit?usp=sharing"",""อุทัยธานี!I345"")"),15)</f>
        <v>15</v>
      </c>
      <c r="J450" s="198">
        <f ca="1">IFERROR(__xludf.DUMMYFUNCTION("IMPORTRANGE(""https://docs.google.com/spreadsheets/d/11923uPwbBZFjjGgGUA6NLw09EwE0CqkOc4q9oUmW1yo/edit?usp=sharing"",""อุทัยธานี!J345"")"),15)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IFERROR(__xludf.DUMMYFUNCTION("IMPORTRANGE(""https://docs.google.com/spreadsheets/d/11923uPwbBZFjjGgGUA6NLw09EwE0CqkOc4q9oUmW1yo/edit?usp=sharing"",""อุทัยธานี!I346"")"),0)</f>
        <v>0</v>
      </c>
      <c r="J451" s="197">
        <f ca="1">IFERROR(__xludf.DUMMYFUNCTION("IMPORTRANGE(""https://docs.google.com/spreadsheets/d/11923uPwbBZFjjGgGUA6NLw09EwE0CqkOc4q9oUmW1yo/edit?usp=sharing"",""อุทัยธานี!J346"")"),0)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IFERROR(__xludf.DUMMYFUNCTION("IMPORTRANGE(""https://docs.google.com/spreadsheets/d/11923uPwbBZFjjGgGUA6NLw09EwE0CqkOc4q9oUmW1yo/edit?usp=sharing"",""อุทัยธานี!I347"")"),0)</f>
        <v>0</v>
      </c>
      <c r="J452" s="197">
        <f ca="1">IFERROR(__xludf.DUMMYFUNCTION("IMPORTRANGE(""https://docs.google.com/spreadsheets/d/11923uPwbBZFjjGgGUA6NLw09EwE0CqkOc4q9oUmW1yo/edit?usp=sharing"",""อุทัยธานี!J347"")"),0)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IFERROR(__xludf.DUMMYFUNCTION("IMPORTRANGE(""https://docs.google.com/spreadsheets/d/11923uPwbBZFjjGgGUA6NLw09EwE0CqkOc4q9oUmW1yo/edit?usp=sharing"",""อุทัยธานี!J348"")"),0)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IFERROR(__xludf.DUMMYFUNCTION("IMPORTRANGE(""https://docs.google.com/spreadsheets/d/11923uPwbBZFjjGgGUA6NLw09EwE0CqkOc4q9oUmW1yo/edit?usp=sharing"",""อุทัยธานี!J349"")"),0)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IFERROR(__xludf.DUMMYFUNCTION("IMPORTRANGE(""https://docs.google.com/spreadsheets/d/11923uPwbBZFjjGgGUA6NLw09EwE0CqkOc4q9oUmW1yo/edit?usp=sharing"",""อุทัยธานี!I350"")"),24457)</f>
        <v>24457</v>
      </c>
      <c r="J455" s="379">
        <f ca="1">IFERROR(__xludf.DUMMYFUNCTION("IMPORTRANGE(""https://docs.google.com/spreadsheets/d/11923uPwbBZFjjGgGUA6NLw09EwE0CqkOc4q9oUmW1yo/edit?usp=sharing"",""อุทัยธานี!J350"")"),0)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IFERROR(__xludf.DUMMYFUNCTION("IMPORTRANGE(""https://docs.google.com/spreadsheets/d/11923uPwbBZFjjGgGUA6NLw09EwE0CqkOc4q9oUmW1yo/edit?usp=sharing"",""อุทัยธานี!L350"")"),296488)</f>
        <v>296488</v>
      </c>
      <c r="M455" s="381"/>
      <c r="N455" s="381">
        <f ca="1">IFERROR(__xludf.DUMMYFUNCTION("IMPORTRANGE(""https://docs.google.com/spreadsheets/d/11923uPwbBZFjjGgGUA6NLw09EwE0CqkOc4q9oUmW1yo/edit?usp=sharing"",""อุทัยธานี!M350"")"),14395)</f>
        <v>14395</v>
      </c>
      <c r="O455" s="381">
        <f t="shared" ref="O455:O459" ca="1" si="116">+IF(L455&gt;0,N455*100/L455,0)</f>
        <v>4.8551712042308628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IFERROR(__xludf.DUMMYFUNCTION("IMPORTRANGE(""https://docs.google.com/spreadsheets/d/11923uPwbBZFjjGgGUA6NLw09EwE0CqkOc4q9oUmW1yo/edit?usp=sharing"",""อุทัยธานี!L351"")"),0)</f>
        <v>0</v>
      </c>
      <c r="M456" s="172"/>
      <c r="N456" s="178">
        <f ca="1">IFERROR(__xludf.DUMMYFUNCTION("IMPORTRANGE(""https://docs.google.com/spreadsheets/d/11923uPwbBZFjjGgGUA6NLw09EwE0CqkOc4q9oUmW1yo/edit?usp=sharing"",""อุทัยธานี!M351"")"),0)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IFERROR(__xludf.DUMMYFUNCTION("IMPORTRANGE(""https://docs.google.com/spreadsheets/d/11923uPwbBZFjjGgGUA6NLw09EwE0CqkOc4q9oUmW1yo/edit?usp=sharing"",""อุทัยธานี!L352"")"),296488)</f>
        <v>296488</v>
      </c>
      <c r="M457" s="173"/>
      <c r="N457" s="178">
        <f ca="1">IFERROR(__xludf.DUMMYFUNCTION("IMPORTRANGE(""https://docs.google.com/spreadsheets/d/11923uPwbBZFjjGgGUA6NLw09EwE0CqkOc4q9oUmW1yo/edit?usp=sharing"",""อุทัยธานี!M352"")"),14395)</f>
        <v>14395</v>
      </c>
      <c r="O457" s="178">
        <f t="shared" ca="1" si="116"/>
        <v>4.8551712042308628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IFERROR(__xludf.DUMMYFUNCTION("IMPORTRANGE(""https://docs.google.com/spreadsheets/d/11923uPwbBZFjjGgGUA6NLw09EwE0CqkOc4q9oUmW1yo/edit?usp=sharing"",""อุทัยธานี!L353"")"),0)</f>
        <v>0</v>
      </c>
      <c r="M458" s="178"/>
      <c r="N458" s="178">
        <f ca="1">IFERROR(__xludf.DUMMYFUNCTION("IMPORTRANGE(""https://docs.google.com/spreadsheets/d/11923uPwbBZFjjGgGUA6NLw09EwE0CqkOc4q9oUmW1yo/edit?usp=sharing"",""อุทัยธานี!M353"")"),0)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IFERROR(__xludf.DUMMYFUNCTION("IMPORTRANGE(""https://docs.google.com/spreadsheets/d/11923uPwbBZFjjGgGUA6NLw09EwE0CqkOc4q9oUmW1yo/edit?usp=sharing"",""อุทัยธานี!L354"")"),296488)</f>
        <v>296488</v>
      </c>
      <c r="M459" s="178"/>
      <c r="N459" s="178">
        <f ca="1">IFERROR(__xludf.DUMMYFUNCTION("IMPORTRANGE(""https://docs.google.com/spreadsheets/d/11923uPwbBZFjjGgGUA6NLw09EwE0CqkOc4q9oUmW1yo/edit?usp=sharing"",""อุทัยธานี!M354"")"),14395)</f>
        <v>14395</v>
      </c>
      <c r="O459" s="178">
        <f t="shared" ca="1" si="116"/>
        <v>4.8551712042308628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IFERROR(__xludf.DUMMYFUNCTION("IMPORTRANGE(""https://docs.google.com/spreadsheets/d/11923uPwbBZFjjGgGUA6NLw09EwE0CqkOc4q9oUmW1yo/edit?usp=sharing"",""อุทัยธานี!M355"")"),0)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IFERROR(__xludf.DUMMYFUNCTION("IMPORTRANGE(""https://docs.google.com/spreadsheets/d/11923uPwbBZFjjGgGUA6NLw09EwE0CqkOc4q9oUmW1yo/edit?usp=sharing"",""อุทัยธานี!M356"")"),0)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IFERROR(__xludf.DUMMYFUNCTION("IMPORTRANGE(""https://docs.google.com/spreadsheets/d/11923uPwbBZFjjGgGUA6NLw09EwE0CqkOc4q9oUmW1yo/edit?usp=sharing"",""อุทัยธานี!M357"")"),0)</f>
        <v>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IFERROR(__xludf.DUMMYFUNCTION("IMPORTRANGE(""https://docs.google.com/spreadsheets/d/11923uPwbBZFjjGgGUA6NLw09EwE0CqkOc4q9oUmW1yo/edit?usp=sharing"",""อุทัยธานี!M358"")"),14395)</f>
        <v>14395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IFERROR(__xludf.DUMMYFUNCTION("IMPORTRANGE(""https://docs.google.com/spreadsheets/d/11923uPwbBZFjjGgGUA6NLw09EwE0CqkOc4q9oUmW1yo/edit?usp=sharing"",""อุทัยธานี!I359"")"),24457)</f>
        <v>24457</v>
      </c>
      <c r="J464" s="276">
        <f ca="1">IFERROR(__xludf.DUMMYFUNCTION("IMPORTRANGE(""https://docs.google.com/spreadsheets/d/11923uPwbBZFjjGgGUA6NLw09EwE0CqkOc4q9oUmW1yo/edit?usp=sharing"",""อุทัยธานี!J359"")"),0)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IFERROR(__xludf.DUMMYFUNCTION("IMPORTRANGE(""https://docs.google.com/spreadsheets/d/11923uPwbBZFjjGgGUA6NLw09EwE0CqkOc4q9oUmW1yo/edit?usp=sharing"",""อุทัยธานี!I360"")"),24457)</f>
        <v>24457</v>
      </c>
      <c r="J465" s="428">
        <f ca="1">IFERROR(__xludf.DUMMYFUNCTION("IMPORTRANGE(""https://docs.google.com/spreadsheets/d/11923uPwbBZFjjGgGUA6NLw09EwE0CqkOc4q9oUmW1yo/edit?usp=sharing"",""อุทัยธานี!J360"")"),16733)</f>
        <v>16733</v>
      </c>
      <c r="K465" s="211">
        <f t="shared" ca="1" si="117"/>
        <v>68.418039824998971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IFERROR(__xludf.DUMMYFUNCTION("IMPORTRANGE(""https://docs.google.com/spreadsheets/d/11923uPwbBZFjjGgGUA6NLw09EwE0CqkOc4q9oUmW1yo/edit?usp=sharing"",""อุทัยธานี!I361"")"),2670)</f>
        <v>2670</v>
      </c>
      <c r="J466" s="428">
        <f ca="1">IFERROR(__xludf.DUMMYFUNCTION("IMPORTRANGE(""https://docs.google.com/spreadsheets/d/11923uPwbBZFjjGgGUA6NLw09EwE0CqkOc4q9oUmW1yo/edit?usp=sharing"",""อุทัยธานี!J361"")"),2077)</f>
        <v>2077</v>
      </c>
      <c r="K466" s="211">
        <f t="shared" ca="1" si="117"/>
        <v>77.790262172284642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IFERROR(__xludf.DUMMYFUNCTION("IMPORTRANGE(""https://docs.google.com/spreadsheets/d/11923uPwbBZFjjGgGUA6NLw09EwE0CqkOc4q9oUmW1yo/edit?usp=sharing"",""อุทัยธานี!I362"")"),0)</f>
        <v>0</v>
      </c>
      <c r="J467" s="198">
        <f ca="1">IFERROR(__xludf.DUMMYFUNCTION("IMPORTRANGE(""https://docs.google.com/spreadsheets/d/11923uPwbBZFjjGgGUA6NLw09EwE0CqkOc4q9oUmW1yo/edit?usp=sharing"",""อุทัยธานี!J362"")"),12097)</f>
        <v>12097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IFERROR(__xludf.DUMMYFUNCTION("IMPORTRANGE(""https://docs.google.com/spreadsheets/d/11923uPwbBZFjjGgGUA6NLw09EwE0CqkOc4q9oUmW1yo/edit?usp=sharing"",""อุทัยธานี!I363"")"),0)</f>
        <v>0</v>
      </c>
      <c r="J468" s="198">
        <f ca="1">IFERROR(__xludf.DUMMYFUNCTION("IMPORTRANGE(""https://docs.google.com/spreadsheets/d/11923uPwbBZFjjGgGUA6NLw09EwE0CqkOc4q9oUmW1yo/edit?usp=sharing"",""อุทัยธานี!J363"")"),1709)</f>
        <v>1709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IFERROR(__xludf.DUMMYFUNCTION("IMPORTRANGE(""https://docs.google.com/spreadsheets/d/11923uPwbBZFjjGgGUA6NLw09EwE0CqkOc4q9oUmW1yo/edit?usp=sharing"",""อุทัยธานี!I364"")"),0)</f>
        <v>0</v>
      </c>
      <c r="J469" s="198">
        <f ca="1">IFERROR(__xludf.DUMMYFUNCTION("IMPORTRANGE(""https://docs.google.com/spreadsheets/d/11923uPwbBZFjjGgGUA6NLw09EwE0CqkOc4q9oUmW1yo/edit?usp=sharing"",""อุทัยธานี!J364"")"),3843)</f>
        <v>3843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IFERROR(__xludf.DUMMYFUNCTION("IMPORTRANGE(""https://docs.google.com/spreadsheets/d/11923uPwbBZFjjGgGUA6NLw09EwE0CqkOc4q9oUmW1yo/edit?usp=sharing"",""อุทัยธานี!I365"")"),0)</f>
        <v>0</v>
      </c>
      <c r="J470" s="198">
        <f ca="1">IFERROR(__xludf.DUMMYFUNCTION("IMPORTRANGE(""https://docs.google.com/spreadsheets/d/11923uPwbBZFjjGgGUA6NLw09EwE0CqkOc4q9oUmW1yo/edit?usp=sharing"",""อุทัยธานี!J365"")"),265)</f>
        <v>265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IFERROR(__xludf.DUMMYFUNCTION("IMPORTRANGE(""https://docs.google.com/spreadsheets/d/11923uPwbBZFjjGgGUA6NLw09EwE0CqkOc4q9oUmW1yo/edit?usp=sharing"",""อุทัยธานี!I366"")"),0)</f>
        <v>0</v>
      </c>
      <c r="J471" s="198">
        <f ca="1">IFERROR(__xludf.DUMMYFUNCTION("IMPORTRANGE(""https://docs.google.com/spreadsheets/d/11923uPwbBZFjjGgGUA6NLw09EwE0CqkOc4q9oUmW1yo/edit?usp=sharing"",""อุทัยธานี!J366"")"),793)</f>
        <v>793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IFERROR(__xludf.DUMMYFUNCTION("IMPORTRANGE(""https://docs.google.com/spreadsheets/d/11923uPwbBZFjjGgGUA6NLw09EwE0CqkOc4q9oUmW1yo/edit?usp=sharing"",""อุทัยธานี!I367"")"),0)</f>
        <v>0</v>
      </c>
      <c r="J472" s="198">
        <f ca="1">IFERROR(__xludf.DUMMYFUNCTION("IMPORTRANGE(""https://docs.google.com/spreadsheets/d/11923uPwbBZFjjGgGUA6NLw09EwE0CqkOc4q9oUmW1yo/edit?usp=sharing"",""อุทัยธานี!J367"")"),103)</f>
        <v>103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IFERROR(__xludf.DUMMYFUNCTION("IMPORTRANGE(""https://docs.google.com/spreadsheets/d/11923uPwbBZFjjGgGUA6NLw09EwE0CqkOc4q9oUmW1yo/edit?usp=sharing"",""อุทัยธานี!I368"")"),24457)</f>
        <v>24457</v>
      </c>
      <c r="J473" s="428">
        <f ca="1">IFERROR(__xludf.DUMMYFUNCTION("IMPORTRANGE(""https://docs.google.com/spreadsheets/d/11923uPwbBZFjjGgGUA6NLw09EwE0CqkOc4q9oUmW1yo/edit?usp=sharing"",""อุทัยธานี!J368"")"),0)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IFERROR(__xludf.DUMMYFUNCTION("IMPORTRANGE(""https://docs.google.com/spreadsheets/d/11923uPwbBZFjjGgGUA6NLw09EwE0CqkOc4q9oUmW1yo/edit?usp=sharing"",""อุทัยธานี!I369"")"),2670)</f>
        <v>2670</v>
      </c>
      <c r="J474" s="428">
        <f ca="1">IFERROR(__xludf.DUMMYFUNCTION("IMPORTRANGE(""https://docs.google.com/spreadsheets/d/11923uPwbBZFjjGgGUA6NLw09EwE0CqkOc4q9oUmW1yo/edit?usp=sharing"",""อุทัยธานี!J369"")"),0)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IFERROR(__xludf.DUMMYFUNCTION("IMPORTRANGE(""https://docs.google.com/spreadsheets/d/11923uPwbBZFjjGgGUA6NLw09EwE0CqkOc4q9oUmW1yo/edit?usp=sharing"",""อุทัยธานี!I370"")"),0)</f>
        <v>0</v>
      </c>
      <c r="J475" s="198">
        <f ca="1">IFERROR(__xludf.DUMMYFUNCTION("IMPORTRANGE(""https://docs.google.com/spreadsheets/d/11923uPwbBZFjjGgGUA6NLw09EwE0CqkOc4q9oUmW1yo/edit?usp=sharing"",""อุทัยธานี!J370"")"),0)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IFERROR(__xludf.DUMMYFUNCTION("IMPORTRANGE(""https://docs.google.com/spreadsheets/d/11923uPwbBZFjjGgGUA6NLw09EwE0CqkOc4q9oUmW1yo/edit?usp=sharing"",""อุทัยธานี!I371"")"),0)</f>
        <v>0</v>
      </c>
      <c r="J476" s="198">
        <f ca="1">IFERROR(__xludf.DUMMYFUNCTION("IMPORTRANGE(""https://docs.google.com/spreadsheets/d/11923uPwbBZFjjGgGUA6NLw09EwE0CqkOc4q9oUmW1yo/edit?usp=sharing"",""อุทัยธานี!J371"")"),0)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IFERROR(__xludf.DUMMYFUNCTION("IMPORTRANGE(""https://docs.google.com/spreadsheets/d/11923uPwbBZFjjGgGUA6NLw09EwE0CqkOc4q9oUmW1yo/edit?usp=sharing"",""อุทัยธานี!I372"")"),0)</f>
        <v>0</v>
      </c>
      <c r="J477" s="198">
        <f ca="1">IFERROR(__xludf.DUMMYFUNCTION("IMPORTRANGE(""https://docs.google.com/spreadsheets/d/11923uPwbBZFjjGgGUA6NLw09EwE0CqkOc4q9oUmW1yo/edit?usp=sharing"",""อุทัยธานี!J372"")"),0)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IFERROR(__xludf.DUMMYFUNCTION("IMPORTRANGE(""https://docs.google.com/spreadsheets/d/11923uPwbBZFjjGgGUA6NLw09EwE0CqkOc4q9oUmW1yo/edit?usp=sharing"",""อุทัยธานี!I373"")"),0)</f>
        <v>0</v>
      </c>
      <c r="J478" s="198">
        <f ca="1">IFERROR(__xludf.DUMMYFUNCTION("IMPORTRANGE(""https://docs.google.com/spreadsheets/d/11923uPwbBZFjjGgGUA6NLw09EwE0CqkOc4q9oUmW1yo/edit?usp=sharing"",""อุทัยธานี!J373"")"),0)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IFERROR(__xludf.DUMMYFUNCTION("IMPORTRANGE(""https://docs.google.com/spreadsheets/d/11923uPwbBZFjjGgGUA6NLw09EwE0CqkOc4q9oUmW1yo/edit?usp=sharing"",""อุทัยธานี!I374"")"),0)</f>
        <v>0</v>
      </c>
      <c r="J479" s="198">
        <f ca="1">IFERROR(__xludf.DUMMYFUNCTION("IMPORTRANGE(""https://docs.google.com/spreadsheets/d/11923uPwbBZFjjGgGUA6NLw09EwE0CqkOc4q9oUmW1yo/edit?usp=sharing"",""อุทัยธานี!J374"")"),0)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IFERROR(__xludf.DUMMYFUNCTION("IMPORTRANGE(""https://docs.google.com/spreadsheets/d/11923uPwbBZFjjGgGUA6NLw09EwE0CqkOc4q9oUmW1yo/edit?usp=sharing"",""อุทัยธานี!I375"")"),0)</f>
        <v>0</v>
      </c>
      <c r="J480" s="198">
        <f ca="1">IFERROR(__xludf.DUMMYFUNCTION("IMPORTRANGE(""https://docs.google.com/spreadsheets/d/11923uPwbBZFjjGgGUA6NLw09EwE0CqkOc4q9oUmW1yo/edit?usp=sharing"",""อุทัยธานี!J375"")"),0)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IFERROR(__xludf.DUMMYFUNCTION("IMPORTRANGE(""https://docs.google.com/spreadsheets/d/11923uPwbBZFjjGgGUA6NLw09EwE0CqkOc4q9oUmW1yo/edit?usp=sharing"",""อุทัยธานี!I376"")"),24457)</f>
        <v>24457</v>
      </c>
      <c r="J481" s="428">
        <f ca="1">IFERROR(__xludf.DUMMYFUNCTION("IMPORTRANGE(""https://docs.google.com/spreadsheets/d/11923uPwbBZFjjGgGUA6NLw09EwE0CqkOc4q9oUmW1yo/edit?usp=sharing"",""อุทัยธานี!J376"")"),0)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IFERROR(__xludf.DUMMYFUNCTION("IMPORTRANGE(""https://docs.google.com/spreadsheets/d/11923uPwbBZFjjGgGUA6NLw09EwE0CqkOc4q9oUmW1yo/edit?usp=sharing"",""อุทัยธานี!I377"")"),2670)</f>
        <v>2670</v>
      </c>
      <c r="J482" s="428">
        <f ca="1">IFERROR(__xludf.DUMMYFUNCTION("IMPORTRANGE(""https://docs.google.com/spreadsheets/d/11923uPwbBZFjjGgGUA6NLw09EwE0CqkOc4q9oUmW1yo/edit?usp=sharing"",""อุทัยธานี!J377"")"),0)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IFERROR(__xludf.DUMMYFUNCTION("IMPORTRANGE(""https://docs.google.com/spreadsheets/d/11923uPwbBZFjjGgGUA6NLw09EwE0CqkOc4q9oUmW1yo/edit?usp=sharing"",""อุทัยธานี!I378"")"),0)</f>
        <v>0</v>
      </c>
      <c r="J483" s="198">
        <f ca="1">IFERROR(__xludf.DUMMYFUNCTION("IMPORTRANGE(""https://docs.google.com/spreadsheets/d/11923uPwbBZFjjGgGUA6NLw09EwE0CqkOc4q9oUmW1yo/edit?usp=sharing"",""อุทัยธานี!J378"")"),0)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IFERROR(__xludf.DUMMYFUNCTION("IMPORTRANGE(""https://docs.google.com/spreadsheets/d/11923uPwbBZFjjGgGUA6NLw09EwE0CqkOc4q9oUmW1yo/edit?usp=sharing"",""อุทัยธานี!I379"")"),0)</f>
        <v>0</v>
      </c>
      <c r="J484" s="198">
        <f ca="1">IFERROR(__xludf.DUMMYFUNCTION("IMPORTRANGE(""https://docs.google.com/spreadsheets/d/11923uPwbBZFjjGgGUA6NLw09EwE0CqkOc4q9oUmW1yo/edit?usp=sharing"",""อุทัยธานี!J379"")"),0)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IFERROR(__xludf.DUMMYFUNCTION("IMPORTRANGE(""https://docs.google.com/spreadsheets/d/11923uPwbBZFjjGgGUA6NLw09EwE0CqkOc4q9oUmW1yo/edit?usp=sharing"",""อุทัยธานี!I380"")"),0)</f>
        <v>0</v>
      </c>
      <c r="J485" s="198">
        <f ca="1">IFERROR(__xludf.DUMMYFUNCTION("IMPORTRANGE(""https://docs.google.com/spreadsheets/d/11923uPwbBZFjjGgGUA6NLw09EwE0CqkOc4q9oUmW1yo/edit?usp=sharing"",""อุทัยธานี!J380"")"),0)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IFERROR(__xludf.DUMMYFUNCTION("IMPORTRANGE(""https://docs.google.com/spreadsheets/d/11923uPwbBZFjjGgGUA6NLw09EwE0CqkOc4q9oUmW1yo/edit?usp=sharing"",""อุทัยธานี!I381"")"),0)</f>
        <v>0</v>
      </c>
      <c r="J486" s="198">
        <f ca="1">IFERROR(__xludf.DUMMYFUNCTION("IMPORTRANGE(""https://docs.google.com/spreadsheets/d/11923uPwbBZFjjGgGUA6NLw09EwE0CqkOc4q9oUmW1yo/edit?usp=sharing"",""อุทัยธานี!J381"")"),0)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IFERROR(__xludf.DUMMYFUNCTION("IMPORTRANGE(""https://docs.google.com/spreadsheets/d/11923uPwbBZFjjGgGUA6NLw09EwE0CqkOc4q9oUmW1yo/edit?usp=sharing"",""อุทัยธานี!I382"")"),0)</f>
        <v>0</v>
      </c>
      <c r="J487" s="428">
        <f ca="1">IFERROR(__xludf.DUMMYFUNCTION("IMPORTRANGE(""https://docs.google.com/spreadsheets/d/11923uPwbBZFjjGgGUA6NLw09EwE0CqkOc4q9oUmW1yo/edit?usp=sharing"",""อุทัยธานี!J382"")"),0)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IFERROR(__xludf.DUMMYFUNCTION("IMPORTRANGE(""https://docs.google.com/spreadsheets/d/11923uPwbBZFjjGgGUA6NLw09EwE0CqkOc4q9oUmW1yo/edit?usp=sharing"",""อุทัยธานี!I383"")"),0)</f>
        <v>0</v>
      </c>
      <c r="J488" s="428">
        <f ca="1">IFERROR(__xludf.DUMMYFUNCTION("IMPORTRANGE(""https://docs.google.com/spreadsheets/d/11923uPwbBZFjjGgGUA6NLw09EwE0CqkOc4q9oUmW1yo/edit?usp=sharing"",""อุทัยธานี!J383"")"),0)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IFERROR(__xludf.DUMMYFUNCTION("IMPORTRANGE(""https://docs.google.com/spreadsheets/d/11923uPwbBZFjjGgGUA6NLw09EwE0CqkOc4q9oUmW1yo/edit?usp=sharing"",""อุทัยธานี!I384"")"),0)</f>
        <v>0</v>
      </c>
      <c r="J489" s="198">
        <f ca="1">IFERROR(__xludf.DUMMYFUNCTION("IMPORTRANGE(""https://docs.google.com/spreadsheets/d/11923uPwbBZFjjGgGUA6NLw09EwE0CqkOc4q9oUmW1yo/edit?usp=sharing"",""อุทัยธานี!J384"")"),0)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IFERROR(__xludf.DUMMYFUNCTION("IMPORTRANGE(""https://docs.google.com/spreadsheets/d/11923uPwbBZFjjGgGUA6NLw09EwE0CqkOc4q9oUmW1yo/edit?usp=sharing"",""อุทัยธานี!I385"")"),0)</f>
        <v>0</v>
      </c>
      <c r="J490" s="198">
        <f ca="1">IFERROR(__xludf.DUMMYFUNCTION("IMPORTRANGE(""https://docs.google.com/spreadsheets/d/11923uPwbBZFjjGgGUA6NLw09EwE0CqkOc4q9oUmW1yo/edit?usp=sharing"",""อุทัยธานี!J385"")"),0)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IFERROR(__xludf.DUMMYFUNCTION("IMPORTRANGE(""https://docs.google.com/spreadsheets/d/11923uPwbBZFjjGgGUA6NLw09EwE0CqkOc4q9oUmW1yo/edit?usp=sharing"",""อุทัยธานี!I386"")"),0)</f>
        <v>0</v>
      </c>
      <c r="J491" s="198">
        <f ca="1">IFERROR(__xludf.DUMMYFUNCTION("IMPORTRANGE(""https://docs.google.com/spreadsheets/d/11923uPwbBZFjjGgGUA6NLw09EwE0CqkOc4q9oUmW1yo/edit?usp=sharing"",""อุทัยธานี!J386"")"),0)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IFERROR(__xludf.DUMMYFUNCTION("IMPORTRANGE(""https://docs.google.com/spreadsheets/d/11923uPwbBZFjjGgGUA6NLw09EwE0CqkOc4q9oUmW1yo/edit?usp=sharing"",""อุทัยธานี!I387"")"),0)</f>
        <v>0</v>
      </c>
      <c r="J492" s="198">
        <f ca="1">IFERROR(__xludf.DUMMYFUNCTION("IMPORTRANGE(""https://docs.google.com/spreadsheets/d/11923uPwbBZFjjGgGUA6NLw09EwE0CqkOc4q9oUmW1yo/edit?usp=sharing"",""อุทัยธานี!J387"")"),0)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IFERROR(__xludf.DUMMYFUNCTION("IMPORTRANGE(""https://docs.google.com/spreadsheets/d/11923uPwbBZFjjGgGUA6NLw09EwE0CqkOc4q9oUmW1yo/edit?usp=sharing"",""อุทัยธานี!I388"")"),0)</f>
        <v>0</v>
      </c>
      <c r="J493" s="198">
        <f ca="1">IFERROR(__xludf.DUMMYFUNCTION("IMPORTRANGE(""https://docs.google.com/spreadsheets/d/11923uPwbBZFjjGgGUA6NLw09EwE0CqkOc4q9oUmW1yo/edit?usp=sharing"",""อุทัยธานี!J388"")"),0)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IFERROR(__xludf.DUMMYFUNCTION("IMPORTRANGE(""https://docs.google.com/spreadsheets/d/11923uPwbBZFjjGgGUA6NLw09EwE0CqkOc4q9oUmW1yo/edit?usp=sharing"",""อุทัยธานี!I389"")"),0)</f>
        <v>0</v>
      </c>
      <c r="J494" s="444">
        <f ca="1">IFERROR(__xludf.DUMMYFUNCTION("IMPORTRANGE(""https://docs.google.com/spreadsheets/d/11923uPwbBZFjjGgGUA6NLw09EwE0CqkOc4q9oUmW1yo/edit?usp=sharing"",""อุทัยธานี!J389"")"),0)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IFERROR(__xludf.DUMMYFUNCTION("IMPORTRANGE(""https://docs.google.com/spreadsheets/d/11923uPwbBZFjjGgGUA6NLw09EwE0CqkOc4q9oUmW1yo/edit?usp=sharing"",""อุทัยธานี!I390"")"),0)</f>
        <v>0</v>
      </c>
      <c r="J495" s="444">
        <f ca="1">IFERROR(__xludf.DUMMYFUNCTION("IMPORTRANGE(""https://docs.google.com/spreadsheets/d/11923uPwbBZFjjGgGUA6NLw09EwE0CqkOc4q9oUmW1yo/edit?usp=sharing"",""อุทัยธานี!J390"")"),0)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IFERROR(__xludf.DUMMYFUNCTION("IMPORTRANGE(""https://docs.google.com/spreadsheets/d/11923uPwbBZFjjGgGUA6NLw09EwE0CqkOc4q9oUmW1yo/edit?usp=sharing"",""อุทัยธานี!I391"")"),0)</f>
        <v>0</v>
      </c>
      <c r="J496" s="444">
        <f ca="1">IFERROR(__xludf.DUMMYFUNCTION("IMPORTRANGE(""https://docs.google.com/spreadsheets/d/11923uPwbBZFjjGgGUA6NLw09EwE0CqkOc4q9oUmW1yo/edit?usp=sharing"",""อุทัยธานี!J391"")"),0)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IFERROR(__xludf.DUMMYFUNCTION("IMPORTRANGE(""https://docs.google.com/spreadsheets/d/11923uPwbBZFjjGgGUA6NLw09EwE0CqkOc4q9oUmW1yo/edit?usp=sharing"",""อุทัยธานี!I392"")"),7373)</f>
        <v>7373</v>
      </c>
      <c r="J497" s="451">
        <f ca="1">IFERROR(__xludf.DUMMYFUNCTION("IMPORTRANGE(""https://docs.google.com/spreadsheets/d/11923uPwbBZFjjGgGUA6NLw09EwE0CqkOc4q9oUmW1yo/edit?usp=sharing"",""อุทัยธานี!J392"")"),0)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IFERROR(__xludf.DUMMYFUNCTION("IMPORTRANGE(""https://docs.google.com/spreadsheets/d/11923uPwbBZFjjGgGUA6NLw09EwE0CqkOc4q9oUmW1yo/edit?usp=sharing"",""อุทัยธานี!I393"")"),7373)</f>
        <v>7373</v>
      </c>
      <c r="J498" s="428">
        <f ca="1">IFERROR(__xludf.DUMMYFUNCTION("IMPORTRANGE(""https://docs.google.com/spreadsheets/d/11923uPwbBZFjjGgGUA6NLw09EwE0CqkOc4q9oUmW1yo/edit?usp=sharing"",""อุทัยธานี!J393"")"),0)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IFERROR(__xludf.DUMMYFUNCTION("IMPORTRANGE(""https://docs.google.com/spreadsheets/d/11923uPwbBZFjjGgGUA6NLw09EwE0CqkOc4q9oUmW1yo/edit?usp=sharing"",""อุทัยธานี!I394"")"),412)</f>
        <v>412</v>
      </c>
      <c r="J499" s="428">
        <f ca="1">IFERROR(__xludf.DUMMYFUNCTION("IMPORTRANGE(""https://docs.google.com/spreadsheets/d/11923uPwbBZFjjGgGUA6NLw09EwE0CqkOc4q9oUmW1yo/edit?usp=sharing"",""อุทัยธานี!J394"")"),0)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IFERROR(__xludf.DUMMYFUNCTION("IMPORTRANGE(""https://docs.google.com/spreadsheets/d/11923uPwbBZFjjGgGUA6NLw09EwE0CqkOc4q9oUmW1yo/edit?usp=sharing"",""อุทัยธานี!I395"")"),0)</f>
        <v>0</v>
      </c>
      <c r="J500" s="170">
        <f ca="1">IFERROR(__xludf.DUMMYFUNCTION("IMPORTRANGE(""https://docs.google.com/spreadsheets/d/11923uPwbBZFjjGgGUA6NLw09EwE0CqkOc4q9oUmW1yo/edit?usp=sharing"",""อุทัยธานี!J395"")"),0)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IFERROR(__xludf.DUMMYFUNCTION("IMPORTRANGE(""https://docs.google.com/spreadsheets/d/11923uPwbBZFjjGgGUA6NLw09EwE0CqkOc4q9oUmW1yo/edit?usp=sharing"",""อุทัยธานี!I396"")"),0)</f>
        <v>0</v>
      </c>
      <c r="J501" s="170">
        <f ca="1">IFERROR(__xludf.DUMMYFUNCTION("IMPORTRANGE(""https://docs.google.com/spreadsheets/d/11923uPwbBZFjjGgGUA6NLw09EwE0CqkOc4q9oUmW1yo/edit?usp=sharing"",""อุทัยธานี!J396"")"),0)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IFERROR(__xludf.DUMMYFUNCTION("IMPORTRANGE(""https://docs.google.com/spreadsheets/d/11923uPwbBZFjjGgGUA6NLw09EwE0CqkOc4q9oUmW1yo/edit?usp=sharing"",""อุทัยธานี!I397"")"),0)</f>
        <v>0</v>
      </c>
      <c r="J502" s="198">
        <f ca="1">IFERROR(__xludf.DUMMYFUNCTION("IMPORTRANGE(""https://docs.google.com/spreadsheets/d/11923uPwbBZFjjGgGUA6NLw09EwE0CqkOc4q9oUmW1yo/edit?usp=sharing"",""อุทัยธานี!J397"")"),0)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IFERROR(__xludf.DUMMYFUNCTION("IMPORTRANGE(""https://docs.google.com/spreadsheets/d/11923uPwbBZFjjGgGUA6NLw09EwE0CqkOc4q9oUmW1yo/edit?usp=sharing"",""อุทัยธานี!I398"")"),0)</f>
        <v>0</v>
      </c>
      <c r="J503" s="207">
        <f ca="1">IFERROR(__xludf.DUMMYFUNCTION("IMPORTRANGE(""https://docs.google.com/spreadsheets/d/11923uPwbBZFjjGgGUA6NLw09EwE0CqkOc4q9oUmW1yo/edit?usp=sharing"",""อุทัยธานี!J398"")"),0)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IFERROR(__xludf.DUMMYFUNCTION("IMPORTRANGE(""https://docs.google.com/spreadsheets/d/11923uPwbBZFjjGgGUA6NLw09EwE0CqkOc4q9oUmW1yo/edit?usp=sharing"",""อุทัยธานี!I399"")"),0)</f>
        <v>0</v>
      </c>
      <c r="J504" s="198">
        <f ca="1">IFERROR(__xludf.DUMMYFUNCTION("IMPORTRANGE(""https://docs.google.com/spreadsheets/d/11923uPwbBZFjjGgGUA6NLw09EwE0CqkOc4q9oUmW1yo/edit?usp=sharing"",""อุทัยธานี!J399"")"),0)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IFERROR(__xludf.DUMMYFUNCTION("IMPORTRANGE(""https://docs.google.com/spreadsheets/d/11923uPwbBZFjjGgGUA6NLw09EwE0CqkOc4q9oUmW1yo/edit?usp=sharing"",""อุทัยธานี!I400"")"),0)</f>
        <v>0</v>
      </c>
      <c r="J505" s="207">
        <f ca="1">IFERROR(__xludf.DUMMYFUNCTION("IMPORTRANGE(""https://docs.google.com/spreadsheets/d/11923uPwbBZFjjGgGUA6NLw09EwE0CqkOc4q9oUmW1yo/edit?usp=sharing"",""อุทัยธานี!J400"")"),0)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IFERROR(__xludf.DUMMYFUNCTION("IMPORTRANGE(""https://docs.google.com/spreadsheets/d/11923uPwbBZFjjGgGUA6NLw09EwE0CqkOc4q9oUmW1yo/edit?usp=sharing"",""อุทัยธานี!I401"")"),0)</f>
        <v>0</v>
      </c>
      <c r="J506" s="198">
        <f ca="1">IFERROR(__xludf.DUMMYFUNCTION("IMPORTRANGE(""https://docs.google.com/spreadsheets/d/11923uPwbBZFjjGgGUA6NLw09EwE0CqkOc4q9oUmW1yo/edit?usp=sharing"",""อุทัยธานี!J401"")"),0)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IFERROR(__xludf.DUMMYFUNCTION("IMPORTRANGE(""https://docs.google.com/spreadsheets/d/11923uPwbBZFjjGgGUA6NLw09EwE0CqkOc4q9oUmW1yo/edit?usp=sharing"",""อุทัยธานี!I402"")"),0)</f>
        <v>0</v>
      </c>
      <c r="J507" s="207">
        <f ca="1">IFERROR(__xludf.DUMMYFUNCTION("IMPORTRANGE(""https://docs.google.com/spreadsheets/d/11923uPwbBZFjjGgGUA6NLw09EwE0CqkOc4q9oUmW1yo/edit?usp=sharing"",""อุทัยธานี!J402"")"),0)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IFERROR(__xludf.DUMMYFUNCTION("IMPORTRANGE(""https://docs.google.com/spreadsheets/d/11923uPwbBZFjjGgGUA6NLw09EwE0CqkOc4q9oUmW1yo/edit?usp=sharing"",""อุทัยธานี!I403"")"),0)</f>
        <v>0</v>
      </c>
      <c r="J508" s="170">
        <f ca="1">IFERROR(__xludf.DUMMYFUNCTION("IMPORTRANGE(""https://docs.google.com/spreadsheets/d/11923uPwbBZFjjGgGUA6NLw09EwE0CqkOc4q9oUmW1yo/edit?usp=sharing"",""อุทัยธานี!J403"")"),0)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IFERROR(__xludf.DUMMYFUNCTION("IMPORTRANGE(""https://docs.google.com/spreadsheets/d/11923uPwbBZFjjGgGUA6NLw09EwE0CqkOc4q9oUmW1yo/edit?usp=sharing"",""อุทัยธานี!I404"")"),0)</f>
        <v>0</v>
      </c>
      <c r="J509" s="170">
        <f ca="1">IFERROR(__xludf.DUMMYFUNCTION("IMPORTRANGE(""https://docs.google.com/spreadsheets/d/11923uPwbBZFjjGgGUA6NLw09EwE0CqkOc4q9oUmW1yo/edit?usp=sharing"",""อุทัยธานี!J404"")"),0)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IFERROR(__xludf.DUMMYFUNCTION("IMPORTRANGE(""https://docs.google.com/spreadsheets/d/11923uPwbBZFjjGgGUA6NLw09EwE0CqkOc4q9oUmW1yo/edit?usp=sharing"",""อุทัยธานี!I405"")"),0)</f>
        <v>0</v>
      </c>
      <c r="J510" s="207">
        <f ca="1">IFERROR(__xludf.DUMMYFUNCTION("IMPORTRANGE(""https://docs.google.com/spreadsheets/d/11923uPwbBZFjjGgGUA6NLw09EwE0CqkOc4q9oUmW1yo/edit?usp=sharing"",""อุทัยธานี!J405"")"),0)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IFERROR(__xludf.DUMMYFUNCTION("IMPORTRANGE(""https://docs.google.com/spreadsheets/d/11923uPwbBZFjjGgGUA6NLw09EwE0CqkOc4q9oUmW1yo/edit?usp=sharing"",""อุทัยธานี!I406"")"),0)</f>
        <v>0</v>
      </c>
      <c r="J511" s="207">
        <f ca="1">IFERROR(__xludf.DUMMYFUNCTION("IMPORTRANGE(""https://docs.google.com/spreadsheets/d/11923uPwbBZFjjGgGUA6NLw09EwE0CqkOc4q9oUmW1yo/edit?usp=sharing"",""อุทัยธานี!J406"")"),0)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IFERROR(__xludf.DUMMYFUNCTION("IMPORTRANGE(""https://docs.google.com/spreadsheets/d/11923uPwbBZFjjGgGUA6NLw09EwE0CqkOc4q9oUmW1yo/edit?usp=sharing"",""อุทัยธานี!I407"")"),0)</f>
        <v>0</v>
      </c>
      <c r="J512" s="207">
        <f ca="1">IFERROR(__xludf.DUMMYFUNCTION("IMPORTRANGE(""https://docs.google.com/spreadsheets/d/11923uPwbBZFjjGgGUA6NLw09EwE0CqkOc4q9oUmW1yo/edit?usp=sharing"",""อุทัยธานี!J407"")"),0)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IFERROR(__xludf.DUMMYFUNCTION("IMPORTRANGE(""https://docs.google.com/spreadsheets/d/11923uPwbBZFjjGgGUA6NLw09EwE0CqkOc4q9oUmW1yo/edit?usp=sharing"",""อุทัยธานี!I408"")"),0)</f>
        <v>0</v>
      </c>
      <c r="J513" s="207">
        <f ca="1">IFERROR(__xludf.DUMMYFUNCTION("IMPORTRANGE(""https://docs.google.com/spreadsheets/d/11923uPwbBZFjjGgGUA6NLw09EwE0CqkOc4q9oUmW1yo/edit?usp=sharing"",""อุทัยธานี!J408"")"),0)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IFERROR(__xludf.DUMMYFUNCTION("IMPORTRANGE(""https://docs.google.com/spreadsheets/d/11923uPwbBZFjjGgGUA6NLw09EwE0CqkOc4q9oUmW1yo/edit?usp=sharing"",""อุทัยธานี!I409"")"),0)</f>
        <v>0</v>
      </c>
      <c r="J514" s="207">
        <f ca="1">IFERROR(__xludf.DUMMYFUNCTION("IMPORTRANGE(""https://docs.google.com/spreadsheets/d/11923uPwbBZFjjGgGUA6NLw09EwE0CqkOc4q9oUmW1yo/edit?usp=sharing"",""อุทัยธานี!J409"")"),0)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IFERROR(__xludf.DUMMYFUNCTION("IMPORTRANGE(""https://docs.google.com/spreadsheets/d/11923uPwbBZFjjGgGUA6NLw09EwE0CqkOc4q9oUmW1yo/edit?usp=sharing"",""อุทัยธานี!I410"")"),0)</f>
        <v>0</v>
      </c>
      <c r="J515" s="207">
        <f ca="1">IFERROR(__xludf.DUMMYFUNCTION("IMPORTRANGE(""https://docs.google.com/spreadsheets/d/11923uPwbBZFjjGgGUA6NLw09EwE0CqkOc4q9oUmW1yo/edit?usp=sharing"",""อุทัยธานี!J410"")"),0)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IFERROR(__xludf.DUMMYFUNCTION("IMPORTRANGE(""https://docs.google.com/spreadsheets/d/11923uPwbBZFjjGgGUA6NLw09EwE0CqkOc4q9oUmW1yo/edit?usp=sharing"",""อุทัยธานี!I411"")"),0)</f>
        <v>0</v>
      </c>
      <c r="J516" s="276">
        <f ca="1">IFERROR(__xludf.DUMMYFUNCTION("IMPORTRANGE(""https://docs.google.com/spreadsheets/d/11923uPwbBZFjjGgGUA6NLw09EwE0CqkOc4q9oUmW1yo/edit?usp=sharing"",""อุทัยธานี!J411"")"),0)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IFERROR(__xludf.DUMMYFUNCTION("IMPORTRANGE(""https://docs.google.com/spreadsheets/d/11923uPwbBZFjjGgGUA6NLw09EwE0CqkOc4q9oUmW1yo/edit?usp=sharing"",""อุทัยธานี!I412"")"),0)</f>
        <v>0</v>
      </c>
      <c r="J517" s="292">
        <f ca="1">IFERROR(__xludf.DUMMYFUNCTION("IMPORTRANGE(""https://docs.google.com/spreadsheets/d/11923uPwbBZFjjGgGUA6NLw09EwE0CqkOc4q9oUmW1yo/edit?usp=sharing"",""อุทัยธานี!J412"")"),0)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IFERROR(__xludf.DUMMYFUNCTION("IMPORTRANGE(""https://docs.google.com/spreadsheets/d/11923uPwbBZFjjGgGUA6NLw09EwE0CqkOc4q9oUmW1yo/edit?usp=sharing"",""อุทัยธานี!I413"")"),0)</f>
        <v>0</v>
      </c>
      <c r="J518" s="292">
        <f ca="1">IFERROR(__xludf.DUMMYFUNCTION("IMPORTRANGE(""https://docs.google.com/spreadsheets/d/11923uPwbBZFjjGgGUA6NLw09EwE0CqkOc4q9oUmW1yo/edit?usp=sharing"",""อุทัยธานี!J413"")"),0)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IFERROR(__xludf.DUMMYFUNCTION("IMPORTRANGE(""https://docs.google.com/spreadsheets/d/11923uPwbBZFjjGgGUA6NLw09EwE0CqkOc4q9oUmW1yo/edit?usp=sharing"",""อุทัยธานี!I414"")"),0)</f>
        <v>0</v>
      </c>
      <c r="J519" s="197">
        <f ca="1">IFERROR(__xludf.DUMMYFUNCTION("IMPORTRANGE(""https://docs.google.com/spreadsheets/d/11923uPwbBZFjjGgGUA6NLw09EwE0CqkOc4q9oUmW1yo/edit?usp=sharing"",""อุทัยธานี!J414"")"),0)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IFERROR(__xludf.DUMMYFUNCTION("IMPORTRANGE(""https://docs.google.com/spreadsheets/d/11923uPwbBZFjjGgGUA6NLw09EwE0CqkOc4q9oUmW1yo/edit?usp=sharing"",""อุทัยธานี!I415"")"),0)</f>
        <v>0</v>
      </c>
      <c r="J520" s="197">
        <f ca="1">IFERROR(__xludf.DUMMYFUNCTION("IMPORTRANGE(""https://docs.google.com/spreadsheets/d/11923uPwbBZFjjGgGUA6NLw09EwE0CqkOc4q9oUmW1yo/edit?usp=sharing"",""อุทัยธานี!J415"")"),0)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IFERROR(__xludf.DUMMYFUNCTION("IMPORTRANGE(""https://docs.google.com/spreadsheets/d/11923uPwbBZFjjGgGUA6NLw09EwE0CqkOc4q9oUmW1yo/edit?usp=sharing"",""อุทัยธานี!I416"")"),0)</f>
        <v>0</v>
      </c>
      <c r="J521" s="197">
        <f ca="1">IFERROR(__xludf.DUMMYFUNCTION("IMPORTRANGE(""https://docs.google.com/spreadsheets/d/11923uPwbBZFjjGgGUA6NLw09EwE0CqkOc4q9oUmW1yo/edit?usp=sharing"",""อุทัยธานี!J416"")"),0)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IFERROR(__xludf.DUMMYFUNCTION("IMPORTRANGE(""https://docs.google.com/spreadsheets/d/11923uPwbBZFjjGgGUA6NLw09EwE0CqkOc4q9oUmW1yo/edit?usp=sharing"",""อุทัยธานี!I417"")"),0)</f>
        <v>0</v>
      </c>
      <c r="J522" s="197">
        <f ca="1">IFERROR(__xludf.DUMMYFUNCTION("IMPORTRANGE(""https://docs.google.com/spreadsheets/d/11923uPwbBZFjjGgGUA6NLw09EwE0CqkOc4q9oUmW1yo/edit?usp=sharing"",""อุทัยธานี!J417"")"),0)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IFERROR(__xludf.DUMMYFUNCTION("IMPORTRANGE(""https://docs.google.com/spreadsheets/d/11923uPwbBZFjjGgGUA6NLw09EwE0CqkOc4q9oUmW1yo/edit?usp=sharing"",""อุทัยธานี!I418"")"),0)</f>
        <v>0</v>
      </c>
      <c r="J523" s="197">
        <f ca="1">IFERROR(__xludf.DUMMYFUNCTION("IMPORTRANGE(""https://docs.google.com/spreadsheets/d/11923uPwbBZFjjGgGUA6NLw09EwE0CqkOc4q9oUmW1yo/edit?usp=sharing"",""อุทัยธานี!J418"")"),0)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IFERROR(__xludf.DUMMYFUNCTION("IMPORTRANGE(""https://docs.google.com/spreadsheets/d/11923uPwbBZFjjGgGUA6NLw09EwE0CqkOc4q9oUmW1yo/edit?usp=sharing"",""อุทัยธานี!I419"")"),0)</f>
        <v>0</v>
      </c>
      <c r="J524" s="197">
        <f ca="1">IFERROR(__xludf.DUMMYFUNCTION("IMPORTRANGE(""https://docs.google.com/spreadsheets/d/11923uPwbBZFjjGgGUA6NLw09EwE0CqkOc4q9oUmW1yo/edit?usp=sharing"",""อุทัยธานี!J419"")"),0)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IFERROR(__xludf.DUMMYFUNCTION("IMPORTRANGE(""https://docs.google.com/spreadsheets/d/11923uPwbBZFjjGgGUA6NLw09EwE0CqkOc4q9oUmW1yo/edit?usp=sharing"",""อุทัยธานี!I420"")"),0)</f>
        <v>0</v>
      </c>
      <c r="J525" s="292">
        <f ca="1">IFERROR(__xludf.DUMMYFUNCTION("IMPORTRANGE(""https://docs.google.com/spreadsheets/d/11923uPwbBZFjjGgGUA6NLw09EwE0CqkOc4q9oUmW1yo/edit?usp=sharing"",""อุทัยธานี!J420"")"),0)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IFERROR(__xludf.DUMMYFUNCTION("IMPORTRANGE(""https://docs.google.com/spreadsheets/d/11923uPwbBZFjjGgGUA6NLw09EwE0CqkOc4q9oUmW1yo/edit?usp=sharing"",""อุทัยธานี!I421"")"),0)</f>
        <v>0</v>
      </c>
      <c r="J526" s="292">
        <f ca="1">IFERROR(__xludf.DUMMYFUNCTION("IMPORTRANGE(""https://docs.google.com/spreadsheets/d/11923uPwbBZFjjGgGUA6NLw09EwE0CqkOc4q9oUmW1yo/edit?usp=sharing"",""อุทัยธานี!J421"")"),0)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IFERROR(__xludf.DUMMYFUNCTION("IMPORTRANGE(""https://docs.google.com/spreadsheets/d/11923uPwbBZFjjGgGUA6NLw09EwE0CqkOc4q9oUmW1yo/edit?usp=sharing"",""อุทัยธานี!I422"")"),0)</f>
        <v>0</v>
      </c>
      <c r="J527" s="207">
        <f ca="1">IFERROR(__xludf.DUMMYFUNCTION("IMPORTRANGE(""https://docs.google.com/spreadsheets/d/11923uPwbBZFjjGgGUA6NLw09EwE0CqkOc4q9oUmW1yo/edit?usp=sharing"",""อุทัยธานี!J422"")"),0)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IFERROR(__xludf.DUMMYFUNCTION("IMPORTRANGE(""https://docs.google.com/spreadsheets/d/11923uPwbBZFjjGgGUA6NLw09EwE0CqkOc4q9oUmW1yo/edit?usp=sharing"",""อุทัยธานี!I423"")"),0)</f>
        <v>0</v>
      </c>
      <c r="J528" s="207">
        <f ca="1">IFERROR(__xludf.DUMMYFUNCTION("IMPORTRANGE(""https://docs.google.com/spreadsheets/d/11923uPwbBZFjjGgGUA6NLw09EwE0CqkOc4q9oUmW1yo/edit?usp=sharing"",""อุทัยธานี!J423"")"),0)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IFERROR(__xludf.DUMMYFUNCTION("IMPORTRANGE(""https://docs.google.com/spreadsheets/d/11923uPwbBZFjjGgGUA6NLw09EwE0CqkOc4q9oUmW1yo/edit?usp=sharing"",""อุทัยธานี!I424"")"),0)</f>
        <v>0</v>
      </c>
      <c r="J529" s="207">
        <f ca="1">IFERROR(__xludf.DUMMYFUNCTION("IMPORTRANGE(""https://docs.google.com/spreadsheets/d/11923uPwbBZFjjGgGUA6NLw09EwE0CqkOc4q9oUmW1yo/edit?usp=sharing"",""อุทัยธานี!J424"")"),0)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IFERROR(__xludf.DUMMYFUNCTION("IMPORTRANGE(""https://docs.google.com/spreadsheets/d/11923uPwbBZFjjGgGUA6NLw09EwE0CqkOc4q9oUmW1yo/edit?usp=sharing"",""อุทัยธานี!I425"")"),0)</f>
        <v>0</v>
      </c>
      <c r="J530" s="207">
        <f ca="1">IFERROR(__xludf.DUMMYFUNCTION("IMPORTRANGE(""https://docs.google.com/spreadsheets/d/11923uPwbBZFjjGgGUA6NLw09EwE0CqkOc4q9oUmW1yo/edit?usp=sharing"",""อุทัยธานี!J425"")"),0)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IFERROR(__xludf.DUMMYFUNCTION("IMPORTRANGE(""https://docs.google.com/spreadsheets/d/11923uPwbBZFjjGgGUA6NLw09EwE0CqkOc4q9oUmW1yo/edit?usp=sharing"",""อุทัยธานี!I426"")"),0)</f>
        <v>0</v>
      </c>
      <c r="J531" s="207">
        <f ca="1">IFERROR(__xludf.DUMMYFUNCTION("IMPORTRANGE(""https://docs.google.com/spreadsheets/d/11923uPwbBZFjjGgGUA6NLw09EwE0CqkOc4q9oUmW1yo/edit?usp=sharing"",""อุทัยธานี!J426"")"),0)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IFERROR(__xludf.DUMMYFUNCTION("IMPORTRANGE(""https://docs.google.com/spreadsheets/d/11923uPwbBZFjjGgGUA6NLw09EwE0CqkOc4q9oUmW1yo/edit?usp=sharing"",""อุทัยธานี!I427"")"),0)</f>
        <v>0</v>
      </c>
      <c r="J532" s="474">
        <f ca="1">IFERROR(__xludf.DUMMYFUNCTION("IMPORTRANGE(""https://docs.google.com/spreadsheets/d/11923uPwbBZFjjGgGUA6NLw09EwE0CqkOc4q9oUmW1yo/edit?usp=sharing"",""อุทัยธานี!J427"")"),0)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IFERROR(__xludf.DUMMYFUNCTION("IMPORTRANGE(""https://docs.google.com/spreadsheets/d/11923uPwbBZFjjGgGUA6NLw09EwE0CqkOc4q9oUmW1yo/edit?usp=sharing"",""อุทัยธานี!I428"")"),24)</f>
        <v>24</v>
      </c>
      <c r="J533" s="418">
        <f ca="1">IFERROR(__xludf.DUMMYFUNCTION("IMPORTRANGE(""https://docs.google.com/spreadsheets/d/11923uPwbBZFjjGgGUA6NLw09EwE0CqkOc4q9oUmW1yo/edit?usp=sharing"",""อุทัยธานี!J428"")"),24)</f>
        <v>24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IFERROR(__xludf.DUMMYFUNCTION("IMPORTRANGE(""https://docs.google.com/spreadsheets/d/11923uPwbBZFjjGgGUA6NLw09EwE0CqkOc4q9oUmW1yo/edit?usp=sharing"",""อุทัยธานี!L428"")"),36040)</f>
        <v>36040</v>
      </c>
      <c r="M533" s="420"/>
      <c r="N533" s="420">
        <f ca="1">IFERROR(__xludf.DUMMYFUNCTION("IMPORTRANGE(""https://docs.google.com/spreadsheets/d/11923uPwbBZFjjGgGUA6NLw09EwE0CqkOc4q9oUmW1yo/edit?usp=sharing"",""อุทัยธานี!M428"")"),30290)</f>
        <v>30290</v>
      </c>
      <c r="O533" s="420">
        <f t="shared" ref="O533:O537" ca="1" si="118">+IF(L533&gt;0,N533*100/L533,0)</f>
        <v>84.04550499445061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IFERROR(__xludf.DUMMYFUNCTION("IMPORTRANGE(""https://docs.google.com/spreadsheets/d/11923uPwbBZFjjGgGUA6NLw09EwE0CqkOc4q9oUmW1yo/edit?usp=sharing"",""อุทัยธานี!L429"")"),0)</f>
        <v>0</v>
      </c>
      <c r="M534" s="172"/>
      <c r="N534" s="178">
        <f ca="1">IFERROR(__xludf.DUMMYFUNCTION("IMPORTRANGE(""https://docs.google.com/spreadsheets/d/11923uPwbBZFjjGgGUA6NLw09EwE0CqkOc4q9oUmW1yo/edit?usp=sharing"",""อุทัยธานี!M429"")"),0)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IFERROR(__xludf.DUMMYFUNCTION("IMPORTRANGE(""https://docs.google.com/spreadsheets/d/11923uPwbBZFjjGgGUA6NLw09EwE0CqkOc4q9oUmW1yo/edit?usp=sharing"",""อุทัยธานี!L430"")"),36040)</f>
        <v>36040</v>
      </c>
      <c r="M535" s="173"/>
      <c r="N535" s="178">
        <f ca="1">IFERROR(__xludf.DUMMYFUNCTION("IMPORTRANGE(""https://docs.google.com/spreadsheets/d/11923uPwbBZFjjGgGUA6NLw09EwE0CqkOc4q9oUmW1yo/edit?usp=sharing"",""อุทัยธานี!M430"")"),30290)</f>
        <v>30290</v>
      </c>
      <c r="O535" s="178">
        <f t="shared" ca="1" si="118"/>
        <v>84.04550499445061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IFERROR(__xludf.DUMMYFUNCTION("IMPORTRANGE(""https://docs.google.com/spreadsheets/d/11923uPwbBZFjjGgGUA6NLw09EwE0CqkOc4q9oUmW1yo/edit?usp=sharing"",""อุทัยธานี!L431"")"),0)</f>
        <v>0</v>
      </c>
      <c r="M536" s="178"/>
      <c r="N536" s="178">
        <f ca="1">IFERROR(__xludf.DUMMYFUNCTION("IMPORTRANGE(""https://docs.google.com/spreadsheets/d/11923uPwbBZFjjGgGUA6NLw09EwE0CqkOc4q9oUmW1yo/edit?usp=sharing"",""อุทัยธานี!M431"")"),0)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IFERROR(__xludf.DUMMYFUNCTION("IMPORTRANGE(""https://docs.google.com/spreadsheets/d/11923uPwbBZFjjGgGUA6NLw09EwE0CqkOc4q9oUmW1yo/edit?usp=sharing"",""อุทัยธานี!L432"")"),36040)</f>
        <v>36040</v>
      </c>
      <c r="M537" s="178"/>
      <c r="N537" s="178">
        <f ca="1">IFERROR(__xludf.DUMMYFUNCTION("IMPORTRANGE(""https://docs.google.com/spreadsheets/d/11923uPwbBZFjjGgGUA6NLw09EwE0CqkOc4q9oUmW1yo/edit?usp=sharing"",""อุทัยธานี!M432"")"),30290)</f>
        <v>30290</v>
      </c>
      <c r="O537" s="178">
        <f t="shared" ca="1" si="118"/>
        <v>84.04550499445061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IFERROR(__xludf.DUMMYFUNCTION("IMPORTRANGE(""https://docs.google.com/spreadsheets/d/11923uPwbBZFjjGgGUA6NLw09EwE0CqkOc4q9oUmW1yo/edit?usp=sharing"",""อุทัยธานี!M433"")"),20440)</f>
        <v>20440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IFERROR(__xludf.DUMMYFUNCTION("IMPORTRANGE(""https://docs.google.com/spreadsheets/d/11923uPwbBZFjjGgGUA6NLw09EwE0CqkOc4q9oUmW1yo/edit?usp=sharing"",""อุทัยธานี!M434"")"),0)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IFERROR(__xludf.DUMMYFUNCTION("IMPORTRANGE(""https://docs.google.com/spreadsheets/d/11923uPwbBZFjjGgGUA6NLw09EwE0CqkOc4q9oUmW1yo/edit?usp=sharing"",""อุทัยธานี!M435"")"),0)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IFERROR(__xludf.DUMMYFUNCTION("IMPORTRANGE(""https://docs.google.com/spreadsheets/d/11923uPwbBZFjjGgGUA6NLw09EwE0CqkOc4q9oUmW1yo/edit?usp=sharing"",""อุทัยธานี!M436"")"),9850)</f>
        <v>9850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IFERROR(__xludf.DUMMYFUNCTION("IMPORTRANGE(""https://docs.google.com/spreadsheets/d/11923uPwbBZFjjGgGUA6NLw09EwE0CqkOc4q9oUmW1yo/edit?usp=sharing"",""อุทัยธานี!J438"")"),0)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IFERROR(__xludf.DUMMYFUNCTION("IMPORTRANGE(""https://docs.google.com/spreadsheets/d/11923uPwbBZFjjGgGUA6NLw09EwE0CqkOc4q9oUmW1yo/edit?usp=sharing"",""อุทัยธานี!J439"")"),1)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IFERROR(__xludf.DUMMYFUNCTION("IMPORTRANGE(""https://docs.google.com/spreadsheets/d/11923uPwbBZFjjGgGUA6NLw09EwE0CqkOc4q9oUmW1yo/edit?usp=sharing"",""อุทัยธานี!J440"")"),1)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IFERROR(__xludf.DUMMYFUNCTION("IMPORTRANGE(""https://docs.google.com/spreadsheets/d/11923uPwbBZFjjGgGUA6NLw09EwE0CqkOc4q9oUmW1yo/edit?usp=sharing"",""อุทัยธานี!J441"")"),1)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IFERROR(__xludf.DUMMYFUNCTION("IMPORTRANGE(""https://docs.google.com/spreadsheets/d/11923uPwbBZFjjGgGUA6NLw09EwE0CqkOc4q9oUmW1yo/edit?usp=sharing"",""อุทัยธานี!I442"")"),24)</f>
        <v>24</v>
      </c>
      <c r="J547" s="198">
        <f ca="1">IFERROR(__xludf.DUMMYFUNCTION("IMPORTRANGE(""https://docs.google.com/spreadsheets/d/11923uPwbBZFjjGgGUA6NLw09EwE0CqkOc4q9oUmW1yo/edit?usp=sharing"",""อุทัยธานี!J442"")"),24)</f>
        <v>24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IFERROR(__xludf.DUMMYFUNCTION("IMPORTRANGE(""https://docs.google.com/spreadsheets/d/11923uPwbBZFjjGgGUA6NLw09EwE0CqkOc4q9oUmW1yo/edit?usp=sharing"",""อุทัยธานี!J166"")"),0)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IFERROR(__xludf.DUMMYFUNCTION("IMPORTRANGE(""https://docs.google.com/spreadsheets/d/11923uPwbBZFjjGgGUA6NLw09EwE0CqkOc4q9oUmW1yo/edit?usp=sharing"",""อุทัยธานี!J444"")"),0)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IFERROR(__xludf.DUMMYFUNCTION("IMPORTRANGE(""https://docs.google.com/spreadsheets/d/11923uPwbBZFjjGgGUA6NLw09EwE0CqkOc4q9oUmW1yo/edit?usp=sharing"",""อุทัยธานี!J445"")"),0)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IFERROR(__xludf.DUMMYFUNCTION("IMPORTRANGE(""https://docs.google.com/spreadsheets/d/11923uPwbBZFjjGgGUA6NLw09EwE0CqkOc4q9oUmW1yo/edit?usp=sharing"",""อุทัยธานี!I446"")"),0)</f>
        <v>0</v>
      </c>
      <c r="J551" s="418">
        <f ca="1">IFERROR(__xludf.DUMMYFUNCTION("IMPORTRANGE(""https://docs.google.com/spreadsheets/d/11923uPwbBZFjjGgGUA6NLw09EwE0CqkOc4q9oUmW1yo/edit?usp=sharing"",""อุทัยธานี!J446"")"),0)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IFERROR(__xludf.DUMMYFUNCTION("IMPORTRANGE(""https://docs.google.com/spreadsheets/d/11923uPwbBZFjjGgGUA6NLw09EwE0CqkOc4q9oUmW1yo/edit?usp=sharing"",""อุทัยธานี!L446"")"),0)</f>
        <v>0</v>
      </c>
      <c r="M551" s="420"/>
      <c r="N551" s="420">
        <f ca="1">IFERROR(__xludf.DUMMYFUNCTION("IMPORTRANGE(""https://docs.google.com/spreadsheets/d/11923uPwbBZFjjGgGUA6NLw09EwE0CqkOc4q9oUmW1yo/edit?usp=sharing"",""อุทัยธานี!M446"")"),0)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IFERROR(__xludf.DUMMYFUNCTION("IMPORTRANGE(""https://docs.google.com/spreadsheets/d/11923uPwbBZFjjGgGUA6NLw09EwE0CqkOc4q9oUmW1yo/edit?usp=sharing"",""อุทัยธานี!L447"")"),0)</f>
        <v>0</v>
      </c>
      <c r="M552" s="172"/>
      <c r="N552" s="178">
        <f ca="1">IFERROR(__xludf.DUMMYFUNCTION("IMPORTRANGE(""https://docs.google.com/spreadsheets/d/11923uPwbBZFjjGgGUA6NLw09EwE0CqkOc4q9oUmW1yo/edit?usp=sharing"",""อุทัยธานี!M447"")"),0)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IFERROR(__xludf.DUMMYFUNCTION("IMPORTRANGE(""https://docs.google.com/spreadsheets/d/11923uPwbBZFjjGgGUA6NLw09EwE0CqkOc4q9oUmW1yo/edit?usp=sharing"",""อุทัยธานี!L448"")"),0)</f>
        <v>0</v>
      </c>
      <c r="M553" s="173"/>
      <c r="N553" s="178">
        <f ca="1">IFERROR(__xludf.DUMMYFUNCTION("IMPORTRANGE(""https://docs.google.com/spreadsheets/d/11923uPwbBZFjjGgGUA6NLw09EwE0CqkOc4q9oUmW1yo/edit?usp=sharing"",""อุทัยธานี!M448"")"),0)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IFERROR(__xludf.DUMMYFUNCTION("IMPORTRANGE(""https://docs.google.com/spreadsheets/d/11923uPwbBZFjjGgGUA6NLw09EwE0CqkOc4q9oUmW1yo/edit?usp=sharing"",""อุทัยธานี!L449"")"),0)</f>
        <v>0</v>
      </c>
      <c r="M554" s="178"/>
      <c r="N554" s="178">
        <f ca="1">IFERROR(__xludf.DUMMYFUNCTION("IMPORTRANGE(""https://docs.google.com/spreadsheets/d/11923uPwbBZFjjGgGUA6NLw09EwE0CqkOc4q9oUmW1yo/edit?usp=sharing"",""อุทัยธานี!M449"")"),0)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IFERROR(__xludf.DUMMYFUNCTION("IMPORTRANGE(""https://docs.google.com/spreadsheets/d/11923uPwbBZFjjGgGUA6NLw09EwE0CqkOc4q9oUmW1yo/edit?usp=sharing"",""อุทัยธานี!L450"")"),0)</f>
        <v>0</v>
      </c>
      <c r="M555" s="178"/>
      <c r="N555" s="178">
        <f ca="1">IFERROR(__xludf.DUMMYFUNCTION("IMPORTRANGE(""https://docs.google.com/spreadsheets/d/11923uPwbBZFjjGgGUA6NLw09EwE0CqkOc4q9oUmW1yo/edit?usp=sharing"",""อุทัยธานี!M450"")"),0)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IFERROR(__xludf.DUMMYFUNCTION("IMPORTRANGE(""https://docs.google.com/spreadsheets/d/11923uPwbBZFjjGgGUA6NLw09EwE0CqkOc4q9oUmW1yo/edit?usp=sharing"",""อุทัยธานี!M451"")"),0)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IFERROR(__xludf.DUMMYFUNCTION("IMPORTRANGE(""https://docs.google.com/spreadsheets/d/11923uPwbBZFjjGgGUA6NLw09EwE0CqkOc4q9oUmW1yo/edit?usp=sharing"",""อุทัยธานี!M452"")"),0)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IFERROR(__xludf.DUMMYFUNCTION("IMPORTRANGE(""https://docs.google.com/spreadsheets/d/11923uPwbBZFjjGgGUA6NLw09EwE0CqkOc4q9oUmW1yo/edit?usp=sharing"",""อุทัยธานี!M453"")"),0)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IFERROR(__xludf.DUMMYFUNCTION("IMPORTRANGE(""https://docs.google.com/spreadsheets/d/11923uPwbBZFjjGgGUA6NLw09EwE0CqkOc4q9oUmW1yo/edit?usp=sharing"",""อุทัยธานี!M454"")"),0)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IFERROR(__xludf.DUMMYFUNCTION("IMPORTRANGE(""https://docs.google.com/spreadsheets/d/11923uPwbBZFjjGgGUA6NLw09EwE0CqkOc4q9oUmW1yo/edit?usp=sharing"",""อุทัยธานี!I455"")"),0)</f>
        <v>0</v>
      </c>
      <c r="J560" s="170">
        <f ca="1">IFERROR(__xludf.DUMMYFUNCTION("IMPORTRANGE(""https://docs.google.com/spreadsheets/d/11923uPwbBZFjjGgGUA6NLw09EwE0CqkOc4q9oUmW1yo/edit?usp=sharing"",""อุทัยธานี!J455"")"),0)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IFERROR(__xludf.DUMMYFUNCTION("IMPORTRANGE(""https://docs.google.com/spreadsheets/d/11923uPwbBZFjjGgGUA6NLw09EwE0CqkOc4q9oUmW1yo/edit?usp=sharing"",""อุทัยธานี!I456"")"),0)</f>
        <v>0</v>
      </c>
      <c r="J561" s="213">
        <f ca="1">IFERROR(__xludf.DUMMYFUNCTION("IMPORTRANGE(""https://docs.google.com/spreadsheets/d/11923uPwbBZFjjGgGUA6NLw09EwE0CqkOc4q9oUmW1yo/edit?usp=sharing"",""อุทัยธานี!J456"")"),0)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IFERROR(__xludf.DUMMYFUNCTION("IMPORTRANGE(""https://docs.google.com/spreadsheets/d/11923uPwbBZFjjGgGUA6NLw09EwE0CqkOc4q9oUmW1yo/edit?usp=sharing"",""อุทัยธานี!I457"")"),"")</f>
        <v/>
      </c>
      <c r="J562" s="213" t="str">
        <f ca="1">IFERROR(__xludf.DUMMYFUNCTION("IMPORTRANGE(""https://docs.google.com/spreadsheets/d/11923uPwbBZFjjGgGUA6NLw09EwE0CqkOc4q9oUmW1yo/edit?usp=sharing"",""อุทัยธานี!J457"")"),"")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IFERROR(__xludf.DUMMYFUNCTION("IMPORTRANGE(""https://docs.google.com/spreadsheets/d/11923uPwbBZFjjGgGUA6NLw09EwE0CqkOc4q9oUmW1yo/edit?usp=sharing"",""อุทัยธานี!I458"")"),"")</f>
        <v/>
      </c>
      <c r="J563" s="197" t="str">
        <f ca="1">IFERROR(__xludf.DUMMYFUNCTION("IMPORTRANGE(""https://docs.google.com/spreadsheets/d/11923uPwbBZFjjGgGUA6NLw09EwE0CqkOc4q9oUmW1yo/edit?usp=sharing"",""อุทัยธานี!J458"")"),"")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IFERROR(__xludf.DUMMYFUNCTION("IMPORTRANGE(""https://docs.google.com/spreadsheets/d/11923uPwbBZFjjGgGUA6NLw09EwE0CqkOc4q9oUmW1yo/edit?usp=sharing"",""อุทัยธานี!I459"")"),1550)</f>
        <v>1550</v>
      </c>
      <c r="J564" s="379">
        <f ca="1">IFERROR(__xludf.DUMMYFUNCTION("IMPORTRANGE(""https://docs.google.com/spreadsheets/d/11923uPwbBZFjjGgGUA6NLw09EwE0CqkOc4q9oUmW1yo/edit?usp=sharing"",""อุทัยธานี!J459"")"),975)</f>
        <v>975</v>
      </c>
      <c r="K564" s="380">
        <f t="shared" ca="1" si="121"/>
        <v>62.903225806451616</v>
      </c>
      <c r="L564" s="381">
        <f ca="1">IFERROR(__xludf.DUMMYFUNCTION("IMPORTRANGE(""https://docs.google.com/spreadsheets/d/11923uPwbBZFjjGgGUA6NLw09EwE0CqkOc4q9oUmW1yo/edit?usp=sharing"",""อุทัยธานี!L459"")"),136880)</f>
        <v>136880</v>
      </c>
      <c r="M564" s="381"/>
      <c r="N564" s="381">
        <f ca="1">IFERROR(__xludf.DUMMYFUNCTION("IMPORTRANGE(""https://docs.google.com/spreadsheets/d/11923uPwbBZFjjGgGUA6NLw09EwE0CqkOc4q9oUmW1yo/edit?usp=sharing"",""อุทัยธานี!M459"")"),31735.33)</f>
        <v>31735.33</v>
      </c>
      <c r="O564" s="381">
        <f t="shared" ref="O564:O568" ca="1" si="122">+IF(L564&gt;0,N564*100/L564,0)</f>
        <v>23.184782291057861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IFERROR(__xludf.DUMMYFUNCTION("IMPORTRANGE(""https://docs.google.com/spreadsheets/d/11923uPwbBZFjjGgGUA6NLw09EwE0CqkOc4q9oUmW1yo/edit?usp=sharing"",""อุทัยธานี!L460"")"),0)</f>
        <v>0</v>
      </c>
      <c r="M565" s="172"/>
      <c r="N565" s="178">
        <f ca="1">IFERROR(__xludf.DUMMYFUNCTION("IMPORTRANGE(""https://docs.google.com/spreadsheets/d/11923uPwbBZFjjGgGUA6NLw09EwE0CqkOc4q9oUmW1yo/edit?usp=sharing"",""อุทัยธานี!M460"")"),0)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IFERROR(__xludf.DUMMYFUNCTION("IMPORTRANGE(""https://docs.google.com/spreadsheets/d/11923uPwbBZFjjGgGUA6NLw09EwE0CqkOc4q9oUmW1yo/edit?usp=sharing"",""อุทัยธานี!L461"")"),136880)</f>
        <v>136880</v>
      </c>
      <c r="M566" s="173"/>
      <c r="N566" s="178">
        <f ca="1">IFERROR(__xludf.DUMMYFUNCTION("IMPORTRANGE(""https://docs.google.com/spreadsheets/d/11923uPwbBZFjjGgGUA6NLw09EwE0CqkOc4q9oUmW1yo/edit?usp=sharing"",""อุทัยธานี!M461"")"),31735.33)</f>
        <v>31735.33</v>
      </c>
      <c r="O566" s="178">
        <f t="shared" ca="1" si="122"/>
        <v>23.184782291057861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IFERROR(__xludf.DUMMYFUNCTION("IMPORTRANGE(""https://docs.google.com/spreadsheets/d/11923uPwbBZFjjGgGUA6NLw09EwE0CqkOc4q9oUmW1yo/edit?usp=sharing"",""อุทัยธานี!L462"")"),0)</f>
        <v>0</v>
      </c>
      <c r="M567" s="178"/>
      <c r="N567" s="178">
        <f ca="1">IFERROR(__xludf.DUMMYFUNCTION("IMPORTRANGE(""https://docs.google.com/spreadsheets/d/11923uPwbBZFjjGgGUA6NLw09EwE0CqkOc4q9oUmW1yo/edit?usp=sharing"",""อุทัยธานี!M462"")"),0)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IFERROR(__xludf.DUMMYFUNCTION("IMPORTRANGE(""https://docs.google.com/spreadsheets/d/11923uPwbBZFjjGgGUA6NLw09EwE0CqkOc4q9oUmW1yo/edit?usp=sharing"",""อุทัยธานี!L463"")"),136880)</f>
        <v>136880</v>
      </c>
      <c r="M568" s="178"/>
      <c r="N568" s="178">
        <f ca="1">IFERROR(__xludf.DUMMYFUNCTION("IMPORTRANGE(""https://docs.google.com/spreadsheets/d/11923uPwbBZFjjGgGUA6NLw09EwE0CqkOc4q9oUmW1yo/edit?usp=sharing"",""อุทัยธานี!M463"")"),31735.33)</f>
        <v>31735.33</v>
      </c>
      <c r="O568" s="178">
        <f t="shared" ca="1" si="122"/>
        <v>23.184782291057861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IFERROR(__xludf.DUMMYFUNCTION("IMPORTRANGE(""https://docs.google.com/spreadsheets/d/11923uPwbBZFjjGgGUA6NLw09EwE0CqkOc4q9oUmW1yo/edit?usp=sharing"",""อุทัยธานี!M464"")"),0)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IFERROR(__xludf.DUMMYFUNCTION("IMPORTRANGE(""https://docs.google.com/spreadsheets/d/11923uPwbBZFjjGgGUA6NLw09EwE0CqkOc4q9oUmW1yo/edit?usp=sharing"",""อุทัยธานี!M465"")"),0)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IFERROR(__xludf.DUMMYFUNCTION("IMPORTRANGE(""https://docs.google.com/spreadsheets/d/11923uPwbBZFjjGgGUA6NLw09EwE0CqkOc4q9oUmW1yo/edit?usp=sharing"",""อุทัยธานี!M466"")"),19122.33)</f>
        <v>19122.330000000002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IFERROR(__xludf.DUMMYFUNCTION("IMPORTRANGE(""https://docs.google.com/spreadsheets/d/11923uPwbBZFjjGgGUA6NLw09EwE0CqkOc4q9oUmW1yo/edit?usp=sharing"",""อุทัยธานี!M467"")"),12613)</f>
        <v>12613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IFERROR(__xludf.DUMMYFUNCTION("IMPORTRANGE(""https://docs.google.com/spreadsheets/d/11923uPwbBZFjjGgGUA6NLw09EwE0CqkOc4q9oUmW1yo/edit?usp=sharing"",""อุทัยธานี!I468"")"),1550)</f>
        <v>1550</v>
      </c>
      <c r="J573" s="428">
        <f ca="1">IFERROR(__xludf.DUMMYFUNCTION("IMPORTRANGE(""https://docs.google.com/spreadsheets/d/11923uPwbBZFjjGgGUA6NLw09EwE0CqkOc4q9oUmW1yo/edit?usp=sharing"",""อุทัยธานี!J468"")"),975)</f>
        <v>975</v>
      </c>
      <c r="K573" s="211">
        <f ca="1">IF(I573&gt;0,J573*100/I573,0)</f>
        <v>62.903225806451616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IFERROR(__xludf.DUMMYFUNCTION("IMPORTRANGE(""https://docs.google.com/spreadsheets/d/11923uPwbBZFjjGgGUA6NLw09EwE0CqkOc4q9oUmW1yo/edit?usp=sharing"",""อุทัยธานี!I470"")"),0)</f>
        <v>0</v>
      </c>
      <c r="J575" s="207">
        <f ca="1">IFERROR(__xludf.DUMMYFUNCTION("IMPORTRANGE(""https://docs.google.com/spreadsheets/d/11923uPwbBZFjjGgGUA6NLw09EwE0CqkOc4q9oUmW1yo/edit?usp=sharing"",""อุทัยธานี!J470"")"),4)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IFERROR(__xludf.DUMMYFUNCTION("IMPORTRANGE(""https://docs.google.com/spreadsheets/d/11923uPwbBZFjjGgGUA6NLw09EwE0CqkOc4q9oUmW1yo/edit?usp=sharing"",""อุทัยธานี!I471"")"),0)</f>
        <v>0</v>
      </c>
      <c r="J576" s="207">
        <f ca="1">IFERROR(__xludf.DUMMYFUNCTION("IMPORTRANGE(""https://docs.google.com/spreadsheets/d/11923uPwbBZFjjGgGUA6NLw09EwE0CqkOc4q9oUmW1yo/edit?usp=sharing"",""อุทัยธานี!J471"")"),225)</f>
        <v>225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IFERROR(__xludf.DUMMYFUNCTION("IMPORTRANGE(""https://docs.google.com/spreadsheets/d/11923uPwbBZFjjGgGUA6NLw09EwE0CqkOc4q9oUmW1yo/edit?usp=sharing"",""อุทัยธานี!I472"")"),0)</f>
        <v>0</v>
      </c>
      <c r="J577" s="198">
        <f ca="1">IFERROR(__xludf.DUMMYFUNCTION("IMPORTRANGE(""https://docs.google.com/spreadsheets/d/11923uPwbBZFjjGgGUA6NLw09EwE0CqkOc4q9oUmW1yo/edit?usp=sharing"",""อุทัยธานี!J472"")"),750)</f>
        <v>750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IFERROR(__xludf.DUMMYFUNCTION("IMPORTRANGE(""https://docs.google.com/spreadsheets/d/11923uPwbBZFjjGgGUA6NLw09EwE0CqkOc4q9oUmW1yo/edit?usp=sharing"",""อุทัยธานี!I473"")"),0)</f>
        <v>0</v>
      </c>
      <c r="J578" s="207">
        <f ca="1">IFERROR(__xludf.DUMMYFUNCTION("IMPORTRANGE(""https://docs.google.com/spreadsheets/d/11923uPwbBZFjjGgGUA6NLw09EwE0CqkOc4q9oUmW1yo/edit?usp=sharing"",""อุทัยธานี!J473"")"),0)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IFERROR(__xludf.DUMMYFUNCTION("IMPORTRANGE(""https://docs.google.com/spreadsheets/d/11923uPwbBZFjjGgGUA6NLw09EwE0CqkOc4q9oUmW1yo/edit?usp=sharing"",""อุทัยธานี!I474"")"),0)</f>
        <v>0</v>
      </c>
      <c r="J579" s="207">
        <f ca="1">IFERROR(__xludf.DUMMYFUNCTION("IMPORTRANGE(""https://docs.google.com/spreadsheets/d/11923uPwbBZFjjGgGUA6NLw09EwE0CqkOc4q9oUmW1yo/edit?usp=sharing"",""อุทัยธานี!J474"")"),0)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IFERROR(__xludf.DUMMYFUNCTION("IMPORTRANGE(""https://docs.google.com/spreadsheets/d/11923uPwbBZFjjGgGUA6NLw09EwE0CqkOc4q9oUmW1yo/edit?usp=sharing"",""อุทัยธานี!I475"")"),7)</f>
        <v>7</v>
      </c>
      <c r="J580" s="379">
        <f ca="1">IFERROR(__xludf.DUMMYFUNCTION("IMPORTRANGE(""https://docs.google.com/spreadsheets/d/11923uPwbBZFjjGgGUA6NLw09EwE0CqkOc4q9oUmW1yo/edit?usp=sharing"",""อุทัยธานี!J475"")"),2)</f>
        <v>2</v>
      </c>
      <c r="K580" s="380">
        <f ca="1">IF(I580&gt;0,J580*100/I580,0)</f>
        <v>28.571428571428573</v>
      </c>
      <c r="L580" s="381">
        <f ca="1">IFERROR(__xludf.DUMMYFUNCTION("IMPORTRANGE(""https://docs.google.com/spreadsheets/d/11923uPwbBZFjjGgGUA6NLw09EwE0CqkOc4q9oUmW1yo/edit?usp=sharing"",""อุทัยธานี!L475"")"),111857)</f>
        <v>111857</v>
      </c>
      <c r="M580" s="381"/>
      <c r="N580" s="381">
        <f ca="1">IFERROR(__xludf.DUMMYFUNCTION("IMPORTRANGE(""https://docs.google.com/spreadsheets/d/11923uPwbBZFjjGgGUA6NLw09EwE0CqkOc4q9oUmW1yo/edit?usp=sharing"",""อุทัยธานี!M475"")"),3350)</f>
        <v>3350</v>
      </c>
      <c r="O580" s="381">
        <f t="shared" ref="O580:O584" ca="1" si="124">+IF(L580&gt;0,N580*100/L580,0)</f>
        <v>2.9948952680654766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IFERROR(__xludf.DUMMYFUNCTION("IMPORTRANGE(""https://docs.google.com/spreadsheets/d/11923uPwbBZFjjGgGUA6NLw09EwE0CqkOc4q9oUmW1yo/edit?usp=sharing"",""อุทัยธานี!L476"")"),0)</f>
        <v>0</v>
      </c>
      <c r="M581" s="172"/>
      <c r="N581" s="178">
        <f ca="1">IFERROR(__xludf.DUMMYFUNCTION("IMPORTRANGE(""https://docs.google.com/spreadsheets/d/11923uPwbBZFjjGgGUA6NLw09EwE0CqkOc4q9oUmW1yo/edit?usp=sharing"",""อุทัยธานี!M476"")"),0)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IFERROR(__xludf.DUMMYFUNCTION("IMPORTRANGE(""https://docs.google.com/spreadsheets/d/11923uPwbBZFjjGgGUA6NLw09EwE0CqkOc4q9oUmW1yo/edit?usp=sharing"",""อุทัยธานี!L477"")"),111857)</f>
        <v>111857</v>
      </c>
      <c r="M582" s="173"/>
      <c r="N582" s="178">
        <f ca="1">IFERROR(__xludf.DUMMYFUNCTION("IMPORTRANGE(""https://docs.google.com/spreadsheets/d/11923uPwbBZFjjGgGUA6NLw09EwE0CqkOc4q9oUmW1yo/edit?usp=sharing"",""อุทัยธานี!M477"")"),3350)</f>
        <v>3350</v>
      </c>
      <c r="O582" s="178">
        <f t="shared" ca="1" si="124"/>
        <v>2.9948952680654766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IFERROR(__xludf.DUMMYFUNCTION("IMPORTRANGE(""https://docs.google.com/spreadsheets/d/11923uPwbBZFjjGgGUA6NLw09EwE0CqkOc4q9oUmW1yo/edit?usp=sharing"",""อุทัยธานี!L478"")"),0)</f>
        <v>0</v>
      </c>
      <c r="M583" s="178"/>
      <c r="N583" s="178">
        <f ca="1">IFERROR(__xludf.DUMMYFUNCTION("IMPORTRANGE(""https://docs.google.com/spreadsheets/d/11923uPwbBZFjjGgGUA6NLw09EwE0CqkOc4q9oUmW1yo/edit?usp=sharing"",""อุทัยธานี!M478"")"),0)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IFERROR(__xludf.DUMMYFUNCTION("IMPORTRANGE(""https://docs.google.com/spreadsheets/d/11923uPwbBZFjjGgGUA6NLw09EwE0CqkOc4q9oUmW1yo/edit?usp=sharing"",""อุทัยธานี!L479"")"),111857)</f>
        <v>111857</v>
      </c>
      <c r="M584" s="178"/>
      <c r="N584" s="178">
        <f ca="1">IFERROR(__xludf.DUMMYFUNCTION("IMPORTRANGE(""https://docs.google.com/spreadsheets/d/11923uPwbBZFjjGgGUA6NLw09EwE0CqkOc4q9oUmW1yo/edit?usp=sharing"",""อุทัยธานี!M479"")"),3350)</f>
        <v>3350</v>
      </c>
      <c r="O584" s="178">
        <f t="shared" ca="1" si="124"/>
        <v>2.9948952680654766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IFERROR(__xludf.DUMMYFUNCTION("IMPORTRANGE(""https://docs.google.com/spreadsheets/d/11923uPwbBZFjjGgGUA6NLw09EwE0CqkOc4q9oUmW1yo/edit?usp=sharing"",""อุทัยธานี!M480"")"),0)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IFERROR(__xludf.DUMMYFUNCTION("IMPORTRANGE(""https://docs.google.com/spreadsheets/d/11923uPwbBZFjjGgGUA6NLw09EwE0CqkOc4q9oUmW1yo/edit?usp=sharing"",""อุทัยธานี!M481"")"),0)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IFERROR(__xludf.DUMMYFUNCTION("IMPORTRANGE(""https://docs.google.com/spreadsheets/d/11923uPwbBZFjjGgGUA6NLw09EwE0CqkOc4q9oUmW1yo/edit?usp=sharing"",""อุทัยธานี!M482"")"),0)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IFERROR(__xludf.DUMMYFUNCTION("IMPORTRANGE(""https://docs.google.com/spreadsheets/d/11923uPwbBZFjjGgGUA6NLw09EwE0CqkOc4q9oUmW1yo/edit?usp=sharing"",""อุทัยธานี!M483"")"),3350)</f>
        <v>3350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IFERROR(__xludf.DUMMYFUNCTION("IMPORTRANGE(""https://docs.google.com/spreadsheets/d/11923uPwbBZFjjGgGUA6NLw09EwE0CqkOc4q9oUmW1yo/edit?usp=sharing"",""อุทัยธานี!I484"")"),7)</f>
        <v>7</v>
      </c>
      <c r="J589" s="197">
        <f ca="1">IFERROR(__xludf.DUMMYFUNCTION("IMPORTRANGE(""https://docs.google.com/spreadsheets/d/11923uPwbBZFjjGgGUA6NLw09EwE0CqkOc4q9oUmW1yo/edit?usp=sharing"",""อุทัยธานี!J484"")"),2)</f>
        <v>2</v>
      </c>
      <c r="K589" s="171">
        <f t="shared" ref="K589:K596" ca="1" si="125">IF(I589&gt;0,J589*100/I589,0)</f>
        <v>28.571428571428573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IFERROR(__xludf.DUMMYFUNCTION("IMPORTRANGE(""https://docs.google.com/spreadsheets/d/11923uPwbBZFjjGgGUA6NLw09EwE0CqkOc4q9oUmW1yo/edit?usp=sharing"",""อุทัยธานี!I485"")"),0)</f>
        <v>0</v>
      </c>
      <c r="J590" s="197">
        <f ca="1">IFERROR(__xludf.DUMMYFUNCTION("IMPORTRANGE(""https://docs.google.com/spreadsheets/d/11923uPwbBZFjjGgGUA6NLw09EwE0CqkOc4q9oUmW1yo/edit?usp=sharing"",""อุทัยธานี!J485"")"),1.09)</f>
        <v>1.0900000000000001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IFERROR(__xludf.DUMMYFUNCTION("IMPORTRANGE(""https://docs.google.com/spreadsheets/d/11923uPwbBZFjjGgGUA6NLw09EwE0CqkOc4q9oUmW1yo/edit?usp=sharing"",""อุทัยธานี!I486"")"),7)</f>
        <v>7</v>
      </c>
      <c r="J591" s="197">
        <f ca="1">IFERROR(__xludf.DUMMYFUNCTION("IMPORTRANGE(""https://docs.google.com/spreadsheets/d/11923uPwbBZFjjGgGUA6NLw09EwE0CqkOc4q9oUmW1yo/edit?usp=sharing"",""อุทัยธานี!J486"")"),2)</f>
        <v>2</v>
      </c>
      <c r="K591" s="171">
        <f t="shared" ca="1" si="125"/>
        <v>28.571428571428573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IFERROR(__xludf.DUMMYFUNCTION("IMPORTRANGE(""https://docs.google.com/spreadsheets/d/11923uPwbBZFjjGgGUA6NLw09EwE0CqkOc4q9oUmW1yo/edit?usp=sharing"",""อุทัยธานี!I487"")"),0)</f>
        <v>0</v>
      </c>
      <c r="J592" s="197">
        <f ca="1">IFERROR(__xludf.DUMMYFUNCTION("IMPORTRANGE(""https://docs.google.com/spreadsheets/d/11923uPwbBZFjjGgGUA6NLw09EwE0CqkOc4q9oUmW1yo/edit?usp=sharing"",""อุทัยธานี!J487"")"),1.26)</f>
        <v>1.26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IFERROR(__xludf.DUMMYFUNCTION("IMPORTRANGE(""https://docs.google.com/spreadsheets/d/11923uPwbBZFjjGgGUA6NLw09EwE0CqkOc4q9oUmW1yo/edit?usp=sharing"",""อุทัยธานี!I488"")"),7)</f>
        <v>7</v>
      </c>
      <c r="J593" s="197">
        <f ca="1">IFERROR(__xludf.DUMMYFUNCTION("IMPORTRANGE(""https://docs.google.com/spreadsheets/d/11923uPwbBZFjjGgGUA6NLw09EwE0CqkOc4q9oUmW1yo/edit?usp=sharing"",""อุทัยธานี!J488"")"),0)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IFERROR(__xludf.DUMMYFUNCTION("IMPORTRANGE(""https://docs.google.com/spreadsheets/d/11923uPwbBZFjjGgGUA6NLw09EwE0CqkOc4q9oUmW1yo/edit?usp=sharing"",""อุทัยธานี!I489"")"),0)</f>
        <v>0</v>
      </c>
      <c r="J594" s="197">
        <f ca="1">IFERROR(__xludf.DUMMYFUNCTION("IMPORTRANGE(""https://docs.google.com/spreadsheets/d/11923uPwbBZFjjGgGUA6NLw09EwE0CqkOc4q9oUmW1yo/edit?usp=sharing"",""อุทัยธานี!J489"")"),0)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IFERROR(__xludf.DUMMYFUNCTION("IMPORTRANGE(""https://docs.google.com/spreadsheets/d/11923uPwbBZFjjGgGUA6NLw09EwE0CqkOc4q9oUmW1yo/edit?usp=sharing"",""อุทัยธานี!I490"")"),7)</f>
        <v>7</v>
      </c>
      <c r="J595" s="197">
        <f ca="1">IFERROR(__xludf.DUMMYFUNCTION("IMPORTRANGE(""https://docs.google.com/spreadsheets/d/11923uPwbBZFjjGgGUA6NLw09EwE0CqkOc4q9oUmW1yo/edit?usp=sharing"",""อุทัยธานี!J490"")"),2)</f>
        <v>2</v>
      </c>
      <c r="K595" s="171">
        <f t="shared" ca="1" si="125"/>
        <v>28.571428571428573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IFERROR(__xludf.DUMMYFUNCTION("IMPORTRANGE(""https://docs.google.com/spreadsheets/d/11923uPwbBZFjjGgGUA6NLw09EwE0CqkOc4q9oUmW1yo/edit?usp=sharing"",""อุทัยธานี!I491"")"),0)</f>
        <v>0</v>
      </c>
      <c r="J596" s="250">
        <f ca="1">IFERROR(__xludf.DUMMYFUNCTION("IMPORTRANGE(""https://docs.google.com/spreadsheets/d/11923uPwbBZFjjGgGUA6NLw09EwE0CqkOc4q9oUmW1yo/edit?usp=sharing"",""อุทัยธานี!J491"")"),1.26)</f>
        <v>1.26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IFERROR(__xludf.DUMMYFUNCTION("IMPORTRANGE(""https://docs.google.com/spreadsheets/d/11923uPwbBZFjjGgGUA6NLw09EwE0CqkOc4q9oUmW1yo/edit?usp=sharing"",""อุทัยธานี!I492"")"),50)</f>
        <v>50</v>
      </c>
      <c r="J597" s="495">
        <f ca="1">IFERROR(__xludf.DUMMYFUNCTION("IMPORTRANGE(""https://docs.google.com/spreadsheets/d/11923uPwbBZFjjGgGUA6NLw09EwE0CqkOc4q9oUmW1yo/edit?usp=sharing"",""อุทัยธานี!J492"")"),0)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IFERROR(__xludf.DUMMYFUNCTION("IMPORTRANGE(""https://docs.google.com/spreadsheets/d/11923uPwbBZFjjGgGUA6NLw09EwE0CqkOc4q9oUmW1yo/edit?usp=sharing"",""อุทัยธานี!L492"")"),8550)</f>
        <v>8550</v>
      </c>
      <c r="M597" s="420"/>
      <c r="N597" s="420">
        <f ca="1">IFERROR(__xludf.DUMMYFUNCTION("IMPORTRANGE(""https://docs.google.com/spreadsheets/d/11923uPwbBZFjjGgGUA6NLw09EwE0CqkOc4q9oUmW1yo/edit?usp=sharing"",""อุทัยธานี!M492"")"),5800)</f>
        <v>5800</v>
      </c>
      <c r="O597" s="420">
        <f t="shared" ref="O597:O601" ca="1" si="126">+IF(L597&gt;0,N597*100/L597,0)</f>
        <v>67.836257309941516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IFERROR(__xludf.DUMMYFUNCTION("IMPORTRANGE(""https://docs.google.com/spreadsheets/d/11923uPwbBZFjjGgGUA6NLw09EwE0CqkOc4q9oUmW1yo/edit?usp=sharing"",""อุทัยธานี!L493"")"),0)</f>
        <v>0</v>
      </c>
      <c r="M598" s="172"/>
      <c r="N598" s="178">
        <f ca="1">IFERROR(__xludf.DUMMYFUNCTION("IMPORTRANGE(""https://docs.google.com/spreadsheets/d/11923uPwbBZFjjGgGUA6NLw09EwE0CqkOc4q9oUmW1yo/edit?usp=sharing"",""อุทัยธานี!M493"")"),0)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IFERROR(__xludf.DUMMYFUNCTION("IMPORTRANGE(""https://docs.google.com/spreadsheets/d/11923uPwbBZFjjGgGUA6NLw09EwE0CqkOc4q9oUmW1yo/edit?usp=sharing"",""อุทัยธานี!L494"")"),8550)</f>
        <v>8550</v>
      </c>
      <c r="M599" s="173"/>
      <c r="N599" s="178">
        <f ca="1">IFERROR(__xludf.DUMMYFUNCTION("IMPORTRANGE(""https://docs.google.com/spreadsheets/d/11923uPwbBZFjjGgGUA6NLw09EwE0CqkOc4q9oUmW1yo/edit?usp=sharing"",""อุทัยธานี!M494"")"),5800)</f>
        <v>5800</v>
      </c>
      <c r="O599" s="178">
        <f t="shared" ca="1" si="126"/>
        <v>67.836257309941516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IFERROR(__xludf.DUMMYFUNCTION("IMPORTRANGE(""https://docs.google.com/spreadsheets/d/11923uPwbBZFjjGgGUA6NLw09EwE0CqkOc4q9oUmW1yo/edit?usp=sharing"",""อุทัยธานี!L495"")"),0)</f>
        <v>0</v>
      </c>
      <c r="M600" s="178"/>
      <c r="N600" s="178">
        <f ca="1">IFERROR(__xludf.DUMMYFUNCTION("IMPORTRANGE(""https://docs.google.com/spreadsheets/d/11923uPwbBZFjjGgGUA6NLw09EwE0CqkOc4q9oUmW1yo/edit?usp=sharing"",""อุทัยธานี!M495"")"),0)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IFERROR(__xludf.DUMMYFUNCTION("IMPORTRANGE(""https://docs.google.com/spreadsheets/d/11923uPwbBZFjjGgGUA6NLw09EwE0CqkOc4q9oUmW1yo/edit?usp=sharing"",""อุทัยธานี!L496"")"),8550)</f>
        <v>8550</v>
      </c>
      <c r="M601" s="178"/>
      <c r="N601" s="178">
        <f ca="1">IFERROR(__xludf.DUMMYFUNCTION("IMPORTRANGE(""https://docs.google.com/spreadsheets/d/11923uPwbBZFjjGgGUA6NLw09EwE0CqkOc4q9oUmW1yo/edit?usp=sharing"",""อุทัยธานี!M496"")"),5800)</f>
        <v>5800</v>
      </c>
      <c r="O601" s="178">
        <f t="shared" ca="1" si="126"/>
        <v>67.836257309941516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IFERROR(__xludf.DUMMYFUNCTION("IMPORTRANGE(""https://docs.google.com/spreadsheets/d/11923uPwbBZFjjGgGUA6NLw09EwE0CqkOc4q9oUmW1yo/edit?usp=sharing"",""อุทัยธานี!M497"")"),0)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IFERROR(__xludf.DUMMYFUNCTION("IMPORTRANGE(""https://docs.google.com/spreadsheets/d/11923uPwbBZFjjGgGUA6NLw09EwE0CqkOc4q9oUmW1yo/edit?usp=sharing"",""อุทัยธานี!M498"")"),0)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IFERROR(__xludf.DUMMYFUNCTION("IMPORTRANGE(""https://docs.google.com/spreadsheets/d/11923uPwbBZFjjGgGUA6NLw09EwE0CqkOc4q9oUmW1yo/edit?usp=sharing"",""อุทัยธานี!M499"")"),0)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IFERROR(__xludf.DUMMYFUNCTION("IMPORTRANGE(""https://docs.google.com/spreadsheets/d/11923uPwbBZFjjGgGUA6NLw09EwE0CqkOc4q9oUmW1yo/edit?usp=sharing"",""อุทัยธานี!M500"")"),5800)</f>
        <v>5800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IFERROR(__xludf.DUMMYFUNCTION("IMPORTRANGE(""https://docs.google.com/spreadsheets/d/11923uPwbBZFjjGgGUA6NLw09EwE0CqkOc4q9oUmW1yo/edit?usp=sharing"",""อุทัยธานี!J502"")"),0)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IFERROR(__xludf.DUMMYFUNCTION("IMPORTRANGE(""https://docs.google.com/spreadsheets/d/11923uPwbBZFjjGgGUA6NLw09EwE0CqkOc4q9oUmW1yo/edit?usp=sharing"",""อุทัยธานี!J503"")"),1)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IFERROR(__xludf.DUMMYFUNCTION("IMPORTRANGE(""https://docs.google.com/spreadsheets/d/11923uPwbBZFjjGgGUA6NLw09EwE0CqkOc4q9oUmW1yo/edit?usp=sharing"",""อุทัยธานี!J166"")"),0)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IFERROR(__xludf.DUMMYFUNCTION("IMPORTRANGE(""https://docs.google.com/spreadsheets/d/11923uPwbBZFjjGgGUA6NLw09EwE0CqkOc4q9oUmW1yo/edit?usp=sharing"",""อุทัยธานี!J166"")"),0)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IFERROR(__xludf.DUMMYFUNCTION("IMPORTRANGE(""https://docs.google.com/spreadsheets/d/11923uPwbBZFjjGgGUA6NLw09EwE0CqkOc4q9oUmW1yo/edit?usp=sharing"",""อุทัยธานี!I506"")"),50)</f>
        <v>50</v>
      </c>
      <c r="J611" s="170">
        <f ca="1">IFERROR(__xludf.DUMMYFUNCTION("IMPORTRANGE(""https://docs.google.com/spreadsheets/d/11923uPwbBZFjjGgGUA6NLw09EwE0CqkOc4q9oUmW1yo/edit?usp=sharing"",""อุทัยธานี!J506"")"),0)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IFERROR(__xludf.DUMMYFUNCTION("IMPORTRANGE(""https://docs.google.com/spreadsheets/d/11923uPwbBZFjjGgGUA6NLw09EwE0CqkOc4q9oUmW1yo/edit?usp=sharing"",""อุทัยธานี!I507"")"),0)</f>
        <v>0</v>
      </c>
      <c r="J612" s="207">
        <f ca="1">IFERROR(__xludf.DUMMYFUNCTION("IMPORTRANGE(""https://docs.google.com/spreadsheets/d/11923uPwbBZFjjGgGUA6NLw09EwE0CqkOc4q9oUmW1yo/edit?usp=sharing"",""อุทัยธานี!J507"")"),0)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IFERROR(__xludf.DUMMYFUNCTION("IMPORTRANGE(""https://docs.google.com/spreadsheets/d/11923uPwbBZFjjGgGUA6NLw09EwE0CqkOc4q9oUmW1yo/edit?usp=sharing"",""อุทัยธานี!I508"")"),0)</f>
        <v>0</v>
      </c>
      <c r="J613" s="207">
        <f ca="1">IFERROR(__xludf.DUMMYFUNCTION("IMPORTRANGE(""https://docs.google.com/spreadsheets/d/11923uPwbBZFjjGgGUA6NLw09EwE0CqkOc4q9oUmW1yo/edit?usp=sharing"",""อุทัยธานี!J508"")"),0)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IFERROR(__xludf.DUMMYFUNCTION("IMPORTRANGE(""https://docs.google.com/spreadsheets/d/11923uPwbBZFjjGgGUA6NLw09EwE0CqkOc4q9oUmW1yo/edit?usp=sharing"",""อุทัยธานี!I509"")"),0)</f>
        <v>0</v>
      </c>
      <c r="J614" s="207">
        <f ca="1">IFERROR(__xludf.DUMMYFUNCTION("IMPORTRANGE(""https://docs.google.com/spreadsheets/d/11923uPwbBZFjjGgGUA6NLw09EwE0CqkOc4q9oUmW1yo/edit?usp=sharing"",""อุทัยธานี!J509"")"),0)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IFERROR(__xludf.DUMMYFUNCTION("IMPORTRANGE(""https://docs.google.com/spreadsheets/d/11923uPwbBZFjjGgGUA6NLw09EwE0CqkOc4q9oUmW1yo/edit?usp=sharing"",""อุทัยธานี!I510"")"),0)</f>
        <v>0</v>
      </c>
      <c r="J615" s="207">
        <f ca="1">IFERROR(__xludf.DUMMYFUNCTION("IMPORTRANGE(""https://docs.google.com/spreadsheets/d/11923uPwbBZFjjGgGUA6NLw09EwE0CqkOc4q9oUmW1yo/edit?usp=sharing"",""อุทัยธานี!J510"")"),0)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IFERROR(__xludf.DUMMYFUNCTION("IMPORTRANGE(""https://docs.google.com/spreadsheets/d/11923uPwbBZFjjGgGUA6NLw09EwE0CqkOc4q9oUmW1yo/edit?usp=sharing"",""อุทัยธานี!I511"")"),0)</f>
        <v>0</v>
      </c>
      <c r="J616" s="207">
        <f ca="1">IFERROR(__xludf.DUMMYFUNCTION("IMPORTRANGE(""https://docs.google.com/spreadsheets/d/11923uPwbBZFjjGgGUA6NLw09EwE0CqkOc4q9oUmW1yo/edit?usp=sharing"",""อุทัยธานี!J511"")"),0)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IFERROR(__xludf.DUMMYFUNCTION("IMPORTRANGE(""https://docs.google.com/spreadsheets/d/11923uPwbBZFjjGgGUA6NLw09EwE0CqkOc4q9oUmW1yo/edit?usp=sharing"",""อุทัยธานี!I512"")"),0)</f>
        <v>0</v>
      </c>
      <c r="J617" s="197">
        <f ca="1">IFERROR(__xludf.DUMMYFUNCTION("IMPORTRANGE(""https://docs.google.com/spreadsheets/d/11923uPwbBZFjjGgGUA6NLw09EwE0CqkOc4q9oUmW1yo/edit?usp=sharing"",""อุทัยธานี!J512"")"),0)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IFERROR(__xludf.DUMMYFUNCTION("IMPORTRANGE(""https://docs.google.com/spreadsheets/d/11923uPwbBZFjjGgGUA6NLw09EwE0CqkOc4q9oUmW1yo/edit?usp=sharing"",""อุทัยธานี!I513"")"),0)</f>
        <v>0</v>
      </c>
      <c r="J618" s="198">
        <f ca="1">IFERROR(__xludf.DUMMYFUNCTION("IMPORTRANGE(""https://docs.google.com/spreadsheets/d/11923uPwbBZFjjGgGUA6NLw09EwE0CqkOc4q9oUmW1yo/edit?usp=sharing"",""อุทัยธานี!J513"")"),0)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IFERROR(__xludf.DUMMYFUNCTION("IMPORTRANGE(""https://docs.google.com/spreadsheets/d/11923uPwbBZFjjGgGUA6NLw09EwE0CqkOc4q9oUmW1yo/edit?usp=sharing"",""อุทัยธานี!I514"")"),0)</f>
        <v>0</v>
      </c>
      <c r="J619" s="198">
        <f ca="1">IFERROR(__xludf.DUMMYFUNCTION("IMPORTRANGE(""https://docs.google.com/spreadsheets/d/11923uPwbBZFjjGgGUA6NLw09EwE0CqkOc4q9oUmW1yo/edit?usp=sharing"",""อุทัยธานี!J514"")"),0)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IFERROR(__xludf.DUMMYFUNCTION("IMPORTRANGE(""https://docs.google.com/spreadsheets/d/11923uPwbBZFjjGgGUA6NLw09EwE0CqkOc4q9oUmW1yo/edit?usp=sharing"",""อุทัยธานี!I515"")"),0)</f>
        <v>0</v>
      </c>
      <c r="J620" s="212">
        <f ca="1">IFERROR(__xludf.DUMMYFUNCTION("IMPORTRANGE(""https://docs.google.com/spreadsheets/d/11923uPwbBZFjjGgGUA6NLw09EwE0CqkOc4q9oUmW1yo/edit?usp=sharing"",""อุทัยธานี!J515"")"),0)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IFERROR(__xludf.DUMMYFUNCTION("IMPORTRANGE(""https://docs.google.com/spreadsheets/d/11923uPwbBZFjjGgGUA6NLw09EwE0CqkOc4q9oUmW1yo/edit?usp=sharing"",""อุทัยธานี!I516"")"),0)</f>
        <v>0</v>
      </c>
      <c r="J621" s="212">
        <f ca="1">IFERROR(__xludf.DUMMYFUNCTION("IMPORTRANGE(""https://docs.google.com/spreadsheets/d/11923uPwbBZFjjGgGUA6NLw09EwE0CqkOc4q9oUmW1yo/edit?usp=sharing"",""อุทัยธานี!J516"")"),0)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IFERROR(__xludf.DUMMYFUNCTION("IMPORTRANGE(""https://docs.google.com/spreadsheets/d/11923uPwbBZFjjGgGUA6NLw09EwE0CqkOc4q9oUmW1yo/edit?usp=sharing"",""อุทัยธานี!I517"")"),0)</f>
        <v>0</v>
      </c>
      <c r="J622" s="198">
        <f ca="1">IFERROR(__xludf.DUMMYFUNCTION("IMPORTRANGE(""https://docs.google.com/spreadsheets/d/11923uPwbBZFjjGgGUA6NLw09EwE0CqkOc4q9oUmW1yo/edit?usp=sharing"",""อุทัยธานี!J517"")"),0)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IFERROR(__xludf.DUMMYFUNCTION("IMPORTRANGE(""https://docs.google.com/spreadsheets/d/11923uPwbBZFjjGgGUA6NLw09EwE0CqkOc4q9oUmW1yo/edit?usp=sharing"",""อุทัยธานี!I518"")"),0)</f>
        <v>0</v>
      </c>
      <c r="J623" s="198">
        <f ca="1">IFERROR(__xludf.DUMMYFUNCTION("IMPORTRANGE(""https://docs.google.com/spreadsheets/d/11923uPwbBZFjjGgGUA6NLw09EwE0CqkOc4q9oUmW1yo/edit?usp=sharing"",""อุทัยธานี!J518"")"),0)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IFERROR(__xludf.DUMMYFUNCTION("IMPORTRANGE(""https://docs.google.com/spreadsheets/d/11923uPwbBZFjjGgGUA6NLw09EwE0CqkOc4q9oUmW1yo/edit?usp=sharing"",""อุทัยธานี!I519"")"),0)</f>
        <v>0</v>
      </c>
      <c r="J624" s="197">
        <f ca="1">IFERROR(__xludf.DUMMYFUNCTION("IMPORTRANGE(""https://docs.google.com/spreadsheets/d/11923uPwbBZFjjGgGUA6NLw09EwE0CqkOc4q9oUmW1yo/edit?usp=sharing"",""อุทัยธานี!J519"")"),0)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IFERROR(__xludf.DUMMYFUNCTION("IMPORTRANGE(""https://docs.google.com/spreadsheets/d/11923uPwbBZFjjGgGUA6NLw09EwE0CqkOc4q9oUmW1yo/edit?usp=sharing"",""อุทัยธานี!I520"")"),0)</f>
        <v>0</v>
      </c>
      <c r="J625" s="198">
        <f ca="1">IFERROR(__xludf.DUMMYFUNCTION("IMPORTRANGE(""https://docs.google.com/spreadsheets/d/11923uPwbBZFjjGgGUA6NLw09EwE0CqkOc4q9oUmW1yo/edit?usp=sharing"",""อุทัยธานี!J520"")"),0)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IFERROR(__xludf.DUMMYFUNCTION("IMPORTRANGE(""https://docs.google.com/spreadsheets/d/11923uPwbBZFjjGgGUA6NLw09EwE0CqkOc4q9oUmW1yo/edit?usp=sharing"",""อุทัยธานี!I521"")"),0)</f>
        <v>0</v>
      </c>
      <c r="J626" s="198">
        <f ca="1">IFERROR(__xludf.DUMMYFUNCTION("IMPORTRANGE(""https://docs.google.com/spreadsheets/d/11923uPwbBZFjjGgGUA6NLw09EwE0CqkOc4q9oUmW1yo/edit?usp=sharing"",""อุทัยธานี!J521"")"),0)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IFERROR(__xludf.DUMMYFUNCTION("IMPORTRANGE(""https://docs.google.com/spreadsheets/d/11923uPwbBZFjjGgGUA6NLw09EwE0CqkOc4q9oUmW1yo/edit?usp=sharing"",""อุทัยธานี!I523"")"),1955020.27)</f>
        <v>1955020.27</v>
      </c>
      <c r="J628" s="349">
        <f ca="1">IFERROR(__xludf.DUMMYFUNCTION("IMPORTRANGE(""https://docs.google.com/spreadsheets/d/11923uPwbBZFjjGgGUA6NLw09EwE0CqkOc4q9oUmW1yo/edit?usp=sharing"",""อุทัยธานี!J523"")"),90500)</f>
        <v>90500</v>
      </c>
      <c r="K628" s="350">
        <f t="shared" ref="K628:K635" ca="1" si="129">IF(I628&gt;0,J628*100/I628,0)</f>
        <v>4.629108014312302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IFERROR(__xludf.DUMMYFUNCTION("IMPORTRANGE(""https://docs.google.com/spreadsheets/d/11923uPwbBZFjjGgGUA6NLw09EwE0CqkOc4q9oUmW1yo/edit?usp=sharing"",""อุทัยธานี!I524"")"),111)</f>
        <v>111</v>
      </c>
      <c r="J629" s="349">
        <f ca="1">IFERROR(__xludf.DUMMYFUNCTION("IMPORTRANGE(""https://docs.google.com/spreadsheets/d/11923uPwbBZFjjGgGUA6NLw09EwE0CqkOc4q9oUmW1yo/edit?usp=sharing"",""อุทัยธานี!J524"")"),11)</f>
        <v>11</v>
      </c>
      <c r="K629" s="350">
        <f t="shared" ca="1" si="129"/>
        <v>9.9099099099099099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9">
        <f ca="1">IFERROR(__xludf.DUMMYFUNCTION("IMPORTRANGE(""https://docs.google.com/spreadsheets/d/11923uPwbBZFjjGgGUA6NLw09EwE0CqkOc4q9oUmW1yo/edit?usp=sharing"",""อุทัยธานี!J525"")"),443482.72)</f>
        <v>443482.72</v>
      </c>
      <c r="K630" s="350">
        <f t="shared" ca="1" si="129"/>
        <v>3.6068854158171142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IFERROR(__xludf.DUMMYFUNCTION("IMPORTRANGE(""https://docs.google.com/spreadsheets/d/11923uPwbBZFjjGgGUA6NLw09EwE0CqkOc4q9oUmW1yo/edit?usp=sharing"",""อุทัยธานี!I526"")"),678)</f>
        <v>678</v>
      </c>
      <c r="J631" s="349">
        <f ca="1">IFERROR(__xludf.DUMMYFUNCTION("IMPORTRANGE(""https://docs.google.com/spreadsheets/d/11923uPwbBZFjjGgGUA6NLw09EwE0CqkOc4q9oUmW1yo/edit?usp=sharing"",""อุทัยธานี!J526"")"),80)</f>
        <v>80</v>
      </c>
      <c r="K631" s="350">
        <f t="shared" ca="1" si="129"/>
        <v>11.799410029498524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9">
        <f ca="1">IFERROR(__xludf.DUMMYFUNCTION("IMPORTRANGE(""https://docs.google.com/spreadsheets/d/11923uPwbBZFjjGgGUA6NLw09EwE0CqkOc4q9oUmW1yo/edit?usp=sharing"",""อุทัยธานี!J527"")"),658870.3)</f>
        <v>658870.30000000005</v>
      </c>
      <c r="K632" s="350">
        <f t="shared" ca="1" si="129"/>
        <v>16.549657108376415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IFERROR(__xludf.DUMMYFUNCTION("IMPORTRANGE(""https://docs.google.com/spreadsheets/d/11923uPwbBZFjjGgGUA6NLw09EwE0CqkOc4q9oUmW1yo/edit?usp=sharing"",""อุทัยธานี!I528"")"),248)</f>
        <v>248</v>
      </c>
      <c r="J633" s="349">
        <f ca="1">IFERROR(__xludf.DUMMYFUNCTION("IMPORTRANGE(""https://docs.google.com/spreadsheets/d/11923uPwbBZFjjGgGUA6NLw09EwE0CqkOc4q9oUmW1yo/edit?usp=sharing"",""อุทัยธานี!J528"")"),58)</f>
        <v>58</v>
      </c>
      <c r="K633" s="350">
        <f t="shared" ca="1" si="129"/>
        <v>23.387096774193548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IFERROR(__xludf.DUMMYFUNCTION("IMPORTRANGE(""https://docs.google.com/spreadsheets/d/11923uPwbBZFjjGgGUA6NLw09EwE0CqkOc4q9oUmW1yo/edit?usp=sharing"",""อุทัยธานี!I529"")"),1000000)</f>
        <v>1000000</v>
      </c>
      <c r="J634" s="349">
        <f ca="1">IFERROR(__xludf.DUMMYFUNCTION("IMPORTRANGE(""https://docs.google.com/spreadsheets/d/11923uPwbBZFjjGgGUA6NLw09EwE0CqkOc4q9oUmW1yo/edit?usp=sharing"",""อุทัยธานี!J529"")"),0)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IFERROR(__xludf.DUMMYFUNCTION("IMPORTRANGE(""https://docs.google.com/spreadsheets/d/11923uPwbBZFjjGgGUA6NLw09EwE0CqkOc4q9oUmW1yo/edit?usp=sharing"",""อุทัยธานี!I530"")"),50)</f>
        <v>50</v>
      </c>
      <c r="J635" s="519">
        <f ca="1">IFERROR(__xludf.DUMMYFUNCTION("IMPORTRANGE(""https://docs.google.com/spreadsheets/d/11923uPwbBZFjjGgGUA6NLw09EwE0CqkOc4q9oUmW1yo/edit?usp=sharing"",""อุทัยธานี!J530"")"),0)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239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7289031</v>
      </c>
      <c r="M8" s="25">
        <f t="shared" ca="1" si="0"/>
        <v>2269425</v>
      </c>
      <c r="N8" s="25">
        <f t="shared" ca="1" si="0"/>
        <v>1375655.67</v>
      </c>
      <c r="O8" s="24">
        <f t="shared" ref="O8:O16" ca="1" si="1">IF(L8&gt;0,N8*100/L8,0)</f>
        <v>18.872956775736036</v>
      </c>
      <c r="P8" s="24">
        <f t="shared" ref="P8:P16" ca="1" si="2">IF(M8&gt;0,N8*100/M8,0)</f>
        <v>60.616925873293894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7289031</v>
      </c>
      <c r="M10" s="32">
        <f t="shared" ca="1" si="4"/>
        <v>2269425</v>
      </c>
      <c r="N10" s="32">
        <f t="shared" ca="1" si="4"/>
        <v>1375655.67</v>
      </c>
      <c r="O10" s="31">
        <f t="shared" ca="1" si="1"/>
        <v>18.872956775736036</v>
      </c>
      <c r="P10" s="31">
        <f t="shared" ca="1" si="2"/>
        <v>60.616925873293894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7289031</v>
      </c>
      <c r="M12" s="40">
        <f t="shared" ca="1" si="6"/>
        <v>2269425</v>
      </c>
      <c r="N12" s="40">
        <f t="shared" ca="1" si="6"/>
        <v>1375655.67</v>
      </c>
      <c r="O12" s="40">
        <f t="shared" ca="1" si="1"/>
        <v>18.872956775736036</v>
      </c>
      <c r="P12" s="40">
        <f t="shared" ca="1" si="2"/>
        <v>60.616925873293894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2181000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5108031</v>
      </c>
      <c r="M14" s="40">
        <f t="shared" si="8"/>
        <v>0</v>
      </c>
      <c r="N14" s="40">
        <f t="shared" ca="1" si="8"/>
        <v>235328.66999999998</v>
      </c>
      <c r="O14" s="43">
        <f t="shared" ca="1" si="1"/>
        <v>4.6070329252112998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0</v>
      </c>
      <c r="M16" s="40">
        <f t="shared" si="10"/>
        <v>0</v>
      </c>
      <c r="N16" s="40">
        <f t="shared" ca="1" si="10"/>
        <v>0</v>
      </c>
      <c r="O16" s="52">
        <f t="shared" ca="1" si="1"/>
        <v>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3957295</v>
      </c>
      <c r="M18" s="25">
        <f t="shared" ca="1" si="11"/>
        <v>2269425</v>
      </c>
      <c r="N18" s="25">
        <f t="shared" ca="1" si="11"/>
        <v>1140327</v>
      </c>
      <c r="O18" s="24">
        <f t="shared" ref="O18:O20" ca="1" si="12">IF(L18&gt;0,N18*100/L18,0)</f>
        <v>28.815819897177239</v>
      </c>
      <c r="P18" s="24">
        <f t="shared" ref="P18:P26" ca="1" si="13">IF(M18&gt;0,N18*100/M18,0)</f>
        <v>50.247397468521761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3957295</v>
      </c>
      <c r="M20" s="32">
        <f t="shared" ca="1" si="15"/>
        <v>2269425</v>
      </c>
      <c r="N20" s="32">
        <f t="shared" ca="1" si="15"/>
        <v>1140327</v>
      </c>
      <c r="O20" s="31">
        <f t="shared" ca="1" si="12"/>
        <v>28.815819897177239</v>
      </c>
      <c r="P20" s="31">
        <f t="shared" ca="1" si="13"/>
        <v>50.247397468521761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3957295</v>
      </c>
      <c r="M22" s="44">
        <f t="shared" ca="1" si="18"/>
        <v>2269425</v>
      </c>
      <c r="N22" s="43">
        <f t="shared" ca="1" si="18"/>
        <v>1140327</v>
      </c>
      <c r="O22" s="43">
        <f t="shared" ca="1" si="17"/>
        <v>28.815819897177239</v>
      </c>
      <c r="P22" s="43">
        <f t="shared" ca="1" si="13"/>
        <v>50.247397468521761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2181000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1776295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0</v>
      </c>
      <c r="M26" s="52">
        <f t="shared" si="22"/>
        <v>0</v>
      </c>
      <c r="N26" s="52">
        <f t="shared" ca="1" si="22"/>
        <v>0</v>
      </c>
      <c r="O26" s="52">
        <f t="shared" ca="1" si="17"/>
        <v>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3331736</v>
      </c>
      <c r="M28" s="25">
        <f t="shared" si="23"/>
        <v>0</v>
      </c>
      <c r="N28" s="25">
        <f t="shared" ca="1" si="23"/>
        <v>235328.66999999998</v>
      </c>
      <c r="O28" s="24">
        <f t="shared" ref="O28:O30" ca="1" si="24">IF(L28&gt;0,N28*100/L28,0)</f>
        <v>7.0632448069114719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3331736</v>
      </c>
      <c r="M30" s="32">
        <f t="shared" si="27"/>
        <v>0</v>
      </c>
      <c r="N30" s="32">
        <f t="shared" ca="1" si="27"/>
        <v>235328.66999999998</v>
      </c>
      <c r="O30" s="31">
        <f t="shared" ca="1" si="24"/>
        <v>7.0632448069114719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3331736</v>
      </c>
      <c r="M32" s="43">
        <f t="shared" si="30"/>
        <v>0</v>
      </c>
      <c r="N32" s="43">
        <f t="shared" ca="1" si="30"/>
        <v>235328.66999999998</v>
      </c>
      <c r="O32" s="43">
        <f t="shared" ca="1" si="29"/>
        <v>7.0632448069114719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3331736</v>
      </c>
      <c r="M34" s="43">
        <f t="shared" si="32"/>
        <v>0</v>
      </c>
      <c r="N34" s="43">
        <f t="shared" ca="1" si="32"/>
        <v>235328.66999999998</v>
      </c>
      <c r="O34" s="43">
        <f t="shared" ca="1" si="29"/>
        <v>7.0632448069114719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3957295</v>
      </c>
      <c r="M37" s="57">
        <f t="shared" ca="1" si="33"/>
        <v>2269425</v>
      </c>
      <c r="N37" s="57">
        <f t="shared" ca="1" si="33"/>
        <v>1140327</v>
      </c>
      <c r="O37" s="58">
        <f t="shared" ca="1" si="29"/>
        <v>28.815819897177239</v>
      </c>
      <c r="P37" s="58">
        <f t="shared" ca="1" si="25"/>
        <v>50.247397468521761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840900</v>
      </c>
      <c r="M41" s="81">
        <f t="shared" ca="1" si="34"/>
        <v>420500</v>
      </c>
      <c r="N41" s="81">
        <f t="shared" ca="1" si="34"/>
        <v>287977</v>
      </c>
      <c r="O41" s="80">
        <f t="shared" ref="O41:O43" ca="1" si="35">IF(L41&gt;0,N41*100/L41,0)</f>
        <v>34.246283743608039</v>
      </c>
      <c r="P41" s="80">
        <f t="shared" ref="P41:P43" ca="1" si="36">IF(M41&gt;0,N41*100/M41,0)</f>
        <v>68.484423305588578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840900</v>
      </c>
      <c r="M43" s="81">
        <f t="shared" ca="1" si="38"/>
        <v>420500</v>
      </c>
      <c r="N43" s="81">
        <f t="shared" ca="1" si="38"/>
        <v>287977</v>
      </c>
      <c r="O43" s="80">
        <f t="shared" ca="1" si="35"/>
        <v>34.246283743608039</v>
      </c>
      <c r="P43" s="80">
        <f t="shared" ca="1" si="36"/>
        <v>68.484423305588578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840900</v>
      </c>
      <c r="M45" s="93">
        <f ca="1">IFERROR(__xludf.DUMMYFUNCTION("IMPORTRANGE(""https://docs.google.com/spreadsheets/d/1Yj_ptqi66GCucihVvJfMjLAmec39IyEx_6qawtMGysU/edit?usp=sharing"",""สบก!Q20"")"),420500)</f>
        <v>420500</v>
      </c>
      <c r="N45" s="93">
        <f ca="1">IFERROR(__xludf.DUMMYFUNCTION("IMPORTRANGE(""https://docs.google.com/spreadsheets/d/1Yj_ptqi66GCucihVvJfMjLAmec39IyEx_6qawtMGysU/edit?usp=sharing"",""สบก!R20"")"),287977)</f>
        <v>287977</v>
      </c>
      <c r="O45" s="94">
        <f ca="1">IF(L45&gt;0,N45*100/L45,0)</f>
        <v>34.246283743608039</v>
      </c>
      <c r="P45" s="94">
        <f ca="1">IF(M45&gt;0,N45*100/M45,0)</f>
        <v>68.484423305588578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IFERROR(__xludf.DUMMYFUNCTION("IMPORTRANGE(""https://docs.google.com/spreadsheets/d/1Yj_ptqi66GCucihVvJfMjLAmec39IyEx_6qawtMGysU/edit?usp=sharing"",""สบก!M20"")"),840900)</f>
        <v>840900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IFERROR(__xludf.DUMMYFUNCTION("IMPORTRANGE(""https://docs.google.com/spreadsheets/d/1Yj_ptqi66GCucihVvJfMjLAmec39IyEx_6qawtMGysU/edit?usp=sharing"",""สบก!N20"")"),0)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IFERROR(__xludf.DUMMYFUNCTION("IMPORTRANGE(""https://docs.google.com/spreadsheets/d/1Yj_ptqi66GCucihVvJfMjLAmec39IyEx_6qawtMGysU/edit?usp=sharing"",""สบก!O20"")"),0)</f>
        <v>0</v>
      </c>
      <c r="M49" s="103"/>
      <c r="N49" s="93">
        <f ca="1">IFERROR(__xludf.DUMMYFUNCTION("IMPORTRANGE(""https://docs.google.com/spreadsheets/d/1Yj_ptqi66GCucihVvJfMjLAmec39IyEx_6qawtMGysU/edit?usp=sharing"",""สบก!S20"")"),0)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469000</v>
      </c>
      <c r="M53" s="127">
        <f t="shared" ca="1" si="39"/>
        <v>247230</v>
      </c>
      <c r="N53" s="127">
        <f t="shared" ca="1" si="39"/>
        <v>145381</v>
      </c>
      <c r="O53" s="126">
        <f t="shared" ref="O53:O55" ca="1" si="40">IF(L53&gt;0,N53*100/L53,0)</f>
        <v>30.998081023454159</v>
      </c>
      <c r="P53" s="126">
        <f t="shared" ref="P53:P55" ca="1" si="41">IF(M53&gt;0,N53*100/M53,0)</f>
        <v>58.803947740969946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469000</v>
      </c>
      <c r="M55" s="127">
        <f t="shared" ca="1" si="43"/>
        <v>247230</v>
      </c>
      <c r="N55" s="127">
        <f t="shared" ca="1" si="43"/>
        <v>145381</v>
      </c>
      <c r="O55" s="126">
        <f t="shared" ca="1" si="40"/>
        <v>30.998081023454159</v>
      </c>
      <c r="P55" s="126">
        <f t="shared" ca="1" si="41"/>
        <v>58.803947740969946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469000</v>
      </c>
      <c r="M57" s="93">
        <f ca="1">IFERROR(__xludf.DUMMYFUNCTION("IMPORTRANGE(""https://docs.google.com/spreadsheets/d/1Yj_ptqi66GCucihVvJfMjLAmec39IyEx_6qawtMGysU/edit?usp=sharing"",""สบก!Z20"")"),247230)</f>
        <v>247230</v>
      </c>
      <c r="N57" s="93">
        <f ca="1">IFERROR(__xludf.DUMMYFUNCTION("IMPORTRANGE(""https://docs.google.com/spreadsheets/d/1Yj_ptqi66GCucihVvJfMjLAmec39IyEx_6qawtMGysU/edit?usp=sharing"",""สบก!AA20"")"),145381)</f>
        <v>145381</v>
      </c>
      <c r="O57" s="94">
        <f ca="1">IF(L57&gt;0,N57*100/L57,0)</f>
        <v>30.998081023454159</v>
      </c>
      <c r="P57" s="94">
        <f ca="1">IF(M57&gt;0,N57*100/M57,0)</f>
        <v>58.803947740969946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IFERROR(__xludf.DUMMYFUNCTION("IMPORTRANGE(""https://docs.google.com/spreadsheets/d/1Yj_ptqi66GCucihVvJfMjLAmec39IyEx_6qawtMGysU/edit?usp=sharing"",""สบก!V20"")"),469000)</f>
        <v>469000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IFERROR(__xludf.DUMMYFUNCTION("IMPORTRANGE(""https://docs.google.com/spreadsheets/d/1Yj_ptqi66GCucihVvJfMjLAmec39IyEx_6qawtMGysU/edit?usp=sharing"",""สบก!W20"")"),0)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IFERROR(__xludf.DUMMYFUNCTION("IMPORTRANGE(""https://docs.google.com/spreadsheets/d/1Yj_ptqi66GCucihVvJfMjLAmec39IyEx_6qawtMGysU/edit?usp=sharing"",""สบก!X20"")"),0)</f>
        <v>0</v>
      </c>
      <c r="M61" s="103"/>
      <c r="N61" s="93">
        <f ca="1">IFERROR(__xludf.DUMMYFUNCTION("IMPORTRANGE(""https://docs.google.com/spreadsheets/d/1Yj_ptqi66GCucihVvJfMjLAmec39IyEx_6qawtMGysU/edit?usp=sharing"",""สบก!AB20"")"),0)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IFERROR(__xludf.DUMMYFUNCTION("IMPORTRANGE(""https://docs.google.com/spreadsheets/d/11923uPwbBZFjjGgGUA6NLw09EwE0CqkOc4q9oUmW1yo/edit?usp=sharing"",""กำแพงเพชร!I9"")"),0)</f>
        <v>0</v>
      </c>
      <c r="J64" s="148">
        <f ca="1">IFERROR(__xludf.DUMMYFUNCTION("IMPORTRANGE(""https://docs.google.com/spreadsheets/d/11923uPwbBZFjjGgGUA6NLw09EwE0CqkOc4q9oUmW1yo/edit?usp=sharing"",""กำแพงเพชร!J9"")"),0)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IFERROR(__xludf.DUMMYFUNCTION("IMPORTRANGE(""https://docs.google.com/spreadsheets/d/11923uPwbBZFjjGgGUA6NLw09EwE0CqkOc4q9oUmW1yo/edit?usp=sharing"",""กำแพงเพชร!I10"")"),0)</f>
        <v>0</v>
      </c>
      <c r="J65" s="148">
        <f ca="1">IFERROR(__xludf.DUMMYFUNCTION("IMPORTRANGE(""https://docs.google.com/spreadsheets/d/11923uPwbBZFjjGgGUA6NLw09EwE0CqkOc4q9oUmW1yo/edit?usp=sharing"",""กำแพงเพชร!J10"")"),0)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IFERROR(__xludf.DUMMYFUNCTION("IMPORTRANGE(""https://docs.google.com/spreadsheets/d/1Yj_ptqi66GCucihVvJfMjLAmec39IyEx_6qawtMGysU/edit?usp=sharing"",""สบก!AI20"")"),0)</f>
        <v>0</v>
      </c>
      <c r="N70" s="177">
        <f ca="1">IFERROR(__xludf.DUMMYFUNCTION("IMPORTRANGE(""https://docs.google.com/spreadsheets/d/1Yj_ptqi66GCucihVvJfMjLAmec39IyEx_6qawtMGysU/edit?usp=sharing"",""สบก!AJ20"")"),0)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IFERROR(__xludf.DUMMYFUNCTION("IMPORTRANGE(""https://docs.google.com/spreadsheets/d/1Yj_ptqi66GCucihVvJfMjLAmec39IyEx_6qawtMGysU/edit?usp=sharing"",""สบก!AE20"")"),0)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IFERROR(__xludf.DUMMYFUNCTION("IMPORTRANGE(""https://docs.google.com/spreadsheets/d/1Yj_ptqi66GCucihVvJfMjLAmec39IyEx_6qawtMGysU/edit?usp=sharing"",""สบก!AF20"")"),0)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IFERROR(__xludf.DUMMYFUNCTION("IMPORTRANGE(""https://docs.google.com/spreadsheets/d/1Yj_ptqi66GCucihVvJfMjLAmec39IyEx_6qawtMGysU/edit?usp=sharing"",""สบก!AG20"")"),0)</f>
        <v>0</v>
      </c>
      <c r="M74" s="103"/>
      <c r="N74" s="93">
        <f ca="1">IFERROR(__xludf.DUMMYFUNCTION("IMPORTRANGE(""https://docs.google.com/spreadsheets/d/1Yj_ptqi66GCucihVvJfMjLAmec39IyEx_6qawtMGysU/edit?usp=sharing"",""สบก!AK20"")"),0)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IFERROR(__xludf.DUMMYFUNCTION("IMPORTRANGE(""https://docs.google.com/spreadsheets/d/11923uPwbBZFjjGgGUA6NLw09EwE0CqkOc4q9oUmW1yo/edit?usp=sharing"",""กำแพงเพชร!J16"")"),0)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IFERROR(__xludf.DUMMYFUNCTION("IMPORTRANGE(""https://docs.google.com/spreadsheets/d/11923uPwbBZFjjGgGUA6NLw09EwE0CqkOc4q9oUmW1yo/edit?usp=sharing"",""กำแพงเพชร!J17"")"),0)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IFERROR(__xludf.DUMMYFUNCTION("IMPORTRANGE(""https://docs.google.com/spreadsheets/d/11923uPwbBZFjjGgGUA6NLw09EwE0CqkOc4q9oUmW1yo/edit?usp=sharing"",""กำแพงเพชร!J18"")"),0)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IFERROR(__xludf.DUMMYFUNCTION("IMPORTRANGE(""https://docs.google.com/spreadsheets/d/11923uPwbBZFjjGgGUA6NLw09EwE0CqkOc4q9oUmW1yo/edit?usp=sharing"",""กำแพงเพชร!J19"")"),0)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IFERROR(__xludf.DUMMYFUNCTION("IMPORTRANGE(""https://docs.google.com/spreadsheets/d/11923uPwbBZFjjGgGUA6NLw09EwE0CqkOc4q9oUmW1yo/edit?usp=sharing"",""กำแพงเพชร!I20"")"),0)</f>
        <v>0</v>
      </c>
      <c r="J80" s="210">
        <f ca="1">IFERROR(__xludf.DUMMYFUNCTION("IMPORTRANGE(""https://docs.google.com/spreadsheets/d/11923uPwbBZFjjGgGUA6NLw09EwE0CqkOc4q9oUmW1yo/edit?usp=sharing"",""กำแพงเพชร!J20"")"),0)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IFERROR(__xludf.DUMMYFUNCTION("IMPORTRANGE(""https://docs.google.com/spreadsheets/d/11923uPwbBZFjjGgGUA6NLw09EwE0CqkOc4q9oUmW1yo/edit?usp=sharing"",""กำแพงเพชร!I21"")"),0)</f>
        <v>0</v>
      </c>
      <c r="J81" s="210">
        <f ca="1">IFERROR(__xludf.DUMMYFUNCTION("IMPORTRANGE(""https://docs.google.com/spreadsheets/d/11923uPwbBZFjjGgGUA6NLw09EwE0CqkOc4q9oUmW1yo/edit?usp=sharing"",""กำแพงเพชร!J21"")"),0)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IFERROR(__xludf.DUMMYFUNCTION("IMPORTRANGE(""https://docs.google.com/spreadsheets/d/11923uPwbBZFjjGgGUA6NLw09EwE0CqkOc4q9oUmW1yo/edit?usp=sharing"",""กำแพงเพชร!I22"")"),0)</f>
        <v>0</v>
      </c>
      <c r="J82" s="213">
        <f ca="1">IFERROR(__xludf.DUMMYFUNCTION("IMPORTRANGE(""https://docs.google.com/spreadsheets/d/11923uPwbBZFjjGgGUA6NLw09EwE0CqkOc4q9oUmW1yo/edit?usp=sharing"",""กำแพงเพชร!J22"")"),0)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IFERROR(__xludf.DUMMYFUNCTION("IMPORTRANGE(""https://docs.google.com/spreadsheets/d/11923uPwbBZFjjGgGUA6NLw09EwE0CqkOc4q9oUmW1yo/edit?usp=sharing"",""กำแพงเพชร!I23"")"),0)</f>
        <v>0</v>
      </c>
      <c r="J83" s="213">
        <f ca="1">IFERROR(__xludf.DUMMYFUNCTION("IMPORTRANGE(""https://docs.google.com/spreadsheets/d/11923uPwbBZFjjGgGUA6NLw09EwE0CqkOc4q9oUmW1yo/edit?usp=sharing"",""กำแพงเพชร!J23"")"),0)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IFERROR(__xludf.DUMMYFUNCTION("IMPORTRANGE(""https://docs.google.com/spreadsheets/d/11923uPwbBZFjjGgGUA6NLw09EwE0CqkOc4q9oUmW1yo/edit?usp=sharing"",""กำแพงเพชร!I24"")"),0)</f>
        <v>0</v>
      </c>
      <c r="J84" s="198">
        <f ca="1">IFERROR(__xludf.DUMMYFUNCTION("IMPORTRANGE(""https://docs.google.com/spreadsheets/d/11923uPwbBZFjjGgGUA6NLw09EwE0CqkOc4q9oUmW1yo/edit?usp=sharing"",""กำแพงเพชร!J24"")"),0)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IFERROR(__xludf.DUMMYFUNCTION("IMPORTRANGE(""https://docs.google.com/spreadsheets/d/11923uPwbBZFjjGgGUA6NLw09EwE0CqkOc4q9oUmW1yo/edit?usp=sharing"",""กำแพงเพชร!I25"")"),0)</f>
        <v>0</v>
      </c>
      <c r="J85" s="198">
        <f ca="1">IFERROR(__xludf.DUMMYFUNCTION("IMPORTRANGE(""https://docs.google.com/spreadsheets/d/11923uPwbBZFjjGgGUA6NLw09EwE0CqkOc4q9oUmW1yo/edit?usp=sharing"",""กำแพงเพชร!J25"")"),0)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IFERROR(__xludf.DUMMYFUNCTION("IMPORTRANGE(""https://docs.google.com/spreadsheets/d/11923uPwbBZFjjGgGUA6NLw09EwE0CqkOc4q9oUmW1yo/edit?usp=sharing"",""กำแพงเพชร!I26"")"),0)</f>
        <v>0</v>
      </c>
      <c r="J86" s="213">
        <f ca="1">IFERROR(__xludf.DUMMYFUNCTION("IMPORTRANGE(""https://docs.google.com/spreadsheets/d/11923uPwbBZFjjGgGUA6NLw09EwE0CqkOc4q9oUmW1yo/edit?usp=sharing"",""กำแพงเพชร!J26"")"),0)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IFERROR(__xludf.DUMMYFUNCTION("IMPORTRANGE(""https://docs.google.com/spreadsheets/d/11923uPwbBZFjjGgGUA6NLw09EwE0CqkOc4q9oUmW1yo/edit?usp=sharing"",""กำแพงเพชร!I27"")"),0)</f>
        <v>0</v>
      </c>
      <c r="J87" s="213">
        <f ca="1">IFERROR(__xludf.DUMMYFUNCTION("IMPORTRANGE(""https://docs.google.com/spreadsheets/d/11923uPwbBZFjjGgGUA6NLw09EwE0CqkOc4q9oUmW1yo/edit?usp=sharing"",""กำแพงเพชร!J27"")"),0)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IFERROR(__xludf.DUMMYFUNCTION("IMPORTRANGE(""https://docs.google.com/spreadsheets/d/11923uPwbBZFjjGgGUA6NLw09EwE0CqkOc4q9oUmW1yo/edit?usp=sharing"",""กำแพงเพชร!I28"")"),0)</f>
        <v>0</v>
      </c>
      <c r="J88" s="213">
        <f ca="1">IFERROR(__xludf.DUMMYFUNCTION("IMPORTRANGE(""https://docs.google.com/spreadsheets/d/11923uPwbBZFjjGgGUA6NLw09EwE0CqkOc4q9oUmW1yo/edit?usp=sharing"",""กำแพงเพชร!J28"")"),0)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IFERROR(__xludf.DUMMYFUNCTION("IMPORTRANGE(""https://docs.google.com/spreadsheets/d/11923uPwbBZFjjGgGUA6NLw09EwE0CqkOc4q9oUmW1yo/edit?usp=sharing"",""กำแพงเพชร!J29"")"),0)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IFERROR(__xludf.DUMMYFUNCTION("IMPORTRANGE(""https://docs.google.com/spreadsheets/d/11923uPwbBZFjjGgGUA6NLw09EwE0CqkOc4q9oUmW1yo/edit?usp=sharing"",""กำแพงเพชร!J30"")"),0)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IFERROR(__xludf.DUMMYFUNCTION("IMPORTRANGE(""https://docs.google.com/spreadsheets/d/11923uPwbBZFjjGgGUA6NLw09EwE0CqkOc4q9oUmW1yo/edit?usp=sharing"",""กำแพงเพชร!I32"")"),0)</f>
        <v>0</v>
      </c>
      <c r="J92" s="148">
        <f ca="1">IFERROR(__xludf.DUMMYFUNCTION("IMPORTRANGE(""https://docs.google.com/spreadsheets/d/11923uPwbBZFjjGgGUA6NLw09EwE0CqkOc4q9oUmW1yo/edit?usp=sharing"",""กำแพงเพชร!J32"")"),0)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IFERROR(__xludf.DUMMYFUNCTION("IMPORTRANGE(""https://docs.google.com/spreadsheets/d/11923uPwbBZFjjGgGUA6NLw09EwE0CqkOc4q9oUmW1yo/edit?usp=sharing"",""กำแพงเพชร!I33"")"),0)</f>
        <v>0</v>
      </c>
      <c r="J93" s="148">
        <f ca="1">IFERROR(__xludf.DUMMYFUNCTION("IMPORTRANGE(""https://docs.google.com/spreadsheets/d/11923uPwbBZFjjGgGUA6NLw09EwE0CqkOc4q9oUmW1yo/edit?usp=sharing"",""กำแพงเพชร!J33"")"),0)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IFERROR(__xludf.DUMMYFUNCTION("IMPORTRANGE(""https://docs.google.com/spreadsheets/d/1Yj_ptqi66GCucihVvJfMjLAmec39IyEx_6qawtMGysU/edit?usp=sharing"",""สบก!AR20"")"),0)</f>
        <v>0</v>
      </c>
      <c r="N98" s="177">
        <f ca="1">IFERROR(__xludf.DUMMYFUNCTION("IMPORTRANGE(""https://docs.google.com/spreadsheets/d/1Yj_ptqi66GCucihVvJfMjLAmec39IyEx_6qawtMGysU/edit?usp=sharing"",""สบก!AS20"")"),0)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IFERROR(__xludf.DUMMYFUNCTION("IMPORTRANGE(""https://docs.google.com/spreadsheets/d/1Yj_ptqi66GCucihVvJfMjLAmec39IyEx_6qawtMGysU/edit?usp=sharing"",""สบก!AN20"")"),0)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IFERROR(__xludf.DUMMYFUNCTION("IMPORTRANGE(""https://docs.google.com/spreadsheets/d/1Yj_ptqi66GCucihVvJfMjLAmec39IyEx_6qawtMGysU/edit?usp=sharing"",""สบก!AO20"")"),0)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IFERROR(__xludf.DUMMYFUNCTION("IMPORTRANGE(""https://docs.google.com/spreadsheets/d/1Yj_ptqi66GCucihVvJfMjLAmec39IyEx_6qawtMGysU/edit?usp=sharing"",""สบก!AP20"")"),0)</f>
        <v>0</v>
      </c>
      <c r="M102" s="103"/>
      <c r="N102" s="93">
        <f ca="1">IFERROR(__xludf.DUMMYFUNCTION("IMPORTRANGE(""https://docs.google.com/spreadsheets/d/1Yj_ptqi66GCucihVvJfMjLAmec39IyEx_6qawtMGysU/edit?usp=sharing"",""สบก!AT20"")"),0)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IFERROR(__xludf.DUMMYFUNCTION("IMPORTRANGE(""https://docs.google.com/spreadsheets/d/11923uPwbBZFjjGgGUA6NLw09EwE0CqkOc4q9oUmW1yo/edit?usp=sharing"",""กำแพงเพชร!J39"")"),0)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IFERROR(__xludf.DUMMYFUNCTION("IMPORTRANGE(""https://docs.google.com/spreadsheets/d/11923uPwbBZFjjGgGUA6NLw09EwE0CqkOc4q9oUmW1yo/edit?usp=sharing"",""กำแพงเพชร!J40"")"),0)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IFERROR(__xludf.DUMMYFUNCTION("IMPORTRANGE(""https://docs.google.com/spreadsheets/d/11923uPwbBZFjjGgGUA6NLw09EwE0CqkOc4q9oUmW1yo/edit?usp=sharing"",""กำแพงเพชร!J41"")"),0)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IFERROR(__xludf.DUMMYFUNCTION("IMPORTRANGE(""https://docs.google.com/spreadsheets/d/11923uPwbBZFjjGgGUA6NLw09EwE0CqkOc4q9oUmW1yo/edit?usp=sharing"",""กำแพงเพชร!J42"")"),0)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IFERROR(__xludf.DUMMYFUNCTION("IMPORTRANGE(""https://docs.google.com/spreadsheets/d/11923uPwbBZFjjGgGUA6NLw09EwE0CqkOc4q9oUmW1yo/edit?usp=sharing"",""กำแพงเพชร!I43"")"),0)</f>
        <v>0</v>
      </c>
      <c r="J108" s="213">
        <f ca="1">IFERROR(__xludf.DUMMYFUNCTION("IMPORTRANGE(""https://docs.google.com/spreadsheets/d/11923uPwbBZFjjGgGUA6NLw09EwE0CqkOc4q9oUmW1yo/edit?usp=sharing"",""กำแพงเพชร!J43"")"),0)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IFERROR(__xludf.DUMMYFUNCTION("IMPORTRANGE(""https://docs.google.com/spreadsheets/d/11923uPwbBZFjjGgGUA6NLw09EwE0CqkOc4q9oUmW1yo/edit?usp=sharing"",""กำแพงเพชร!I44"")"),0)</f>
        <v>0</v>
      </c>
      <c r="J109" s="213">
        <f ca="1">IFERROR(__xludf.DUMMYFUNCTION("IMPORTRANGE(""https://docs.google.com/spreadsheets/d/11923uPwbBZFjjGgGUA6NLw09EwE0CqkOc4q9oUmW1yo/edit?usp=sharing"",""กำแพงเพชร!J44"")"),0)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IFERROR(__xludf.DUMMYFUNCTION("IMPORTRANGE(""https://docs.google.com/spreadsheets/d/11923uPwbBZFjjGgGUA6NLw09EwE0CqkOc4q9oUmW1yo/edit?usp=sharing"",""กำแพงเพชร!I45"")"),0)</f>
        <v>0</v>
      </c>
      <c r="J110" s="213">
        <f ca="1">IFERROR(__xludf.DUMMYFUNCTION("IMPORTRANGE(""https://docs.google.com/spreadsheets/d/11923uPwbBZFjjGgGUA6NLw09EwE0CqkOc4q9oUmW1yo/edit?usp=sharing"",""กำแพงเพชร!J45"")"),0)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IFERROR(__xludf.DUMMYFUNCTION("IMPORTRANGE(""https://docs.google.com/spreadsheets/d/11923uPwbBZFjjGgGUA6NLw09EwE0CqkOc4q9oUmW1yo/edit?usp=sharing"",""กำแพงเพชร!I46"")"),0)</f>
        <v>0</v>
      </c>
      <c r="J111" s="213">
        <f ca="1">IFERROR(__xludf.DUMMYFUNCTION("IMPORTRANGE(""https://docs.google.com/spreadsheets/d/11923uPwbBZFjjGgGUA6NLw09EwE0CqkOc4q9oUmW1yo/edit?usp=sharing"",""กำแพงเพชร!J46"")"),0)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IFERROR(__xludf.DUMMYFUNCTION("IMPORTRANGE(""https://docs.google.com/spreadsheets/d/11923uPwbBZFjjGgGUA6NLw09EwE0CqkOc4q9oUmW1yo/edit?usp=sharing"",""กำแพงเพชร!I47"")"),0)</f>
        <v>0</v>
      </c>
      <c r="J112" s="213">
        <f ca="1">IFERROR(__xludf.DUMMYFUNCTION("IMPORTRANGE(""https://docs.google.com/spreadsheets/d/11923uPwbBZFjjGgGUA6NLw09EwE0CqkOc4q9oUmW1yo/edit?usp=sharing"",""กำแพงเพชร!J47"")"),0)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IFERROR(__xludf.DUMMYFUNCTION("IMPORTRANGE(""https://docs.google.com/spreadsheets/d/11923uPwbBZFjjGgGUA6NLw09EwE0CqkOc4q9oUmW1yo/edit?usp=sharing"",""กำแพงเพชร!I48"")"),0)</f>
        <v>0</v>
      </c>
      <c r="J113" s="213">
        <f ca="1">IFERROR(__xludf.DUMMYFUNCTION("IMPORTRANGE(""https://docs.google.com/spreadsheets/d/11923uPwbBZFjjGgGUA6NLw09EwE0CqkOc4q9oUmW1yo/edit?usp=sharing"",""กำแพงเพชร!J48"")"),0)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IFERROR(__xludf.DUMMYFUNCTION("IMPORTRANGE(""https://docs.google.com/spreadsheets/d/11923uPwbBZFjjGgGUA6NLw09EwE0CqkOc4q9oUmW1yo/edit?usp=sharing"",""กำแพงเพชร!J49"")"),0)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IFERROR(__xludf.DUMMYFUNCTION("IMPORTRANGE(""https://docs.google.com/spreadsheets/d/11923uPwbBZFjjGgGUA6NLw09EwE0CqkOc4q9oUmW1yo/edit?usp=sharing"",""กำแพงเพชร!J50"")"),0)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IFERROR(__xludf.DUMMYFUNCTION("IMPORTRANGE(""https://docs.google.com/spreadsheets/d/11923uPwbBZFjjGgGUA6NLw09EwE0CqkOc4q9oUmW1yo/edit?usp=sharing"",""กำแพงเพชร!I52"")"),20)</f>
        <v>20</v>
      </c>
      <c r="J117" s="148">
        <f ca="1">IFERROR(__xludf.DUMMYFUNCTION("IMPORTRANGE(""https://docs.google.com/spreadsheets/d/11923uPwbBZFjjGgGUA6NLw09EwE0CqkOc4q9oUmW1yo/edit?usp=sharing"",""กำแพงเพชร!J52"")"),20)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49680</v>
      </c>
      <c r="O118" s="157">
        <f t="shared" ref="O118:O120" ca="1" si="59">IF(L118&gt;0,N118*100/L118,0)</f>
        <v>60.262008733624455</v>
      </c>
      <c r="P118" s="157">
        <f t="shared" ref="P118:P120" ca="1" si="60">IF(M118&gt;0,N118*100/M118,0)</f>
        <v>74.774232390126429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49680</v>
      </c>
      <c r="O120" s="162">
        <f t="shared" ca="1" si="59"/>
        <v>60.262008733624455</v>
      </c>
      <c r="P120" s="162">
        <f t="shared" ca="1" si="60"/>
        <v>74.774232390126429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IFERROR(__xludf.DUMMYFUNCTION("IMPORTRANGE(""https://docs.google.com/spreadsheets/d/1Yj_ptqi66GCucihVvJfMjLAmec39IyEx_6qawtMGysU/edit?usp=sharing"",""สบก!BA20"")"),66440)</f>
        <v>66440</v>
      </c>
      <c r="N122" s="177">
        <f ca="1">IFERROR(__xludf.DUMMYFUNCTION("IMPORTRANGE(""https://docs.google.com/spreadsheets/d/1Yj_ptqi66GCucihVvJfMjLAmec39IyEx_6qawtMGysU/edit?usp=sharing"",""สบก!BB20"")"),49680)</f>
        <v>49680</v>
      </c>
      <c r="O122" s="178">
        <f ca="1">IF(L122&gt;0,N122*100/L122,0)</f>
        <v>60.262008733624455</v>
      </c>
      <c r="P122" s="178">
        <f ca="1">IF(M122&gt;0,N122*100/M122,0)</f>
        <v>74.774232390126429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IFERROR(__xludf.DUMMYFUNCTION("IMPORTRANGE(""https://docs.google.com/spreadsheets/d/1Yj_ptqi66GCucihVvJfMjLAmec39IyEx_6qawtMGysU/edit?usp=sharing"",""สบก!AW20"")"),0)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IFERROR(__xludf.DUMMYFUNCTION("IMPORTRANGE(""https://docs.google.com/spreadsheets/d/1Yj_ptqi66GCucihVvJfMjLAmec39IyEx_6qawtMGysU/edit?usp=sharing"",""สบก!AX20"")"),82440)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IFERROR(__xludf.DUMMYFUNCTION("IMPORTRANGE(""https://docs.google.com/spreadsheets/d/1Yj_ptqi66GCucihVvJfMjLAmec39IyEx_6qawtMGysU/edit?usp=sharing"",""สบก!AY20"")"),0)</f>
        <v>0</v>
      </c>
      <c r="M126" s="103"/>
      <c r="N126" s="93">
        <f ca="1">IFERROR(__xludf.DUMMYFUNCTION("IMPORTRANGE(""https://docs.google.com/spreadsheets/d/1Yj_ptqi66GCucihVvJfMjLAmec39IyEx_6qawtMGysU/edit?usp=sharing"",""สบก!BC20"")"),0)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240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IFERROR(__xludf.DUMMYFUNCTION("IMPORTRANGE(""https://docs.google.com/spreadsheets/d/11923uPwbBZFjjGgGUA6NLw09EwE0CqkOc4q9oUmW1yo/edit?usp=sharing"",""กำแพงเพชร!J58"")"),0)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IFERROR(__xludf.DUMMYFUNCTION("IMPORTRANGE(""https://docs.google.com/spreadsheets/d/11923uPwbBZFjjGgGUA6NLw09EwE0CqkOc4q9oUmW1yo/edit?usp=sharing"",""กำแพงเพชร!J59"")"),1)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IFERROR(__xludf.DUMMYFUNCTION("IMPORTRANGE(""https://docs.google.com/spreadsheets/d/11923uPwbBZFjjGgGUA6NLw09EwE0CqkOc4q9oUmW1yo/edit?usp=sharing"",""กำแพงเพชร!J60"")"),1)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IFERROR(__xludf.DUMMYFUNCTION("IMPORTRANGE(""https://docs.google.com/spreadsheets/d/11923uPwbBZFjjGgGUA6NLw09EwE0CqkOc4q9oUmW1yo/edit?usp=sharing"",""กำแพงเพชร!J61"")"),1)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IFERROR(__xludf.DUMMYFUNCTION("IMPORTRANGE(""https://docs.google.com/spreadsheets/d/11923uPwbBZFjjGgGUA6NLw09EwE0CqkOc4q9oUmW1yo/edit?usp=sharing"",""กำแพงเพชร!I62"")"),20)</f>
        <v>20</v>
      </c>
      <c r="J132" s="213">
        <f ca="1">IFERROR(__xludf.DUMMYFUNCTION("IMPORTRANGE(""https://docs.google.com/spreadsheets/d/11923uPwbBZFjjGgGUA6NLw09EwE0CqkOc4q9oUmW1yo/edit?usp=sharing"",""กำแพงเพชร!J62"")"),20)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IFERROR(__xludf.DUMMYFUNCTION("IMPORTRANGE(""https://docs.google.com/spreadsheets/d/11923uPwbBZFjjGgGUA6NLw09EwE0CqkOc4q9oUmW1yo/edit?usp=sharing"",""กำแพงเพชร!I63"")"),20)</f>
        <v>20</v>
      </c>
      <c r="J133" s="213">
        <f ca="1">IFERROR(__xludf.DUMMYFUNCTION("IMPORTRANGE(""https://docs.google.com/spreadsheets/d/11923uPwbBZFjjGgGUA6NLw09EwE0CqkOc4q9oUmW1yo/edit?usp=sharing"",""กำแพงเพชร!J63"")"),0)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IFERROR(__xludf.DUMMYFUNCTION("IMPORTRANGE(""https://docs.google.com/spreadsheets/d/11923uPwbBZFjjGgGUA6NLw09EwE0CqkOc4q9oUmW1yo/edit?usp=sharing"",""กำแพงเพชร!J64"")"),0)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IFERROR(__xludf.DUMMYFUNCTION("IMPORTRANGE(""https://docs.google.com/spreadsheets/d/11923uPwbBZFjjGgGUA6NLw09EwE0CqkOc4q9oUmW1yo/edit?usp=sharing"",""กำแพงเพชร!J65"")"),0)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IFERROR(__xludf.DUMMYFUNCTION("IMPORTRANGE(""https://docs.google.com/spreadsheets/d/11923uPwbBZFjjGgGUA6NLw09EwE0CqkOc4q9oUmW1yo/edit?usp=sharing"",""กำแพงเพชร!I68"")"),0)</f>
        <v>0</v>
      </c>
      <c r="J138" s="276">
        <f ca="1">IFERROR(__xludf.DUMMYFUNCTION("IMPORTRANGE(""https://docs.google.com/spreadsheets/d/11923uPwbBZFjjGgGUA6NLw09EwE0CqkOc4q9oUmW1yo/edit?usp=sharing"",""กำแพงเพชร!J68"")"),0)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135550</v>
      </c>
      <c r="N140" s="158">
        <f t="shared" ca="1" si="64"/>
        <v>0</v>
      </c>
      <c r="O140" s="157">
        <f t="shared" ref="O140:O142" ca="1" si="65">IF(L140&gt;0,N140*100/L140,0)</f>
        <v>0</v>
      </c>
      <c r="P140" s="157">
        <f t="shared" ref="P140:P142" ca="1" si="66">IF(M140&gt;0,N140*100/M140,0)</f>
        <v>0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135550</v>
      </c>
      <c r="N142" s="163">
        <f t="shared" ca="1" si="68"/>
        <v>0</v>
      </c>
      <c r="O142" s="162">
        <f t="shared" ca="1" si="65"/>
        <v>0</v>
      </c>
      <c r="P142" s="162">
        <f t="shared" ca="1" si="66"/>
        <v>0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IFERROR(__xludf.DUMMYFUNCTION("IMPORTRANGE(""https://docs.google.com/spreadsheets/d/1Yj_ptqi66GCucihVvJfMjLAmec39IyEx_6qawtMGysU/edit?usp=sharing"",""สบก!BJ20"")"),135550)</f>
        <v>135550</v>
      </c>
      <c r="N144" s="177">
        <f ca="1">IFERROR(__xludf.DUMMYFUNCTION("IMPORTRANGE(""https://docs.google.com/spreadsheets/d/1Yj_ptqi66GCucihVvJfMjLAmec39IyEx_6qawtMGysU/edit?usp=sharing"",""สบก!BK20"")"),0)</f>
        <v>0</v>
      </c>
      <c r="O144" s="178">
        <f ca="1">IF(L144&gt;0,N144*100/L144,0)</f>
        <v>0</v>
      </c>
      <c r="P144" s="178">
        <f ca="1">IF(M144&gt;0,N144*100/M144,0)</f>
        <v>0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IFERROR(__xludf.DUMMYFUNCTION("IMPORTRANGE(""https://docs.google.com/spreadsheets/d/1Yj_ptqi66GCucihVvJfMjLAmec39IyEx_6qawtMGysU/edit?usp=sharing"",""สบก!BF20"")"),0)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IFERROR(__xludf.DUMMYFUNCTION("IMPORTRANGE(""https://docs.google.com/spreadsheets/d/1Yj_ptqi66GCucihVvJfMjLAmec39IyEx_6qawtMGysU/edit?usp=sharing"",""สบก!BG20"")"),69000)</f>
        <v>69000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IFERROR(__xludf.DUMMYFUNCTION("IMPORTRANGE(""https://docs.google.com/spreadsheets/d/1Yj_ptqi66GCucihVvJfMjLAmec39IyEx_6qawtMGysU/edit?usp=sharing"",""สบก!BH20"")"),0)</f>
        <v>0</v>
      </c>
      <c r="M148" s="103"/>
      <c r="N148" s="93">
        <f ca="1">IFERROR(__xludf.DUMMYFUNCTION("IMPORTRANGE(""https://docs.google.com/spreadsheets/d/1Yj_ptqi66GCucihVvJfMjLAmec39IyEx_6qawtMGysU/edit?usp=sharing"",""สบก!BL20"")"),0)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IFERROR(__xludf.DUMMYFUNCTION("IMPORTRANGE(""https://docs.google.com/spreadsheets/d/11923uPwbBZFjjGgGUA6NLw09EwE0CqkOc4q9oUmW1yo/edit?usp=sharing"",""กำแพงเพชร!I74"")"),4)</f>
        <v>4</v>
      </c>
      <c r="J149" s="284">
        <f ca="1">IFERROR(__xludf.DUMMYFUNCTION("IMPORTRANGE(""https://docs.google.com/spreadsheets/d/11923uPwbBZFjjGgGUA6NLw09EwE0CqkOc4q9oUmW1yo/edit?usp=sharing"",""กำแพงเพชร!J74"")"),0)</f>
        <v>0</v>
      </c>
      <c r="K149" s="285">
        <f ca="1">IF(I149&gt;0,J149*100/I149,0)</f>
        <v>0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IFERROR(__xludf.DUMMYFUNCTION("IMPORTRANGE(""https://docs.google.com/spreadsheets/d/11923uPwbBZFjjGgGUA6NLw09EwE0CqkOc4q9oUmW1yo/edit?usp=sharing"",""กำแพงเพชร!J79"")"),0)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IFERROR(__xludf.DUMMYFUNCTION("IMPORTRANGE(""https://docs.google.com/spreadsheets/d/11923uPwbBZFjjGgGUA6NLw09EwE0CqkOc4q9oUmW1yo/edit?usp=sharing"",""กำแพงเพชร!J80"")"),0)</f>
        <v>0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IFERROR(__xludf.DUMMYFUNCTION("IMPORTRANGE(""https://docs.google.com/spreadsheets/d/11923uPwbBZFjjGgGUA6NLw09EwE0CqkOc4q9oUmW1yo/edit?usp=sharing"",""กำแพงเพชร!J81"")"),0)</f>
        <v>0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IFERROR(__xludf.DUMMYFUNCTION("IMPORTRANGE(""https://docs.google.com/spreadsheets/d/11923uPwbBZFjjGgGUA6NLw09EwE0CqkOc4q9oUmW1yo/edit?usp=sharing"",""กำแพงเพชร!J82"")"),0)</f>
        <v>0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IFERROR(__xludf.DUMMYFUNCTION("IMPORTRANGE(""https://docs.google.com/spreadsheets/d/11923uPwbBZFjjGgGUA6NLw09EwE0CqkOc4q9oUmW1yo/edit?usp=sharing"",""กำแพงเพชร!I83"")"),4)</f>
        <v>4</v>
      </c>
      <c r="J158" s="198">
        <f ca="1">IFERROR(__xludf.DUMMYFUNCTION("IMPORTRANGE(""https://docs.google.com/spreadsheets/d/11923uPwbBZFjjGgGUA6NLw09EwE0CqkOc4q9oUmW1yo/edit?usp=sharing"",""กำแพงเพชร!J83"")"),0)</f>
        <v>0</v>
      </c>
      <c r="K158" s="171">
        <f ca="1">IF(I158&gt;0,J158*100/I158,0)</f>
        <v>0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IFERROR(__xludf.DUMMYFUNCTION("IMPORTRANGE(""https://docs.google.com/spreadsheets/d/11923uPwbBZFjjGgGUA6NLw09EwE0CqkOc4q9oUmW1yo/edit?usp=sharing"",""กำแพงเพชร!J84"")"),0)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IFERROR(__xludf.DUMMYFUNCTION("IMPORTRANGE(""https://docs.google.com/spreadsheets/d/11923uPwbBZFjjGgGUA6NLw09EwE0CqkOc4q9oUmW1yo/edit?usp=sharing"",""กำแพงเพชร!J85"")"),0)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IFERROR(__xludf.DUMMYFUNCTION("IMPORTRANGE(""https://docs.google.com/spreadsheets/d/11923uPwbBZFjjGgGUA6NLw09EwE0CqkOc4q9oUmW1yo/edit?usp=sharing"",""กำแพงเพชร!J86"")"),0)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IFERROR(__xludf.DUMMYFUNCTION("IMPORTRANGE(""https://docs.google.com/spreadsheets/d/11923uPwbBZFjjGgGUA6NLw09EwE0CqkOc4q9oUmW1yo/edit?usp=sharing"",""กำแพงเพชร!J87"")"),0)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IFERROR(__xludf.DUMMYFUNCTION("IMPORTRANGE(""https://docs.google.com/spreadsheets/d/11923uPwbBZFjjGgGUA6NLw09EwE0CqkOc4q9oUmW1yo/edit?usp=sharing"",""กำแพงเพชร!J88"")"),0)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IFERROR(__xludf.DUMMYFUNCTION("IMPORTRANGE(""https://docs.google.com/spreadsheets/d/11923uPwbBZFjjGgGUA6NLw09EwE0CqkOc4q9oUmW1yo/edit?usp=sharing"",""กำแพงเพชร!I89"")"),3)</f>
        <v>3</v>
      </c>
      <c r="J164" s="292">
        <f ca="1">IFERROR(__xludf.DUMMYFUNCTION("IMPORTRANGE(""https://docs.google.com/spreadsheets/d/11923uPwbBZFjjGgGUA6NLw09EwE0CqkOc4q9oUmW1yo/edit?usp=sharing"",""กำแพงเพชร!J89"")"),0)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IFERROR(__xludf.DUMMYFUNCTION("IMPORTRANGE(""https://docs.google.com/spreadsheets/d/11923uPwbBZFjjGgGUA6NLw09EwE0CqkOc4q9oUmW1yo/edit?usp=sharing"",""กำแพงเพชร!J94"")"),0)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IFERROR(__xludf.DUMMYFUNCTION("IMPORTRANGE(""https://docs.google.com/spreadsheets/d/11923uPwbBZFjjGgGUA6NLw09EwE0CqkOc4q9oUmW1yo/edit?usp=sharing"",""กำแพงเพชร!J95"")"),1)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IFERROR(__xludf.DUMMYFUNCTION("IMPORTRANGE(""https://docs.google.com/spreadsheets/d/11923uPwbBZFjjGgGUA6NLw09EwE0CqkOc4q9oUmW1yo/edit?usp=sharing"",""กำแพงเพชร!J96"")"),1)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IFERROR(__xludf.DUMMYFUNCTION("IMPORTRANGE(""https://docs.google.com/spreadsheets/d/11923uPwbBZFjjGgGUA6NLw09EwE0CqkOc4q9oUmW1yo/edit?usp=sharing"",""กำแพงเพชร!J97"")"),0)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IFERROR(__xludf.DUMMYFUNCTION("IMPORTRANGE(""https://docs.google.com/spreadsheets/d/11923uPwbBZFjjGgGUA6NLw09EwE0CqkOc4q9oUmW1yo/edit?usp=sharing"",""กำแพงเพชร!I98"")"),3)</f>
        <v>3</v>
      </c>
      <c r="J173" s="198">
        <f ca="1">IFERROR(__xludf.DUMMYFUNCTION("IMPORTRANGE(""https://docs.google.com/spreadsheets/d/11923uPwbBZFjjGgGUA6NLw09EwE0CqkOc4q9oUmW1yo/edit?usp=sharing"",""กำแพงเพชร!J98"")"),0)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IFERROR(__xludf.DUMMYFUNCTION("IMPORTRANGE(""https://docs.google.com/spreadsheets/d/11923uPwbBZFjjGgGUA6NLw09EwE0CqkOc4q9oUmW1yo/edit?usp=sharing"",""กำแพงเพชร!J99"")"),0)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IFERROR(__xludf.DUMMYFUNCTION("IMPORTRANGE(""https://docs.google.com/spreadsheets/d/11923uPwbBZFjjGgGUA6NLw09EwE0CqkOc4q9oUmW1yo/edit?usp=sharing"",""กำแพงเพชร!J100"")"),0)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IFERROR(__xludf.DUMMYFUNCTION("IMPORTRANGE(""https://docs.google.com/spreadsheets/d/11923uPwbBZFjjGgGUA6NLw09EwE0CqkOc4q9oUmW1yo/edit?usp=sharing"",""กำแพงเพชร!I101"")"),0)</f>
        <v>0</v>
      </c>
      <c r="J176" s="292">
        <f ca="1">IFERROR(__xludf.DUMMYFUNCTION("IMPORTRANGE(""https://docs.google.com/spreadsheets/d/11923uPwbBZFjjGgGUA6NLw09EwE0CqkOc4q9oUmW1yo/edit?usp=sharing"",""กำแพงเพชร!J101"")"),0)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IFERROR(__xludf.DUMMYFUNCTION("IMPORTRANGE(""https://docs.google.com/spreadsheets/d/11923uPwbBZFjjGgGUA6NLw09EwE0CqkOc4q9oUmW1yo/edit?usp=sharing"",""กำแพงเพชร!J106"")"),0)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IFERROR(__xludf.DUMMYFUNCTION("IMPORTRANGE(""https://docs.google.com/spreadsheets/d/11923uPwbBZFjjGgGUA6NLw09EwE0CqkOc4q9oUmW1yo/edit?usp=sharing"",""กำแพงเพชร!J107"")"),0)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IFERROR(__xludf.DUMMYFUNCTION("IMPORTRANGE(""https://docs.google.com/spreadsheets/d/11923uPwbBZFjjGgGUA6NLw09EwE0CqkOc4q9oUmW1yo/edit?usp=sharing"",""กำแพงเพชร!J108"")"),0)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IFERROR(__xludf.DUMMYFUNCTION("IMPORTRANGE(""https://docs.google.com/spreadsheets/d/11923uPwbBZFjjGgGUA6NLw09EwE0CqkOc4q9oUmW1yo/edit?usp=sharing"",""กำแพงเพชร!J109"")"),0)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IFERROR(__xludf.DUMMYFUNCTION("IMPORTRANGE(""https://docs.google.com/spreadsheets/d/11923uPwbBZFjjGgGUA6NLw09EwE0CqkOc4q9oUmW1yo/edit?usp=sharing"",""กำแพงเพชร!I110"")"),0)</f>
        <v>0</v>
      </c>
      <c r="J185" s="213">
        <f ca="1">IFERROR(__xludf.DUMMYFUNCTION("IMPORTRANGE(""https://docs.google.com/spreadsheets/d/11923uPwbBZFjjGgGUA6NLw09EwE0CqkOc4q9oUmW1yo/edit?usp=sharing"",""กำแพงเพชร!J110"")"),0)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IFERROR(__xludf.DUMMYFUNCTION("IMPORTRANGE(""https://docs.google.com/spreadsheets/d/11923uPwbBZFjjGgGUA6NLw09EwE0CqkOc4q9oUmW1yo/edit?usp=sharing"",""กำแพงเพชร!I111"")"),0)</f>
        <v>0</v>
      </c>
      <c r="J186" s="213">
        <f ca="1">IFERROR(__xludf.DUMMYFUNCTION("IMPORTRANGE(""https://docs.google.com/spreadsheets/d/11923uPwbBZFjjGgGUA6NLw09EwE0CqkOc4q9oUmW1yo/edit?usp=sharing"",""กำแพงเพชร!J111"")"),0)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IFERROR(__xludf.DUMMYFUNCTION("IMPORTRANGE(""https://docs.google.com/spreadsheets/d/11923uPwbBZFjjGgGUA6NLw09EwE0CqkOc4q9oUmW1yo/edit?usp=sharing"",""กำแพงเพชร!J112"")"),0)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IFERROR(__xludf.DUMMYFUNCTION("IMPORTRANGE(""https://docs.google.com/spreadsheets/d/11923uPwbBZFjjGgGUA6NLw09EwE0CqkOc4q9oUmW1yo/edit?usp=sharing"",""กำแพงเพชร!J113"")"),0)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IFERROR(__xludf.DUMMYFUNCTION("IMPORTRANGE(""https://docs.google.com/spreadsheets/d/11923uPwbBZFjjGgGUA6NLw09EwE0CqkOc4q9oUmW1yo/edit?usp=sharing"",""กำแพงเพชร!I114"")"),50000)</f>
        <v>50000</v>
      </c>
      <c r="J189" s="292">
        <f ca="1">IFERROR(__xludf.DUMMYFUNCTION("IMPORTRANGE(""https://docs.google.com/spreadsheets/d/11923uPwbBZFjjGgGUA6NLw09EwE0CqkOc4q9oUmW1yo/edit?usp=sharing"",""กำแพงเพชร!J114"")"),0)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IFERROR(__xludf.DUMMYFUNCTION("IMPORTRANGE(""https://docs.google.com/spreadsheets/d/11923uPwbBZFjjGgGUA6NLw09EwE0CqkOc4q9oUmW1yo/edit?usp=sharing"",""กำแพงเพชร!J119"")"),0)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IFERROR(__xludf.DUMMYFUNCTION("IMPORTRANGE(""https://docs.google.com/spreadsheets/d/11923uPwbBZFjjGgGUA6NLw09EwE0CqkOc4q9oUmW1yo/edit?usp=sharing"",""กำแพงเพชร!J120"")"),1)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IFERROR(__xludf.DUMMYFUNCTION("IMPORTRANGE(""https://docs.google.com/spreadsheets/d/11923uPwbBZFjjGgGUA6NLw09EwE0CqkOc4q9oUmW1yo/edit?usp=sharing"",""กำแพงเพชร!J121"")"),0)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IFERROR(__xludf.DUMMYFUNCTION("IMPORTRANGE(""https://docs.google.com/spreadsheets/d/11923uPwbBZFjjGgGUA6NLw09EwE0CqkOc4q9oUmW1yo/edit?usp=sharing"",""กำแพงเพชร!J122"")"),0)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IFERROR(__xludf.DUMMYFUNCTION("IMPORTRANGE(""https://docs.google.com/spreadsheets/d/11923uPwbBZFjjGgGUA6NLw09EwE0CqkOc4q9oUmW1yo/edit?usp=sharing"",""กำแพงเพชร!I124"")"),50000)</f>
        <v>50000</v>
      </c>
      <c r="J199" s="198">
        <f ca="1">IFERROR(__xludf.DUMMYFUNCTION("IMPORTRANGE(""https://docs.google.com/spreadsheets/d/11923uPwbBZFjjGgGUA6NLw09EwE0CqkOc4q9oUmW1yo/edit?usp=sharing"",""กำแพงเพชร!J124"")"),0)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IFERROR(__xludf.DUMMYFUNCTION("IMPORTRANGE(""https://docs.google.com/spreadsheets/d/11923uPwbBZFjjGgGUA6NLw09EwE0CqkOc4q9oUmW1yo/edit?usp=sharing"",""กำแพงเพชร!I125"")"),50000)</f>
        <v>50000</v>
      </c>
      <c r="J200" s="198">
        <f ca="1">IFERROR(__xludf.DUMMYFUNCTION("IMPORTRANGE(""https://docs.google.com/spreadsheets/d/11923uPwbBZFjjGgGUA6NLw09EwE0CqkOc4q9oUmW1yo/edit?usp=sharing"",""กำแพงเพชร!J125"")"),0)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IFERROR(__xludf.DUMMYFUNCTION("IMPORTRANGE(""https://docs.google.com/spreadsheets/d/11923uPwbBZFjjGgGUA6NLw09EwE0CqkOc4q9oUmW1yo/edit?usp=sharing"",""กำแพงเพชร!I126"")"),0)</f>
        <v>0</v>
      </c>
      <c r="J201" s="198">
        <f ca="1">IFERROR(__xludf.DUMMYFUNCTION("IMPORTRANGE(""https://docs.google.com/spreadsheets/d/11923uPwbBZFjjGgGUA6NLw09EwE0CqkOc4q9oUmW1yo/edit?usp=sharing"",""กำแพงเพชร!J126"")"),0)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IFERROR(__xludf.DUMMYFUNCTION("IMPORTRANGE(""https://docs.google.com/spreadsheets/d/11923uPwbBZFjjGgGUA6NLw09EwE0CqkOc4q9oUmW1yo/edit?usp=sharing"",""กำแพงเพชร!J127"")"),0)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IFERROR(__xludf.DUMMYFUNCTION("IMPORTRANGE(""https://docs.google.com/spreadsheets/d/11923uPwbBZFjjGgGUA6NLw09EwE0CqkOc4q9oUmW1yo/edit?usp=sharing"",""กำแพงเพชร!J128"")"),0)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IFERROR(__xludf.DUMMYFUNCTION("IMPORTRANGE(""https://docs.google.com/spreadsheets/d/11923uPwbBZFjjGgGUA6NLw09EwE0CqkOc4q9oUmW1yo/edit?usp=sharing"",""กำแพงเพชร!I129"")"),0)</f>
        <v>0</v>
      </c>
      <c r="J204" s="292">
        <f ca="1">IFERROR(__xludf.DUMMYFUNCTION("IMPORTRANGE(""https://docs.google.com/spreadsheets/d/11923uPwbBZFjjGgGUA6NLw09EwE0CqkOc4q9oUmW1yo/edit?usp=sharing"",""กำแพงเพชร!J129"")"),0)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IFERROR(__xludf.DUMMYFUNCTION("IMPORTRANGE(""https://docs.google.com/spreadsheets/d/11923uPwbBZFjjGgGUA6NLw09EwE0CqkOc4q9oUmW1yo/edit?usp=sharing"",""กำแพงเพชร!J134"")"),0)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IFERROR(__xludf.DUMMYFUNCTION("IMPORTRANGE(""https://docs.google.com/spreadsheets/d/11923uPwbBZFjjGgGUA6NLw09EwE0CqkOc4q9oUmW1yo/edit?usp=sharing"",""กำแพงเพชร!J135"")"),0)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IFERROR(__xludf.DUMMYFUNCTION("IMPORTRANGE(""https://docs.google.com/spreadsheets/d/11923uPwbBZFjjGgGUA6NLw09EwE0CqkOc4q9oUmW1yo/edit?usp=sharing"",""กำแพงเพชร!J136"")"),0)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IFERROR(__xludf.DUMMYFUNCTION("IMPORTRANGE(""https://docs.google.com/spreadsheets/d/11923uPwbBZFjjGgGUA6NLw09EwE0CqkOc4q9oUmW1yo/edit?usp=sharing"",""กำแพงเพชร!J137"")"),0)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IFERROR(__xludf.DUMMYFUNCTION("IMPORTRANGE(""https://docs.google.com/spreadsheets/d/11923uPwbBZFjjGgGUA6NLw09EwE0CqkOc4q9oUmW1yo/edit?usp=sharing"",""กำแพงเพชร!I138"")"),0)</f>
        <v>0</v>
      </c>
      <c r="J213" s="213">
        <f ca="1">IFERROR(__xludf.DUMMYFUNCTION("IMPORTRANGE(""https://docs.google.com/spreadsheets/d/11923uPwbBZFjjGgGUA6NLw09EwE0CqkOc4q9oUmW1yo/edit?usp=sharing"",""กำแพงเพชร!J138"")"),0)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IFERROR(__xludf.DUMMYFUNCTION("IMPORTRANGE(""https://docs.google.com/spreadsheets/d/11923uPwbBZFjjGgGUA6NLw09EwE0CqkOc4q9oUmW1yo/edit?usp=sharing"",""กำแพงเพชร!I140"")"),0)</f>
        <v>0</v>
      </c>
      <c r="J215" s="213">
        <f ca="1">IFERROR(__xludf.DUMMYFUNCTION("IMPORTRANGE(""https://docs.google.com/spreadsheets/d/11923uPwbBZFjjGgGUA6NLw09EwE0CqkOc4q9oUmW1yo/edit?usp=sharing"",""กำแพงเพชร!J140"")"),0)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IFERROR(__xludf.DUMMYFUNCTION("IMPORTRANGE(""https://docs.google.com/spreadsheets/d/11923uPwbBZFjjGgGUA6NLw09EwE0CqkOc4q9oUmW1yo/edit?usp=sharing"",""กำแพงเพชร!I141"")"),0)</f>
        <v>0</v>
      </c>
      <c r="J216" s="213">
        <f ca="1">IFERROR(__xludf.DUMMYFUNCTION("IMPORTRANGE(""https://docs.google.com/spreadsheets/d/11923uPwbBZFjjGgGUA6NLw09EwE0CqkOc4q9oUmW1yo/edit?usp=sharing"",""กำแพงเพชร!J141"")"),0)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IFERROR(__xludf.DUMMYFUNCTION("IMPORTRANGE(""https://docs.google.com/spreadsheets/d/11923uPwbBZFjjGgGUA6NLw09EwE0CqkOc4q9oUmW1yo/edit?usp=sharing"",""กำแพงเพชร!J142"")"),0)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IFERROR(__xludf.DUMMYFUNCTION("IMPORTRANGE(""https://docs.google.com/spreadsheets/d/11923uPwbBZFjjGgGUA6NLw09EwE0CqkOc4q9oUmW1yo/edit?usp=sharing"",""กำแพงเพชร!J143"")"),0)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IFERROR(__xludf.DUMMYFUNCTION("IMPORTRANGE(""https://docs.google.com/spreadsheets/d/11923uPwbBZFjjGgGUA6NLw09EwE0CqkOc4q9oUmW1yo/edit?usp=sharing"",""กำแพงเพชร!I144"")"),15)</f>
        <v>15</v>
      </c>
      <c r="J219" s="276">
        <f ca="1">IFERROR(__xludf.DUMMYFUNCTION("IMPORTRANGE(""https://docs.google.com/spreadsheets/d/11923uPwbBZFjjGgGUA6NLw09EwE0CqkOc4q9oUmW1yo/edit?usp=sharing"",""กำแพงเพชร!J144"")"),15)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IFERROR(__xludf.DUMMYFUNCTION("IMPORTRANGE(""https://docs.google.com/spreadsheets/d/1Yj_ptqi66GCucihVvJfMjLAmec39IyEx_6qawtMGysU/edit?usp=sharing"",""สบก!BS20"")"),21125)</f>
        <v>21125</v>
      </c>
      <c r="N224" s="177">
        <f ca="1">IFERROR(__xludf.DUMMYFUNCTION("IMPORTRANGE(""https://docs.google.com/spreadsheets/d/1Yj_ptqi66GCucihVvJfMjLAmec39IyEx_6qawtMGysU/edit?usp=sharing"",""สบก!BT20"")"),21125)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IFERROR(__xludf.DUMMYFUNCTION("IMPORTRANGE(""https://docs.google.com/spreadsheets/d/1Yj_ptqi66GCucihVvJfMjLAmec39IyEx_6qawtMGysU/edit?usp=sharing"",""สบก!BO20"")"),0)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IFERROR(__xludf.DUMMYFUNCTION("IMPORTRANGE(""https://docs.google.com/spreadsheets/d/1Yj_ptqi66GCucihVvJfMjLAmec39IyEx_6qawtMGysU/edit?usp=sharing"",""สบก!BP20"")"),21125)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IFERROR(__xludf.DUMMYFUNCTION("IMPORTRANGE(""https://docs.google.com/spreadsheets/d/1Yj_ptqi66GCucihVvJfMjLAmec39IyEx_6qawtMGysU/edit?usp=sharing"",""สบก!BQ20"")"),0)</f>
        <v>0</v>
      </c>
      <c r="M228" s="103"/>
      <c r="N228" s="93">
        <f ca="1">IFERROR(__xludf.DUMMYFUNCTION("IMPORTRANGE(""https://docs.google.com/spreadsheets/d/1Yj_ptqi66GCucihVvJfMjLAmec39IyEx_6qawtMGysU/edit?usp=sharing"",""สบก!BU20"")"),0)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IFERROR(__xludf.DUMMYFUNCTION("IMPORTRANGE(""https://docs.google.com/spreadsheets/d/11923uPwbBZFjjGgGUA6NLw09EwE0CqkOc4q9oUmW1yo/edit?usp=sharing"",""กำแพงเพชร!I149"")"),15)</f>
        <v>15</v>
      </c>
      <c r="J229" s="276">
        <f ca="1">IFERROR(__xludf.DUMMYFUNCTION("IMPORTRANGE(""https://docs.google.com/spreadsheets/d/11923uPwbBZFjjGgGUA6NLw09EwE0CqkOc4q9oUmW1yo/edit?usp=sharing"",""กำแพงเพชร!J149"")"),15)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IFERROR(__xludf.DUMMYFUNCTION("IMPORTRANGE(""https://docs.google.com/spreadsheets/d/11923uPwbBZFjjGgGUA6NLw09EwE0CqkOc4q9oUmW1yo/edit?usp=sharing"",""กำแพงเพชร!J151"")"),0)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IFERROR(__xludf.DUMMYFUNCTION("IMPORTRANGE(""https://docs.google.com/spreadsheets/d/11923uPwbBZFjjGgGUA6NLw09EwE0CqkOc4q9oUmW1yo/edit?usp=sharing"",""กำแพงเพชร!J152"")"),0)</f>
        <v>0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IFERROR(__xludf.DUMMYFUNCTION("IMPORTRANGE(""https://docs.google.com/spreadsheets/d/11923uPwbBZFjjGgGUA6NLw09EwE0CqkOc4q9oUmW1yo/edit?usp=sharing"",""กำแพงเพชร!J153"")"),1)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IFERROR(__xludf.DUMMYFUNCTION("IMPORTRANGE(""https://docs.google.com/spreadsheets/d/11923uPwbBZFjjGgGUA6NLw09EwE0CqkOc4q9oUmW1yo/edit?usp=sharing"",""กำแพงเพชร!J154"")"),1)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IFERROR(__xludf.DUMMYFUNCTION("IMPORTRANGE(""https://docs.google.com/spreadsheets/d/11923uPwbBZFjjGgGUA6NLw09EwE0CqkOc4q9oUmW1yo/edit?usp=sharing"",""กำแพงเพชร!I155"")"),15)</f>
        <v>15</v>
      </c>
      <c r="J235" s="198">
        <f ca="1">IFERROR(__xludf.DUMMYFUNCTION("IMPORTRANGE(""https://docs.google.com/spreadsheets/d/11923uPwbBZFjjGgGUA6NLw09EwE0CqkOc4q9oUmW1yo/edit?usp=sharing"",""กำแพงเพชร!J155"")"),15)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IFERROR(__xludf.DUMMYFUNCTION("IMPORTRANGE(""https://docs.google.com/spreadsheets/d/11923uPwbBZFjjGgGUA6NLw09EwE0CqkOc4q9oUmW1yo/edit?usp=sharing"",""กำแพงเพชร!J156"")"),1)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IFERROR(__xludf.DUMMYFUNCTION("IMPORTRANGE(""https://docs.google.com/spreadsheets/d/11923uPwbBZFjjGgGUA6NLw09EwE0CqkOc4q9oUmW1yo/edit?usp=sharing"",""กำแพงเพชร!J157"")"),1)</f>
        <v>1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IFERROR(__xludf.DUMMYFUNCTION("IMPORTRANGE(""https://docs.google.com/spreadsheets/d/11923uPwbBZFjjGgGUA6NLw09EwE0CqkOc4q9oUmW1yo/edit?usp=sharing"",""กำแพงเพชร!I158"")"),0)</f>
        <v>0</v>
      </c>
      <c r="J238" s="276">
        <f ca="1">IFERROR(__xludf.DUMMYFUNCTION("IMPORTRANGE(""https://docs.google.com/spreadsheets/d/11923uPwbBZFjjGgGUA6NLw09EwE0CqkOc4q9oUmW1yo/edit?usp=sharing"",""กำแพงเพชร!J158"")"),0)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IFERROR(__xludf.DUMMYFUNCTION("IMPORTRANGE(""https://docs.google.com/spreadsheets/d/11923uPwbBZFjjGgGUA6NLw09EwE0CqkOc4q9oUmW1yo/edit?usp=sharing"",""กำแพงเพชร!J159"")"),"")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IFERROR(__xludf.DUMMYFUNCTION("IMPORTRANGE(""https://docs.google.com/spreadsheets/d/11923uPwbBZFjjGgGUA6NLw09EwE0CqkOc4q9oUmW1yo/edit?usp=sharing"",""กำแพงเพชร!J161"")"),0)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IFERROR(__xludf.DUMMYFUNCTION("IMPORTRANGE(""https://docs.google.com/spreadsheets/d/11923uPwbBZFjjGgGUA6NLw09EwE0CqkOc4q9oUmW1yo/edit?usp=sharing"",""กำแพงเพชร!J162"")"),0)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IFERROR(__xludf.DUMMYFUNCTION("IMPORTRANGE(""https://docs.google.com/spreadsheets/d/11923uPwbBZFjjGgGUA6NLw09EwE0CqkOc4q9oUmW1yo/edit?usp=sharing"",""กำแพงเพชร!J163"")"),0)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IFERROR(__xludf.DUMMYFUNCTION("IMPORTRANGE(""https://docs.google.com/spreadsheets/d/11923uPwbBZFjjGgGUA6NLw09EwE0CqkOc4q9oUmW1yo/edit?usp=sharing"",""กำแพงเพชร!I164"")"),0)</f>
        <v>0</v>
      </c>
      <c r="J244" s="197">
        <f ca="1">IFERROR(__xludf.DUMMYFUNCTION("IMPORTRANGE(""https://docs.google.com/spreadsheets/d/11923uPwbBZFjjGgGUA6NLw09EwE0CqkOc4q9oUmW1yo/edit?usp=sharing"",""กำแพงเพชร!J164"")"),0)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IFERROR(__xludf.DUMMYFUNCTION("IMPORTRANGE(""https://docs.google.com/spreadsheets/d/11923uPwbBZFjjGgGUA6NLw09EwE0CqkOc4q9oUmW1yo/edit?usp=sharing"",""กำแพงเพชร!J165"")"),0)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IFERROR(__xludf.DUMMYFUNCTION("IMPORTRANGE(""https://docs.google.com/spreadsheets/d/11923uPwbBZFjjGgGUA6NLw09EwE0CqkOc4q9oUmW1yo/edit?usp=sharing"",""กำแพงเพชร!J166"")"),0)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IFERROR(__xludf.DUMMYFUNCTION("IMPORTRANGE(""https://docs.google.com/spreadsheets/d/11923uPwbBZFjjGgGUA6NLw09EwE0CqkOc4q9oUmW1yo/edit?usp=sharing"",""กำแพงเพชร!I169"")"),0)</f>
        <v>0</v>
      </c>
      <c r="J249" s="324">
        <f ca="1">IFERROR(__xludf.DUMMYFUNCTION("IMPORTRANGE(""https://docs.google.com/spreadsheets/d/11923uPwbBZFjjGgGUA6NLw09EwE0CqkOc4q9oUmW1yo/edit?usp=sharing"",""กำแพงเพชร!J169"")"),0)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IFERROR(__xludf.DUMMYFUNCTION("IMPORTRANGE(""https://docs.google.com/spreadsheets/d/1Yj_ptqi66GCucihVvJfMjLAmec39IyEx_6qawtMGysU/edit?usp=sharing"",""สบก!CB20"")"),0)</f>
        <v>0</v>
      </c>
      <c r="N254" s="177">
        <f ca="1">IFERROR(__xludf.DUMMYFUNCTION("IMPORTRANGE(""https://docs.google.com/spreadsheets/d/1Yj_ptqi66GCucihVvJfMjLAmec39IyEx_6qawtMGysU/edit?usp=sharing"",""สบก!CC20"")"),0)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IFERROR(__xludf.DUMMYFUNCTION("IMPORTRANGE(""https://docs.google.com/spreadsheets/d/1Yj_ptqi66GCucihVvJfMjLAmec39IyEx_6qawtMGysU/edit?usp=sharing"",""สบก!BX20"")"),0)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IFERROR(__xludf.DUMMYFUNCTION("IMPORTRANGE(""https://docs.google.com/spreadsheets/d/1Yj_ptqi66GCucihVvJfMjLAmec39IyEx_6qawtMGysU/edit?usp=sharing"",""สบก!BY20"")"),0)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IFERROR(__xludf.DUMMYFUNCTION("IMPORTRANGE(""https://docs.google.com/spreadsheets/d/1Yj_ptqi66GCucihVvJfMjLAmec39IyEx_6qawtMGysU/edit?usp=sharing"",""สบก!BZ20"")"),0)</f>
        <v>0</v>
      </c>
      <c r="M258" s="103"/>
      <c r="N258" s="93">
        <f ca="1">IFERROR(__xludf.DUMMYFUNCTION("IMPORTRANGE(""https://docs.google.com/spreadsheets/d/1Yj_ptqi66GCucihVvJfMjLAmec39IyEx_6qawtMGysU/edit?usp=sharing"",""สบก!CD20"")"),0)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IFERROR(__xludf.DUMMYFUNCTION("IMPORTRANGE(""https://docs.google.com/spreadsheets/d/11923uPwbBZFjjGgGUA6NLw09EwE0CqkOc4q9oUmW1yo/edit?usp=sharing"",""กำแพงเพชร!J175"")"),0)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IFERROR(__xludf.DUMMYFUNCTION("IMPORTRANGE(""https://docs.google.com/spreadsheets/d/11923uPwbBZFjjGgGUA6NLw09EwE0CqkOc4q9oUmW1yo/edit?usp=sharing"",""กำแพงเพชร!J176"")"),0)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IFERROR(__xludf.DUMMYFUNCTION("IMPORTRANGE(""https://docs.google.com/spreadsheets/d/11923uPwbBZFjjGgGUA6NLw09EwE0CqkOc4q9oUmW1yo/edit?usp=sharing"",""กำแพงเพชร!J177"")"),0)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IFERROR(__xludf.DUMMYFUNCTION("IMPORTRANGE(""https://docs.google.com/spreadsheets/d/11923uPwbBZFjjGgGUA6NLw09EwE0CqkOc4q9oUmW1yo/edit?usp=sharing"",""กำแพงเพชร!J178"")"),0)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IFERROR(__xludf.DUMMYFUNCTION("IMPORTRANGE(""https://docs.google.com/spreadsheets/d/11923uPwbBZFjjGgGUA6NLw09EwE0CqkOc4q9oUmW1yo/edit?usp=sharing"",""กำแพงเพชร!I179"")"),0)</f>
        <v>0</v>
      </c>
      <c r="J264" s="198">
        <f ca="1">IFERROR(__xludf.DUMMYFUNCTION("IMPORTRANGE(""https://docs.google.com/spreadsheets/d/11923uPwbBZFjjGgGUA6NLw09EwE0CqkOc4q9oUmW1yo/edit?usp=sharing"",""กำแพงเพชร!J179"")"),0)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IFERROR(__xludf.DUMMYFUNCTION("IMPORTRANGE(""https://docs.google.com/spreadsheets/d/11923uPwbBZFjjGgGUA6NLw09EwE0CqkOc4q9oUmW1yo/edit?usp=sharing"",""กำแพงเพชร!I180"")"),0)</f>
        <v>0</v>
      </c>
      <c r="J265" s="198">
        <f ca="1">IFERROR(__xludf.DUMMYFUNCTION("IMPORTRANGE(""https://docs.google.com/spreadsheets/d/11923uPwbBZFjjGgGUA6NLw09EwE0CqkOc4q9oUmW1yo/edit?usp=sharing"",""กำแพงเพชร!J180"")"),0)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IFERROR(__xludf.DUMMYFUNCTION("IMPORTRANGE(""https://docs.google.com/spreadsheets/d/11923uPwbBZFjjGgGUA6NLw09EwE0CqkOc4q9oUmW1yo/edit?usp=sharing"",""กำแพงเพชร!I181"")"),0)</f>
        <v>0</v>
      </c>
      <c r="J266" s="198">
        <f ca="1">IFERROR(__xludf.DUMMYFUNCTION("IMPORTRANGE(""https://docs.google.com/spreadsheets/d/11923uPwbBZFjjGgGUA6NLw09EwE0CqkOc4q9oUmW1yo/edit?usp=sharing"",""กำแพงเพชร!J181"")"),0)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IFERROR(__xludf.DUMMYFUNCTION("IMPORTRANGE(""https://docs.google.com/spreadsheets/d/11923uPwbBZFjjGgGUA6NLw09EwE0CqkOc4q9oUmW1yo/edit?usp=sharing"",""กำแพงเพชร!I182"")"),0)</f>
        <v>0</v>
      </c>
      <c r="J267" s="198">
        <f ca="1">IFERROR(__xludf.DUMMYFUNCTION("IMPORTRANGE(""https://docs.google.com/spreadsheets/d/11923uPwbBZFjjGgGUA6NLw09EwE0CqkOc4q9oUmW1yo/edit?usp=sharing"",""กำแพงเพชร!J182"")"),0)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IFERROR(__xludf.DUMMYFUNCTION("IMPORTRANGE(""https://docs.google.com/spreadsheets/d/11923uPwbBZFjjGgGUA6NLw09EwE0CqkOc4q9oUmW1yo/edit?usp=sharing"",""กำแพงเพชร!J183"")"),0)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IFERROR(__xludf.DUMMYFUNCTION("IMPORTRANGE(""https://docs.google.com/spreadsheets/d/11923uPwbBZFjjGgGUA6NLw09EwE0CqkOc4q9oUmW1yo/edit?usp=sharing"",""กำแพงเพชร!J184"")"),0)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IFERROR(__xludf.DUMMYFUNCTION("IMPORTRANGE(""https://docs.google.com/spreadsheets/d/11923uPwbBZFjjGgGUA6NLw09EwE0CqkOc4q9oUmW1yo/edit?usp=sharing"",""กำแพงเพชร!I185"")"),15)</f>
        <v>15</v>
      </c>
      <c r="J270" s="324">
        <f ca="1">IFERROR(__xludf.DUMMYFUNCTION("IMPORTRANGE(""https://docs.google.com/spreadsheets/d/11923uPwbBZFjjGgGUA6NLw09EwE0CqkOc4q9oUmW1yo/edit?usp=sharing"",""กำแพงเพชร!J185"")"),0)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319200</v>
      </c>
      <c r="M271" s="158">
        <f t="shared" ca="1" si="83"/>
        <v>164250</v>
      </c>
      <c r="N271" s="158">
        <f t="shared" ca="1" si="83"/>
        <v>61500</v>
      </c>
      <c r="O271" s="157">
        <f t="shared" ref="O271:O273" ca="1" si="84">IF(L271&gt;0,N271*100/L271,0)</f>
        <v>19.266917293233082</v>
      </c>
      <c r="P271" s="157">
        <f t="shared" ref="P271:P273" ca="1" si="85">IF(M271&gt;0,N271*100/M271,0)</f>
        <v>37.442922374429223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319200</v>
      </c>
      <c r="M273" s="163">
        <f t="shared" ca="1" si="87"/>
        <v>164250</v>
      </c>
      <c r="N273" s="163">
        <f t="shared" ca="1" si="87"/>
        <v>61500</v>
      </c>
      <c r="O273" s="162">
        <f t="shared" ca="1" si="84"/>
        <v>19.266917293233082</v>
      </c>
      <c r="P273" s="162">
        <f t="shared" ca="1" si="85"/>
        <v>37.442922374429223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319200</v>
      </c>
      <c r="M275" s="176">
        <f ca="1">IFERROR(__xludf.DUMMYFUNCTION("IMPORTRANGE(""https://docs.google.com/spreadsheets/d/1Yj_ptqi66GCucihVvJfMjLAmec39IyEx_6qawtMGysU/edit?usp=sharing"",""สบก!CK20"")"),164250)</f>
        <v>164250</v>
      </c>
      <c r="N275" s="177">
        <f ca="1">IFERROR(__xludf.DUMMYFUNCTION("IMPORTRANGE(""https://docs.google.com/spreadsheets/d/1Yj_ptqi66GCucihVvJfMjLAmec39IyEx_6qawtMGysU/edit?usp=sharing"",""สบก!CL20"")"),61500)</f>
        <v>61500</v>
      </c>
      <c r="O275" s="178">
        <f ca="1">IF(L275&gt;0,N275*100/L275,0)</f>
        <v>19.266917293233082</v>
      </c>
      <c r="P275" s="178">
        <f ca="1">IF(M275&gt;0,N275*100/M275,0)</f>
        <v>37.442922374429223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IFERROR(__xludf.DUMMYFUNCTION("IMPORTRANGE(""https://docs.google.com/spreadsheets/d/1Yj_ptqi66GCucihVvJfMjLAmec39IyEx_6qawtMGysU/edit?usp=sharing"",""สบก!CG20"")"),264000)</f>
        <v>264000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IFERROR(__xludf.DUMMYFUNCTION("IMPORTRANGE(""https://docs.google.com/spreadsheets/d/1Yj_ptqi66GCucihVvJfMjLAmec39IyEx_6qawtMGysU/edit?usp=sharing"",""สบก!CH20"")"),55200)</f>
        <v>55200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IFERROR(__xludf.DUMMYFUNCTION("IMPORTRANGE(""https://docs.google.com/spreadsheets/d/1Yj_ptqi66GCucihVvJfMjLAmec39IyEx_6qawtMGysU/edit?usp=sharing"",""สบก!CI20"")"),0)</f>
        <v>0</v>
      </c>
      <c r="M279" s="103"/>
      <c r="N279" s="93">
        <f ca="1">IFERROR(__xludf.DUMMYFUNCTION("IMPORTRANGE(""https://docs.google.com/spreadsheets/d/1Yj_ptqi66GCucihVvJfMjLAmec39IyEx_6qawtMGysU/edit?usp=sharing"",""สบก!CM20"")"),0)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IFERROR(__xludf.DUMMYFUNCTION("IMPORTRANGE(""https://docs.google.com/spreadsheets/d/11923uPwbBZFjjGgGUA6NLw09EwE0CqkOc4q9oUmW1yo/edit?usp=sharing"",""กำแพงเพชร!J191"")"),0)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IFERROR(__xludf.DUMMYFUNCTION("IMPORTRANGE(""https://docs.google.com/spreadsheets/d/11923uPwbBZFjjGgGUA6NLw09EwE0CqkOc4q9oUmW1yo/edit?usp=sharing"",""กำแพงเพชร!J192"")"),1)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IFERROR(__xludf.DUMMYFUNCTION("IMPORTRANGE(""https://docs.google.com/spreadsheets/d/11923uPwbBZFjjGgGUA6NLw09EwE0CqkOc4q9oUmW1yo/edit?usp=sharing"",""กำแพงเพชร!J193"")"),1)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IFERROR(__xludf.DUMMYFUNCTION("IMPORTRANGE(""https://docs.google.com/spreadsheets/d/11923uPwbBZFjjGgGUA6NLw09EwE0CqkOc4q9oUmW1yo/edit?usp=sharing"",""กำแพงเพชร!J194"")"),1)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IFERROR(__xludf.DUMMYFUNCTION("IMPORTRANGE(""https://docs.google.com/spreadsheets/d/11923uPwbBZFjjGgGUA6NLw09EwE0CqkOc4q9oUmW1yo/edit?usp=sharing"",""กำแพงเพชร!I195"")"),15)</f>
        <v>15</v>
      </c>
      <c r="J285" s="198">
        <f ca="1">IFERROR(__xludf.DUMMYFUNCTION("IMPORTRANGE(""https://docs.google.com/spreadsheets/d/11923uPwbBZFjjGgGUA6NLw09EwE0CqkOc4q9oUmW1yo/edit?usp=sharing"",""กำแพงเพชร!J195"")"),0)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IFERROR(__xludf.DUMMYFUNCTION("IMPORTRANGE(""https://docs.google.com/spreadsheets/d/11923uPwbBZFjjGgGUA6NLw09EwE0CqkOc4q9oUmW1yo/edit?usp=sharing"",""กำแพงเพชร!J196"")"),0)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IFERROR(__xludf.DUMMYFUNCTION("IMPORTRANGE(""https://docs.google.com/spreadsheets/d/11923uPwbBZFjjGgGUA6NLw09EwE0CqkOc4q9oUmW1yo/edit?usp=sharing"",""กำแพงเพชร!J197"")"),0)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IFERROR(__xludf.DUMMYFUNCTION("IMPORTRANGE(""https://docs.google.com/spreadsheets/d/11923uPwbBZFjjGgGUA6NLw09EwE0CqkOc4q9oUmW1yo/edit?usp=sharing"",""กำแพงเพชร!I199"")"),0)</f>
        <v>0</v>
      </c>
      <c r="J289" s="324">
        <f ca="1">IFERROR(__xludf.DUMMYFUNCTION("IMPORTRANGE(""https://docs.google.com/spreadsheets/d/11923uPwbBZFjjGgGUA6NLw09EwE0CqkOc4q9oUmW1yo/edit?usp=sharing"",""กำแพงเพชร!J199"")"),0)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IFERROR(__xludf.DUMMYFUNCTION("IMPORTRANGE(""https://docs.google.com/spreadsheets/d/1Yj_ptqi66GCucihVvJfMjLAmec39IyEx_6qawtMGysU/edit?usp=sharing"",""สบก!CT20"")"),0)</f>
        <v>0</v>
      </c>
      <c r="N294" s="177">
        <f ca="1">IFERROR(__xludf.DUMMYFUNCTION("IMPORTRANGE(""https://docs.google.com/spreadsheets/d/1Yj_ptqi66GCucihVvJfMjLAmec39IyEx_6qawtMGysU/edit?usp=sharing"",""สบก!CU20"")"),0)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IFERROR(__xludf.DUMMYFUNCTION("IMPORTRANGE(""https://docs.google.com/spreadsheets/d/1Yj_ptqi66GCucihVvJfMjLAmec39IyEx_6qawtMGysU/edit?usp=sharing"",""สบก!CP20"")"),0)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IFERROR(__xludf.DUMMYFUNCTION("IMPORTRANGE(""https://docs.google.com/spreadsheets/d/1Yj_ptqi66GCucihVvJfMjLAmec39IyEx_6qawtMGysU/edit?usp=sharing"",""สบก!CQ20"")"),0)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IFERROR(__xludf.DUMMYFUNCTION("IMPORTRANGE(""https://docs.google.com/spreadsheets/d/1Yj_ptqi66GCucihVvJfMjLAmec39IyEx_6qawtMGysU/edit?usp=sharing"",""สบก!CR20"")"),0)</f>
        <v>0</v>
      </c>
      <c r="M298" s="103"/>
      <c r="N298" s="93">
        <f ca="1">IFERROR(__xludf.DUMMYFUNCTION("IMPORTRANGE(""https://docs.google.com/spreadsheets/d/1Yj_ptqi66GCucihVvJfMjLAmec39IyEx_6qawtMGysU/edit?usp=sharing"",""สบก!CV20"")"),0)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IFERROR(__xludf.DUMMYFUNCTION("IMPORTRANGE(""https://docs.google.com/spreadsheets/d/11923uPwbBZFjjGgGUA6NLw09EwE0CqkOc4q9oUmW1yo/edit?usp=sharing"",""กำแพงเพชร!J205"")"),0)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IFERROR(__xludf.DUMMYFUNCTION("IMPORTRANGE(""https://docs.google.com/spreadsheets/d/11923uPwbBZFjjGgGUA6NLw09EwE0CqkOc4q9oUmW1yo/edit?usp=sharing"",""กำแพงเพชร!J206"")"),0)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IFERROR(__xludf.DUMMYFUNCTION("IMPORTRANGE(""https://docs.google.com/spreadsheets/d/11923uPwbBZFjjGgGUA6NLw09EwE0CqkOc4q9oUmW1yo/edit?usp=sharing"",""กำแพงเพชร!J207"")"),0)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IFERROR(__xludf.DUMMYFUNCTION("IMPORTRANGE(""https://docs.google.com/spreadsheets/d/11923uPwbBZFjjGgGUA6NLw09EwE0CqkOc4q9oUmW1yo/edit?usp=sharing"",""กำแพงเพชร!J208"")"),0)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IFERROR(__xludf.DUMMYFUNCTION("IMPORTRANGE(""https://docs.google.com/spreadsheets/d/11923uPwbBZFjjGgGUA6NLw09EwE0CqkOc4q9oUmW1yo/edit?usp=sharing"",""กำแพงเพชร!I209"")"),0)</f>
        <v>0</v>
      </c>
      <c r="J304" s="213">
        <f ca="1">IFERROR(__xludf.DUMMYFUNCTION("IMPORTRANGE(""https://docs.google.com/spreadsheets/d/11923uPwbBZFjjGgGUA6NLw09EwE0CqkOc4q9oUmW1yo/edit?usp=sharing"",""กำแพงเพชร!J209"")"),0)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IFERROR(__xludf.DUMMYFUNCTION("IMPORTRANGE(""https://docs.google.com/spreadsheets/d/11923uPwbBZFjjGgGUA6NLw09EwE0CqkOc4q9oUmW1yo/edit?usp=sharing"",""กำแพงเพชร!I211"")"),0)</f>
        <v>0</v>
      </c>
      <c r="J306" s="213">
        <f ca="1">IFERROR(__xludf.DUMMYFUNCTION("IMPORTRANGE(""https://docs.google.com/spreadsheets/d/11923uPwbBZFjjGgGUA6NLw09EwE0CqkOc4q9oUmW1yo/edit?usp=sharing"",""กำแพงเพชร!J211"")"),0)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IFERROR(__xludf.DUMMYFUNCTION("IMPORTRANGE(""https://docs.google.com/spreadsheets/d/11923uPwbBZFjjGgGUA6NLw09EwE0CqkOc4q9oUmW1yo/edit?usp=sharing"",""กำแพงเพชร!J212"")"),0)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IFERROR(__xludf.DUMMYFUNCTION("IMPORTRANGE(""https://docs.google.com/spreadsheets/d/11923uPwbBZFjjGgGUA6NLw09EwE0CqkOc4q9oUmW1yo/edit?usp=sharing"",""กำแพงเพชร!J213"")"),0)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IFERROR(__xludf.DUMMYFUNCTION("IMPORTRANGE(""https://docs.google.com/spreadsheets/d/11923uPwbBZFjjGgGUA6NLw09EwE0CqkOc4q9oUmW1yo/edit?usp=sharing"",""กำแพงเพชร!I214"")"),1)</f>
        <v>1</v>
      </c>
      <c r="J309" s="341">
        <f ca="1">IFERROR(__xludf.DUMMYFUNCTION("IMPORTRANGE(""https://docs.google.com/spreadsheets/d/11923uPwbBZFjjGgGUA6NLw09EwE0CqkOc4q9oUmW1yo/edit?usp=sharing"",""กำแพงเพชร!J214"")"),1)</f>
        <v>1</v>
      </c>
      <c r="K309" s="342">
        <f ca="1">IF(I309&gt;0,J309*100/I309,0)</f>
        <v>100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194600</v>
      </c>
      <c r="M310" s="158">
        <f t="shared" ca="1" si="93"/>
        <v>97300</v>
      </c>
      <c r="N310" s="158">
        <f t="shared" ca="1" si="93"/>
        <v>23774</v>
      </c>
      <c r="O310" s="157">
        <f t="shared" ref="O310:O312" ca="1" si="94">IF(L310&gt;0,N310*100/L310,0)</f>
        <v>12.216855087358685</v>
      </c>
      <c r="P310" s="157">
        <f t="shared" ref="P310:P312" ca="1" si="95">IF(M310&gt;0,N310*100/M310,0)</f>
        <v>24.433710174717369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194600</v>
      </c>
      <c r="M312" s="163">
        <f t="shared" ca="1" si="97"/>
        <v>97300</v>
      </c>
      <c r="N312" s="163">
        <f t="shared" ca="1" si="97"/>
        <v>23774</v>
      </c>
      <c r="O312" s="162">
        <f t="shared" ca="1" si="94"/>
        <v>12.216855087358685</v>
      </c>
      <c r="P312" s="162">
        <f t="shared" ca="1" si="95"/>
        <v>24.433710174717369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194600</v>
      </c>
      <c r="M314" s="176">
        <f ca="1">IFERROR(__xludf.DUMMYFUNCTION("IMPORTRANGE(""https://docs.google.com/spreadsheets/d/1Yj_ptqi66GCucihVvJfMjLAmec39IyEx_6qawtMGysU/edit?usp=sharing"",""สบก!DC20"")"),97300)</f>
        <v>97300</v>
      </c>
      <c r="N314" s="177">
        <f ca="1">IFERROR(__xludf.DUMMYFUNCTION("IMPORTRANGE(""https://docs.google.com/spreadsheets/d/1Yj_ptqi66GCucihVvJfMjLAmec39IyEx_6qawtMGysU/edit?usp=sharing"",""สบก!DD20"")"),23774)</f>
        <v>23774</v>
      </c>
      <c r="O314" s="178">
        <f ca="1">IF(L314&gt;0,N314*100/L314,0)</f>
        <v>12.216855087358685</v>
      </c>
      <c r="P314" s="178">
        <f ca="1">IF(M314&gt;0,N314*100/M314,0)</f>
        <v>24.433710174717369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IFERROR(__xludf.DUMMYFUNCTION("IMPORTRANGE(""https://docs.google.com/spreadsheets/d/1Yj_ptqi66GCucihVvJfMjLAmec39IyEx_6qawtMGysU/edit?usp=sharing"",""สบก!CY20"")"),0)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IFERROR(__xludf.DUMMYFUNCTION("IMPORTRANGE(""https://docs.google.com/spreadsheets/d/1Yj_ptqi66GCucihVvJfMjLAmec39IyEx_6qawtMGysU/edit?usp=sharing"",""สบก!CZ20"")"),194600)</f>
        <v>194600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IFERROR(__xludf.DUMMYFUNCTION("IMPORTRANGE(""https://docs.google.com/spreadsheets/d/1Yj_ptqi66GCucihVvJfMjLAmec39IyEx_6qawtMGysU/edit?usp=sharing"",""สบก!DA20"")"),0)</f>
        <v>0</v>
      </c>
      <c r="M318" s="103"/>
      <c r="N318" s="93">
        <f ca="1">IFERROR(__xludf.DUMMYFUNCTION("IMPORTRANGE(""https://docs.google.com/spreadsheets/d/1Yj_ptqi66GCucihVvJfMjLAmec39IyEx_6qawtMGysU/edit?usp=sharing"",""สบก!DE20"")"),0)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IFERROR(__xludf.DUMMYFUNCTION("IMPORTRANGE(""https://docs.google.com/spreadsheets/d/11923uPwbBZFjjGgGUA6NLw09EwE0CqkOc4q9oUmW1yo/edit?usp=sharing"",""กำแพงเพชร!J220"")"),0)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IFERROR(__xludf.DUMMYFUNCTION("IMPORTRANGE(""https://docs.google.com/spreadsheets/d/11923uPwbBZFjjGgGUA6NLw09EwE0CqkOc4q9oUmW1yo/edit?usp=sharing"",""กำแพงเพชร!J221"")"),0)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IFERROR(__xludf.DUMMYFUNCTION("IMPORTRANGE(""https://docs.google.com/spreadsheets/d/11923uPwbBZFjjGgGUA6NLw09EwE0CqkOc4q9oUmW1yo/edit?usp=sharing"",""กำแพงเพชร!J222"")"),0)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IFERROR(__xludf.DUMMYFUNCTION("IMPORTRANGE(""https://docs.google.com/spreadsheets/d/11923uPwbBZFjjGgGUA6NLw09EwE0CqkOc4q9oUmW1yo/edit?usp=sharing"",""กำแพงเพชร!J223"")"),0)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IFERROR(__xludf.DUMMYFUNCTION("IMPORTRANGE(""https://docs.google.com/spreadsheets/d/11923uPwbBZFjjGgGUA6NLw09EwE0CqkOc4q9oUmW1yo/edit?usp=sharing"",""กำแพงเพชร!I224"")"),1)</f>
        <v>1</v>
      </c>
      <c r="J324" s="213">
        <f ca="1">IFERROR(__xludf.DUMMYFUNCTION("IMPORTRANGE(""https://docs.google.com/spreadsheets/d/11923uPwbBZFjjGgGUA6NLw09EwE0CqkOc4q9oUmW1yo/edit?usp=sharing"",""กำแพงเพชร!J224"")"),1)</f>
        <v>1</v>
      </c>
      <c r="K324" s="233">
        <f ca="1">IF(I324&gt;0,J324*100/I324,0)</f>
        <v>100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IFERROR(__xludf.DUMMYFUNCTION("IMPORTRANGE(""https://docs.google.com/spreadsheets/d/11923uPwbBZFjjGgGUA6NLw09EwE0CqkOc4q9oUmW1yo/edit?usp=sharing"",""กำแพงเพชร!J225"")"),0)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IFERROR(__xludf.DUMMYFUNCTION("IMPORTRANGE(""https://docs.google.com/spreadsheets/d/11923uPwbBZFjjGgGUA6NLw09EwE0CqkOc4q9oUmW1yo/edit?usp=sharing"",""กำแพงเพชร!J226"")"),0)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IFERROR(__xludf.DUMMYFUNCTION("IMPORTRANGE(""https://docs.google.com/spreadsheets/d/11923uPwbBZFjjGgGUA6NLw09EwE0CqkOc4q9oUmW1yo/edit?usp=sharing"",""กำแพงเพชร!I228"")"),943)</f>
        <v>943</v>
      </c>
      <c r="J328" s="347">
        <f ca="1">IFERROR(__xludf.DUMMYFUNCTION("IMPORTRANGE(""https://docs.google.com/spreadsheets/d/11923uPwbBZFjjGgGUA6NLw09EwE0CqkOc4q9oUmW1yo/edit?usp=sharing"",""กำแพงเพชร!J228"")"),0)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1961030</v>
      </c>
      <c r="M329" s="158">
        <f t="shared" ca="1" si="98"/>
        <v>1117030</v>
      </c>
      <c r="N329" s="158">
        <f t="shared" ca="1" si="98"/>
        <v>550890</v>
      </c>
      <c r="O329" s="157">
        <f t="shared" ref="O329:O331" ca="1" si="99">IF(L329&gt;0,N329*100/L329,0)</f>
        <v>28.09187008867789</v>
      </c>
      <c r="P329" s="157">
        <f t="shared" ref="P329:P331" ca="1" si="100">IF(M329&gt;0,N329*100/M329,0)</f>
        <v>49.317386283269023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1961030</v>
      </c>
      <c r="M331" s="163">
        <f t="shared" ca="1" si="102"/>
        <v>1117030</v>
      </c>
      <c r="N331" s="163">
        <f t="shared" ca="1" si="102"/>
        <v>550890</v>
      </c>
      <c r="O331" s="162">
        <f t="shared" ca="1" si="99"/>
        <v>28.09187008867789</v>
      </c>
      <c r="P331" s="162">
        <f t="shared" ca="1" si="100"/>
        <v>49.317386283269023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1961030</v>
      </c>
      <c r="M333" s="176">
        <f ca="1">IFERROR(__xludf.DUMMYFUNCTION("IMPORTRANGE(""https://docs.google.com/spreadsheets/d/1Yj_ptqi66GCucihVvJfMjLAmec39IyEx_6qawtMGysU/edit?usp=sharing"",""สบก!DL20"")"),1117030)</f>
        <v>1117030</v>
      </c>
      <c r="N333" s="177">
        <f ca="1">IFERROR(__xludf.DUMMYFUNCTION("IMPORTRANGE(""https://docs.google.com/spreadsheets/d/1Yj_ptqi66GCucihVvJfMjLAmec39IyEx_6qawtMGysU/edit?usp=sharing"",""สบก!DM20"")"),550890)</f>
        <v>550890</v>
      </c>
      <c r="O333" s="178">
        <f ca="1">IF(L333&gt;0,N333*100/L333,0)</f>
        <v>28.09187008867789</v>
      </c>
      <c r="P333" s="178">
        <f ca="1">IF(M333&gt;0,N333*100/M333,0)</f>
        <v>49.317386283269023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IFERROR(__xludf.DUMMYFUNCTION("IMPORTRANGE(""https://docs.google.com/spreadsheets/d/1Yj_ptqi66GCucihVvJfMjLAmec39IyEx_6qawtMGysU/edit?usp=sharing"",""สบก!DH20"")"),607100)</f>
        <v>607100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IFERROR(__xludf.DUMMYFUNCTION("IMPORTRANGE(""https://docs.google.com/spreadsheets/d/1Yj_ptqi66GCucihVvJfMjLAmec39IyEx_6qawtMGysU/edit?usp=sharing"",""สบก!DI20"")"),1353930)</f>
        <v>1353930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IFERROR(__xludf.DUMMYFUNCTION("IMPORTRANGE(""https://docs.google.com/spreadsheets/d/1Yj_ptqi66GCucihVvJfMjLAmec39IyEx_6qawtMGysU/edit?usp=sharing"",""สบก!DJ20"")"),0)</f>
        <v>0</v>
      </c>
      <c r="M337" s="103"/>
      <c r="N337" s="93">
        <f ca="1">IFERROR(__xludf.DUMMYFUNCTION("IMPORTRANGE(""https://docs.google.com/spreadsheets/d/1Yj_ptqi66GCucihVvJfMjLAmec39IyEx_6qawtMGysU/edit?usp=sharing"",""สบก!DN20"")"),0)</f>
        <v>0</v>
      </c>
      <c r="O337" s="103">
        <f ca="1">IF(L337&gt;0,N337*100/L337,0)</f>
        <v>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IFERROR(__xludf.DUMMYFUNCTION("IMPORTRANGE(""https://docs.google.com/spreadsheets/d/11923uPwbBZFjjGgGUA6NLw09EwE0CqkOc4q9oUmW1yo/edit?usp=sharing"",""กำแพงเพชร!I234"")"),0)</f>
        <v>0</v>
      </c>
      <c r="J339" s="197">
        <f ca="1">IFERROR(__xludf.DUMMYFUNCTION("IMPORTRANGE(""https://docs.google.com/spreadsheets/d/11923uPwbBZFjjGgGUA6NLw09EwE0CqkOc4q9oUmW1yo/edit?usp=sharing"",""กำแพงเพชร!J234"")"),152)</f>
        <v>152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IFERROR(__xludf.DUMMYFUNCTION("IMPORTRANGE(""https://docs.google.com/spreadsheets/d/11923uPwbBZFjjGgGUA6NLw09EwE0CqkOc4q9oUmW1yo/edit?usp=sharing"",""กำแพงเพชร!I235"")"),8400)</f>
        <v>8400</v>
      </c>
      <c r="J340" s="197">
        <f ca="1">IFERROR(__xludf.DUMMYFUNCTION("IMPORTRANGE(""https://docs.google.com/spreadsheets/d/11923uPwbBZFjjGgGUA6NLw09EwE0CqkOc4q9oUmW1yo/edit?usp=sharing"",""กำแพงเพชร!J235"")"),1449.24)</f>
        <v>1449.24</v>
      </c>
      <c r="K340" s="350">
        <f t="shared" ca="1" si="103"/>
        <v>17.252857142857142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IFERROR(__xludf.DUMMYFUNCTION("IMPORTRANGE(""https://docs.google.com/spreadsheets/d/11923uPwbBZFjjGgGUA6NLw09EwE0CqkOc4q9oUmW1yo/edit?usp=sharing"",""กำแพงเพชร!I236"")"),943)</f>
        <v>943</v>
      </c>
      <c r="J341" s="197">
        <f ca="1">IFERROR(__xludf.DUMMYFUNCTION("IMPORTRANGE(""https://docs.google.com/spreadsheets/d/11923uPwbBZFjjGgGUA6NLw09EwE0CqkOc4q9oUmW1yo/edit?usp=sharing"",""กำแพงเพชร!J236"")"),73)</f>
        <v>73</v>
      </c>
      <c r="K341" s="350">
        <f t="shared" ca="1" si="103"/>
        <v>7.7412513255567337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IFERROR(__xludf.DUMMYFUNCTION("IMPORTRANGE(""https://docs.google.com/spreadsheets/d/11923uPwbBZFjjGgGUA6NLw09EwE0CqkOc4q9oUmW1yo/edit?usp=sharing"",""กำแพงเพชร!I237"")"),0)</f>
        <v>0</v>
      </c>
      <c r="J342" s="197">
        <f ca="1">IFERROR(__xludf.DUMMYFUNCTION("IMPORTRANGE(""https://docs.google.com/spreadsheets/d/11923uPwbBZFjjGgGUA6NLw09EwE0CqkOc4q9oUmW1yo/edit?usp=sharing"",""กำแพงเพชร!J237"")"),1110.04)</f>
        <v>1110.04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IFERROR(__xludf.DUMMYFUNCTION("IMPORTRANGE(""https://docs.google.com/spreadsheets/d/11923uPwbBZFjjGgGUA6NLw09EwE0CqkOc4q9oUmW1yo/edit?usp=sharing"",""กำแพงเพชร!I238"")"),943)</f>
        <v>943</v>
      </c>
      <c r="J343" s="197">
        <f ca="1">IFERROR(__xludf.DUMMYFUNCTION("IMPORTRANGE(""https://docs.google.com/spreadsheets/d/11923uPwbBZFjjGgGUA6NLw09EwE0CqkOc4q9oUmW1yo/edit?usp=sharing"",""กำแพงเพชร!J238"")"),0)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IFERROR(__xludf.DUMMYFUNCTION("IMPORTRANGE(""https://docs.google.com/spreadsheets/d/11923uPwbBZFjjGgGUA6NLw09EwE0CqkOc4q9oUmW1yo/edit?usp=sharing"",""กำแพงเพชร!I239"")"),0)</f>
        <v>0</v>
      </c>
      <c r="J344" s="197">
        <f ca="1">IFERROR(__xludf.DUMMYFUNCTION("IMPORTRANGE(""https://docs.google.com/spreadsheets/d/11923uPwbBZFjjGgGUA6NLw09EwE0CqkOc4q9oUmW1yo/edit?usp=sharing"",""กำแพงเพชร!J239"")"),0)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IFERROR(__xludf.DUMMYFUNCTION("IMPORTRANGE(""https://docs.google.com/spreadsheets/d/11923uPwbBZFjjGgGUA6NLw09EwE0CqkOc4q9oUmW1yo/edit?usp=sharing"",""กำแพงเพชร!I240"")"),943)</f>
        <v>943</v>
      </c>
      <c r="J345" s="197">
        <f ca="1">IFERROR(__xludf.DUMMYFUNCTION("IMPORTRANGE(""https://docs.google.com/spreadsheets/d/11923uPwbBZFjjGgGUA6NLw09EwE0CqkOc4q9oUmW1yo/edit?usp=sharing"",""กำแพงเพชร!J240"")"),0)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IFERROR(__xludf.DUMMYFUNCTION("IMPORTRANGE(""https://docs.google.com/spreadsheets/d/11923uPwbBZFjjGgGUA6NLw09EwE0CqkOc4q9oUmW1yo/edit?usp=sharing"",""กำแพงเพชร!I241"")"),0)</f>
        <v>0</v>
      </c>
      <c r="J346" s="197">
        <f ca="1">IFERROR(__xludf.DUMMYFUNCTION("IMPORTRANGE(""https://docs.google.com/spreadsheets/d/11923uPwbBZFjjGgGUA6NLw09EwE0CqkOc4q9oUmW1yo/edit?usp=sharing"",""กำแพงเพชร!J241"")"),0)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IFERROR(__xludf.DUMMYFUNCTION("IMPORTRANGE(""https://docs.google.com/spreadsheets/d/11923uPwbBZFjjGgGUA6NLw09EwE0CqkOc4q9oUmW1yo/edit?usp=sharing"",""กำแพงเพชร!L242"")"),3331736)</f>
        <v>3331736</v>
      </c>
      <c r="M347" s="366"/>
      <c r="N347" s="366">
        <f ca="1">IFERROR(__xludf.DUMMYFUNCTION("IMPORTRANGE(""https://docs.google.com/spreadsheets/d/11923uPwbBZFjjGgGUA6NLw09EwE0CqkOc4q9oUmW1yo/edit?usp=sharing"",""กำแพงเพชร!M242"")"),235328.669999999)</f>
        <v>235328.66999999899</v>
      </c>
      <c r="O347" s="366">
        <f ca="1">+IF(L347&gt;0,N347*100/L347,0)</f>
        <v>7.0632448069114417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IFERROR(__xludf.DUMMYFUNCTION("IMPORTRANGE(""https://docs.google.com/spreadsheets/d/11923uPwbBZFjjGgGUA6NLw09EwE0CqkOc4q9oUmW1yo/edit?usp=sharing"",""กำแพงเพชร!I244"")"),0)</f>
        <v>0</v>
      </c>
      <c r="J349" s="379">
        <f ca="1">IFERROR(__xludf.DUMMYFUNCTION("IMPORTRANGE(""https://docs.google.com/spreadsheets/d/11923uPwbBZFjjGgGUA6NLw09EwE0CqkOc4q9oUmW1yo/edit?usp=sharing"",""กำแพงเพชร!J244"")"),0)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IFERROR(__xludf.DUMMYFUNCTION("IMPORTRANGE(""https://docs.google.com/spreadsheets/d/11923uPwbBZFjjGgGUA6NLw09EwE0CqkOc4q9oUmW1yo/edit?usp=sharing"",""กำแพงเพชร!L244"")"),0)</f>
        <v>0</v>
      </c>
      <c r="M349" s="381"/>
      <c r="N349" s="381">
        <f ca="1">IFERROR(__xludf.DUMMYFUNCTION("IMPORTRANGE(""https://docs.google.com/spreadsheets/d/11923uPwbBZFjjGgGUA6NLw09EwE0CqkOc4q9oUmW1yo/edit?usp=sharing"",""กำแพงเพชร!M244"")"),0)</f>
        <v>0</v>
      </c>
      <c r="O349" s="381">
        <f ca="1">+IF(L349&gt;0,N349*100/L349,0)</f>
        <v>0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IFERROR(__xludf.DUMMYFUNCTION("IMPORTRANGE(""https://docs.google.com/spreadsheets/d/11923uPwbBZFjjGgGUA6NLw09EwE0CqkOc4q9oUmW1yo/edit?usp=sharing"",""กำแพงเพชร!I245"")"),0)</f>
        <v>0</v>
      </c>
      <c r="J350" s="379">
        <f ca="1">IFERROR(__xludf.DUMMYFUNCTION("IMPORTRANGE(""https://docs.google.com/spreadsheets/d/11923uPwbBZFjjGgGUA6NLw09EwE0CqkOc4q9oUmW1yo/edit?usp=sharing"",""กำแพงเพชร!J245"")"),0)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IFERROR(__xludf.DUMMYFUNCTION("IMPORTRANGE(""https://docs.google.com/spreadsheets/d/11923uPwbBZFjjGgGUA6NLw09EwE0CqkOc4q9oUmW1yo/edit?usp=sharing"",""กำแพงเพชร!L246"")"),0)</f>
        <v>0</v>
      </c>
      <c r="M351" s="172"/>
      <c r="N351" s="172">
        <f ca="1">IFERROR(__xludf.DUMMYFUNCTION("IMPORTRANGE(""https://docs.google.com/spreadsheets/d/11923uPwbBZFjjGgGUA6NLw09EwE0CqkOc4q9oUmW1yo/edit?usp=sharing"",""กำแพงเพชร!M246"")"),0)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IFERROR(__xludf.DUMMYFUNCTION("IMPORTRANGE(""https://docs.google.com/spreadsheets/d/11923uPwbBZFjjGgGUA6NLw09EwE0CqkOc4q9oUmW1yo/edit?usp=sharing"",""กำแพงเพชร!L247"")"),0)</f>
        <v>0</v>
      </c>
      <c r="M352" s="173"/>
      <c r="N352" s="172">
        <f ca="1">IFERROR(__xludf.DUMMYFUNCTION("IMPORTRANGE(""https://docs.google.com/spreadsheets/d/11923uPwbBZFjjGgGUA6NLw09EwE0CqkOc4q9oUmW1yo/edit?usp=sharing"",""กำแพงเพชร!M247"")"),0)</f>
        <v>0</v>
      </c>
      <c r="O352" s="173">
        <f t="shared" ca="1" si="105"/>
        <v>0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IFERROR(__xludf.DUMMYFUNCTION("IMPORTRANGE(""https://docs.google.com/spreadsheets/d/11923uPwbBZFjjGgGUA6NLw09EwE0CqkOc4q9oUmW1yo/edit?usp=sharing"",""กำแพงเพชร!L248"")"),0)</f>
        <v>0</v>
      </c>
      <c r="M353" s="178"/>
      <c r="N353" s="178">
        <f ca="1">IFERROR(__xludf.DUMMYFUNCTION("IMPORTRANGE(""https://docs.google.com/spreadsheets/d/11923uPwbBZFjjGgGUA6NLw09EwE0CqkOc4q9oUmW1yo/edit?usp=sharing"",""กำแพงเพชร!M248"")"),0)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IFERROR(__xludf.DUMMYFUNCTION("IMPORTRANGE(""https://docs.google.com/spreadsheets/d/11923uPwbBZFjjGgGUA6NLw09EwE0CqkOc4q9oUmW1yo/edit?usp=sharing"",""กำแพงเพชร!L249"")"),0)</f>
        <v>0</v>
      </c>
      <c r="M354" s="178"/>
      <c r="N354" s="175">
        <f ca="1">IFERROR(__xludf.DUMMYFUNCTION("IMPORTRANGE(""https://docs.google.com/spreadsheets/d/11923uPwbBZFjjGgGUA6NLw09EwE0CqkOc4q9oUmW1yo/edit?usp=sharing"",""กำแพงเพชร!M249"")"),0)</f>
        <v>0</v>
      </c>
      <c r="O354" s="178">
        <f t="shared" ca="1" si="105"/>
        <v>0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IFERROR(__xludf.DUMMYFUNCTION("IMPORTRANGE(""https://docs.google.com/spreadsheets/d/11923uPwbBZFjjGgGUA6NLw09EwE0CqkOc4q9oUmW1yo/edit?usp=sharing"",""กำแพงเพชร!M250"")"),0)</f>
        <v>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IFERROR(__xludf.DUMMYFUNCTION("IMPORTRANGE(""https://docs.google.com/spreadsheets/d/11923uPwbBZFjjGgGUA6NLw09EwE0CqkOc4q9oUmW1yo/edit?usp=sharing"",""กำแพงเพชร!M251"")"),0)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IFERROR(__xludf.DUMMYFUNCTION("IMPORTRANGE(""https://docs.google.com/spreadsheets/d/11923uPwbBZFjjGgGUA6NLw09EwE0CqkOc4q9oUmW1yo/edit?usp=sharing"",""กำแพงเพชร!M252"")"),0)</f>
        <v>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IFERROR(__xludf.DUMMYFUNCTION("IMPORTRANGE(""https://docs.google.com/spreadsheets/d/11923uPwbBZFjjGgGUA6NLw09EwE0CqkOc4q9oUmW1yo/edit?usp=sharing"",""กำแพงเพชร!M253"")"),0)</f>
        <v>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IFERROR(__xludf.DUMMYFUNCTION("IMPORTRANGE(""https://docs.google.com/spreadsheets/d/11923uPwbBZFjjGgGUA6NLw09EwE0CqkOc4q9oUmW1yo/edit?usp=sharing"",""กำแพงเพชร!J255"")"),0)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IFERROR(__xludf.DUMMYFUNCTION("IMPORTRANGE(""https://docs.google.com/spreadsheets/d/11923uPwbBZFjjGgGUA6NLw09EwE0CqkOc4q9oUmW1yo/edit?usp=sharing"",""กำแพงเพชร!J256"")"),0)</f>
        <v>0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IFERROR(__xludf.DUMMYFUNCTION("IMPORTRANGE(""https://docs.google.com/spreadsheets/d/11923uPwbBZFjjGgGUA6NLw09EwE0CqkOc4q9oUmW1yo/edit?usp=sharing"",""กำแพงเพชร!J257"")"),0)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IFERROR(__xludf.DUMMYFUNCTION("IMPORTRANGE(""https://docs.google.com/spreadsheets/d/11923uPwbBZFjjGgGUA6NLw09EwE0CqkOc4q9oUmW1yo/edit?usp=sharing"",""กำแพงเพชร!J258"")"),0)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IFERROR(__xludf.DUMMYFUNCTION("IMPORTRANGE(""https://docs.google.com/spreadsheets/d/11923uPwbBZFjjGgGUA6NLw09EwE0CqkOc4q9oUmW1yo/edit?usp=sharing"",""กำแพงเพชร!J166"")"),0)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IFERROR(__xludf.DUMMYFUNCTION("IMPORTRANGE(""https://docs.google.com/spreadsheets/d/11923uPwbBZFjjGgGUA6NLw09EwE0CqkOc4q9oUmW1yo/edit?usp=sharing"",""กำแพงเพชร!J166"")"),0)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IFERROR(__xludf.DUMMYFUNCTION("IMPORTRANGE(""https://docs.google.com/spreadsheets/d/11923uPwbBZFjjGgGUA6NLw09EwE0CqkOc4q9oUmW1yo/edit?usp=sharing"",""กำแพงเพชร!J166"")"),0)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IFERROR(__xludf.DUMMYFUNCTION("IMPORTRANGE(""https://docs.google.com/spreadsheets/d/11923uPwbBZFjjGgGUA6NLw09EwE0CqkOc4q9oUmW1yo/edit?usp=sharing"",""กำแพงเพชร!J166"")"),0)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IFERROR(__xludf.DUMMYFUNCTION("IMPORTRANGE(""https://docs.google.com/spreadsheets/d/11923uPwbBZFjjGgGUA6NLw09EwE0CqkOc4q9oUmW1yo/edit?usp=sharing"",""กำแพงเพชร!I263"")"),0)</f>
        <v>0</v>
      </c>
      <c r="J368" s="197">
        <f ca="1">IFERROR(__xludf.DUMMYFUNCTION("IMPORTRANGE(""https://docs.google.com/spreadsheets/d/11923uPwbBZFjjGgGUA6NLw09EwE0CqkOc4q9oUmW1yo/edit?usp=sharing"",""กำแพงเพชร!J263"")"),0)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IFERROR(__xludf.DUMMYFUNCTION("IMPORTRANGE(""https://docs.google.com/spreadsheets/d/11923uPwbBZFjjGgGUA6NLw09EwE0CqkOc4q9oUmW1yo/edit?usp=sharing"",""กำแพงเพชร!I164"")"),0)</f>
        <v>0</v>
      </c>
      <c r="J369" s="213">
        <f ca="1">IFERROR(__xludf.DUMMYFUNCTION("IMPORTRANGE(""https://docs.google.com/spreadsheets/d/11923uPwbBZFjjGgGUA6NLw09EwE0CqkOc4q9oUmW1yo/edit?usp=sharing"",""กำแพงเพชร!J164"")"),0)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IFERROR(__xludf.DUMMYFUNCTION("IMPORTRANGE(""https://docs.google.com/spreadsheets/d/11923uPwbBZFjjGgGUA6NLw09EwE0CqkOc4q9oUmW1yo/edit?usp=sharing"",""กำแพงเพชร!I265"")"),0)</f>
        <v>0</v>
      </c>
      <c r="J370" s="213">
        <f ca="1">IFERROR(__xludf.DUMMYFUNCTION("IMPORTRANGE(""https://docs.google.com/spreadsheets/d/11923uPwbBZFjjGgGUA6NLw09EwE0CqkOc4q9oUmW1yo/edit?usp=sharing"",""กำแพงเพชร!J265"")"),0)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IFERROR(__xludf.DUMMYFUNCTION("IMPORTRANGE(""https://docs.google.com/spreadsheets/d/11923uPwbBZFjjGgGUA6NLw09EwE0CqkOc4q9oUmW1yo/edit?usp=sharing"",""กำแพงเพชร!I164"")"),0)</f>
        <v>0</v>
      </c>
      <c r="J371" s="198">
        <f ca="1">IFERROR(__xludf.DUMMYFUNCTION("IMPORTRANGE(""https://docs.google.com/spreadsheets/d/11923uPwbBZFjjGgGUA6NLw09EwE0CqkOc4q9oUmW1yo/edit?usp=sharing"",""กำแพงเพชร!J164"")"),0)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IFERROR(__xludf.DUMMYFUNCTION("IMPORTRANGE(""https://docs.google.com/spreadsheets/d/11923uPwbBZFjjGgGUA6NLw09EwE0CqkOc4q9oUmW1yo/edit?usp=sharing"",""กำแพงเพชร!I267"")"),0)</f>
        <v>0</v>
      </c>
      <c r="J372" s="198">
        <f ca="1">IFERROR(__xludf.DUMMYFUNCTION("IMPORTRANGE(""https://docs.google.com/spreadsheets/d/11923uPwbBZFjjGgGUA6NLw09EwE0CqkOc4q9oUmW1yo/edit?usp=sharing"",""กำแพงเพชร!J267"")"),0)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IFERROR(__xludf.DUMMYFUNCTION("IMPORTRANGE(""https://docs.google.com/spreadsheets/d/11923uPwbBZFjjGgGUA6NLw09EwE0CqkOc4q9oUmW1yo/edit?usp=sharing"",""กำแพงเพชร!I164"")"),0)</f>
        <v>0</v>
      </c>
      <c r="J373" s="213">
        <f ca="1">IFERROR(__xludf.DUMMYFUNCTION("IMPORTRANGE(""https://docs.google.com/spreadsheets/d/11923uPwbBZFjjGgGUA6NLw09EwE0CqkOc4q9oUmW1yo/edit?usp=sharing"",""กำแพงเพชร!J164"")"),0)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IFERROR(__xludf.DUMMYFUNCTION("IMPORTRANGE(""https://docs.google.com/spreadsheets/d/11923uPwbBZFjjGgGUA6NLw09EwE0CqkOc4q9oUmW1yo/edit?usp=sharing"",""กำแพงเพชร!I164"")"),0)</f>
        <v>0</v>
      </c>
      <c r="J374" s="197">
        <f ca="1">IFERROR(__xludf.DUMMYFUNCTION("IMPORTRANGE(""https://docs.google.com/spreadsheets/d/11923uPwbBZFjjGgGUA6NLw09EwE0CqkOc4q9oUmW1yo/edit?usp=sharing"",""กำแพงเพชร!J164"")"),0)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IFERROR(__xludf.DUMMYFUNCTION("IMPORTRANGE(""https://docs.google.com/spreadsheets/d/11923uPwbBZFjjGgGUA6NLw09EwE0CqkOc4q9oUmW1yo/edit?usp=sharing"",""กำแพงเพชร!I270"")"),0)</f>
        <v>0</v>
      </c>
      <c r="J375" s="197">
        <f ca="1">IFERROR(__xludf.DUMMYFUNCTION("IMPORTRANGE(""https://docs.google.com/spreadsheets/d/11923uPwbBZFjjGgGUA6NLw09EwE0CqkOc4q9oUmW1yo/edit?usp=sharing"",""กำแพงเพชร!J270"")"),0)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IFERROR(__xludf.DUMMYFUNCTION("IMPORTRANGE(""https://docs.google.com/spreadsheets/d/11923uPwbBZFjjGgGUA6NLw09EwE0CqkOc4q9oUmW1yo/edit?usp=sharing"",""กำแพงเพชร!I271"")"),0)</f>
        <v>0</v>
      </c>
      <c r="J376" s="198">
        <f ca="1">IFERROR(__xludf.DUMMYFUNCTION("IMPORTRANGE(""https://docs.google.com/spreadsheets/d/11923uPwbBZFjjGgGUA6NLw09EwE0CqkOc4q9oUmW1yo/edit?usp=sharing"",""กำแพงเพชร!J271"")"),0)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IFERROR(__xludf.DUMMYFUNCTION("IMPORTRANGE(""https://docs.google.com/spreadsheets/d/11923uPwbBZFjjGgGUA6NLw09EwE0CqkOc4q9oUmW1yo/edit?usp=sharing"",""กำแพงเพชร!I272"")"),0)</f>
        <v>0</v>
      </c>
      <c r="J377" s="213">
        <f ca="1">IFERROR(__xludf.DUMMYFUNCTION("IMPORTRANGE(""https://docs.google.com/spreadsheets/d/11923uPwbBZFjjGgGUA6NLw09EwE0CqkOc4q9oUmW1yo/edit?usp=sharing"",""กำแพงเพชร!J272"")"),0)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IFERROR(__xludf.DUMMYFUNCTION("IMPORTRANGE(""https://docs.google.com/spreadsheets/d/11923uPwbBZFjjGgGUA6NLw09EwE0CqkOc4q9oUmW1yo/edit?usp=sharing"",""กำแพงเพชร!J273"")"),0)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IFERROR(__xludf.DUMMYFUNCTION("IMPORTRANGE(""https://docs.google.com/spreadsheets/d/11923uPwbBZFjjGgGUA6NLw09EwE0CqkOc4q9oUmW1yo/edit?usp=sharing"",""กำแพงเพชร!J274"")"),0)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IFERROR(__xludf.DUMMYFUNCTION("IMPORTRANGE(""https://docs.google.com/spreadsheets/d/11923uPwbBZFjjGgGUA6NLw09EwE0CqkOc4q9oUmW1yo/edit?usp=sharing"",""กำแพงเพชร!I275"")"),1000)</f>
        <v>1000</v>
      </c>
      <c r="J380" s="379">
        <f ca="1">IFERROR(__xludf.DUMMYFUNCTION("IMPORTRANGE(""https://docs.google.com/spreadsheets/d/11923uPwbBZFjjGgGUA6NLw09EwE0CqkOc4q9oUmW1yo/edit?usp=sharing"",""กำแพงเพชร!J275"")"),0)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IFERROR(__xludf.DUMMYFUNCTION("IMPORTRANGE(""https://docs.google.com/spreadsheets/d/11923uPwbBZFjjGgGUA6NLw09EwE0CqkOc4q9oUmW1yo/edit?usp=sharing"",""กำแพงเพชร!L275"")"),1028520)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IFERROR(__xludf.DUMMYFUNCTION("IMPORTRANGE(""https://docs.google.com/spreadsheets/d/11923uPwbBZFjjGgGUA6NLw09EwE0CqkOc4q9oUmW1yo/edit?usp=sharing"",""กำแพงเพชร!M275"")"),103332)</f>
        <v>103332</v>
      </c>
      <c r="O380" s="381">
        <f ca="1">+IF(L380&gt;0,N380*100/L380,0)</f>
        <v>10.046669000116673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IFERROR(__xludf.DUMMYFUNCTION("IMPORTRANGE(""https://docs.google.com/spreadsheets/d/11923uPwbBZFjjGgGUA6NLw09EwE0CqkOc4q9oUmW1yo/edit?usp=sharing"",""กำแพงเพชร!I276"")"),100)</f>
        <v>100</v>
      </c>
      <c r="J381" s="379">
        <f ca="1">IFERROR(__xludf.DUMMYFUNCTION("IMPORTRANGE(""https://docs.google.com/spreadsheets/d/11923uPwbBZFjjGgGUA6NLw09EwE0CqkOc4q9oUmW1yo/edit?usp=sharing"",""กำแพงเพชร!J276"")"),100)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IFERROR(__xludf.DUMMYFUNCTION("IMPORTRANGE(""https://docs.google.com/spreadsheets/d/11923uPwbBZFjjGgGUA6NLw09EwE0CqkOc4q9oUmW1yo/edit?usp=sharing"",""กำแพงเพชร!L277"")"),0)</f>
        <v>0</v>
      </c>
      <c r="M382" s="172"/>
      <c r="N382" s="172">
        <f ca="1">IFERROR(__xludf.DUMMYFUNCTION("IMPORTRANGE(""https://docs.google.com/spreadsheets/d/11923uPwbBZFjjGgGUA6NLw09EwE0CqkOc4q9oUmW1yo/edit?usp=sharing"",""กำแพงเพชร!M277"")"),0)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IFERROR(__xludf.DUMMYFUNCTION("IMPORTRANGE(""https://docs.google.com/spreadsheets/d/11923uPwbBZFjjGgGUA6NLw09EwE0CqkOc4q9oUmW1yo/edit?usp=sharing"",""กำแพงเพชร!L278"")"),1028520)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IFERROR(__xludf.DUMMYFUNCTION("IMPORTRANGE(""https://docs.google.com/spreadsheets/d/11923uPwbBZFjjGgGUA6NLw09EwE0CqkOc4q9oUmW1yo/edit?usp=sharing"",""กำแพงเพชร!M278"")"),103332)</f>
        <v>103332</v>
      </c>
      <c r="O383" s="173">
        <f t="shared" ca="1" si="109"/>
        <v>10.046669000116673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IFERROR(__xludf.DUMMYFUNCTION("IMPORTRANGE(""https://docs.google.com/spreadsheets/d/11923uPwbBZFjjGgGUA6NLw09EwE0CqkOc4q9oUmW1yo/edit?usp=sharing"",""กำแพงเพชร!L279"")"),0)</f>
        <v>0</v>
      </c>
      <c r="M384" s="178"/>
      <c r="N384" s="178">
        <f ca="1">IFERROR(__xludf.DUMMYFUNCTION("IMPORTRANGE(""https://docs.google.com/spreadsheets/d/11923uPwbBZFjjGgGUA6NLw09EwE0CqkOc4q9oUmW1yo/edit?usp=sharing"",""กำแพงเพชร!M279"")"),0)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IFERROR(__xludf.DUMMYFUNCTION("IMPORTRANGE(""https://docs.google.com/spreadsheets/d/11923uPwbBZFjjGgGUA6NLw09EwE0CqkOc4q9oUmW1yo/edit?usp=sharing"",""กำแพงเพชร!L280"")"),1028520)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IFERROR(__xludf.DUMMYFUNCTION("IMPORTRANGE(""https://docs.google.com/spreadsheets/d/11923uPwbBZFjjGgGUA6NLw09EwE0CqkOc4q9oUmW1yo/edit?usp=sharing"",""กำแพงเพชร!M280"")"),103332)</f>
        <v>103332</v>
      </c>
      <c r="O385" s="178">
        <f t="shared" ca="1" si="109"/>
        <v>10.046669000116673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IFERROR(__xludf.DUMMYFUNCTION("IMPORTRANGE(""https://docs.google.com/spreadsheets/d/11923uPwbBZFjjGgGUA6NLw09EwE0CqkOc4q9oUmW1yo/edit?usp=sharing"",""กำแพงเพชร!M281"")"),81332)</f>
        <v>81332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IFERROR(__xludf.DUMMYFUNCTION("IMPORTRANGE(""https://docs.google.com/spreadsheets/d/11923uPwbBZFjjGgGUA6NLw09EwE0CqkOc4q9oUmW1yo/edit?usp=sharing"",""กำแพงเพชร!M282"")"),0)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IFERROR(__xludf.DUMMYFUNCTION("IMPORTRANGE(""https://docs.google.com/spreadsheets/d/11923uPwbBZFjjGgGUA6NLw09EwE0CqkOc4q9oUmW1yo/edit?usp=sharing"",""กำแพงเพชร!M283"")"),22000)</f>
        <v>22000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IFERROR(__xludf.DUMMYFUNCTION("IMPORTRANGE(""https://docs.google.com/spreadsheets/d/11923uPwbBZFjjGgGUA6NLw09EwE0CqkOc4q9oUmW1yo/edit?usp=sharing"",""กำแพงเพชร!M284"")"),0)</f>
        <v>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IFERROR(__xludf.DUMMYFUNCTION("IMPORTRANGE(""https://docs.google.com/spreadsheets/d/11923uPwbBZFjjGgGUA6NLw09EwE0CqkOc4q9oUmW1yo/edit?usp=sharing"",""กำแพงเพชร!J286"")"),0)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IFERROR(__xludf.DUMMYFUNCTION("IMPORTRANGE(""https://docs.google.com/spreadsheets/d/11923uPwbBZFjjGgGUA6NLw09EwE0CqkOc4q9oUmW1yo/edit?usp=sharing"",""กำแพงเพชร!J287"")"),1)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IFERROR(__xludf.DUMMYFUNCTION("IMPORTRANGE(""https://docs.google.com/spreadsheets/d/11923uPwbBZFjjGgGUA6NLw09EwE0CqkOc4q9oUmW1yo/edit?usp=sharing"",""กำแพงเพชร!J288"")"),1)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IFERROR(__xludf.DUMMYFUNCTION("IMPORTRANGE(""https://docs.google.com/spreadsheets/d/11923uPwbBZFjjGgGUA6NLw09EwE0CqkOc4q9oUmW1yo/edit?usp=sharing"",""กำแพงเพชร!J289"")"),1)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IFERROR(__xludf.DUMMYFUNCTION("IMPORTRANGE(""https://docs.google.com/spreadsheets/d/11923uPwbBZFjjGgGUA6NLw09EwE0CqkOc4q9oUmW1yo/edit?usp=sharing"",""กำแพงเพชร!I291"")"),100)</f>
        <v>100</v>
      </c>
      <c r="J396" s="207">
        <f ca="1">IFERROR(__xludf.DUMMYFUNCTION("IMPORTRANGE(""https://docs.google.com/spreadsheets/d/11923uPwbBZFjjGgGUA6NLw09EwE0CqkOc4q9oUmW1yo/edit?usp=sharing"",""กำแพงเพชร!J291"")"),100)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IFERROR(__xludf.DUMMYFUNCTION("IMPORTRANGE(""https://docs.google.com/spreadsheets/d/11923uPwbBZFjjGgGUA6NLw09EwE0CqkOc4q9oUmW1yo/edit?usp=sharing"",""กำแพงเพชร!I292"")"),1000)</f>
        <v>1000</v>
      </c>
      <c r="J397" s="207">
        <f ca="1">IFERROR(__xludf.DUMMYFUNCTION("IMPORTRANGE(""https://docs.google.com/spreadsheets/d/11923uPwbBZFjjGgGUA6NLw09EwE0CqkOc4q9oUmW1yo/edit?usp=sharing"",""กำแพงเพชร!J292"")"),0)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IFERROR(__xludf.DUMMYFUNCTION("IMPORTRANGE(""https://docs.google.com/spreadsheets/d/11923uPwbBZFjjGgGUA6NLw09EwE0CqkOc4q9oUmW1yo/edit?usp=sharing"",""กำแพงเพชร!I293"")"),100)</f>
        <v>100</v>
      </c>
      <c r="J398" s="207">
        <f ca="1">IFERROR(__xludf.DUMMYFUNCTION("IMPORTRANGE(""https://docs.google.com/spreadsheets/d/11923uPwbBZFjjGgGUA6NLw09EwE0CqkOc4q9oUmW1yo/edit?usp=sharing"",""กำแพงเพชร!J293"")"),0)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IFERROR(__xludf.DUMMYFUNCTION("IMPORTRANGE(""https://docs.google.com/spreadsheets/d/11923uPwbBZFjjGgGUA6NLw09EwE0CqkOc4q9oUmW1yo/edit?usp=sharing"",""กำแพงเพชร!J294"")"),0)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IFERROR(__xludf.DUMMYFUNCTION("IMPORTRANGE(""https://docs.google.com/spreadsheets/d/11923uPwbBZFjjGgGUA6NLw09EwE0CqkOc4q9oUmW1yo/edit?usp=sharing"",""กำแพงเพชร!J295"")"),0)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IFERROR(__xludf.DUMMYFUNCTION("IMPORTRANGE(""https://docs.google.com/spreadsheets/d/11923uPwbBZFjjGgGUA6NLw09EwE0CqkOc4q9oUmW1yo/edit?usp=sharing"",""กำแพงเพชร!I296"")"),135)</f>
        <v>135</v>
      </c>
      <c r="J401" s="379">
        <f ca="1">IFERROR(__xludf.DUMMYFUNCTION("IMPORTRANGE(""https://docs.google.com/spreadsheets/d/11923uPwbBZFjjGgGUA6NLw09EwE0CqkOc4q9oUmW1yo/edit?usp=sharing"",""กำแพงเพชร!J296"")"),0)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IFERROR(__xludf.DUMMYFUNCTION("IMPORTRANGE(""https://docs.google.com/spreadsheets/d/11923uPwbBZFjjGgGUA6NLw09EwE0CqkOc4q9oUmW1yo/edit?usp=sharing"",""กำแพงเพชร!L296"")"),159950)</f>
        <v>159950</v>
      </c>
      <c r="M401" s="381"/>
      <c r="N401" s="381">
        <f ca="1">IFERROR(__xludf.DUMMYFUNCTION("IMPORTRANGE(""https://docs.google.com/spreadsheets/d/11923uPwbBZFjjGgGUA6NLw09EwE0CqkOc4q9oUmW1yo/edit?usp=sharing"",""กำแพงเพชร!M296"")"),0)</f>
        <v>0</v>
      </c>
      <c r="O401" s="381">
        <f ca="1">+IF(L401&gt;0,N401*100/L401,0)</f>
        <v>0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IFERROR(__xludf.DUMMYFUNCTION("IMPORTRANGE(""https://docs.google.com/spreadsheets/d/11923uPwbBZFjjGgGUA6NLw09EwE0CqkOc4q9oUmW1yo/edit?usp=sharing"",""กำแพงเพชร!I297"")"),45)</f>
        <v>45</v>
      </c>
      <c r="J402" s="379">
        <f ca="1">IFERROR(__xludf.DUMMYFUNCTION("IMPORTRANGE(""https://docs.google.com/spreadsheets/d/11923uPwbBZFjjGgGUA6NLw09EwE0CqkOc4q9oUmW1yo/edit?usp=sharing"",""กำแพงเพชร!J297"")"),0)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IFERROR(__xludf.DUMMYFUNCTION("IMPORTRANGE(""https://docs.google.com/spreadsheets/d/11923uPwbBZFjjGgGUA6NLw09EwE0CqkOc4q9oUmW1yo/edit?usp=sharing"",""กำแพงเพชร!L298"")"),0)</f>
        <v>0</v>
      </c>
      <c r="M403" s="172"/>
      <c r="N403" s="178">
        <f ca="1">IFERROR(__xludf.DUMMYFUNCTION("IMPORTRANGE(""https://docs.google.com/spreadsheets/d/11923uPwbBZFjjGgGUA6NLw09EwE0CqkOc4q9oUmW1yo/edit?usp=sharing"",""กำแพงเพชร!M298"")"),0)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IFERROR(__xludf.DUMMYFUNCTION("IMPORTRANGE(""https://docs.google.com/spreadsheets/d/11923uPwbBZFjjGgGUA6NLw09EwE0CqkOc4q9oUmW1yo/edit?usp=sharing"",""กำแพงเพชร!L299"")"),159950)</f>
        <v>159950</v>
      </c>
      <c r="M404" s="173"/>
      <c r="N404" s="178">
        <f ca="1">IFERROR(__xludf.DUMMYFUNCTION("IMPORTRANGE(""https://docs.google.com/spreadsheets/d/11923uPwbBZFjjGgGUA6NLw09EwE0CqkOc4q9oUmW1yo/edit?usp=sharing"",""กำแพงเพชร!M299"")"),0)</f>
        <v>0</v>
      </c>
      <c r="O404" s="178">
        <f t="shared" ca="1" si="112"/>
        <v>0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IFERROR(__xludf.DUMMYFUNCTION("IMPORTRANGE(""https://docs.google.com/spreadsheets/d/11923uPwbBZFjjGgGUA6NLw09EwE0CqkOc4q9oUmW1yo/edit?usp=sharing"",""กำแพงเพชร!L300"")"),0)</f>
        <v>0</v>
      </c>
      <c r="M405" s="178"/>
      <c r="N405" s="178">
        <f ca="1">IFERROR(__xludf.DUMMYFUNCTION("IMPORTRANGE(""https://docs.google.com/spreadsheets/d/11923uPwbBZFjjGgGUA6NLw09EwE0CqkOc4q9oUmW1yo/edit?usp=sharing"",""กำแพงเพชร!M300"")"),0)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IFERROR(__xludf.DUMMYFUNCTION("IMPORTRANGE(""https://docs.google.com/spreadsheets/d/11923uPwbBZFjjGgGUA6NLw09EwE0CqkOc4q9oUmW1yo/edit?usp=sharing"",""กำแพงเพชร!L301"")"),159950)</f>
        <v>159950</v>
      </c>
      <c r="M406" s="178"/>
      <c r="N406" s="178">
        <f ca="1">IFERROR(__xludf.DUMMYFUNCTION("IMPORTRANGE(""https://docs.google.com/spreadsheets/d/11923uPwbBZFjjGgGUA6NLw09EwE0CqkOc4q9oUmW1yo/edit?usp=sharing"",""กำแพงเพชร!M301"")"),0)</f>
        <v>0</v>
      </c>
      <c r="O406" s="178">
        <f t="shared" ca="1" si="112"/>
        <v>0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IFERROR(__xludf.DUMMYFUNCTION("IMPORTRANGE(""https://docs.google.com/spreadsheets/d/11923uPwbBZFjjGgGUA6NLw09EwE0CqkOc4q9oUmW1yo/edit?usp=sharing"",""กำแพงเพชร!M302"")"),0)</f>
        <v>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IFERROR(__xludf.DUMMYFUNCTION("IMPORTRANGE(""https://docs.google.com/spreadsheets/d/11923uPwbBZFjjGgGUA6NLw09EwE0CqkOc4q9oUmW1yo/edit?usp=sharing"",""กำแพงเพชร!M303"")"),0)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IFERROR(__xludf.DUMMYFUNCTION("IMPORTRANGE(""https://docs.google.com/spreadsheets/d/11923uPwbBZFjjGgGUA6NLw09EwE0CqkOc4q9oUmW1yo/edit?usp=sharing"",""กำแพงเพชร!M304"")"),0)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IFERROR(__xludf.DUMMYFUNCTION("IMPORTRANGE(""https://docs.google.com/spreadsheets/d/11923uPwbBZFjjGgGUA6NLw09EwE0CqkOc4q9oUmW1yo/edit?usp=sharing"",""กำแพงเพชร!M305"")"),0)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IFERROR(__xludf.DUMMYFUNCTION("IMPORTRANGE(""https://docs.google.com/spreadsheets/d/11923uPwbBZFjjGgGUA6NLw09EwE0CqkOc4q9oUmW1yo/edit?usp=sharing"",""กำแพงเพชร!J307"")"),0)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IFERROR(__xludf.DUMMYFUNCTION("IMPORTRANGE(""https://docs.google.com/spreadsheets/d/11923uPwbBZFjjGgGUA6NLw09EwE0CqkOc4q9oUmW1yo/edit?usp=sharing"",""กำแพงเพชร!J308"")"),1)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IFERROR(__xludf.DUMMYFUNCTION("IMPORTRANGE(""https://docs.google.com/spreadsheets/d/11923uPwbBZFjjGgGUA6NLw09EwE0CqkOc4q9oUmW1yo/edit?usp=sharing"",""กำแพงเพชร!J309"")"),1)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IFERROR(__xludf.DUMMYFUNCTION("IMPORTRANGE(""https://docs.google.com/spreadsheets/d/11923uPwbBZFjjGgGUA6NLw09EwE0CqkOc4q9oUmW1yo/edit?usp=sharing"",""กำแพงเพชร!J310"")"),0)</f>
        <v>0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IFERROR(__xludf.DUMMYFUNCTION("IMPORTRANGE(""https://docs.google.com/spreadsheets/d/11923uPwbBZFjjGgGUA6NLw09EwE0CqkOc4q9oUmW1yo/edit?usp=sharing"",""กำแพงเพชร!I311"")"),45)</f>
        <v>45</v>
      </c>
      <c r="J416" s="210">
        <f ca="1">IFERROR(__xludf.DUMMYFUNCTION("IMPORTRANGE(""https://docs.google.com/spreadsheets/d/11923uPwbBZFjjGgGUA6NLw09EwE0CqkOc4q9oUmW1yo/edit?usp=sharing"",""กำแพงเพชร!J311"")"),0)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IFERROR(__xludf.DUMMYFUNCTION("IMPORTRANGE(""https://docs.google.com/spreadsheets/d/11923uPwbBZFjjGgGUA6NLw09EwE0CqkOc4q9oUmW1yo/edit?usp=sharing"",""กำแพงเพชร!I312"")"),10)</f>
        <v>10</v>
      </c>
      <c r="J417" s="400">
        <f ca="1">IFERROR(__xludf.DUMMYFUNCTION("IMPORTRANGE(""https://docs.google.com/spreadsheets/d/11923uPwbBZFjjGgGUA6NLw09EwE0CqkOc4q9oUmW1yo/edit?usp=sharing"",""กำแพงเพชร!J312"")"),0)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IFERROR(__xludf.DUMMYFUNCTION("IMPORTRANGE(""https://docs.google.com/spreadsheets/d/11923uPwbBZFjjGgGUA6NLw09EwE0CqkOc4q9oUmW1yo/edit?usp=sharing"",""กำแพงเพชร!I313"")"),30)</f>
        <v>30</v>
      </c>
      <c r="J418" s="401">
        <f ca="1">IFERROR(__xludf.DUMMYFUNCTION("IMPORTRANGE(""https://docs.google.com/spreadsheets/d/11923uPwbBZFjjGgGUA6NLw09EwE0CqkOc4q9oUmW1yo/edit?usp=sharing"",""กำแพงเพชร!J313"")"),0)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IFERROR(__xludf.DUMMYFUNCTION("IMPORTRANGE(""https://docs.google.com/spreadsheets/d/11923uPwbBZFjjGgGUA6NLw09EwE0CqkOc4q9oUmW1yo/edit?usp=sharing"",""กำแพงเพชร!I314"")"),10)</f>
        <v>10</v>
      </c>
      <c r="J419" s="402">
        <f ca="1">IFERROR(__xludf.DUMMYFUNCTION("IMPORTRANGE(""https://docs.google.com/spreadsheets/d/11923uPwbBZFjjGgGUA6NLw09EwE0CqkOc4q9oUmW1yo/edit?usp=sharing"",""กำแพงเพชร!J314"")"),0)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IFERROR(__xludf.DUMMYFUNCTION("IMPORTRANGE(""https://docs.google.com/spreadsheets/d/11923uPwbBZFjjGgGUA6NLw09EwE0CqkOc4q9oUmW1yo/edit?usp=sharing"",""กำแพงเพชร!I315"")"),10)</f>
        <v>10</v>
      </c>
      <c r="J420" s="402">
        <f ca="1">IFERROR(__xludf.DUMMYFUNCTION("IMPORTRANGE(""https://docs.google.com/spreadsheets/d/11923uPwbBZFjjGgGUA6NLw09EwE0CqkOc4q9oUmW1yo/edit?usp=sharing"",""กำแพงเพชร!J315"")"),0)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IFERROR(__xludf.DUMMYFUNCTION("IMPORTRANGE(""https://docs.google.com/spreadsheets/d/11923uPwbBZFjjGgGUA6NLw09EwE0CqkOc4q9oUmW1yo/edit?usp=sharing"",""กำแพงเพชร!I316"")"),25)</f>
        <v>25</v>
      </c>
      <c r="J421" s="400">
        <f ca="1">IFERROR(__xludf.DUMMYFUNCTION("IMPORTRANGE(""https://docs.google.com/spreadsheets/d/11923uPwbBZFjjGgGUA6NLw09EwE0CqkOc4q9oUmW1yo/edit?usp=sharing"",""กำแพงเพชร!J316"")"),0)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IFERROR(__xludf.DUMMYFUNCTION("IMPORTRANGE(""https://docs.google.com/spreadsheets/d/11923uPwbBZFjjGgGUA6NLw09EwE0CqkOc4q9oUmW1yo/edit?usp=sharing"",""กำแพงเพชร!I317"")"),75)</f>
        <v>75</v>
      </c>
      <c r="J422" s="401">
        <f ca="1">IFERROR(__xludf.DUMMYFUNCTION("IMPORTRANGE(""https://docs.google.com/spreadsheets/d/11923uPwbBZFjjGgGUA6NLw09EwE0CqkOc4q9oUmW1yo/edit?usp=sharing"",""กำแพงเพชร!J317"")"),0)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IFERROR(__xludf.DUMMYFUNCTION("IMPORTRANGE(""https://docs.google.com/spreadsheets/d/11923uPwbBZFjjGgGUA6NLw09EwE0CqkOc4q9oUmW1yo/edit?usp=sharing"",""กำแพงเพชร!I318"")"),25)</f>
        <v>25</v>
      </c>
      <c r="J423" s="402">
        <f ca="1">IFERROR(__xludf.DUMMYFUNCTION("IMPORTRANGE(""https://docs.google.com/spreadsheets/d/11923uPwbBZFjjGgGUA6NLw09EwE0CqkOc4q9oUmW1yo/edit?usp=sharing"",""กำแพงเพชร!J318"")"),0)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IFERROR(__xludf.DUMMYFUNCTION("IMPORTRANGE(""https://docs.google.com/spreadsheets/d/11923uPwbBZFjjGgGUA6NLw09EwE0CqkOc4q9oUmW1yo/edit?usp=sharing"",""กำแพงเพชร!I319"")"),25)</f>
        <v>25</v>
      </c>
      <c r="J424" s="402">
        <f ca="1">IFERROR(__xludf.DUMMYFUNCTION("IMPORTRANGE(""https://docs.google.com/spreadsheets/d/11923uPwbBZFjjGgGUA6NLw09EwE0CqkOc4q9oUmW1yo/edit?usp=sharing"",""กำแพงเพชร!J319"")"),0)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IFERROR(__xludf.DUMMYFUNCTION("IMPORTRANGE(""https://docs.google.com/spreadsheets/d/11923uPwbBZFjjGgGUA6NLw09EwE0CqkOc4q9oUmW1yo/edit?usp=sharing"",""กำแพงเพชร!I320"")"),25)</f>
        <v>25</v>
      </c>
      <c r="J425" s="402">
        <f ca="1">IFERROR(__xludf.DUMMYFUNCTION("IMPORTRANGE(""https://docs.google.com/spreadsheets/d/11923uPwbBZFjjGgGUA6NLw09EwE0CqkOc4q9oUmW1yo/edit?usp=sharing"",""กำแพงเพชร!J320"")"),0)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IFERROR(__xludf.DUMMYFUNCTION("IMPORTRANGE(""https://docs.google.com/spreadsheets/d/11923uPwbBZFjjGgGUA6NLw09EwE0CqkOc4q9oUmW1yo/edit?usp=sharing"",""กำแพงเพชร!I321"")"),10)</f>
        <v>10</v>
      </c>
      <c r="J426" s="400">
        <f ca="1">IFERROR(__xludf.DUMMYFUNCTION("IMPORTRANGE(""https://docs.google.com/spreadsheets/d/11923uPwbBZFjjGgGUA6NLw09EwE0CqkOc4q9oUmW1yo/edit?usp=sharing"",""กำแพงเพชร!J321"")"),0)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IFERROR(__xludf.DUMMYFUNCTION("IMPORTRANGE(""https://docs.google.com/spreadsheets/d/11923uPwbBZFjjGgGUA6NLw09EwE0CqkOc4q9oUmW1yo/edit?usp=sharing"",""กำแพงเพชร!I322"")"),30)</f>
        <v>30</v>
      </c>
      <c r="J427" s="401">
        <f ca="1">IFERROR(__xludf.DUMMYFUNCTION("IMPORTRANGE(""https://docs.google.com/spreadsheets/d/11923uPwbBZFjjGgGUA6NLw09EwE0CqkOc4q9oUmW1yo/edit?usp=sharing"",""กำแพงเพชร!J322"")"),0)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IFERROR(__xludf.DUMMYFUNCTION("IMPORTRANGE(""https://docs.google.com/spreadsheets/d/11923uPwbBZFjjGgGUA6NLw09EwE0CqkOc4q9oUmW1yo/edit?usp=sharing"",""กำแพงเพชร!I323"")"),10)</f>
        <v>10</v>
      </c>
      <c r="J428" s="402">
        <f ca="1">IFERROR(__xludf.DUMMYFUNCTION("IMPORTRANGE(""https://docs.google.com/spreadsheets/d/11923uPwbBZFjjGgGUA6NLw09EwE0CqkOc4q9oUmW1yo/edit?usp=sharing"",""กำแพงเพชร!J323"")"),0)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IFERROR(__xludf.DUMMYFUNCTION("IMPORTRANGE(""https://docs.google.com/spreadsheets/d/11923uPwbBZFjjGgGUA6NLw09EwE0CqkOc4q9oUmW1yo/edit?usp=sharing"",""กำแพงเพชร!I324"")"),10)</f>
        <v>10</v>
      </c>
      <c r="J429" s="402">
        <f ca="1">IFERROR(__xludf.DUMMYFUNCTION("IMPORTRANGE(""https://docs.google.com/spreadsheets/d/11923uPwbBZFjjGgGUA6NLw09EwE0CqkOc4q9oUmW1yo/edit?usp=sharing"",""กำแพงเพชร!J324"")"),0)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IFERROR(__xludf.DUMMYFUNCTION("IMPORTRANGE(""https://docs.google.com/spreadsheets/d/11923uPwbBZFjjGgGUA6NLw09EwE0CqkOc4q9oUmW1yo/edit?usp=sharing"",""กำแพงเพชร!I325"")"),35)</f>
        <v>35</v>
      </c>
      <c r="J430" s="400">
        <f ca="1">IFERROR(__xludf.DUMMYFUNCTION("IMPORTRANGE(""https://docs.google.com/spreadsheets/d/11923uPwbBZFjjGgGUA6NLw09EwE0CqkOc4q9oUmW1yo/edit?usp=sharing"",""กำแพงเพชร!J325"")"),0)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IFERROR(__xludf.DUMMYFUNCTION("IMPORTRANGE(""https://docs.google.com/spreadsheets/d/11923uPwbBZFjjGgGUA6NLw09EwE0CqkOc4q9oUmW1yo/edit?usp=sharing"",""กำแพงเพชร!I326"")"),10)</f>
        <v>10</v>
      </c>
      <c r="J431" s="402">
        <f ca="1">IFERROR(__xludf.DUMMYFUNCTION("IMPORTRANGE(""https://docs.google.com/spreadsheets/d/11923uPwbBZFjjGgGUA6NLw09EwE0CqkOc4q9oUmW1yo/edit?usp=sharing"",""กำแพงเพชร!J326"")"),0)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IFERROR(__xludf.DUMMYFUNCTION("IMPORTRANGE(""https://docs.google.com/spreadsheets/d/11923uPwbBZFjjGgGUA6NLw09EwE0CqkOc4q9oUmW1yo/edit?usp=sharing"",""กำแพงเพชร!I327"")"),25)</f>
        <v>25</v>
      </c>
      <c r="J432" s="402">
        <f ca="1">IFERROR(__xludf.DUMMYFUNCTION("IMPORTRANGE(""https://docs.google.com/spreadsheets/d/11923uPwbBZFjjGgGUA6NLw09EwE0CqkOc4q9oUmW1yo/edit?usp=sharing"",""กำแพงเพชร!J327"")"),0)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IFERROR(__xludf.DUMMYFUNCTION("IMPORTRANGE(""https://docs.google.com/spreadsheets/d/11923uPwbBZFjjGgGUA6NLw09EwE0CqkOc4q9oUmW1yo/edit?usp=sharing"",""กำแพงเพชร!J328"")"),0)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IFERROR(__xludf.DUMMYFUNCTION("IMPORTRANGE(""https://docs.google.com/spreadsheets/d/11923uPwbBZFjjGgGUA6NLw09EwE0CqkOc4q9oUmW1yo/edit?usp=sharing"",""กำแพงเพชร!J329"")"),0)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IFERROR(__xludf.DUMMYFUNCTION("IMPORTRANGE(""https://docs.google.com/spreadsheets/d/11923uPwbBZFjjGgGUA6NLw09EwE0CqkOc4q9oUmW1yo/edit?usp=sharing"",""กำแพงเพชร!I330"")"),40)</f>
        <v>40</v>
      </c>
      <c r="J435" s="418">
        <f ca="1">IFERROR(__xludf.DUMMYFUNCTION("IMPORTRANGE(""https://docs.google.com/spreadsheets/d/11923uPwbBZFjjGgGUA6NLw09EwE0CqkOc4q9oUmW1yo/edit?usp=sharing"",""กำแพงเพชร!J330"")"),20)</f>
        <v>20</v>
      </c>
      <c r="K435" s="419">
        <f ca="1">IF(I435&gt;0,J435*100/I435,0)</f>
        <v>50</v>
      </c>
      <c r="L435" s="420">
        <f ca="1">IFERROR(__xludf.DUMMYFUNCTION("IMPORTRANGE(""https://docs.google.com/spreadsheets/d/11923uPwbBZFjjGgGUA6NLw09EwE0CqkOc4q9oUmW1yo/edit?usp=sharing"",""กำแพงเพชร!L330"")"),134600)</f>
        <v>134600</v>
      </c>
      <c r="M435" s="420"/>
      <c r="N435" s="420">
        <f ca="1">IFERROR(__xludf.DUMMYFUNCTION("IMPORTRANGE(""https://docs.google.com/spreadsheets/d/11923uPwbBZFjjGgGUA6NLw09EwE0CqkOc4q9oUmW1yo/edit?usp=sharing"",""กำแพงเพชร!M330"")"),66160)</f>
        <v>66160</v>
      </c>
      <c r="O435" s="420">
        <f t="shared" ref="O435:O439" ca="1" si="114">+IF(L435&gt;0,N435*100/L435,0)</f>
        <v>49.153046062407135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IFERROR(__xludf.DUMMYFUNCTION("IMPORTRANGE(""https://docs.google.com/spreadsheets/d/11923uPwbBZFjjGgGUA6NLw09EwE0CqkOc4q9oUmW1yo/edit?usp=sharing"",""กำแพงเพชร!L331"")"),0)</f>
        <v>0</v>
      </c>
      <c r="M436" s="172"/>
      <c r="N436" s="178">
        <f ca="1">IFERROR(__xludf.DUMMYFUNCTION("IMPORTRANGE(""https://docs.google.com/spreadsheets/d/11923uPwbBZFjjGgGUA6NLw09EwE0CqkOc4q9oUmW1yo/edit?usp=sharing"",""กำแพงเพชร!M331"")"),0)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IFERROR(__xludf.DUMMYFUNCTION("IMPORTRANGE(""https://docs.google.com/spreadsheets/d/11923uPwbBZFjjGgGUA6NLw09EwE0CqkOc4q9oUmW1yo/edit?usp=sharing"",""กำแพงเพชร!L332"")"),134600)</f>
        <v>134600</v>
      </c>
      <c r="M437" s="173"/>
      <c r="N437" s="178">
        <f ca="1">IFERROR(__xludf.DUMMYFUNCTION("IMPORTRANGE(""https://docs.google.com/spreadsheets/d/11923uPwbBZFjjGgGUA6NLw09EwE0CqkOc4q9oUmW1yo/edit?usp=sharing"",""กำแพงเพชร!M332"")"),66160)</f>
        <v>66160</v>
      </c>
      <c r="O437" s="178">
        <f t="shared" ca="1" si="114"/>
        <v>49.153046062407135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IFERROR(__xludf.DUMMYFUNCTION("IMPORTRANGE(""https://docs.google.com/spreadsheets/d/11923uPwbBZFjjGgGUA6NLw09EwE0CqkOc4q9oUmW1yo/edit?usp=sharing"",""กำแพงเพชร!L333"")"),0)</f>
        <v>0</v>
      </c>
      <c r="M438" s="178"/>
      <c r="N438" s="178">
        <f ca="1">IFERROR(__xludf.DUMMYFUNCTION("IMPORTRANGE(""https://docs.google.com/spreadsheets/d/11923uPwbBZFjjGgGUA6NLw09EwE0CqkOc4q9oUmW1yo/edit?usp=sharing"",""กำแพงเพชร!M333"")"),0)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IFERROR(__xludf.DUMMYFUNCTION("IMPORTRANGE(""https://docs.google.com/spreadsheets/d/11923uPwbBZFjjGgGUA6NLw09EwE0CqkOc4q9oUmW1yo/edit?usp=sharing"",""กำแพงเพชร!L334"")"),134600)</f>
        <v>134600</v>
      </c>
      <c r="M439" s="178"/>
      <c r="N439" s="178">
        <f ca="1">IFERROR(__xludf.DUMMYFUNCTION("IMPORTRANGE(""https://docs.google.com/spreadsheets/d/11923uPwbBZFjjGgGUA6NLw09EwE0CqkOc4q9oUmW1yo/edit?usp=sharing"",""กำแพงเพชร!M334"")"),66160)</f>
        <v>66160</v>
      </c>
      <c r="O439" s="178">
        <f t="shared" ca="1" si="114"/>
        <v>49.153046062407135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IFERROR(__xludf.DUMMYFUNCTION("IMPORTRANGE(""https://docs.google.com/spreadsheets/d/11923uPwbBZFjjGgGUA6NLw09EwE0CqkOc4q9oUmW1yo/edit?usp=sharing"",""กำแพงเพชร!M335"")"),66160)</f>
        <v>66160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IFERROR(__xludf.DUMMYFUNCTION("IMPORTRANGE(""https://docs.google.com/spreadsheets/d/11923uPwbBZFjjGgGUA6NLw09EwE0CqkOc4q9oUmW1yo/edit?usp=sharing"",""กำแพงเพชร!M336"")"),0)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IFERROR(__xludf.DUMMYFUNCTION("IMPORTRANGE(""https://docs.google.com/spreadsheets/d/11923uPwbBZFjjGgGUA6NLw09EwE0CqkOc4q9oUmW1yo/edit?usp=sharing"",""กำแพงเพชร!M337"")"),0)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IFERROR(__xludf.DUMMYFUNCTION("IMPORTRANGE(""https://docs.google.com/spreadsheets/d/11923uPwbBZFjjGgGUA6NLw09EwE0CqkOc4q9oUmW1yo/edit?usp=sharing"",""กำแพงเพชร!M338"")"),0)</f>
        <v>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IFERROR(__xludf.DUMMYFUNCTION("IMPORTRANGE(""https://docs.google.com/spreadsheets/d/11923uPwbBZFjjGgGUA6NLw09EwE0CqkOc4q9oUmW1yo/edit?usp=sharing"",""กำแพงเพชร!J340"")"),0)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IFERROR(__xludf.DUMMYFUNCTION("IMPORTRANGE(""https://docs.google.com/spreadsheets/d/11923uPwbBZFjjGgGUA6NLw09EwE0CqkOc4q9oUmW1yo/edit?usp=sharing"",""กำแพงเพชร!J341"")"),1)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IFERROR(__xludf.DUMMYFUNCTION("IMPORTRANGE(""https://docs.google.com/spreadsheets/d/11923uPwbBZFjjGgGUA6NLw09EwE0CqkOc4q9oUmW1yo/edit?usp=sharing"",""กำแพงเพชร!J342"")"),1)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IFERROR(__xludf.DUMMYFUNCTION("IMPORTRANGE(""https://docs.google.com/spreadsheets/d/11923uPwbBZFjjGgGUA6NLw09EwE0CqkOc4q9oUmW1yo/edit?usp=sharing"",""กำแพงเพชร!J343"")"),1)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IFERROR(__xludf.DUMMYFUNCTION("IMPORTRANGE(""https://docs.google.com/spreadsheets/d/11923uPwbBZFjjGgGUA6NLw09EwE0CqkOc4q9oUmW1yo/edit?usp=sharing"",""กำแพงเพชร!I344"")"),40)</f>
        <v>40</v>
      </c>
      <c r="J449" s="210">
        <f ca="1">IFERROR(__xludf.DUMMYFUNCTION("IMPORTRANGE(""https://docs.google.com/spreadsheets/d/11923uPwbBZFjjGgGUA6NLw09EwE0CqkOc4q9oUmW1yo/edit?usp=sharing"",""กำแพงเพชร!J344"")"),20)</f>
        <v>20</v>
      </c>
      <c r="K449" s="171">
        <f t="shared" ref="K449:K452" ca="1" si="115">IF(I449&gt;0,J449*100/I449,0)</f>
        <v>50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IFERROR(__xludf.DUMMYFUNCTION("IMPORTRANGE(""https://docs.google.com/spreadsheets/d/11923uPwbBZFjjGgGUA6NLw09EwE0CqkOc4q9oUmW1yo/edit?usp=sharing"",""กำแพงเพชร!I345"")"),20)</f>
        <v>20</v>
      </c>
      <c r="J450" s="198">
        <f ca="1">IFERROR(__xludf.DUMMYFUNCTION("IMPORTRANGE(""https://docs.google.com/spreadsheets/d/11923uPwbBZFjjGgGUA6NLw09EwE0CqkOc4q9oUmW1yo/edit?usp=sharing"",""กำแพงเพชร!J345"")"),20)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IFERROR(__xludf.DUMMYFUNCTION("IMPORTRANGE(""https://docs.google.com/spreadsheets/d/11923uPwbBZFjjGgGUA6NLw09EwE0CqkOc4q9oUmW1yo/edit?usp=sharing"",""กำแพงเพชร!I346"")"),20)</f>
        <v>20</v>
      </c>
      <c r="J451" s="197">
        <f ca="1">IFERROR(__xludf.DUMMYFUNCTION("IMPORTRANGE(""https://docs.google.com/spreadsheets/d/11923uPwbBZFjjGgGUA6NLw09EwE0CqkOc4q9oUmW1yo/edit?usp=sharing"",""กำแพงเพชร!J346"")"),0)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IFERROR(__xludf.DUMMYFUNCTION("IMPORTRANGE(""https://docs.google.com/spreadsheets/d/11923uPwbBZFjjGgGUA6NLw09EwE0CqkOc4q9oUmW1yo/edit?usp=sharing"",""กำแพงเพชร!I347"")"),0)</f>
        <v>0</v>
      </c>
      <c r="J452" s="197">
        <f ca="1">IFERROR(__xludf.DUMMYFUNCTION("IMPORTRANGE(""https://docs.google.com/spreadsheets/d/11923uPwbBZFjjGgGUA6NLw09EwE0CqkOc4q9oUmW1yo/edit?usp=sharing"",""กำแพงเพชร!J347"")"),0)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IFERROR(__xludf.DUMMYFUNCTION("IMPORTRANGE(""https://docs.google.com/spreadsheets/d/11923uPwbBZFjjGgGUA6NLw09EwE0CqkOc4q9oUmW1yo/edit?usp=sharing"",""กำแพงเพชร!J348"")"),0)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IFERROR(__xludf.DUMMYFUNCTION("IMPORTRANGE(""https://docs.google.com/spreadsheets/d/11923uPwbBZFjjGgGUA6NLw09EwE0CqkOc4q9oUmW1yo/edit?usp=sharing"",""กำแพงเพชร!J349"")"),0)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IFERROR(__xludf.DUMMYFUNCTION("IMPORTRANGE(""https://docs.google.com/spreadsheets/d/11923uPwbBZFjjGgGUA6NLw09EwE0CqkOc4q9oUmW1yo/edit?usp=sharing"",""กำแพงเพชร!I350"")"),156920)</f>
        <v>156920</v>
      </c>
      <c r="J455" s="379">
        <f ca="1">IFERROR(__xludf.DUMMYFUNCTION("IMPORTRANGE(""https://docs.google.com/spreadsheets/d/11923uPwbBZFjjGgGUA6NLw09EwE0CqkOc4q9oUmW1yo/edit?usp=sharing"",""กำแพงเพชร!J350"")"),0)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IFERROR(__xludf.DUMMYFUNCTION("IMPORTRANGE(""https://docs.google.com/spreadsheets/d/11923uPwbBZFjjGgGUA6NLw09EwE0CqkOc4q9oUmW1yo/edit?usp=sharing"",""กำแพงเพชร!L350"")"),1082066)</f>
        <v>1082066</v>
      </c>
      <c r="M455" s="381"/>
      <c r="N455" s="381">
        <f ca="1">IFERROR(__xludf.DUMMYFUNCTION("IMPORTRANGE(""https://docs.google.com/spreadsheets/d/11923uPwbBZFjjGgGUA6NLw09EwE0CqkOc4q9oUmW1yo/edit?usp=sharing"",""กำแพงเพชร!M350"")"),44476.67)</f>
        <v>44476.67</v>
      </c>
      <c r="O455" s="381">
        <f t="shared" ref="O455:O459" ca="1" si="116">+IF(L455&gt;0,N455*100/L455,0)</f>
        <v>4.1103472431441332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IFERROR(__xludf.DUMMYFUNCTION("IMPORTRANGE(""https://docs.google.com/spreadsheets/d/11923uPwbBZFjjGgGUA6NLw09EwE0CqkOc4q9oUmW1yo/edit?usp=sharing"",""กำแพงเพชร!L351"")"),0)</f>
        <v>0</v>
      </c>
      <c r="M456" s="172"/>
      <c r="N456" s="178">
        <f ca="1">IFERROR(__xludf.DUMMYFUNCTION("IMPORTRANGE(""https://docs.google.com/spreadsheets/d/11923uPwbBZFjjGgGUA6NLw09EwE0CqkOc4q9oUmW1yo/edit?usp=sharing"",""กำแพงเพชร!M351"")"),0)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IFERROR(__xludf.DUMMYFUNCTION("IMPORTRANGE(""https://docs.google.com/spreadsheets/d/11923uPwbBZFjjGgGUA6NLw09EwE0CqkOc4q9oUmW1yo/edit?usp=sharing"",""กำแพงเพชร!L352"")"),1082066)</f>
        <v>1082066</v>
      </c>
      <c r="M457" s="173"/>
      <c r="N457" s="178">
        <f ca="1">IFERROR(__xludf.DUMMYFUNCTION("IMPORTRANGE(""https://docs.google.com/spreadsheets/d/11923uPwbBZFjjGgGUA6NLw09EwE0CqkOc4q9oUmW1yo/edit?usp=sharing"",""กำแพงเพชร!M352"")"),44476.67)</f>
        <v>44476.67</v>
      </c>
      <c r="O457" s="178">
        <f t="shared" ca="1" si="116"/>
        <v>4.1103472431441332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IFERROR(__xludf.DUMMYFUNCTION("IMPORTRANGE(""https://docs.google.com/spreadsheets/d/11923uPwbBZFjjGgGUA6NLw09EwE0CqkOc4q9oUmW1yo/edit?usp=sharing"",""กำแพงเพชร!L353"")"),0)</f>
        <v>0</v>
      </c>
      <c r="M458" s="178"/>
      <c r="N458" s="178">
        <f ca="1">IFERROR(__xludf.DUMMYFUNCTION("IMPORTRANGE(""https://docs.google.com/spreadsheets/d/11923uPwbBZFjjGgGUA6NLw09EwE0CqkOc4q9oUmW1yo/edit?usp=sharing"",""กำแพงเพชร!M353"")"),0)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IFERROR(__xludf.DUMMYFUNCTION("IMPORTRANGE(""https://docs.google.com/spreadsheets/d/11923uPwbBZFjjGgGUA6NLw09EwE0CqkOc4q9oUmW1yo/edit?usp=sharing"",""กำแพงเพชร!L354"")"),1082066)</f>
        <v>1082066</v>
      </c>
      <c r="M459" s="178"/>
      <c r="N459" s="178">
        <f ca="1">IFERROR(__xludf.DUMMYFUNCTION("IMPORTRANGE(""https://docs.google.com/spreadsheets/d/11923uPwbBZFjjGgGUA6NLw09EwE0CqkOc4q9oUmW1yo/edit?usp=sharing"",""กำแพงเพชร!M354"")"),44476.67)</f>
        <v>44476.67</v>
      </c>
      <c r="O459" s="178">
        <f t="shared" ca="1" si="116"/>
        <v>4.1103472431441332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IFERROR(__xludf.DUMMYFUNCTION("IMPORTRANGE(""https://docs.google.com/spreadsheets/d/11923uPwbBZFjjGgGUA6NLw09EwE0CqkOc4q9oUmW1yo/edit?usp=sharing"",""กำแพงเพชร!M355"")"),0)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IFERROR(__xludf.DUMMYFUNCTION("IMPORTRANGE(""https://docs.google.com/spreadsheets/d/11923uPwbBZFjjGgGUA6NLw09EwE0CqkOc4q9oUmW1yo/edit?usp=sharing"",""กำแพงเพชร!M356"")"),0)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IFERROR(__xludf.DUMMYFUNCTION("IMPORTRANGE(""https://docs.google.com/spreadsheets/d/11923uPwbBZFjjGgGUA6NLw09EwE0CqkOc4q9oUmW1yo/edit?usp=sharing"",""กำแพงเพชร!M357"")"),21266.67)</f>
        <v>21266.67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IFERROR(__xludf.DUMMYFUNCTION("IMPORTRANGE(""https://docs.google.com/spreadsheets/d/11923uPwbBZFjjGgGUA6NLw09EwE0CqkOc4q9oUmW1yo/edit?usp=sharing"",""กำแพงเพชร!M358"")"),23210)</f>
        <v>23210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IFERROR(__xludf.DUMMYFUNCTION("IMPORTRANGE(""https://docs.google.com/spreadsheets/d/11923uPwbBZFjjGgGUA6NLw09EwE0CqkOc4q9oUmW1yo/edit?usp=sharing"",""กำแพงเพชร!I359"")"),156920)</f>
        <v>156920</v>
      </c>
      <c r="J464" s="276">
        <f ca="1">IFERROR(__xludf.DUMMYFUNCTION("IMPORTRANGE(""https://docs.google.com/spreadsheets/d/11923uPwbBZFjjGgGUA6NLw09EwE0CqkOc4q9oUmW1yo/edit?usp=sharing"",""กำแพงเพชร!J359"")"),0)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IFERROR(__xludf.DUMMYFUNCTION("IMPORTRANGE(""https://docs.google.com/spreadsheets/d/11923uPwbBZFjjGgGUA6NLw09EwE0CqkOc4q9oUmW1yo/edit?usp=sharing"",""กำแพงเพชร!I360"")"),156920)</f>
        <v>156920</v>
      </c>
      <c r="J465" s="428">
        <f ca="1">IFERROR(__xludf.DUMMYFUNCTION("IMPORTRANGE(""https://docs.google.com/spreadsheets/d/11923uPwbBZFjjGgGUA6NLw09EwE0CqkOc4q9oUmW1yo/edit?usp=sharing"",""กำแพงเพชร!J360"")"),162753)</f>
        <v>162753</v>
      </c>
      <c r="K465" s="211">
        <f t="shared" ca="1" si="117"/>
        <v>103.7171807290339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IFERROR(__xludf.DUMMYFUNCTION("IMPORTRANGE(""https://docs.google.com/spreadsheets/d/11923uPwbBZFjjGgGUA6NLw09EwE0CqkOc4q9oUmW1yo/edit?usp=sharing"",""กำแพงเพชร!I361"")"),12870)</f>
        <v>12870</v>
      </c>
      <c r="J466" s="428">
        <f ca="1">IFERROR(__xludf.DUMMYFUNCTION("IMPORTRANGE(""https://docs.google.com/spreadsheets/d/11923uPwbBZFjjGgGUA6NLw09EwE0CqkOc4q9oUmW1yo/edit?usp=sharing"",""กำแพงเพชร!J361"")"),12870)</f>
        <v>12870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IFERROR(__xludf.DUMMYFUNCTION("IMPORTRANGE(""https://docs.google.com/spreadsheets/d/11923uPwbBZFjjGgGUA6NLw09EwE0CqkOc4q9oUmW1yo/edit?usp=sharing"",""กำแพงเพชร!I362"")"),0)</f>
        <v>0</v>
      </c>
      <c r="J467" s="198">
        <f ca="1">IFERROR(__xludf.DUMMYFUNCTION("IMPORTRANGE(""https://docs.google.com/spreadsheets/d/11923uPwbBZFjjGgGUA6NLw09EwE0CqkOc4q9oUmW1yo/edit?usp=sharing"",""กำแพงเพชร!J362"")"),120898)</f>
        <v>120898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IFERROR(__xludf.DUMMYFUNCTION("IMPORTRANGE(""https://docs.google.com/spreadsheets/d/11923uPwbBZFjjGgGUA6NLw09EwE0CqkOc4q9oUmW1yo/edit?usp=sharing"",""กำแพงเพชร!I363"")"),0)</f>
        <v>0</v>
      </c>
      <c r="J468" s="198">
        <f ca="1">IFERROR(__xludf.DUMMYFUNCTION("IMPORTRANGE(""https://docs.google.com/spreadsheets/d/11923uPwbBZFjjGgGUA6NLw09EwE0CqkOc4q9oUmW1yo/edit?usp=sharing"",""กำแพงเพชร!J363"")"),10340)</f>
        <v>10340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IFERROR(__xludf.DUMMYFUNCTION("IMPORTRANGE(""https://docs.google.com/spreadsheets/d/11923uPwbBZFjjGgGUA6NLw09EwE0CqkOc4q9oUmW1yo/edit?usp=sharing"",""กำแพงเพชร!I364"")"),0)</f>
        <v>0</v>
      </c>
      <c r="J469" s="198">
        <f ca="1">IFERROR(__xludf.DUMMYFUNCTION("IMPORTRANGE(""https://docs.google.com/spreadsheets/d/11923uPwbBZFjjGgGUA6NLw09EwE0CqkOc4q9oUmW1yo/edit?usp=sharing"",""กำแพงเพชร!J364"")"),39440)</f>
        <v>39440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IFERROR(__xludf.DUMMYFUNCTION("IMPORTRANGE(""https://docs.google.com/spreadsheets/d/11923uPwbBZFjjGgGUA6NLw09EwE0CqkOc4q9oUmW1yo/edit?usp=sharing"",""กำแพงเพชร!I365"")"),0)</f>
        <v>0</v>
      </c>
      <c r="J470" s="198">
        <f ca="1">IFERROR(__xludf.DUMMYFUNCTION("IMPORTRANGE(""https://docs.google.com/spreadsheets/d/11923uPwbBZFjjGgGUA6NLw09EwE0CqkOc4q9oUmW1yo/edit?usp=sharing"",""กำแพงเพชร!J365"")"),2301)</f>
        <v>2301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IFERROR(__xludf.DUMMYFUNCTION("IMPORTRANGE(""https://docs.google.com/spreadsheets/d/11923uPwbBZFjjGgGUA6NLw09EwE0CqkOc4q9oUmW1yo/edit?usp=sharing"",""กำแพงเพชร!I366"")"),0)</f>
        <v>0</v>
      </c>
      <c r="J471" s="198">
        <f ca="1">IFERROR(__xludf.DUMMYFUNCTION("IMPORTRANGE(""https://docs.google.com/spreadsheets/d/11923uPwbBZFjjGgGUA6NLw09EwE0CqkOc4q9oUmW1yo/edit?usp=sharing"",""กำแพงเพชร!J366"")"),2415)</f>
        <v>2415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IFERROR(__xludf.DUMMYFUNCTION("IMPORTRANGE(""https://docs.google.com/spreadsheets/d/11923uPwbBZFjjGgGUA6NLw09EwE0CqkOc4q9oUmW1yo/edit?usp=sharing"",""กำแพงเพชร!I367"")"),0)</f>
        <v>0</v>
      </c>
      <c r="J472" s="198">
        <f ca="1">IFERROR(__xludf.DUMMYFUNCTION("IMPORTRANGE(""https://docs.google.com/spreadsheets/d/11923uPwbBZFjjGgGUA6NLw09EwE0CqkOc4q9oUmW1yo/edit?usp=sharing"",""กำแพงเพชร!J367"")"),229)</f>
        <v>229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IFERROR(__xludf.DUMMYFUNCTION("IMPORTRANGE(""https://docs.google.com/spreadsheets/d/11923uPwbBZFjjGgGUA6NLw09EwE0CqkOc4q9oUmW1yo/edit?usp=sharing"",""กำแพงเพชร!I368"")"),156920)</f>
        <v>156920</v>
      </c>
      <c r="J473" s="428">
        <f ca="1">IFERROR(__xludf.DUMMYFUNCTION("IMPORTRANGE(""https://docs.google.com/spreadsheets/d/11923uPwbBZFjjGgGUA6NLw09EwE0CqkOc4q9oUmW1yo/edit?usp=sharing"",""กำแพงเพชร!J368"")"),0)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IFERROR(__xludf.DUMMYFUNCTION("IMPORTRANGE(""https://docs.google.com/spreadsheets/d/11923uPwbBZFjjGgGUA6NLw09EwE0CqkOc4q9oUmW1yo/edit?usp=sharing"",""กำแพงเพชร!I369"")"),12870)</f>
        <v>12870</v>
      </c>
      <c r="J474" s="428">
        <f ca="1">IFERROR(__xludf.DUMMYFUNCTION("IMPORTRANGE(""https://docs.google.com/spreadsheets/d/11923uPwbBZFjjGgGUA6NLw09EwE0CqkOc4q9oUmW1yo/edit?usp=sharing"",""กำแพงเพชร!J369"")"),0)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IFERROR(__xludf.DUMMYFUNCTION("IMPORTRANGE(""https://docs.google.com/spreadsheets/d/11923uPwbBZFjjGgGUA6NLw09EwE0CqkOc4q9oUmW1yo/edit?usp=sharing"",""กำแพงเพชร!I370"")"),0)</f>
        <v>0</v>
      </c>
      <c r="J475" s="198">
        <f ca="1">IFERROR(__xludf.DUMMYFUNCTION("IMPORTRANGE(""https://docs.google.com/spreadsheets/d/11923uPwbBZFjjGgGUA6NLw09EwE0CqkOc4q9oUmW1yo/edit?usp=sharing"",""กำแพงเพชร!J370"")"),0)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IFERROR(__xludf.DUMMYFUNCTION("IMPORTRANGE(""https://docs.google.com/spreadsheets/d/11923uPwbBZFjjGgGUA6NLw09EwE0CqkOc4q9oUmW1yo/edit?usp=sharing"",""กำแพงเพชร!I371"")"),0)</f>
        <v>0</v>
      </c>
      <c r="J476" s="198">
        <f ca="1">IFERROR(__xludf.DUMMYFUNCTION("IMPORTRANGE(""https://docs.google.com/spreadsheets/d/11923uPwbBZFjjGgGUA6NLw09EwE0CqkOc4q9oUmW1yo/edit?usp=sharing"",""กำแพงเพชร!J371"")"),0)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IFERROR(__xludf.DUMMYFUNCTION("IMPORTRANGE(""https://docs.google.com/spreadsheets/d/11923uPwbBZFjjGgGUA6NLw09EwE0CqkOc4q9oUmW1yo/edit?usp=sharing"",""กำแพงเพชร!I372"")"),0)</f>
        <v>0</v>
      </c>
      <c r="J477" s="198">
        <f ca="1">IFERROR(__xludf.DUMMYFUNCTION("IMPORTRANGE(""https://docs.google.com/spreadsheets/d/11923uPwbBZFjjGgGUA6NLw09EwE0CqkOc4q9oUmW1yo/edit?usp=sharing"",""กำแพงเพชร!J372"")"),0)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IFERROR(__xludf.DUMMYFUNCTION("IMPORTRANGE(""https://docs.google.com/spreadsheets/d/11923uPwbBZFjjGgGUA6NLw09EwE0CqkOc4q9oUmW1yo/edit?usp=sharing"",""กำแพงเพชร!I373"")"),0)</f>
        <v>0</v>
      </c>
      <c r="J478" s="198">
        <f ca="1">IFERROR(__xludf.DUMMYFUNCTION("IMPORTRANGE(""https://docs.google.com/spreadsheets/d/11923uPwbBZFjjGgGUA6NLw09EwE0CqkOc4q9oUmW1yo/edit?usp=sharing"",""กำแพงเพชร!J373"")"),0)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IFERROR(__xludf.DUMMYFUNCTION("IMPORTRANGE(""https://docs.google.com/spreadsheets/d/11923uPwbBZFjjGgGUA6NLw09EwE0CqkOc4q9oUmW1yo/edit?usp=sharing"",""กำแพงเพชร!I374"")"),0)</f>
        <v>0</v>
      </c>
      <c r="J479" s="198">
        <f ca="1">IFERROR(__xludf.DUMMYFUNCTION("IMPORTRANGE(""https://docs.google.com/spreadsheets/d/11923uPwbBZFjjGgGUA6NLw09EwE0CqkOc4q9oUmW1yo/edit?usp=sharing"",""กำแพงเพชร!J374"")"),0)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IFERROR(__xludf.DUMMYFUNCTION("IMPORTRANGE(""https://docs.google.com/spreadsheets/d/11923uPwbBZFjjGgGUA6NLw09EwE0CqkOc4q9oUmW1yo/edit?usp=sharing"",""กำแพงเพชร!I375"")"),0)</f>
        <v>0</v>
      </c>
      <c r="J480" s="198">
        <f ca="1">IFERROR(__xludf.DUMMYFUNCTION("IMPORTRANGE(""https://docs.google.com/spreadsheets/d/11923uPwbBZFjjGgGUA6NLw09EwE0CqkOc4q9oUmW1yo/edit?usp=sharing"",""กำแพงเพชร!J375"")"),0)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IFERROR(__xludf.DUMMYFUNCTION("IMPORTRANGE(""https://docs.google.com/spreadsheets/d/11923uPwbBZFjjGgGUA6NLw09EwE0CqkOc4q9oUmW1yo/edit?usp=sharing"",""กำแพงเพชร!I376"")"),156920)</f>
        <v>156920</v>
      </c>
      <c r="J481" s="428">
        <f ca="1">IFERROR(__xludf.DUMMYFUNCTION("IMPORTRANGE(""https://docs.google.com/spreadsheets/d/11923uPwbBZFjjGgGUA6NLw09EwE0CqkOc4q9oUmW1yo/edit?usp=sharing"",""กำแพงเพชร!J376"")"),0)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IFERROR(__xludf.DUMMYFUNCTION("IMPORTRANGE(""https://docs.google.com/spreadsheets/d/11923uPwbBZFjjGgGUA6NLw09EwE0CqkOc4q9oUmW1yo/edit?usp=sharing"",""กำแพงเพชร!I377"")"),12870)</f>
        <v>12870</v>
      </c>
      <c r="J482" s="428">
        <f ca="1">IFERROR(__xludf.DUMMYFUNCTION("IMPORTRANGE(""https://docs.google.com/spreadsheets/d/11923uPwbBZFjjGgGUA6NLw09EwE0CqkOc4q9oUmW1yo/edit?usp=sharing"",""กำแพงเพชร!J377"")"),0)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IFERROR(__xludf.DUMMYFUNCTION("IMPORTRANGE(""https://docs.google.com/spreadsheets/d/11923uPwbBZFjjGgGUA6NLw09EwE0CqkOc4q9oUmW1yo/edit?usp=sharing"",""กำแพงเพชร!I378"")"),0)</f>
        <v>0</v>
      </c>
      <c r="J483" s="198">
        <f ca="1">IFERROR(__xludf.DUMMYFUNCTION("IMPORTRANGE(""https://docs.google.com/spreadsheets/d/11923uPwbBZFjjGgGUA6NLw09EwE0CqkOc4q9oUmW1yo/edit?usp=sharing"",""กำแพงเพชร!J378"")"),0)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IFERROR(__xludf.DUMMYFUNCTION("IMPORTRANGE(""https://docs.google.com/spreadsheets/d/11923uPwbBZFjjGgGUA6NLw09EwE0CqkOc4q9oUmW1yo/edit?usp=sharing"",""กำแพงเพชร!I379"")"),0)</f>
        <v>0</v>
      </c>
      <c r="J484" s="198">
        <f ca="1">IFERROR(__xludf.DUMMYFUNCTION("IMPORTRANGE(""https://docs.google.com/spreadsheets/d/11923uPwbBZFjjGgGUA6NLw09EwE0CqkOc4q9oUmW1yo/edit?usp=sharing"",""กำแพงเพชร!J379"")"),0)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IFERROR(__xludf.DUMMYFUNCTION("IMPORTRANGE(""https://docs.google.com/spreadsheets/d/11923uPwbBZFjjGgGUA6NLw09EwE0CqkOc4q9oUmW1yo/edit?usp=sharing"",""กำแพงเพชร!I380"")"),0)</f>
        <v>0</v>
      </c>
      <c r="J485" s="198">
        <f ca="1">IFERROR(__xludf.DUMMYFUNCTION("IMPORTRANGE(""https://docs.google.com/spreadsheets/d/11923uPwbBZFjjGgGUA6NLw09EwE0CqkOc4q9oUmW1yo/edit?usp=sharing"",""กำแพงเพชร!J380"")"),0)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IFERROR(__xludf.DUMMYFUNCTION("IMPORTRANGE(""https://docs.google.com/spreadsheets/d/11923uPwbBZFjjGgGUA6NLw09EwE0CqkOc4q9oUmW1yo/edit?usp=sharing"",""กำแพงเพชร!I381"")"),0)</f>
        <v>0</v>
      </c>
      <c r="J486" s="198">
        <f ca="1">IFERROR(__xludf.DUMMYFUNCTION("IMPORTRANGE(""https://docs.google.com/spreadsheets/d/11923uPwbBZFjjGgGUA6NLw09EwE0CqkOc4q9oUmW1yo/edit?usp=sharing"",""กำแพงเพชร!J381"")"),0)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IFERROR(__xludf.DUMMYFUNCTION("IMPORTRANGE(""https://docs.google.com/spreadsheets/d/11923uPwbBZFjjGgGUA6NLw09EwE0CqkOc4q9oUmW1yo/edit?usp=sharing"",""กำแพงเพชร!I382"")"),0)</f>
        <v>0</v>
      </c>
      <c r="J487" s="428">
        <f ca="1">IFERROR(__xludf.DUMMYFUNCTION("IMPORTRANGE(""https://docs.google.com/spreadsheets/d/11923uPwbBZFjjGgGUA6NLw09EwE0CqkOc4q9oUmW1yo/edit?usp=sharing"",""กำแพงเพชร!J382"")"),0)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IFERROR(__xludf.DUMMYFUNCTION("IMPORTRANGE(""https://docs.google.com/spreadsheets/d/11923uPwbBZFjjGgGUA6NLw09EwE0CqkOc4q9oUmW1yo/edit?usp=sharing"",""กำแพงเพชร!I383"")"),0)</f>
        <v>0</v>
      </c>
      <c r="J488" s="428">
        <f ca="1">IFERROR(__xludf.DUMMYFUNCTION("IMPORTRANGE(""https://docs.google.com/spreadsheets/d/11923uPwbBZFjjGgGUA6NLw09EwE0CqkOc4q9oUmW1yo/edit?usp=sharing"",""กำแพงเพชร!J383"")"),0)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IFERROR(__xludf.DUMMYFUNCTION("IMPORTRANGE(""https://docs.google.com/spreadsheets/d/11923uPwbBZFjjGgGUA6NLw09EwE0CqkOc4q9oUmW1yo/edit?usp=sharing"",""กำแพงเพชร!I384"")"),0)</f>
        <v>0</v>
      </c>
      <c r="J489" s="198">
        <f ca="1">IFERROR(__xludf.DUMMYFUNCTION("IMPORTRANGE(""https://docs.google.com/spreadsheets/d/11923uPwbBZFjjGgGUA6NLw09EwE0CqkOc4q9oUmW1yo/edit?usp=sharing"",""กำแพงเพชร!J384"")"),0)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IFERROR(__xludf.DUMMYFUNCTION("IMPORTRANGE(""https://docs.google.com/spreadsheets/d/11923uPwbBZFjjGgGUA6NLw09EwE0CqkOc4q9oUmW1yo/edit?usp=sharing"",""กำแพงเพชร!I385"")"),0)</f>
        <v>0</v>
      </c>
      <c r="J490" s="198">
        <f ca="1">IFERROR(__xludf.DUMMYFUNCTION("IMPORTRANGE(""https://docs.google.com/spreadsheets/d/11923uPwbBZFjjGgGUA6NLw09EwE0CqkOc4q9oUmW1yo/edit?usp=sharing"",""กำแพงเพชร!J385"")"),0)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IFERROR(__xludf.DUMMYFUNCTION("IMPORTRANGE(""https://docs.google.com/spreadsheets/d/11923uPwbBZFjjGgGUA6NLw09EwE0CqkOc4q9oUmW1yo/edit?usp=sharing"",""กำแพงเพชร!I386"")"),0)</f>
        <v>0</v>
      </c>
      <c r="J491" s="198">
        <f ca="1">IFERROR(__xludf.DUMMYFUNCTION("IMPORTRANGE(""https://docs.google.com/spreadsheets/d/11923uPwbBZFjjGgGUA6NLw09EwE0CqkOc4q9oUmW1yo/edit?usp=sharing"",""กำแพงเพชร!J386"")"),0)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IFERROR(__xludf.DUMMYFUNCTION("IMPORTRANGE(""https://docs.google.com/spreadsheets/d/11923uPwbBZFjjGgGUA6NLw09EwE0CqkOc4q9oUmW1yo/edit?usp=sharing"",""กำแพงเพชร!I387"")"),0)</f>
        <v>0</v>
      </c>
      <c r="J492" s="198">
        <f ca="1">IFERROR(__xludf.DUMMYFUNCTION("IMPORTRANGE(""https://docs.google.com/spreadsheets/d/11923uPwbBZFjjGgGUA6NLw09EwE0CqkOc4q9oUmW1yo/edit?usp=sharing"",""กำแพงเพชร!J387"")"),0)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IFERROR(__xludf.DUMMYFUNCTION("IMPORTRANGE(""https://docs.google.com/spreadsheets/d/11923uPwbBZFjjGgGUA6NLw09EwE0CqkOc4q9oUmW1yo/edit?usp=sharing"",""กำแพงเพชร!I388"")"),0)</f>
        <v>0</v>
      </c>
      <c r="J493" s="198">
        <f ca="1">IFERROR(__xludf.DUMMYFUNCTION("IMPORTRANGE(""https://docs.google.com/spreadsheets/d/11923uPwbBZFjjGgGUA6NLw09EwE0CqkOc4q9oUmW1yo/edit?usp=sharing"",""กำแพงเพชร!J388"")"),0)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IFERROR(__xludf.DUMMYFUNCTION("IMPORTRANGE(""https://docs.google.com/spreadsheets/d/11923uPwbBZFjjGgGUA6NLw09EwE0CqkOc4q9oUmW1yo/edit?usp=sharing"",""กำแพงเพชร!I389"")"),0)</f>
        <v>0</v>
      </c>
      <c r="J494" s="444">
        <f ca="1">IFERROR(__xludf.DUMMYFUNCTION("IMPORTRANGE(""https://docs.google.com/spreadsheets/d/11923uPwbBZFjjGgGUA6NLw09EwE0CqkOc4q9oUmW1yo/edit?usp=sharing"",""กำแพงเพชร!J389"")"),0)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IFERROR(__xludf.DUMMYFUNCTION("IMPORTRANGE(""https://docs.google.com/spreadsheets/d/11923uPwbBZFjjGgGUA6NLw09EwE0CqkOc4q9oUmW1yo/edit?usp=sharing"",""กำแพงเพชร!I390"")"),0)</f>
        <v>0</v>
      </c>
      <c r="J495" s="444">
        <f ca="1">IFERROR(__xludf.DUMMYFUNCTION("IMPORTRANGE(""https://docs.google.com/spreadsheets/d/11923uPwbBZFjjGgGUA6NLw09EwE0CqkOc4q9oUmW1yo/edit?usp=sharing"",""กำแพงเพชร!J390"")"),0)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IFERROR(__xludf.DUMMYFUNCTION("IMPORTRANGE(""https://docs.google.com/spreadsheets/d/11923uPwbBZFjjGgGUA6NLw09EwE0CqkOc4q9oUmW1yo/edit?usp=sharing"",""กำแพงเพชร!I391"")"),0)</f>
        <v>0</v>
      </c>
      <c r="J496" s="444">
        <f ca="1">IFERROR(__xludf.DUMMYFUNCTION("IMPORTRANGE(""https://docs.google.com/spreadsheets/d/11923uPwbBZFjjGgGUA6NLw09EwE0CqkOc4q9oUmW1yo/edit?usp=sharing"",""กำแพงเพชร!J391"")"),0)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IFERROR(__xludf.DUMMYFUNCTION("IMPORTRANGE(""https://docs.google.com/spreadsheets/d/11923uPwbBZFjjGgGUA6NLw09EwE0CqkOc4q9oUmW1yo/edit?usp=sharing"",""กำแพงเพชร!I392"")"),5005)</f>
        <v>5005</v>
      </c>
      <c r="J497" s="451">
        <f ca="1">IFERROR(__xludf.DUMMYFUNCTION("IMPORTRANGE(""https://docs.google.com/spreadsheets/d/11923uPwbBZFjjGgGUA6NLw09EwE0CqkOc4q9oUmW1yo/edit?usp=sharing"",""กำแพงเพชร!J392"")"),0)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IFERROR(__xludf.DUMMYFUNCTION("IMPORTRANGE(""https://docs.google.com/spreadsheets/d/11923uPwbBZFjjGgGUA6NLw09EwE0CqkOc4q9oUmW1yo/edit?usp=sharing"",""กำแพงเพชร!I393"")"),5005)</f>
        <v>5005</v>
      </c>
      <c r="J498" s="428">
        <f ca="1">IFERROR(__xludf.DUMMYFUNCTION("IMPORTRANGE(""https://docs.google.com/spreadsheets/d/11923uPwbBZFjjGgGUA6NLw09EwE0CqkOc4q9oUmW1yo/edit?usp=sharing"",""กำแพงเพชร!J393"")"),0)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IFERROR(__xludf.DUMMYFUNCTION("IMPORTRANGE(""https://docs.google.com/spreadsheets/d/11923uPwbBZFjjGgGUA6NLw09EwE0CqkOc4q9oUmW1yo/edit?usp=sharing"",""กำแพงเพชร!I394"")"),493)</f>
        <v>493</v>
      </c>
      <c r="J499" s="428">
        <f ca="1">IFERROR(__xludf.DUMMYFUNCTION("IMPORTRANGE(""https://docs.google.com/spreadsheets/d/11923uPwbBZFjjGgGUA6NLw09EwE0CqkOc4q9oUmW1yo/edit?usp=sharing"",""กำแพงเพชร!J394"")"),0)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IFERROR(__xludf.DUMMYFUNCTION("IMPORTRANGE(""https://docs.google.com/spreadsheets/d/11923uPwbBZFjjGgGUA6NLw09EwE0CqkOc4q9oUmW1yo/edit?usp=sharing"",""กำแพงเพชร!I395"")"),0)</f>
        <v>0</v>
      </c>
      <c r="J500" s="170">
        <f ca="1">IFERROR(__xludf.DUMMYFUNCTION("IMPORTRANGE(""https://docs.google.com/spreadsheets/d/11923uPwbBZFjjGgGUA6NLw09EwE0CqkOc4q9oUmW1yo/edit?usp=sharing"",""กำแพงเพชร!J395"")"),0)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IFERROR(__xludf.DUMMYFUNCTION("IMPORTRANGE(""https://docs.google.com/spreadsheets/d/11923uPwbBZFjjGgGUA6NLw09EwE0CqkOc4q9oUmW1yo/edit?usp=sharing"",""กำแพงเพชร!I396"")"),0)</f>
        <v>0</v>
      </c>
      <c r="J501" s="170">
        <f ca="1">IFERROR(__xludf.DUMMYFUNCTION("IMPORTRANGE(""https://docs.google.com/spreadsheets/d/11923uPwbBZFjjGgGUA6NLw09EwE0CqkOc4q9oUmW1yo/edit?usp=sharing"",""กำแพงเพชร!J396"")"),0)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IFERROR(__xludf.DUMMYFUNCTION("IMPORTRANGE(""https://docs.google.com/spreadsheets/d/11923uPwbBZFjjGgGUA6NLw09EwE0CqkOc4q9oUmW1yo/edit?usp=sharing"",""กำแพงเพชร!I397"")"),0)</f>
        <v>0</v>
      </c>
      <c r="J502" s="198">
        <f ca="1">IFERROR(__xludf.DUMMYFUNCTION("IMPORTRANGE(""https://docs.google.com/spreadsheets/d/11923uPwbBZFjjGgGUA6NLw09EwE0CqkOc4q9oUmW1yo/edit?usp=sharing"",""กำแพงเพชร!J397"")"),0)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IFERROR(__xludf.DUMMYFUNCTION("IMPORTRANGE(""https://docs.google.com/spreadsheets/d/11923uPwbBZFjjGgGUA6NLw09EwE0CqkOc4q9oUmW1yo/edit?usp=sharing"",""กำแพงเพชร!I398"")"),0)</f>
        <v>0</v>
      </c>
      <c r="J503" s="207">
        <f ca="1">IFERROR(__xludf.DUMMYFUNCTION("IMPORTRANGE(""https://docs.google.com/spreadsheets/d/11923uPwbBZFjjGgGUA6NLw09EwE0CqkOc4q9oUmW1yo/edit?usp=sharing"",""กำแพงเพชร!J398"")"),0)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IFERROR(__xludf.DUMMYFUNCTION("IMPORTRANGE(""https://docs.google.com/spreadsheets/d/11923uPwbBZFjjGgGUA6NLw09EwE0CqkOc4q9oUmW1yo/edit?usp=sharing"",""กำแพงเพชร!I399"")"),0)</f>
        <v>0</v>
      </c>
      <c r="J504" s="198">
        <f ca="1">IFERROR(__xludf.DUMMYFUNCTION("IMPORTRANGE(""https://docs.google.com/spreadsheets/d/11923uPwbBZFjjGgGUA6NLw09EwE0CqkOc4q9oUmW1yo/edit?usp=sharing"",""กำแพงเพชร!J399"")"),0)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IFERROR(__xludf.DUMMYFUNCTION("IMPORTRANGE(""https://docs.google.com/spreadsheets/d/11923uPwbBZFjjGgGUA6NLw09EwE0CqkOc4q9oUmW1yo/edit?usp=sharing"",""กำแพงเพชร!I400"")"),0)</f>
        <v>0</v>
      </c>
      <c r="J505" s="207">
        <f ca="1">IFERROR(__xludf.DUMMYFUNCTION("IMPORTRANGE(""https://docs.google.com/spreadsheets/d/11923uPwbBZFjjGgGUA6NLw09EwE0CqkOc4q9oUmW1yo/edit?usp=sharing"",""กำแพงเพชร!J400"")"),0)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IFERROR(__xludf.DUMMYFUNCTION("IMPORTRANGE(""https://docs.google.com/spreadsheets/d/11923uPwbBZFjjGgGUA6NLw09EwE0CqkOc4q9oUmW1yo/edit?usp=sharing"",""กำแพงเพชร!I401"")"),0)</f>
        <v>0</v>
      </c>
      <c r="J506" s="198">
        <f ca="1">IFERROR(__xludf.DUMMYFUNCTION("IMPORTRANGE(""https://docs.google.com/spreadsheets/d/11923uPwbBZFjjGgGUA6NLw09EwE0CqkOc4q9oUmW1yo/edit?usp=sharing"",""กำแพงเพชร!J401"")"),0)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IFERROR(__xludf.DUMMYFUNCTION("IMPORTRANGE(""https://docs.google.com/spreadsheets/d/11923uPwbBZFjjGgGUA6NLw09EwE0CqkOc4q9oUmW1yo/edit?usp=sharing"",""กำแพงเพชร!I402"")"),0)</f>
        <v>0</v>
      </c>
      <c r="J507" s="207">
        <f ca="1">IFERROR(__xludf.DUMMYFUNCTION("IMPORTRANGE(""https://docs.google.com/spreadsheets/d/11923uPwbBZFjjGgGUA6NLw09EwE0CqkOc4q9oUmW1yo/edit?usp=sharing"",""กำแพงเพชร!J402"")"),0)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IFERROR(__xludf.DUMMYFUNCTION("IMPORTRANGE(""https://docs.google.com/spreadsheets/d/11923uPwbBZFjjGgGUA6NLw09EwE0CqkOc4q9oUmW1yo/edit?usp=sharing"",""กำแพงเพชร!I403"")"),0)</f>
        <v>0</v>
      </c>
      <c r="J508" s="170">
        <f ca="1">IFERROR(__xludf.DUMMYFUNCTION("IMPORTRANGE(""https://docs.google.com/spreadsheets/d/11923uPwbBZFjjGgGUA6NLw09EwE0CqkOc4q9oUmW1yo/edit?usp=sharing"",""กำแพงเพชร!J403"")"),0)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IFERROR(__xludf.DUMMYFUNCTION("IMPORTRANGE(""https://docs.google.com/spreadsheets/d/11923uPwbBZFjjGgGUA6NLw09EwE0CqkOc4q9oUmW1yo/edit?usp=sharing"",""กำแพงเพชร!I404"")"),0)</f>
        <v>0</v>
      </c>
      <c r="J509" s="170">
        <f ca="1">IFERROR(__xludf.DUMMYFUNCTION("IMPORTRANGE(""https://docs.google.com/spreadsheets/d/11923uPwbBZFjjGgGUA6NLw09EwE0CqkOc4q9oUmW1yo/edit?usp=sharing"",""กำแพงเพชร!J404"")"),0)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IFERROR(__xludf.DUMMYFUNCTION("IMPORTRANGE(""https://docs.google.com/spreadsheets/d/11923uPwbBZFjjGgGUA6NLw09EwE0CqkOc4q9oUmW1yo/edit?usp=sharing"",""กำแพงเพชร!I405"")"),0)</f>
        <v>0</v>
      </c>
      <c r="J510" s="207">
        <f ca="1">IFERROR(__xludf.DUMMYFUNCTION("IMPORTRANGE(""https://docs.google.com/spreadsheets/d/11923uPwbBZFjjGgGUA6NLw09EwE0CqkOc4q9oUmW1yo/edit?usp=sharing"",""กำแพงเพชร!J405"")"),0)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IFERROR(__xludf.DUMMYFUNCTION("IMPORTRANGE(""https://docs.google.com/spreadsheets/d/11923uPwbBZFjjGgGUA6NLw09EwE0CqkOc4q9oUmW1yo/edit?usp=sharing"",""กำแพงเพชร!I406"")"),0)</f>
        <v>0</v>
      </c>
      <c r="J511" s="207">
        <f ca="1">IFERROR(__xludf.DUMMYFUNCTION("IMPORTRANGE(""https://docs.google.com/spreadsheets/d/11923uPwbBZFjjGgGUA6NLw09EwE0CqkOc4q9oUmW1yo/edit?usp=sharing"",""กำแพงเพชร!J406"")"),0)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IFERROR(__xludf.DUMMYFUNCTION("IMPORTRANGE(""https://docs.google.com/spreadsheets/d/11923uPwbBZFjjGgGUA6NLw09EwE0CqkOc4q9oUmW1yo/edit?usp=sharing"",""กำแพงเพชร!I407"")"),0)</f>
        <v>0</v>
      </c>
      <c r="J512" s="207">
        <f ca="1">IFERROR(__xludf.DUMMYFUNCTION("IMPORTRANGE(""https://docs.google.com/spreadsheets/d/11923uPwbBZFjjGgGUA6NLw09EwE0CqkOc4q9oUmW1yo/edit?usp=sharing"",""กำแพงเพชร!J407"")"),0)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IFERROR(__xludf.DUMMYFUNCTION("IMPORTRANGE(""https://docs.google.com/spreadsheets/d/11923uPwbBZFjjGgGUA6NLw09EwE0CqkOc4q9oUmW1yo/edit?usp=sharing"",""กำแพงเพชร!I408"")"),0)</f>
        <v>0</v>
      </c>
      <c r="J513" s="207">
        <f ca="1">IFERROR(__xludf.DUMMYFUNCTION("IMPORTRANGE(""https://docs.google.com/spreadsheets/d/11923uPwbBZFjjGgGUA6NLw09EwE0CqkOc4q9oUmW1yo/edit?usp=sharing"",""กำแพงเพชร!J408"")"),0)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IFERROR(__xludf.DUMMYFUNCTION("IMPORTRANGE(""https://docs.google.com/spreadsheets/d/11923uPwbBZFjjGgGUA6NLw09EwE0CqkOc4q9oUmW1yo/edit?usp=sharing"",""กำแพงเพชร!I409"")"),0)</f>
        <v>0</v>
      </c>
      <c r="J514" s="207">
        <f ca="1">IFERROR(__xludf.DUMMYFUNCTION("IMPORTRANGE(""https://docs.google.com/spreadsheets/d/11923uPwbBZFjjGgGUA6NLw09EwE0CqkOc4q9oUmW1yo/edit?usp=sharing"",""กำแพงเพชร!J409"")"),0)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IFERROR(__xludf.DUMMYFUNCTION("IMPORTRANGE(""https://docs.google.com/spreadsheets/d/11923uPwbBZFjjGgGUA6NLw09EwE0CqkOc4q9oUmW1yo/edit?usp=sharing"",""กำแพงเพชร!I410"")"),0)</f>
        <v>0</v>
      </c>
      <c r="J515" s="207">
        <f ca="1">IFERROR(__xludf.DUMMYFUNCTION("IMPORTRANGE(""https://docs.google.com/spreadsheets/d/11923uPwbBZFjjGgGUA6NLw09EwE0CqkOc4q9oUmW1yo/edit?usp=sharing"",""กำแพงเพชร!J410"")"),0)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IFERROR(__xludf.DUMMYFUNCTION("IMPORTRANGE(""https://docs.google.com/spreadsheets/d/11923uPwbBZFjjGgGUA6NLw09EwE0CqkOc4q9oUmW1yo/edit?usp=sharing"",""กำแพงเพชร!I411"")"),0)</f>
        <v>0</v>
      </c>
      <c r="J516" s="276">
        <f ca="1">IFERROR(__xludf.DUMMYFUNCTION("IMPORTRANGE(""https://docs.google.com/spreadsheets/d/11923uPwbBZFjjGgGUA6NLw09EwE0CqkOc4q9oUmW1yo/edit?usp=sharing"",""กำแพงเพชร!J411"")"),0)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IFERROR(__xludf.DUMMYFUNCTION("IMPORTRANGE(""https://docs.google.com/spreadsheets/d/11923uPwbBZFjjGgGUA6NLw09EwE0CqkOc4q9oUmW1yo/edit?usp=sharing"",""กำแพงเพชร!I412"")"),0)</f>
        <v>0</v>
      </c>
      <c r="J517" s="292">
        <f ca="1">IFERROR(__xludf.DUMMYFUNCTION("IMPORTRANGE(""https://docs.google.com/spreadsheets/d/11923uPwbBZFjjGgGUA6NLw09EwE0CqkOc4q9oUmW1yo/edit?usp=sharing"",""กำแพงเพชร!J412"")"),0)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IFERROR(__xludf.DUMMYFUNCTION("IMPORTRANGE(""https://docs.google.com/spreadsheets/d/11923uPwbBZFjjGgGUA6NLw09EwE0CqkOc4q9oUmW1yo/edit?usp=sharing"",""กำแพงเพชร!I413"")"),0)</f>
        <v>0</v>
      </c>
      <c r="J518" s="292">
        <f ca="1">IFERROR(__xludf.DUMMYFUNCTION("IMPORTRANGE(""https://docs.google.com/spreadsheets/d/11923uPwbBZFjjGgGUA6NLw09EwE0CqkOc4q9oUmW1yo/edit?usp=sharing"",""กำแพงเพชร!J413"")"),0)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IFERROR(__xludf.DUMMYFUNCTION("IMPORTRANGE(""https://docs.google.com/spreadsheets/d/11923uPwbBZFjjGgGUA6NLw09EwE0CqkOc4q9oUmW1yo/edit?usp=sharing"",""กำแพงเพชร!I414"")"),0)</f>
        <v>0</v>
      </c>
      <c r="J519" s="197">
        <f ca="1">IFERROR(__xludf.DUMMYFUNCTION("IMPORTRANGE(""https://docs.google.com/spreadsheets/d/11923uPwbBZFjjGgGUA6NLw09EwE0CqkOc4q9oUmW1yo/edit?usp=sharing"",""กำแพงเพชร!J414"")"),0)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IFERROR(__xludf.DUMMYFUNCTION("IMPORTRANGE(""https://docs.google.com/spreadsheets/d/11923uPwbBZFjjGgGUA6NLw09EwE0CqkOc4q9oUmW1yo/edit?usp=sharing"",""กำแพงเพชร!I415"")"),0)</f>
        <v>0</v>
      </c>
      <c r="J520" s="197">
        <f ca="1">IFERROR(__xludf.DUMMYFUNCTION("IMPORTRANGE(""https://docs.google.com/spreadsheets/d/11923uPwbBZFjjGgGUA6NLw09EwE0CqkOc4q9oUmW1yo/edit?usp=sharing"",""กำแพงเพชร!J415"")"),0)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IFERROR(__xludf.DUMMYFUNCTION("IMPORTRANGE(""https://docs.google.com/spreadsheets/d/11923uPwbBZFjjGgGUA6NLw09EwE0CqkOc4q9oUmW1yo/edit?usp=sharing"",""กำแพงเพชร!I416"")"),0)</f>
        <v>0</v>
      </c>
      <c r="J521" s="197">
        <f ca="1">IFERROR(__xludf.DUMMYFUNCTION("IMPORTRANGE(""https://docs.google.com/spreadsheets/d/11923uPwbBZFjjGgGUA6NLw09EwE0CqkOc4q9oUmW1yo/edit?usp=sharing"",""กำแพงเพชร!J416"")"),0)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IFERROR(__xludf.DUMMYFUNCTION("IMPORTRANGE(""https://docs.google.com/spreadsheets/d/11923uPwbBZFjjGgGUA6NLw09EwE0CqkOc4q9oUmW1yo/edit?usp=sharing"",""กำแพงเพชร!I417"")"),0)</f>
        <v>0</v>
      </c>
      <c r="J522" s="197">
        <f ca="1">IFERROR(__xludf.DUMMYFUNCTION("IMPORTRANGE(""https://docs.google.com/spreadsheets/d/11923uPwbBZFjjGgGUA6NLw09EwE0CqkOc4q9oUmW1yo/edit?usp=sharing"",""กำแพงเพชร!J417"")"),0)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IFERROR(__xludf.DUMMYFUNCTION("IMPORTRANGE(""https://docs.google.com/spreadsheets/d/11923uPwbBZFjjGgGUA6NLw09EwE0CqkOc4q9oUmW1yo/edit?usp=sharing"",""กำแพงเพชร!I418"")"),0)</f>
        <v>0</v>
      </c>
      <c r="J523" s="197">
        <f ca="1">IFERROR(__xludf.DUMMYFUNCTION("IMPORTRANGE(""https://docs.google.com/spreadsheets/d/11923uPwbBZFjjGgGUA6NLw09EwE0CqkOc4q9oUmW1yo/edit?usp=sharing"",""กำแพงเพชร!J418"")"),0)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IFERROR(__xludf.DUMMYFUNCTION("IMPORTRANGE(""https://docs.google.com/spreadsheets/d/11923uPwbBZFjjGgGUA6NLw09EwE0CqkOc4q9oUmW1yo/edit?usp=sharing"",""กำแพงเพชร!I419"")"),0)</f>
        <v>0</v>
      </c>
      <c r="J524" s="197">
        <f ca="1">IFERROR(__xludf.DUMMYFUNCTION("IMPORTRANGE(""https://docs.google.com/spreadsheets/d/11923uPwbBZFjjGgGUA6NLw09EwE0CqkOc4q9oUmW1yo/edit?usp=sharing"",""กำแพงเพชร!J419"")"),0)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IFERROR(__xludf.DUMMYFUNCTION("IMPORTRANGE(""https://docs.google.com/spreadsheets/d/11923uPwbBZFjjGgGUA6NLw09EwE0CqkOc4q9oUmW1yo/edit?usp=sharing"",""กำแพงเพชร!I420"")"),0)</f>
        <v>0</v>
      </c>
      <c r="J525" s="292">
        <f ca="1">IFERROR(__xludf.DUMMYFUNCTION("IMPORTRANGE(""https://docs.google.com/spreadsheets/d/11923uPwbBZFjjGgGUA6NLw09EwE0CqkOc4q9oUmW1yo/edit?usp=sharing"",""กำแพงเพชร!J420"")"),0)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IFERROR(__xludf.DUMMYFUNCTION("IMPORTRANGE(""https://docs.google.com/spreadsheets/d/11923uPwbBZFjjGgGUA6NLw09EwE0CqkOc4q9oUmW1yo/edit?usp=sharing"",""กำแพงเพชร!I421"")"),0)</f>
        <v>0</v>
      </c>
      <c r="J526" s="292">
        <f ca="1">IFERROR(__xludf.DUMMYFUNCTION("IMPORTRANGE(""https://docs.google.com/spreadsheets/d/11923uPwbBZFjjGgGUA6NLw09EwE0CqkOc4q9oUmW1yo/edit?usp=sharing"",""กำแพงเพชร!J421"")"),0)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IFERROR(__xludf.DUMMYFUNCTION("IMPORTRANGE(""https://docs.google.com/spreadsheets/d/11923uPwbBZFjjGgGUA6NLw09EwE0CqkOc4q9oUmW1yo/edit?usp=sharing"",""กำแพงเพชร!I422"")"),0)</f>
        <v>0</v>
      </c>
      <c r="J527" s="207">
        <f ca="1">IFERROR(__xludf.DUMMYFUNCTION("IMPORTRANGE(""https://docs.google.com/spreadsheets/d/11923uPwbBZFjjGgGUA6NLw09EwE0CqkOc4q9oUmW1yo/edit?usp=sharing"",""กำแพงเพชร!J422"")"),0)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IFERROR(__xludf.DUMMYFUNCTION("IMPORTRANGE(""https://docs.google.com/spreadsheets/d/11923uPwbBZFjjGgGUA6NLw09EwE0CqkOc4q9oUmW1yo/edit?usp=sharing"",""กำแพงเพชร!I423"")"),0)</f>
        <v>0</v>
      </c>
      <c r="J528" s="207">
        <f ca="1">IFERROR(__xludf.DUMMYFUNCTION("IMPORTRANGE(""https://docs.google.com/spreadsheets/d/11923uPwbBZFjjGgGUA6NLw09EwE0CqkOc4q9oUmW1yo/edit?usp=sharing"",""กำแพงเพชร!J423"")"),0)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IFERROR(__xludf.DUMMYFUNCTION("IMPORTRANGE(""https://docs.google.com/spreadsheets/d/11923uPwbBZFjjGgGUA6NLw09EwE0CqkOc4q9oUmW1yo/edit?usp=sharing"",""กำแพงเพชร!I424"")"),0)</f>
        <v>0</v>
      </c>
      <c r="J529" s="207">
        <f ca="1">IFERROR(__xludf.DUMMYFUNCTION("IMPORTRANGE(""https://docs.google.com/spreadsheets/d/11923uPwbBZFjjGgGUA6NLw09EwE0CqkOc4q9oUmW1yo/edit?usp=sharing"",""กำแพงเพชร!J424"")"),0)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IFERROR(__xludf.DUMMYFUNCTION("IMPORTRANGE(""https://docs.google.com/spreadsheets/d/11923uPwbBZFjjGgGUA6NLw09EwE0CqkOc4q9oUmW1yo/edit?usp=sharing"",""กำแพงเพชร!I425"")"),0)</f>
        <v>0</v>
      </c>
      <c r="J530" s="207">
        <f ca="1">IFERROR(__xludf.DUMMYFUNCTION("IMPORTRANGE(""https://docs.google.com/spreadsheets/d/11923uPwbBZFjjGgGUA6NLw09EwE0CqkOc4q9oUmW1yo/edit?usp=sharing"",""กำแพงเพชร!J425"")"),0)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IFERROR(__xludf.DUMMYFUNCTION("IMPORTRANGE(""https://docs.google.com/spreadsheets/d/11923uPwbBZFjjGgGUA6NLw09EwE0CqkOc4q9oUmW1yo/edit?usp=sharing"",""กำแพงเพชร!I426"")"),0)</f>
        <v>0</v>
      </c>
      <c r="J531" s="207">
        <f ca="1">IFERROR(__xludf.DUMMYFUNCTION("IMPORTRANGE(""https://docs.google.com/spreadsheets/d/11923uPwbBZFjjGgGUA6NLw09EwE0CqkOc4q9oUmW1yo/edit?usp=sharing"",""กำแพงเพชร!J426"")"),0)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IFERROR(__xludf.DUMMYFUNCTION("IMPORTRANGE(""https://docs.google.com/spreadsheets/d/11923uPwbBZFjjGgGUA6NLw09EwE0CqkOc4q9oUmW1yo/edit?usp=sharing"",""กำแพงเพชร!I427"")"),0)</f>
        <v>0</v>
      </c>
      <c r="J532" s="474">
        <f ca="1">IFERROR(__xludf.DUMMYFUNCTION("IMPORTRANGE(""https://docs.google.com/spreadsheets/d/11923uPwbBZFjjGgGUA6NLw09EwE0CqkOc4q9oUmW1yo/edit?usp=sharing"",""กำแพงเพชร!J427"")"),0)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IFERROR(__xludf.DUMMYFUNCTION("IMPORTRANGE(""https://docs.google.com/spreadsheets/d/11923uPwbBZFjjGgGUA6NLw09EwE0CqkOc4q9oUmW1yo/edit?usp=sharing"",""กำแพงเพชร!I428"")"),22)</f>
        <v>22</v>
      </c>
      <c r="J533" s="418">
        <f ca="1">IFERROR(__xludf.DUMMYFUNCTION("IMPORTRANGE(""https://docs.google.com/spreadsheets/d/11923uPwbBZFjjGgGUA6NLw09EwE0CqkOc4q9oUmW1yo/edit?usp=sharing"",""กำแพงเพชร!J428"")"),22)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IFERROR(__xludf.DUMMYFUNCTION("IMPORTRANGE(""https://docs.google.com/spreadsheets/d/11923uPwbBZFjjGgGUA6NLw09EwE0CqkOc4q9oUmW1yo/edit?usp=sharing"",""กำแพงเพชร!L428"")"),34350)</f>
        <v>34350</v>
      </c>
      <c r="M533" s="420"/>
      <c r="N533" s="420">
        <f ca="1">IFERROR(__xludf.DUMMYFUNCTION("IMPORTRANGE(""https://docs.google.com/spreadsheets/d/11923uPwbBZFjjGgGUA6NLw09EwE0CqkOc4q9oUmW1yo/edit?usp=sharing"",""กำแพงเพชร!M428"")"),20160)</f>
        <v>20160</v>
      </c>
      <c r="O533" s="420">
        <f t="shared" ref="O533:O537" ca="1" si="118">+IF(L533&gt;0,N533*100/L533,0)</f>
        <v>58.689956331877731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IFERROR(__xludf.DUMMYFUNCTION("IMPORTRANGE(""https://docs.google.com/spreadsheets/d/11923uPwbBZFjjGgGUA6NLw09EwE0CqkOc4q9oUmW1yo/edit?usp=sharing"",""กำแพงเพชร!L429"")"),0)</f>
        <v>0</v>
      </c>
      <c r="M534" s="172"/>
      <c r="N534" s="178">
        <f ca="1">IFERROR(__xludf.DUMMYFUNCTION("IMPORTRANGE(""https://docs.google.com/spreadsheets/d/11923uPwbBZFjjGgGUA6NLw09EwE0CqkOc4q9oUmW1yo/edit?usp=sharing"",""กำแพงเพชร!M429"")"),0)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IFERROR(__xludf.DUMMYFUNCTION("IMPORTRANGE(""https://docs.google.com/spreadsheets/d/11923uPwbBZFjjGgGUA6NLw09EwE0CqkOc4q9oUmW1yo/edit?usp=sharing"",""กำแพงเพชร!L430"")"),34350)</f>
        <v>34350</v>
      </c>
      <c r="M535" s="173"/>
      <c r="N535" s="178">
        <f ca="1">IFERROR(__xludf.DUMMYFUNCTION("IMPORTRANGE(""https://docs.google.com/spreadsheets/d/11923uPwbBZFjjGgGUA6NLw09EwE0CqkOc4q9oUmW1yo/edit?usp=sharing"",""กำแพงเพชร!M430"")"),20160)</f>
        <v>20160</v>
      </c>
      <c r="O535" s="178">
        <f t="shared" ca="1" si="118"/>
        <v>58.689956331877731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IFERROR(__xludf.DUMMYFUNCTION("IMPORTRANGE(""https://docs.google.com/spreadsheets/d/11923uPwbBZFjjGgGUA6NLw09EwE0CqkOc4q9oUmW1yo/edit?usp=sharing"",""กำแพงเพชร!L431"")"),0)</f>
        <v>0</v>
      </c>
      <c r="M536" s="178"/>
      <c r="N536" s="178">
        <f ca="1">IFERROR(__xludf.DUMMYFUNCTION("IMPORTRANGE(""https://docs.google.com/spreadsheets/d/11923uPwbBZFjjGgGUA6NLw09EwE0CqkOc4q9oUmW1yo/edit?usp=sharing"",""กำแพงเพชร!M431"")"),0)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IFERROR(__xludf.DUMMYFUNCTION("IMPORTRANGE(""https://docs.google.com/spreadsheets/d/11923uPwbBZFjjGgGUA6NLw09EwE0CqkOc4q9oUmW1yo/edit?usp=sharing"",""กำแพงเพชร!L432"")"),34350)</f>
        <v>34350</v>
      </c>
      <c r="M537" s="178"/>
      <c r="N537" s="178">
        <f ca="1">IFERROR(__xludf.DUMMYFUNCTION("IMPORTRANGE(""https://docs.google.com/spreadsheets/d/11923uPwbBZFjjGgGUA6NLw09EwE0CqkOc4q9oUmW1yo/edit?usp=sharing"",""กำแพงเพชร!M432"")"),20160)</f>
        <v>20160</v>
      </c>
      <c r="O537" s="178">
        <f t="shared" ca="1" si="118"/>
        <v>58.689956331877731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IFERROR(__xludf.DUMMYFUNCTION("IMPORTRANGE(""https://docs.google.com/spreadsheets/d/11923uPwbBZFjjGgGUA6NLw09EwE0CqkOc4q9oUmW1yo/edit?usp=sharing"",""กำแพงเพชร!M433"")"),20160)</f>
        <v>20160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IFERROR(__xludf.DUMMYFUNCTION("IMPORTRANGE(""https://docs.google.com/spreadsheets/d/11923uPwbBZFjjGgGUA6NLw09EwE0CqkOc4q9oUmW1yo/edit?usp=sharing"",""กำแพงเพชร!M434"")"),0)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IFERROR(__xludf.DUMMYFUNCTION("IMPORTRANGE(""https://docs.google.com/spreadsheets/d/11923uPwbBZFjjGgGUA6NLw09EwE0CqkOc4q9oUmW1yo/edit?usp=sharing"",""กำแพงเพชร!M435"")"),0)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IFERROR(__xludf.DUMMYFUNCTION("IMPORTRANGE(""https://docs.google.com/spreadsheets/d/11923uPwbBZFjjGgGUA6NLw09EwE0CqkOc4q9oUmW1yo/edit?usp=sharing"",""กำแพงเพชร!M436"")"),0)</f>
        <v>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IFERROR(__xludf.DUMMYFUNCTION("IMPORTRANGE(""https://docs.google.com/spreadsheets/d/11923uPwbBZFjjGgGUA6NLw09EwE0CqkOc4q9oUmW1yo/edit?usp=sharing"",""กำแพงเพชร!J438"")"),0)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IFERROR(__xludf.DUMMYFUNCTION("IMPORTRANGE(""https://docs.google.com/spreadsheets/d/11923uPwbBZFjjGgGUA6NLw09EwE0CqkOc4q9oUmW1yo/edit?usp=sharing"",""กำแพงเพชร!J439"")"),1)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IFERROR(__xludf.DUMMYFUNCTION("IMPORTRANGE(""https://docs.google.com/spreadsheets/d/11923uPwbBZFjjGgGUA6NLw09EwE0CqkOc4q9oUmW1yo/edit?usp=sharing"",""กำแพงเพชร!J440"")"),1)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IFERROR(__xludf.DUMMYFUNCTION("IMPORTRANGE(""https://docs.google.com/spreadsheets/d/11923uPwbBZFjjGgGUA6NLw09EwE0CqkOc4q9oUmW1yo/edit?usp=sharing"",""กำแพงเพชร!J441"")"),1)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IFERROR(__xludf.DUMMYFUNCTION("IMPORTRANGE(""https://docs.google.com/spreadsheets/d/11923uPwbBZFjjGgGUA6NLw09EwE0CqkOc4q9oUmW1yo/edit?usp=sharing"",""กำแพงเพชร!I442"")"),22)</f>
        <v>22</v>
      </c>
      <c r="J547" s="198">
        <f ca="1">IFERROR(__xludf.DUMMYFUNCTION("IMPORTRANGE(""https://docs.google.com/spreadsheets/d/11923uPwbBZFjjGgGUA6NLw09EwE0CqkOc4q9oUmW1yo/edit?usp=sharing"",""กำแพงเพชร!J442"")"),22)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IFERROR(__xludf.DUMMYFUNCTION("IMPORTRANGE(""https://docs.google.com/spreadsheets/d/11923uPwbBZFjjGgGUA6NLw09EwE0CqkOc4q9oUmW1yo/edit?usp=sharing"",""กำแพงเพชร!J166"")"),0)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IFERROR(__xludf.DUMMYFUNCTION("IMPORTRANGE(""https://docs.google.com/spreadsheets/d/11923uPwbBZFjjGgGUA6NLw09EwE0CqkOc4q9oUmW1yo/edit?usp=sharing"",""กำแพงเพชร!J444"")"),0)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IFERROR(__xludf.DUMMYFUNCTION("IMPORTRANGE(""https://docs.google.com/spreadsheets/d/11923uPwbBZFjjGgGUA6NLw09EwE0CqkOc4q9oUmW1yo/edit?usp=sharing"",""กำแพงเพชร!J445"")"),0)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IFERROR(__xludf.DUMMYFUNCTION("IMPORTRANGE(""https://docs.google.com/spreadsheets/d/11923uPwbBZFjjGgGUA6NLw09EwE0CqkOc4q9oUmW1yo/edit?usp=sharing"",""กำแพงเพชร!I446"")"),5000)</f>
        <v>5000</v>
      </c>
      <c r="J551" s="418">
        <f ca="1">IFERROR(__xludf.DUMMYFUNCTION("IMPORTRANGE(""https://docs.google.com/spreadsheets/d/11923uPwbBZFjjGgGUA6NLw09EwE0CqkOc4q9oUmW1yo/edit?usp=sharing"",""กำแพงเพชร!J446"")"),0)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IFERROR(__xludf.DUMMYFUNCTION("IMPORTRANGE(""https://docs.google.com/spreadsheets/d/11923uPwbBZFjjGgGUA6NLw09EwE0CqkOc4q9oUmW1yo/edit?usp=sharing"",""กำแพงเพชร!L446"")"),320000)</f>
        <v>320000</v>
      </c>
      <c r="M551" s="420"/>
      <c r="N551" s="420">
        <f ca="1">IFERROR(__xludf.DUMMYFUNCTION("IMPORTRANGE(""https://docs.google.com/spreadsheets/d/11923uPwbBZFjjGgGUA6NLw09EwE0CqkOc4q9oUmW1yo/edit?usp=sharing"",""กำแพงเพชร!M446"")"),0)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IFERROR(__xludf.DUMMYFUNCTION("IMPORTRANGE(""https://docs.google.com/spreadsheets/d/11923uPwbBZFjjGgGUA6NLw09EwE0CqkOc4q9oUmW1yo/edit?usp=sharing"",""กำแพงเพชร!L447"")"),0)</f>
        <v>0</v>
      </c>
      <c r="M552" s="172"/>
      <c r="N552" s="178">
        <f ca="1">IFERROR(__xludf.DUMMYFUNCTION("IMPORTRANGE(""https://docs.google.com/spreadsheets/d/11923uPwbBZFjjGgGUA6NLw09EwE0CqkOc4q9oUmW1yo/edit?usp=sharing"",""กำแพงเพชร!M447"")"),0)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IFERROR(__xludf.DUMMYFUNCTION("IMPORTRANGE(""https://docs.google.com/spreadsheets/d/11923uPwbBZFjjGgGUA6NLw09EwE0CqkOc4q9oUmW1yo/edit?usp=sharing"",""กำแพงเพชร!L448"")"),320000)</f>
        <v>320000</v>
      </c>
      <c r="M553" s="173"/>
      <c r="N553" s="178">
        <f ca="1">IFERROR(__xludf.DUMMYFUNCTION("IMPORTRANGE(""https://docs.google.com/spreadsheets/d/11923uPwbBZFjjGgGUA6NLw09EwE0CqkOc4q9oUmW1yo/edit?usp=sharing"",""กำแพงเพชร!M448"")"),0)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IFERROR(__xludf.DUMMYFUNCTION("IMPORTRANGE(""https://docs.google.com/spreadsheets/d/11923uPwbBZFjjGgGUA6NLw09EwE0CqkOc4q9oUmW1yo/edit?usp=sharing"",""กำแพงเพชร!L449"")"),0)</f>
        <v>0</v>
      </c>
      <c r="M554" s="178"/>
      <c r="N554" s="178">
        <f ca="1">IFERROR(__xludf.DUMMYFUNCTION("IMPORTRANGE(""https://docs.google.com/spreadsheets/d/11923uPwbBZFjjGgGUA6NLw09EwE0CqkOc4q9oUmW1yo/edit?usp=sharing"",""กำแพงเพชร!M449"")"),0)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IFERROR(__xludf.DUMMYFUNCTION("IMPORTRANGE(""https://docs.google.com/spreadsheets/d/11923uPwbBZFjjGgGUA6NLw09EwE0CqkOc4q9oUmW1yo/edit?usp=sharing"",""กำแพงเพชร!L450"")"),320000)</f>
        <v>320000</v>
      </c>
      <c r="M555" s="178"/>
      <c r="N555" s="178">
        <f ca="1">IFERROR(__xludf.DUMMYFUNCTION("IMPORTRANGE(""https://docs.google.com/spreadsheets/d/11923uPwbBZFjjGgGUA6NLw09EwE0CqkOc4q9oUmW1yo/edit?usp=sharing"",""กำแพงเพชร!M450"")"),0)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IFERROR(__xludf.DUMMYFUNCTION("IMPORTRANGE(""https://docs.google.com/spreadsheets/d/11923uPwbBZFjjGgGUA6NLw09EwE0CqkOc4q9oUmW1yo/edit?usp=sharing"",""กำแพงเพชร!M451"")"),0)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IFERROR(__xludf.DUMMYFUNCTION("IMPORTRANGE(""https://docs.google.com/spreadsheets/d/11923uPwbBZFjjGgGUA6NLw09EwE0CqkOc4q9oUmW1yo/edit?usp=sharing"",""กำแพงเพชร!M452"")"),0)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IFERROR(__xludf.DUMMYFUNCTION("IMPORTRANGE(""https://docs.google.com/spreadsheets/d/11923uPwbBZFjjGgGUA6NLw09EwE0CqkOc4q9oUmW1yo/edit?usp=sharing"",""กำแพงเพชร!M453"")"),0)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IFERROR(__xludf.DUMMYFUNCTION("IMPORTRANGE(""https://docs.google.com/spreadsheets/d/11923uPwbBZFjjGgGUA6NLw09EwE0CqkOc4q9oUmW1yo/edit?usp=sharing"",""กำแพงเพชร!M454"")"),0)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IFERROR(__xludf.DUMMYFUNCTION("IMPORTRANGE(""https://docs.google.com/spreadsheets/d/11923uPwbBZFjjGgGUA6NLw09EwE0CqkOc4q9oUmW1yo/edit?usp=sharing"",""กำแพงเพชร!I455"")"),5000)</f>
        <v>5000</v>
      </c>
      <c r="J560" s="170">
        <f ca="1">IFERROR(__xludf.DUMMYFUNCTION("IMPORTRANGE(""https://docs.google.com/spreadsheets/d/11923uPwbBZFjjGgGUA6NLw09EwE0CqkOc4q9oUmW1yo/edit?usp=sharing"",""กำแพงเพชร!J455"")"),0)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IFERROR(__xludf.DUMMYFUNCTION("IMPORTRANGE(""https://docs.google.com/spreadsheets/d/11923uPwbBZFjjGgGUA6NLw09EwE0CqkOc4q9oUmW1yo/edit?usp=sharing"",""กำแพงเพชร!I456"")"),0)</f>
        <v>0</v>
      </c>
      <c r="J561" s="213">
        <f ca="1">IFERROR(__xludf.DUMMYFUNCTION("IMPORTRANGE(""https://docs.google.com/spreadsheets/d/11923uPwbBZFjjGgGUA6NLw09EwE0CqkOc4q9oUmW1yo/edit?usp=sharing"",""กำแพงเพชร!J456"")"),0)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IFERROR(__xludf.DUMMYFUNCTION("IMPORTRANGE(""https://docs.google.com/spreadsheets/d/11923uPwbBZFjjGgGUA6NLw09EwE0CqkOc4q9oUmW1yo/edit?usp=sharing"",""กำแพงเพชร!I457"")"),"")</f>
        <v/>
      </c>
      <c r="J562" s="213" t="str">
        <f ca="1">IFERROR(__xludf.DUMMYFUNCTION("IMPORTRANGE(""https://docs.google.com/spreadsheets/d/11923uPwbBZFjjGgGUA6NLw09EwE0CqkOc4q9oUmW1yo/edit?usp=sharing"",""กำแพงเพชร!J457"")"),"")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IFERROR(__xludf.DUMMYFUNCTION("IMPORTRANGE(""https://docs.google.com/spreadsheets/d/11923uPwbBZFjjGgGUA6NLw09EwE0CqkOc4q9oUmW1yo/edit?usp=sharing"",""กำแพงเพชร!I458"")"),"")</f>
        <v/>
      </c>
      <c r="J563" s="197" t="str">
        <f ca="1">IFERROR(__xludf.DUMMYFUNCTION("IMPORTRANGE(""https://docs.google.com/spreadsheets/d/11923uPwbBZFjjGgGUA6NLw09EwE0CqkOc4q9oUmW1yo/edit?usp=sharing"",""กำแพงเพชร!J458"")"),"")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IFERROR(__xludf.DUMMYFUNCTION("IMPORTRANGE(""https://docs.google.com/spreadsheets/d/11923uPwbBZFjjGgGUA6NLw09EwE0CqkOc4q9oUmW1yo/edit?usp=sharing"",""กำแพงเพชร!I459"")"),4900)</f>
        <v>4900</v>
      </c>
      <c r="J564" s="379">
        <f ca="1">IFERROR(__xludf.DUMMYFUNCTION("IMPORTRANGE(""https://docs.google.com/spreadsheets/d/11923uPwbBZFjjGgGUA6NLw09EwE0CqkOc4q9oUmW1yo/edit?usp=sharing"",""กำแพงเพชร!J459"")"),2270)</f>
        <v>2270</v>
      </c>
      <c r="K564" s="380">
        <f t="shared" ca="1" si="121"/>
        <v>46.326530612244895</v>
      </c>
      <c r="L564" s="381">
        <f ca="1">IFERROR(__xludf.DUMMYFUNCTION("IMPORTRANGE(""https://docs.google.com/spreadsheets/d/11923uPwbBZFjjGgGUA6NLw09EwE0CqkOc4q9oUmW1yo/edit?usp=sharing"",""กำแพงเพชร!L459"")"),168000)</f>
        <v>168000</v>
      </c>
      <c r="M564" s="381"/>
      <c r="N564" s="381">
        <f ca="1">IFERROR(__xludf.DUMMYFUNCTION("IMPORTRANGE(""https://docs.google.com/spreadsheets/d/11923uPwbBZFjjGgGUA6NLw09EwE0CqkOc4q9oUmW1yo/edit?usp=sharing"",""กำแพงเพชร!M459"")"),0)</f>
        <v>0</v>
      </c>
      <c r="O564" s="381">
        <f t="shared" ref="O564:O568" ca="1" si="122">+IF(L564&gt;0,N564*100/L564,0)</f>
        <v>0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IFERROR(__xludf.DUMMYFUNCTION("IMPORTRANGE(""https://docs.google.com/spreadsheets/d/11923uPwbBZFjjGgGUA6NLw09EwE0CqkOc4q9oUmW1yo/edit?usp=sharing"",""กำแพงเพชร!L460"")"),0)</f>
        <v>0</v>
      </c>
      <c r="M565" s="172"/>
      <c r="N565" s="178">
        <f ca="1">IFERROR(__xludf.DUMMYFUNCTION("IMPORTRANGE(""https://docs.google.com/spreadsheets/d/11923uPwbBZFjjGgGUA6NLw09EwE0CqkOc4q9oUmW1yo/edit?usp=sharing"",""กำแพงเพชร!M460"")"),0)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IFERROR(__xludf.DUMMYFUNCTION("IMPORTRANGE(""https://docs.google.com/spreadsheets/d/11923uPwbBZFjjGgGUA6NLw09EwE0CqkOc4q9oUmW1yo/edit?usp=sharing"",""กำแพงเพชร!L461"")"),168000)</f>
        <v>168000</v>
      </c>
      <c r="M566" s="173"/>
      <c r="N566" s="178">
        <f ca="1">IFERROR(__xludf.DUMMYFUNCTION("IMPORTRANGE(""https://docs.google.com/spreadsheets/d/11923uPwbBZFjjGgGUA6NLw09EwE0CqkOc4q9oUmW1yo/edit?usp=sharing"",""กำแพงเพชร!M461"")"),0)</f>
        <v>0</v>
      </c>
      <c r="O566" s="178">
        <f t="shared" ca="1" si="122"/>
        <v>0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IFERROR(__xludf.DUMMYFUNCTION("IMPORTRANGE(""https://docs.google.com/spreadsheets/d/11923uPwbBZFjjGgGUA6NLw09EwE0CqkOc4q9oUmW1yo/edit?usp=sharing"",""กำแพงเพชร!L462"")"),0)</f>
        <v>0</v>
      </c>
      <c r="M567" s="178"/>
      <c r="N567" s="178">
        <f ca="1">IFERROR(__xludf.DUMMYFUNCTION("IMPORTRANGE(""https://docs.google.com/spreadsheets/d/11923uPwbBZFjjGgGUA6NLw09EwE0CqkOc4q9oUmW1yo/edit?usp=sharing"",""กำแพงเพชร!M462"")"),0)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IFERROR(__xludf.DUMMYFUNCTION("IMPORTRANGE(""https://docs.google.com/spreadsheets/d/11923uPwbBZFjjGgGUA6NLw09EwE0CqkOc4q9oUmW1yo/edit?usp=sharing"",""กำแพงเพชร!L463"")"),168000)</f>
        <v>168000</v>
      </c>
      <c r="M568" s="178"/>
      <c r="N568" s="178">
        <f ca="1">IFERROR(__xludf.DUMMYFUNCTION("IMPORTRANGE(""https://docs.google.com/spreadsheets/d/11923uPwbBZFjjGgGUA6NLw09EwE0CqkOc4q9oUmW1yo/edit?usp=sharing"",""กำแพงเพชร!M463"")"),0)</f>
        <v>0</v>
      </c>
      <c r="O568" s="178">
        <f t="shared" ca="1" si="122"/>
        <v>0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IFERROR(__xludf.DUMMYFUNCTION("IMPORTRANGE(""https://docs.google.com/spreadsheets/d/11923uPwbBZFjjGgGUA6NLw09EwE0CqkOc4q9oUmW1yo/edit?usp=sharing"",""กำแพงเพชร!M464"")"),0)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IFERROR(__xludf.DUMMYFUNCTION("IMPORTRANGE(""https://docs.google.com/spreadsheets/d/11923uPwbBZFjjGgGUA6NLw09EwE0CqkOc4q9oUmW1yo/edit?usp=sharing"",""กำแพงเพชร!M465"")"),0)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IFERROR(__xludf.DUMMYFUNCTION("IMPORTRANGE(""https://docs.google.com/spreadsheets/d/11923uPwbBZFjjGgGUA6NLw09EwE0CqkOc4q9oUmW1yo/edit?usp=sharing"",""กำแพงเพชร!M466"")"),0)</f>
        <v>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IFERROR(__xludf.DUMMYFUNCTION("IMPORTRANGE(""https://docs.google.com/spreadsheets/d/11923uPwbBZFjjGgGUA6NLw09EwE0CqkOc4q9oUmW1yo/edit?usp=sharing"",""กำแพงเพชร!M467"")"),0)</f>
        <v>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IFERROR(__xludf.DUMMYFUNCTION("IMPORTRANGE(""https://docs.google.com/spreadsheets/d/11923uPwbBZFjjGgGUA6NLw09EwE0CqkOc4q9oUmW1yo/edit?usp=sharing"",""กำแพงเพชร!I468"")"),4900)</f>
        <v>4900</v>
      </c>
      <c r="J573" s="428">
        <f ca="1">IFERROR(__xludf.DUMMYFUNCTION("IMPORTRANGE(""https://docs.google.com/spreadsheets/d/11923uPwbBZFjjGgGUA6NLw09EwE0CqkOc4q9oUmW1yo/edit?usp=sharing"",""กำแพงเพชร!J468"")"),2270)</f>
        <v>2270</v>
      </c>
      <c r="K573" s="211">
        <f ca="1">IF(I573&gt;0,J573*100/I573,0)</f>
        <v>46.326530612244895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IFERROR(__xludf.DUMMYFUNCTION("IMPORTRANGE(""https://docs.google.com/spreadsheets/d/11923uPwbBZFjjGgGUA6NLw09EwE0CqkOc4q9oUmW1yo/edit?usp=sharing"",""กำแพงเพชร!I470"")"),0)</f>
        <v>0</v>
      </c>
      <c r="J575" s="207">
        <f ca="1">IFERROR(__xludf.DUMMYFUNCTION("IMPORTRANGE(""https://docs.google.com/spreadsheets/d/11923uPwbBZFjjGgGUA6NLw09EwE0CqkOc4q9oUmW1yo/edit?usp=sharing"",""กำแพงเพชร!J470"")"),0)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IFERROR(__xludf.DUMMYFUNCTION("IMPORTRANGE(""https://docs.google.com/spreadsheets/d/11923uPwbBZFjjGgGUA6NLw09EwE0CqkOc4q9oUmW1yo/edit?usp=sharing"",""กำแพงเพชร!I471"")"),0)</f>
        <v>0</v>
      </c>
      <c r="J576" s="207">
        <f ca="1">IFERROR(__xludf.DUMMYFUNCTION("IMPORTRANGE(""https://docs.google.com/spreadsheets/d/11923uPwbBZFjjGgGUA6NLw09EwE0CqkOc4q9oUmW1yo/edit?usp=sharing"",""กำแพงเพชร!J471"")"),0)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IFERROR(__xludf.DUMMYFUNCTION("IMPORTRANGE(""https://docs.google.com/spreadsheets/d/11923uPwbBZFjjGgGUA6NLw09EwE0CqkOc4q9oUmW1yo/edit?usp=sharing"",""กำแพงเพชร!I472"")"),0)</f>
        <v>0</v>
      </c>
      <c r="J577" s="198">
        <f ca="1">IFERROR(__xludf.DUMMYFUNCTION("IMPORTRANGE(""https://docs.google.com/spreadsheets/d/11923uPwbBZFjjGgGUA6NLw09EwE0CqkOc4q9oUmW1yo/edit?usp=sharing"",""กำแพงเพชร!J472"")"),2270)</f>
        <v>2270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IFERROR(__xludf.DUMMYFUNCTION("IMPORTRANGE(""https://docs.google.com/spreadsheets/d/11923uPwbBZFjjGgGUA6NLw09EwE0CqkOc4q9oUmW1yo/edit?usp=sharing"",""กำแพงเพชร!I473"")"),0)</f>
        <v>0</v>
      </c>
      <c r="J578" s="207">
        <f ca="1">IFERROR(__xludf.DUMMYFUNCTION("IMPORTRANGE(""https://docs.google.com/spreadsheets/d/11923uPwbBZFjjGgGUA6NLw09EwE0CqkOc4q9oUmW1yo/edit?usp=sharing"",""กำแพงเพชร!J473"")"),0)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IFERROR(__xludf.DUMMYFUNCTION("IMPORTRANGE(""https://docs.google.com/spreadsheets/d/11923uPwbBZFjjGgGUA6NLw09EwE0CqkOc4q9oUmW1yo/edit?usp=sharing"",""กำแพงเพชร!I474"")"),0)</f>
        <v>0</v>
      </c>
      <c r="J579" s="207">
        <f ca="1">IFERROR(__xludf.DUMMYFUNCTION("IMPORTRANGE(""https://docs.google.com/spreadsheets/d/11923uPwbBZFjjGgGUA6NLw09EwE0CqkOc4q9oUmW1yo/edit?usp=sharing"",""กำแพงเพชร!J474"")"),0)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IFERROR(__xludf.DUMMYFUNCTION("IMPORTRANGE(""https://docs.google.com/spreadsheets/d/11923uPwbBZFjjGgGUA6NLw09EwE0CqkOc4q9oUmW1yo/edit?usp=sharing"",""กำแพงเพชร!I475"")"),500)</f>
        <v>500</v>
      </c>
      <c r="J580" s="379">
        <f ca="1">IFERROR(__xludf.DUMMYFUNCTION("IMPORTRANGE(""https://docs.google.com/spreadsheets/d/11923uPwbBZFjjGgGUA6NLw09EwE0CqkOc4q9oUmW1yo/edit?usp=sharing"",""กำแพงเพชร!J475"")"),0)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IFERROR(__xludf.DUMMYFUNCTION("IMPORTRANGE(""https://docs.google.com/spreadsheets/d/11923uPwbBZFjjGgGUA6NLw09EwE0CqkOc4q9oUmW1yo/edit?usp=sharing"",""กำแพงเพชร!L475"")"),395350)</f>
        <v>395350</v>
      </c>
      <c r="M580" s="381"/>
      <c r="N580" s="381">
        <f ca="1">IFERROR(__xludf.DUMMYFUNCTION("IMPORTRANGE(""https://docs.google.com/spreadsheets/d/11923uPwbBZFjjGgGUA6NLw09EwE0CqkOc4q9oUmW1yo/edit?usp=sharing"",""กำแพงเพชร!M475"")"),0)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IFERROR(__xludf.DUMMYFUNCTION("IMPORTRANGE(""https://docs.google.com/spreadsheets/d/11923uPwbBZFjjGgGUA6NLw09EwE0CqkOc4q9oUmW1yo/edit?usp=sharing"",""กำแพงเพชร!L476"")"),0)</f>
        <v>0</v>
      </c>
      <c r="M581" s="172"/>
      <c r="N581" s="178">
        <f ca="1">IFERROR(__xludf.DUMMYFUNCTION("IMPORTRANGE(""https://docs.google.com/spreadsheets/d/11923uPwbBZFjjGgGUA6NLw09EwE0CqkOc4q9oUmW1yo/edit?usp=sharing"",""กำแพงเพชร!M476"")"),0)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IFERROR(__xludf.DUMMYFUNCTION("IMPORTRANGE(""https://docs.google.com/spreadsheets/d/11923uPwbBZFjjGgGUA6NLw09EwE0CqkOc4q9oUmW1yo/edit?usp=sharing"",""กำแพงเพชร!L477"")"),395350)</f>
        <v>395350</v>
      </c>
      <c r="M582" s="173"/>
      <c r="N582" s="178">
        <f ca="1">IFERROR(__xludf.DUMMYFUNCTION("IMPORTRANGE(""https://docs.google.com/spreadsheets/d/11923uPwbBZFjjGgGUA6NLw09EwE0CqkOc4q9oUmW1yo/edit?usp=sharing"",""กำแพงเพชร!M477"")"),0)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IFERROR(__xludf.DUMMYFUNCTION("IMPORTRANGE(""https://docs.google.com/spreadsheets/d/11923uPwbBZFjjGgGUA6NLw09EwE0CqkOc4q9oUmW1yo/edit?usp=sharing"",""กำแพงเพชร!L478"")"),0)</f>
        <v>0</v>
      </c>
      <c r="M583" s="178"/>
      <c r="N583" s="178">
        <f ca="1">IFERROR(__xludf.DUMMYFUNCTION("IMPORTRANGE(""https://docs.google.com/spreadsheets/d/11923uPwbBZFjjGgGUA6NLw09EwE0CqkOc4q9oUmW1yo/edit?usp=sharing"",""กำแพงเพชร!M478"")"),0)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IFERROR(__xludf.DUMMYFUNCTION("IMPORTRANGE(""https://docs.google.com/spreadsheets/d/11923uPwbBZFjjGgGUA6NLw09EwE0CqkOc4q9oUmW1yo/edit?usp=sharing"",""กำแพงเพชร!L479"")"),395350)</f>
        <v>395350</v>
      </c>
      <c r="M584" s="178"/>
      <c r="N584" s="178">
        <f ca="1">IFERROR(__xludf.DUMMYFUNCTION("IMPORTRANGE(""https://docs.google.com/spreadsheets/d/11923uPwbBZFjjGgGUA6NLw09EwE0CqkOc4q9oUmW1yo/edit?usp=sharing"",""กำแพงเพชร!M479"")"),0)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IFERROR(__xludf.DUMMYFUNCTION("IMPORTRANGE(""https://docs.google.com/spreadsheets/d/11923uPwbBZFjjGgGUA6NLw09EwE0CqkOc4q9oUmW1yo/edit?usp=sharing"",""กำแพงเพชร!M480"")"),0)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IFERROR(__xludf.DUMMYFUNCTION("IMPORTRANGE(""https://docs.google.com/spreadsheets/d/11923uPwbBZFjjGgGUA6NLw09EwE0CqkOc4q9oUmW1yo/edit?usp=sharing"",""กำแพงเพชร!M481"")"),0)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IFERROR(__xludf.DUMMYFUNCTION("IMPORTRANGE(""https://docs.google.com/spreadsheets/d/11923uPwbBZFjjGgGUA6NLw09EwE0CqkOc4q9oUmW1yo/edit?usp=sharing"",""กำแพงเพชร!M482"")"),0)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IFERROR(__xludf.DUMMYFUNCTION("IMPORTRANGE(""https://docs.google.com/spreadsheets/d/11923uPwbBZFjjGgGUA6NLw09EwE0CqkOc4q9oUmW1yo/edit?usp=sharing"",""กำแพงเพชร!M483"")"),0)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IFERROR(__xludf.DUMMYFUNCTION("IMPORTRANGE(""https://docs.google.com/spreadsheets/d/11923uPwbBZFjjGgGUA6NLw09EwE0CqkOc4q9oUmW1yo/edit?usp=sharing"",""กำแพงเพชร!I484"")"),500)</f>
        <v>500</v>
      </c>
      <c r="J589" s="197">
        <f ca="1">IFERROR(__xludf.DUMMYFUNCTION("IMPORTRANGE(""https://docs.google.com/spreadsheets/d/11923uPwbBZFjjGgGUA6NLw09EwE0CqkOc4q9oUmW1yo/edit?usp=sharing"",""กำแพงเพชร!J484"")"),26)</f>
        <v>26</v>
      </c>
      <c r="K589" s="171">
        <f t="shared" ref="K589:K596" ca="1" si="125">IF(I589&gt;0,J589*100/I589,0)</f>
        <v>5.2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IFERROR(__xludf.DUMMYFUNCTION("IMPORTRANGE(""https://docs.google.com/spreadsheets/d/11923uPwbBZFjjGgGUA6NLw09EwE0CqkOc4q9oUmW1yo/edit?usp=sharing"",""กำแพงเพชร!I485"")"),0)</f>
        <v>0</v>
      </c>
      <c r="J590" s="197">
        <f ca="1">IFERROR(__xludf.DUMMYFUNCTION("IMPORTRANGE(""https://docs.google.com/spreadsheets/d/11923uPwbBZFjjGgGUA6NLw09EwE0CqkOc4q9oUmW1yo/edit?usp=sharing"",""กำแพงเพชร!J485"")"),34.53)</f>
        <v>34.53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IFERROR(__xludf.DUMMYFUNCTION("IMPORTRANGE(""https://docs.google.com/spreadsheets/d/11923uPwbBZFjjGgGUA6NLw09EwE0CqkOc4q9oUmW1yo/edit?usp=sharing"",""กำแพงเพชร!I486"")"),500)</f>
        <v>500</v>
      </c>
      <c r="J591" s="197">
        <f ca="1">IFERROR(__xludf.DUMMYFUNCTION("IMPORTRANGE(""https://docs.google.com/spreadsheets/d/11923uPwbBZFjjGgGUA6NLw09EwE0CqkOc4q9oUmW1yo/edit?usp=sharing"",""กำแพงเพชร!J486"")"),0)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IFERROR(__xludf.DUMMYFUNCTION("IMPORTRANGE(""https://docs.google.com/spreadsheets/d/11923uPwbBZFjjGgGUA6NLw09EwE0CqkOc4q9oUmW1yo/edit?usp=sharing"",""กำแพงเพชร!I487"")"),0)</f>
        <v>0</v>
      </c>
      <c r="J592" s="197">
        <f ca="1">IFERROR(__xludf.DUMMYFUNCTION("IMPORTRANGE(""https://docs.google.com/spreadsheets/d/11923uPwbBZFjjGgGUA6NLw09EwE0CqkOc4q9oUmW1yo/edit?usp=sharing"",""กำแพงเพชร!J487"")"),0)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IFERROR(__xludf.DUMMYFUNCTION("IMPORTRANGE(""https://docs.google.com/spreadsheets/d/11923uPwbBZFjjGgGUA6NLw09EwE0CqkOc4q9oUmW1yo/edit?usp=sharing"",""กำแพงเพชร!I488"")"),500)</f>
        <v>500</v>
      </c>
      <c r="J593" s="197">
        <f ca="1">IFERROR(__xludf.DUMMYFUNCTION("IMPORTRANGE(""https://docs.google.com/spreadsheets/d/11923uPwbBZFjjGgGUA6NLw09EwE0CqkOc4q9oUmW1yo/edit?usp=sharing"",""กำแพงเพชร!J488"")"),0)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IFERROR(__xludf.DUMMYFUNCTION("IMPORTRANGE(""https://docs.google.com/spreadsheets/d/11923uPwbBZFjjGgGUA6NLw09EwE0CqkOc4q9oUmW1yo/edit?usp=sharing"",""กำแพงเพชร!I489"")"),0)</f>
        <v>0</v>
      </c>
      <c r="J594" s="197">
        <f ca="1">IFERROR(__xludf.DUMMYFUNCTION("IMPORTRANGE(""https://docs.google.com/spreadsheets/d/11923uPwbBZFjjGgGUA6NLw09EwE0CqkOc4q9oUmW1yo/edit?usp=sharing"",""กำแพงเพชร!J489"")"),0)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IFERROR(__xludf.DUMMYFUNCTION("IMPORTRANGE(""https://docs.google.com/spreadsheets/d/11923uPwbBZFjjGgGUA6NLw09EwE0CqkOc4q9oUmW1yo/edit?usp=sharing"",""กำแพงเพชร!I490"")"),500)</f>
        <v>500</v>
      </c>
      <c r="J595" s="197">
        <f ca="1">IFERROR(__xludf.DUMMYFUNCTION("IMPORTRANGE(""https://docs.google.com/spreadsheets/d/11923uPwbBZFjjGgGUA6NLw09EwE0CqkOc4q9oUmW1yo/edit?usp=sharing"",""กำแพงเพชร!J490"")"),0)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IFERROR(__xludf.DUMMYFUNCTION("IMPORTRANGE(""https://docs.google.com/spreadsheets/d/11923uPwbBZFjjGgGUA6NLw09EwE0CqkOc4q9oUmW1yo/edit?usp=sharing"",""กำแพงเพชร!I491"")"),0)</f>
        <v>0</v>
      </c>
      <c r="J596" s="250">
        <f ca="1">IFERROR(__xludf.DUMMYFUNCTION("IMPORTRANGE(""https://docs.google.com/spreadsheets/d/11923uPwbBZFjjGgGUA6NLw09EwE0CqkOc4q9oUmW1yo/edit?usp=sharing"",""กำแพงเพชร!J491"")"),0)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IFERROR(__xludf.DUMMYFUNCTION("IMPORTRANGE(""https://docs.google.com/spreadsheets/d/11923uPwbBZFjjGgGUA6NLw09EwE0CqkOc4q9oUmW1yo/edit?usp=sharing"",""กำแพงเพชร!I492"")"),100)</f>
        <v>100</v>
      </c>
      <c r="J597" s="495">
        <f ca="1">IFERROR(__xludf.DUMMYFUNCTION("IMPORTRANGE(""https://docs.google.com/spreadsheets/d/11923uPwbBZFjjGgGUA6NLw09EwE0CqkOc4q9oUmW1yo/edit?usp=sharing"",""กำแพงเพชร!J492"")"),0)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IFERROR(__xludf.DUMMYFUNCTION("IMPORTRANGE(""https://docs.google.com/spreadsheets/d/11923uPwbBZFjjGgGUA6NLw09EwE0CqkOc4q9oUmW1yo/edit?usp=sharing"",""กำแพงเพชร!L492"")"),8900)</f>
        <v>8900</v>
      </c>
      <c r="M597" s="420"/>
      <c r="N597" s="420">
        <f ca="1">IFERROR(__xludf.DUMMYFUNCTION("IMPORTRANGE(""https://docs.google.com/spreadsheets/d/11923uPwbBZFjjGgGUA6NLw09EwE0CqkOc4q9oUmW1yo/edit?usp=sharing"",""กำแพงเพชร!M492"")"),1200)</f>
        <v>1200</v>
      </c>
      <c r="O597" s="420">
        <f t="shared" ref="O597:O601" ca="1" si="126">+IF(L597&gt;0,N597*100/L597,0)</f>
        <v>13.48314606741573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IFERROR(__xludf.DUMMYFUNCTION("IMPORTRANGE(""https://docs.google.com/spreadsheets/d/11923uPwbBZFjjGgGUA6NLw09EwE0CqkOc4q9oUmW1yo/edit?usp=sharing"",""กำแพงเพชร!L493"")"),0)</f>
        <v>0</v>
      </c>
      <c r="M598" s="172"/>
      <c r="N598" s="178">
        <f ca="1">IFERROR(__xludf.DUMMYFUNCTION("IMPORTRANGE(""https://docs.google.com/spreadsheets/d/11923uPwbBZFjjGgGUA6NLw09EwE0CqkOc4q9oUmW1yo/edit?usp=sharing"",""กำแพงเพชร!M493"")"),0)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IFERROR(__xludf.DUMMYFUNCTION("IMPORTRANGE(""https://docs.google.com/spreadsheets/d/11923uPwbBZFjjGgGUA6NLw09EwE0CqkOc4q9oUmW1yo/edit?usp=sharing"",""กำแพงเพชร!L494"")"),8900)</f>
        <v>8900</v>
      </c>
      <c r="M599" s="173"/>
      <c r="N599" s="178">
        <f ca="1">IFERROR(__xludf.DUMMYFUNCTION("IMPORTRANGE(""https://docs.google.com/spreadsheets/d/11923uPwbBZFjjGgGUA6NLw09EwE0CqkOc4q9oUmW1yo/edit?usp=sharing"",""กำแพงเพชร!M494"")"),1200)</f>
        <v>1200</v>
      </c>
      <c r="O599" s="178">
        <f t="shared" ca="1" si="126"/>
        <v>13.48314606741573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IFERROR(__xludf.DUMMYFUNCTION("IMPORTRANGE(""https://docs.google.com/spreadsheets/d/11923uPwbBZFjjGgGUA6NLw09EwE0CqkOc4q9oUmW1yo/edit?usp=sharing"",""กำแพงเพชร!L495"")"),0)</f>
        <v>0</v>
      </c>
      <c r="M600" s="178"/>
      <c r="N600" s="178">
        <f ca="1">IFERROR(__xludf.DUMMYFUNCTION("IMPORTRANGE(""https://docs.google.com/spreadsheets/d/11923uPwbBZFjjGgGUA6NLw09EwE0CqkOc4q9oUmW1yo/edit?usp=sharing"",""กำแพงเพชร!M495"")"),0)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IFERROR(__xludf.DUMMYFUNCTION("IMPORTRANGE(""https://docs.google.com/spreadsheets/d/11923uPwbBZFjjGgGUA6NLw09EwE0CqkOc4q9oUmW1yo/edit?usp=sharing"",""กำแพงเพชร!L496"")"),8900)</f>
        <v>8900</v>
      </c>
      <c r="M601" s="178"/>
      <c r="N601" s="178">
        <f ca="1">IFERROR(__xludf.DUMMYFUNCTION("IMPORTRANGE(""https://docs.google.com/spreadsheets/d/11923uPwbBZFjjGgGUA6NLw09EwE0CqkOc4q9oUmW1yo/edit?usp=sharing"",""กำแพงเพชร!M496"")"),1200)</f>
        <v>1200</v>
      </c>
      <c r="O601" s="178">
        <f t="shared" ca="1" si="126"/>
        <v>13.48314606741573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IFERROR(__xludf.DUMMYFUNCTION("IMPORTRANGE(""https://docs.google.com/spreadsheets/d/11923uPwbBZFjjGgGUA6NLw09EwE0CqkOc4q9oUmW1yo/edit?usp=sharing"",""กำแพงเพชร!M497"")"),0)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IFERROR(__xludf.DUMMYFUNCTION("IMPORTRANGE(""https://docs.google.com/spreadsheets/d/11923uPwbBZFjjGgGUA6NLw09EwE0CqkOc4q9oUmW1yo/edit?usp=sharing"",""กำแพงเพชร!M498"")"),0)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IFERROR(__xludf.DUMMYFUNCTION("IMPORTRANGE(""https://docs.google.com/spreadsheets/d/11923uPwbBZFjjGgGUA6NLw09EwE0CqkOc4q9oUmW1yo/edit?usp=sharing"",""กำแพงเพชร!M499"")"),1200)</f>
        <v>1200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IFERROR(__xludf.DUMMYFUNCTION("IMPORTRANGE(""https://docs.google.com/spreadsheets/d/11923uPwbBZFjjGgGUA6NLw09EwE0CqkOc4q9oUmW1yo/edit?usp=sharing"",""กำแพงเพชร!M500"")"),0)</f>
        <v>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IFERROR(__xludf.DUMMYFUNCTION("IMPORTRANGE(""https://docs.google.com/spreadsheets/d/11923uPwbBZFjjGgGUA6NLw09EwE0CqkOc4q9oUmW1yo/edit?usp=sharing"",""กำแพงเพชร!J502"")"),0)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IFERROR(__xludf.DUMMYFUNCTION("IMPORTRANGE(""https://docs.google.com/spreadsheets/d/11923uPwbBZFjjGgGUA6NLw09EwE0CqkOc4q9oUmW1yo/edit?usp=sharing"",""กำแพงเพชร!J503"")"),0)</f>
        <v>0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IFERROR(__xludf.DUMMYFUNCTION("IMPORTRANGE(""https://docs.google.com/spreadsheets/d/11923uPwbBZFjjGgGUA6NLw09EwE0CqkOc4q9oUmW1yo/edit?usp=sharing"",""กำแพงเพชร!J166"")"),0)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IFERROR(__xludf.DUMMYFUNCTION("IMPORTRANGE(""https://docs.google.com/spreadsheets/d/11923uPwbBZFjjGgGUA6NLw09EwE0CqkOc4q9oUmW1yo/edit?usp=sharing"",""กำแพงเพชร!J166"")"),0)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IFERROR(__xludf.DUMMYFUNCTION("IMPORTRANGE(""https://docs.google.com/spreadsheets/d/11923uPwbBZFjjGgGUA6NLw09EwE0CqkOc4q9oUmW1yo/edit?usp=sharing"",""กำแพงเพชร!I506"")"),100)</f>
        <v>100</v>
      </c>
      <c r="J611" s="170">
        <f ca="1">IFERROR(__xludf.DUMMYFUNCTION("IMPORTRANGE(""https://docs.google.com/spreadsheets/d/11923uPwbBZFjjGgGUA6NLw09EwE0CqkOc4q9oUmW1yo/edit?usp=sharing"",""กำแพงเพชร!J506"")"),0)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IFERROR(__xludf.DUMMYFUNCTION("IMPORTRANGE(""https://docs.google.com/spreadsheets/d/11923uPwbBZFjjGgGUA6NLw09EwE0CqkOc4q9oUmW1yo/edit?usp=sharing"",""กำแพงเพชร!I507"")"),0)</f>
        <v>0</v>
      </c>
      <c r="J612" s="207">
        <f ca="1">IFERROR(__xludf.DUMMYFUNCTION("IMPORTRANGE(""https://docs.google.com/spreadsheets/d/11923uPwbBZFjjGgGUA6NLw09EwE0CqkOc4q9oUmW1yo/edit?usp=sharing"",""กำแพงเพชร!J507"")"),0)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IFERROR(__xludf.DUMMYFUNCTION("IMPORTRANGE(""https://docs.google.com/spreadsheets/d/11923uPwbBZFjjGgGUA6NLw09EwE0CqkOc4q9oUmW1yo/edit?usp=sharing"",""กำแพงเพชร!I508"")"),0)</f>
        <v>0</v>
      </c>
      <c r="J613" s="207">
        <f ca="1">IFERROR(__xludf.DUMMYFUNCTION("IMPORTRANGE(""https://docs.google.com/spreadsheets/d/11923uPwbBZFjjGgGUA6NLw09EwE0CqkOc4q9oUmW1yo/edit?usp=sharing"",""กำแพงเพชร!J508"")"),0)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IFERROR(__xludf.DUMMYFUNCTION("IMPORTRANGE(""https://docs.google.com/spreadsheets/d/11923uPwbBZFjjGgGUA6NLw09EwE0CqkOc4q9oUmW1yo/edit?usp=sharing"",""กำแพงเพชร!I509"")"),0)</f>
        <v>0</v>
      </c>
      <c r="J614" s="207">
        <f ca="1">IFERROR(__xludf.DUMMYFUNCTION("IMPORTRANGE(""https://docs.google.com/spreadsheets/d/11923uPwbBZFjjGgGUA6NLw09EwE0CqkOc4q9oUmW1yo/edit?usp=sharing"",""กำแพงเพชร!J509"")"),0)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IFERROR(__xludf.DUMMYFUNCTION("IMPORTRANGE(""https://docs.google.com/spreadsheets/d/11923uPwbBZFjjGgGUA6NLw09EwE0CqkOc4q9oUmW1yo/edit?usp=sharing"",""กำแพงเพชร!I510"")"),0)</f>
        <v>0</v>
      </c>
      <c r="J615" s="207">
        <f ca="1">IFERROR(__xludf.DUMMYFUNCTION("IMPORTRANGE(""https://docs.google.com/spreadsheets/d/11923uPwbBZFjjGgGUA6NLw09EwE0CqkOc4q9oUmW1yo/edit?usp=sharing"",""กำแพงเพชร!J510"")"),0)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IFERROR(__xludf.DUMMYFUNCTION("IMPORTRANGE(""https://docs.google.com/spreadsheets/d/11923uPwbBZFjjGgGUA6NLw09EwE0CqkOc4q9oUmW1yo/edit?usp=sharing"",""กำแพงเพชร!I511"")"),0)</f>
        <v>0</v>
      </c>
      <c r="J616" s="207">
        <f ca="1">IFERROR(__xludf.DUMMYFUNCTION("IMPORTRANGE(""https://docs.google.com/spreadsheets/d/11923uPwbBZFjjGgGUA6NLw09EwE0CqkOc4q9oUmW1yo/edit?usp=sharing"",""กำแพงเพชร!J511"")"),0)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IFERROR(__xludf.DUMMYFUNCTION("IMPORTRANGE(""https://docs.google.com/spreadsheets/d/11923uPwbBZFjjGgGUA6NLw09EwE0CqkOc4q9oUmW1yo/edit?usp=sharing"",""กำแพงเพชร!I512"")"),0)</f>
        <v>0</v>
      </c>
      <c r="J617" s="197">
        <f ca="1">IFERROR(__xludf.DUMMYFUNCTION("IMPORTRANGE(""https://docs.google.com/spreadsheets/d/11923uPwbBZFjjGgGUA6NLw09EwE0CqkOc4q9oUmW1yo/edit?usp=sharing"",""กำแพงเพชร!J512"")"),0)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IFERROR(__xludf.DUMMYFUNCTION("IMPORTRANGE(""https://docs.google.com/spreadsheets/d/11923uPwbBZFjjGgGUA6NLw09EwE0CqkOc4q9oUmW1yo/edit?usp=sharing"",""กำแพงเพชร!I513"")"),0)</f>
        <v>0</v>
      </c>
      <c r="J618" s="198">
        <f ca="1">IFERROR(__xludf.DUMMYFUNCTION("IMPORTRANGE(""https://docs.google.com/spreadsheets/d/11923uPwbBZFjjGgGUA6NLw09EwE0CqkOc4q9oUmW1yo/edit?usp=sharing"",""กำแพงเพชร!J513"")"),0)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IFERROR(__xludf.DUMMYFUNCTION("IMPORTRANGE(""https://docs.google.com/spreadsheets/d/11923uPwbBZFjjGgGUA6NLw09EwE0CqkOc4q9oUmW1yo/edit?usp=sharing"",""กำแพงเพชร!I514"")"),0)</f>
        <v>0</v>
      </c>
      <c r="J619" s="198">
        <f ca="1">IFERROR(__xludf.DUMMYFUNCTION("IMPORTRANGE(""https://docs.google.com/spreadsheets/d/11923uPwbBZFjjGgGUA6NLw09EwE0CqkOc4q9oUmW1yo/edit?usp=sharing"",""กำแพงเพชร!J514"")"),0)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IFERROR(__xludf.DUMMYFUNCTION("IMPORTRANGE(""https://docs.google.com/spreadsheets/d/11923uPwbBZFjjGgGUA6NLw09EwE0CqkOc4q9oUmW1yo/edit?usp=sharing"",""กำแพงเพชร!I515"")"),0)</f>
        <v>0</v>
      </c>
      <c r="J620" s="212">
        <f ca="1">IFERROR(__xludf.DUMMYFUNCTION("IMPORTRANGE(""https://docs.google.com/spreadsheets/d/11923uPwbBZFjjGgGUA6NLw09EwE0CqkOc4q9oUmW1yo/edit?usp=sharing"",""กำแพงเพชร!J515"")"),0)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IFERROR(__xludf.DUMMYFUNCTION("IMPORTRANGE(""https://docs.google.com/spreadsheets/d/11923uPwbBZFjjGgGUA6NLw09EwE0CqkOc4q9oUmW1yo/edit?usp=sharing"",""กำแพงเพชร!I516"")"),0)</f>
        <v>0</v>
      </c>
      <c r="J621" s="212">
        <f ca="1">IFERROR(__xludf.DUMMYFUNCTION("IMPORTRANGE(""https://docs.google.com/spreadsheets/d/11923uPwbBZFjjGgGUA6NLw09EwE0CqkOc4q9oUmW1yo/edit?usp=sharing"",""กำแพงเพชร!J516"")"),0)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IFERROR(__xludf.DUMMYFUNCTION("IMPORTRANGE(""https://docs.google.com/spreadsheets/d/11923uPwbBZFjjGgGUA6NLw09EwE0CqkOc4q9oUmW1yo/edit?usp=sharing"",""กำแพงเพชร!I517"")"),0)</f>
        <v>0</v>
      </c>
      <c r="J622" s="198">
        <f ca="1">IFERROR(__xludf.DUMMYFUNCTION("IMPORTRANGE(""https://docs.google.com/spreadsheets/d/11923uPwbBZFjjGgGUA6NLw09EwE0CqkOc4q9oUmW1yo/edit?usp=sharing"",""กำแพงเพชร!J517"")"),0)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IFERROR(__xludf.DUMMYFUNCTION("IMPORTRANGE(""https://docs.google.com/spreadsheets/d/11923uPwbBZFjjGgGUA6NLw09EwE0CqkOc4q9oUmW1yo/edit?usp=sharing"",""กำแพงเพชร!I518"")"),0)</f>
        <v>0</v>
      </c>
      <c r="J623" s="198">
        <f ca="1">IFERROR(__xludf.DUMMYFUNCTION("IMPORTRANGE(""https://docs.google.com/spreadsheets/d/11923uPwbBZFjjGgGUA6NLw09EwE0CqkOc4q9oUmW1yo/edit?usp=sharing"",""กำแพงเพชร!J518"")"),0)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IFERROR(__xludf.DUMMYFUNCTION("IMPORTRANGE(""https://docs.google.com/spreadsheets/d/11923uPwbBZFjjGgGUA6NLw09EwE0CqkOc4q9oUmW1yo/edit?usp=sharing"",""กำแพงเพชร!I519"")"),0)</f>
        <v>0</v>
      </c>
      <c r="J624" s="197">
        <f ca="1">IFERROR(__xludf.DUMMYFUNCTION("IMPORTRANGE(""https://docs.google.com/spreadsheets/d/11923uPwbBZFjjGgGUA6NLw09EwE0CqkOc4q9oUmW1yo/edit?usp=sharing"",""กำแพงเพชร!J519"")"),0)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IFERROR(__xludf.DUMMYFUNCTION("IMPORTRANGE(""https://docs.google.com/spreadsheets/d/11923uPwbBZFjjGgGUA6NLw09EwE0CqkOc4q9oUmW1yo/edit?usp=sharing"",""กำแพงเพชร!I520"")"),0)</f>
        <v>0</v>
      </c>
      <c r="J625" s="198">
        <f ca="1">IFERROR(__xludf.DUMMYFUNCTION("IMPORTRANGE(""https://docs.google.com/spreadsheets/d/11923uPwbBZFjjGgGUA6NLw09EwE0CqkOc4q9oUmW1yo/edit?usp=sharing"",""กำแพงเพชร!J520"")"),0)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IFERROR(__xludf.DUMMYFUNCTION("IMPORTRANGE(""https://docs.google.com/spreadsheets/d/11923uPwbBZFjjGgGUA6NLw09EwE0CqkOc4q9oUmW1yo/edit?usp=sharing"",""กำแพงเพชร!I521"")"),0)</f>
        <v>0</v>
      </c>
      <c r="J626" s="198">
        <f ca="1">IFERROR(__xludf.DUMMYFUNCTION("IMPORTRANGE(""https://docs.google.com/spreadsheets/d/11923uPwbBZFjjGgGUA6NLw09EwE0CqkOc4q9oUmW1yo/edit?usp=sharing"",""กำแพงเพชร!J521"")"),0)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IFERROR(__xludf.DUMMYFUNCTION("IMPORTRANGE(""https://docs.google.com/spreadsheets/d/11923uPwbBZFjjGgGUA6NLw09EwE0CqkOc4q9oUmW1yo/edit?usp=sharing"",""กำแพงเพชร!I523"")"),5000000)</f>
        <v>5000000</v>
      </c>
      <c r="J628" s="349">
        <f ca="1">IFERROR(__xludf.DUMMYFUNCTION("IMPORTRANGE(""https://docs.google.com/spreadsheets/d/11923uPwbBZFjjGgGUA6NLw09EwE0CqkOc4q9oUmW1yo/edit?usp=sharing"",""กำแพงเพชร!J523"")"),420000)</f>
        <v>420000</v>
      </c>
      <c r="K628" s="350">
        <f t="shared" ref="K628:K635" ca="1" si="129">IF(I628&gt;0,J628*100/I628,0)</f>
        <v>8.4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IFERROR(__xludf.DUMMYFUNCTION("IMPORTRANGE(""https://docs.google.com/spreadsheets/d/11923uPwbBZFjjGgGUA6NLw09EwE0CqkOc4q9oUmW1yo/edit?usp=sharing"",""กำแพงเพชร!I524"")"),161)</f>
        <v>161</v>
      </c>
      <c r="J629" s="349">
        <f ca="1">IFERROR(__xludf.DUMMYFUNCTION("IMPORTRANGE(""https://docs.google.com/spreadsheets/d/11923uPwbBZFjjGgGUA6NLw09EwE0CqkOc4q9oUmW1yo/edit?usp=sharing"",""กำแพงเพชร!J524"")"),14)</f>
        <v>14</v>
      </c>
      <c r="K629" s="350">
        <f t="shared" ca="1" si="129"/>
        <v>8.695652173913043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9">
        <f ca="1">IFERROR(__xludf.DUMMYFUNCTION("IMPORTRANGE(""https://docs.google.com/spreadsheets/d/11923uPwbBZFjjGgGUA6NLw09EwE0CqkOc4q9oUmW1yo/edit?usp=sharing"",""กำแพงเพชร!J525"")"),620071.78)</f>
        <v>620071.78</v>
      </c>
      <c r="K630" s="350">
        <f t="shared" ca="1" si="129"/>
        <v>12.4764534955671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IFERROR(__xludf.DUMMYFUNCTION("IMPORTRANGE(""https://docs.google.com/spreadsheets/d/11923uPwbBZFjjGgGUA6NLw09EwE0CqkOc4q9oUmW1yo/edit?usp=sharing"",""กำแพงเพชร!I526"")"),126)</f>
        <v>126</v>
      </c>
      <c r="J631" s="349">
        <f ca="1">IFERROR(__xludf.DUMMYFUNCTION("IMPORTRANGE(""https://docs.google.com/spreadsheets/d/11923uPwbBZFjjGgGUA6NLw09EwE0CqkOc4q9oUmW1yo/edit?usp=sharing"",""กำแพงเพชร!J526"")"),34)</f>
        <v>34</v>
      </c>
      <c r="K631" s="350">
        <f t="shared" ca="1" si="129"/>
        <v>26.984126984126984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9">
        <f ca="1">IFERROR(__xludf.DUMMYFUNCTION("IMPORTRANGE(""https://docs.google.com/spreadsheets/d/11923uPwbBZFjjGgGUA6NLw09EwE0CqkOc4q9oUmW1yo/edit?usp=sharing"",""กำแพงเพชร!J527"")"),471831.66)</f>
        <v>471831.66</v>
      </c>
      <c r="K632" s="350">
        <f t="shared" ca="1" si="129"/>
        <v>18.713749278326588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IFERROR(__xludf.DUMMYFUNCTION("IMPORTRANGE(""https://docs.google.com/spreadsheets/d/11923uPwbBZFjjGgGUA6NLw09EwE0CqkOc4q9oUmW1yo/edit?usp=sharing"",""กำแพงเพชร!I528"")"),293)</f>
        <v>293</v>
      </c>
      <c r="J633" s="349">
        <f ca="1">IFERROR(__xludf.DUMMYFUNCTION("IMPORTRANGE(""https://docs.google.com/spreadsheets/d/11923uPwbBZFjjGgGUA6NLw09EwE0CqkOc4q9oUmW1yo/edit?usp=sharing"",""กำแพงเพชร!J528"")"),67)</f>
        <v>67</v>
      </c>
      <c r="K633" s="350">
        <f t="shared" ca="1" si="129"/>
        <v>22.866894197952217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IFERROR(__xludf.DUMMYFUNCTION("IMPORTRANGE(""https://docs.google.com/spreadsheets/d/11923uPwbBZFjjGgGUA6NLw09EwE0CqkOc4q9oUmW1yo/edit?usp=sharing"",""กำแพงเพชร!I529"")"),5000000)</f>
        <v>5000000</v>
      </c>
      <c r="J634" s="349">
        <f ca="1">IFERROR(__xludf.DUMMYFUNCTION("IMPORTRANGE(""https://docs.google.com/spreadsheets/d/11923uPwbBZFjjGgGUA6NLw09EwE0CqkOc4q9oUmW1yo/edit?usp=sharing"",""กำแพงเพชร!J529"")"),0)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IFERROR(__xludf.DUMMYFUNCTION("IMPORTRANGE(""https://docs.google.com/spreadsheets/d/11923uPwbBZFjjGgGUA6NLw09EwE0CqkOc4q9oUmW1yo/edit?usp=sharing"",""กำแพงเพชร!I530"")"),164)</f>
        <v>164</v>
      </c>
      <c r="J635" s="519">
        <f ca="1">IFERROR(__xludf.DUMMYFUNCTION("IMPORTRANGE(""https://docs.google.com/spreadsheets/d/11923uPwbBZFjjGgGUA6NLw09EwE0CqkOc4q9oUmW1yo/edit?usp=sharing"",""กำแพงเพชร!J530"")"),0)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241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7068659</v>
      </c>
      <c r="M8" s="25">
        <f t="shared" ca="1" si="0"/>
        <v>2422750</v>
      </c>
      <c r="N8" s="25">
        <f t="shared" ca="1" si="0"/>
        <v>1828276</v>
      </c>
      <c r="O8" s="24">
        <f t="shared" ref="O8:O16" ca="1" si="1">IF(L8&gt;0,N8*100/L8,0)</f>
        <v>25.864538096971433</v>
      </c>
      <c r="P8" s="24">
        <f t="shared" ref="P8:P16" ca="1" si="2">IF(M8&gt;0,N8*100/M8,0)</f>
        <v>75.462841811990501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7068659</v>
      </c>
      <c r="M10" s="32">
        <f t="shared" ca="1" si="4"/>
        <v>2422750</v>
      </c>
      <c r="N10" s="32">
        <f t="shared" ca="1" si="4"/>
        <v>1828276</v>
      </c>
      <c r="O10" s="31">
        <f t="shared" ca="1" si="1"/>
        <v>25.864538096971433</v>
      </c>
      <c r="P10" s="31">
        <f t="shared" ca="1" si="2"/>
        <v>75.462841811990501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6883859</v>
      </c>
      <c r="M12" s="40">
        <f t="shared" ca="1" si="6"/>
        <v>2422750</v>
      </c>
      <c r="N12" s="40">
        <f t="shared" ca="1" si="6"/>
        <v>1643476</v>
      </c>
      <c r="O12" s="40">
        <f t="shared" ca="1" si="1"/>
        <v>23.874341412280526</v>
      </c>
      <c r="P12" s="40">
        <f t="shared" ca="1" si="2"/>
        <v>67.835146011763499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2745700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4138159</v>
      </c>
      <c r="M14" s="40">
        <f t="shared" si="8"/>
        <v>0</v>
      </c>
      <c r="N14" s="40">
        <f t="shared" ca="1" si="8"/>
        <v>227630</v>
      </c>
      <c r="O14" s="43">
        <f t="shared" ca="1" si="1"/>
        <v>5.5007552875566166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184800</v>
      </c>
      <c r="M16" s="40">
        <f t="shared" si="10"/>
        <v>0</v>
      </c>
      <c r="N16" s="40">
        <f t="shared" ca="1" si="10"/>
        <v>184800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4633740</v>
      </c>
      <c r="M18" s="25">
        <f t="shared" ca="1" si="11"/>
        <v>2422750</v>
      </c>
      <c r="N18" s="25">
        <f t="shared" ca="1" si="11"/>
        <v>1600646</v>
      </c>
      <c r="O18" s="24">
        <f t="shared" ref="O18:O20" ca="1" si="12">IF(L18&gt;0,N18*100/L18,0)</f>
        <v>34.543284690120721</v>
      </c>
      <c r="P18" s="24">
        <f t="shared" ref="P18:P26" ca="1" si="13">IF(M18&gt;0,N18*100/M18,0)</f>
        <v>66.067320193994433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4633740</v>
      </c>
      <c r="M20" s="32">
        <f t="shared" ca="1" si="15"/>
        <v>2422750</v>
      </c>
      <c r="N20" s="32">
        <f t="shared" ca="1" si="15"/>
        <v>1600646</v>
      </c>
      <c r="O20" s="31">
        <f t="shared" ca="1" si="12"/>
        <v>34.543284690120721</v>
      </c>
      <c r="P20" s="31">
        <f t="shared" ca="1" si="13"/>
        <v>66.067320193994433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4448940</v>
      </c>
      <c r="M22" s="44">
        <f t="shared" ca="1" si="18"/>
        <v>2422750</v>
      </c>
      <c r="N22" s="43">
        <f t="shared" ca="1" si="18"/>
        <v>1415846</v>
      </c>
      <c r="O22" s="43">
        <f t="shared" ca="1" si="17"/>
        <v>31.824344675360873</v>
      </c>
      <c r="P22" s="43">
        <f t="shared" ca="1" si="13"/>
        <v>58.43962439376741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2745700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1703240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184800</v>
      </c>
      <c r="M26" s="52">
        <f t="shared" si="22"/>
        <v>0</v>
      </c>
      <c r="N26" s="52">
        <f t="shared" ca="1" si="22"/>
        <v>184800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2434919</v>
      </c>
      <c r="M28" s="25">
        <f t="shared" si="23"/>
        <v>0</v>
      </c>
      <c r="N28" s="25">
        <f t="shared" ca="1" si="23"/>
        <v>227630</v>
      </c>
      <c r="O28" s="24">
        <f t="shared" ref="O28:O30" ca="1" si="24">IF(L28&gt;0,N28*100/L28,0)</f>
        <v>9.3485655991020646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2434919</v>
      </c>
      <c r="M30" s="32">
        <f t="shared" si="27"/>
        <v>0</v>
      </c>
      <c r="N30" s="32">
        <f t="shared" ca="1" si="27"/>
        <v>227630</v>
      </c>
      <c r="O30" s="31">
        <f t="shared" ca="1" si="24"/>
        <v>9.3485655991020646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2434919</v>
      </c>
      <c r="M32" s="43">
        <f t="shared" si="30"/>
        <v>0</v>
      </c>
      <c r="N32" s="43">
        <f t="shared" ca="1" si="30"/>
        <v>227630</v>
      </c>
      <c r="O32" s="43">
        <f t="shared" ca="1" si="29"/>
        <v>9.3485655991020646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2434919</v>
      </c>
      <c r="M34" s="43">
        <f t="shared" si="32"/>
        <v>0</v>
      </c>
      <c r="N34" s="43">
        <f t="shared" ca="1" si="32"/>
        <v>227630</v>
      </c>
      <c r="O34" s="43">
        <f t="shared" ca="1" si="29"/>
        <v>9.3485655991020646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4633740</v>
      </c>
      <c r="M37" s="57">
        <f t="shared" ca="1" si="33"/>
        <v>2422750</v>
      </c>
      <c r="N37" s="57">
        <f t="shared" ca="1" si="33"/>
        <v>1600646</v>
      </c>
      <c r="O37" s="58">
        <f t="shared" ca="1" si="29"/>
        <v>34.543284690120721</v>
      </c>
      <c r="P37" s="58">
        <f t="shared" ca="1" si="25"/>
        <v>66.067320193994433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750700</v>
      </c>
      <c r="M41" s="81">
        <f t="shared" ca="1" si="34"/>
        <v>375400</v>
      </c>
      <c r="N41" s="81">
        <f t="shared" ca="1" si="34"/>
        <v>287494</v>
      </c>
      <c r="O41" s="80">
        <f t="shared" ref="O41:O43" ca="1" si="35">IF(L41&gt;0,N41*100/L41,0)</f>
        <v>38.296789662981219</v>
      </c>
      <c r="P41" s="80">
        <f t="shared" ref="P41:P43" ca="1" si="36">IF(M41&gt;0,N41*100/M41,0)</f>
        <v>76.583377730420878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750700</v>
      </c>
      <c r="M43" s="81">
        <f t="shared" ca="1" si="38"/>
        <v>375400</v>
      </c>
      <c r="N43" s="81">
        <f t="shared" ca="1" si="38"/>
        <v>287494</v>
      </c>
      <c r="O43" s="80">
        <f t="shared" ca="1" si="35"/>
        <v>38.296789662981219</v>
      </c>
      <c r="P43" s="80">
        <f t="shared" ca="1" si="36"/>
        <v>76.583377730420878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750700</v>
      </c>
      <c r="M45" s="93">
        <f ca="1">IFERROR(__xludf.DUMMYFUNCTION("IMPORTRANGE(""https://docs.google.com/spreadsheets/d/1Yj_ptqi66GCucihVvJfMjLAmec39IyEx_6qawtMGysU/edit?usp=sharing"",""สบก!Q21"")"),375400)</f>
        <v>375400</v>
      </c>
      <c r="N45" s="93">
        <f ca="1">IFERROR(__xludf.DUMMYFUNCTION("IMPORTRANGE(""https://docs.google.com/spreadsheets/d/1Yj_ptqi66GCucihVvJfMjLAmec39IyEx_6qawtMGysU/edit?usp=sharing"",""สบก!R21"")"),287494)</f>
        <v>287494</v>
      </c>
      <c r="O45" s="94">
        <f ca="1">IF(L45&gt;0,N45*100/L45,0)</f>
        <v>38.296789662981219</v>
      </c>
      <c r="P45" s="94">
        <f ca="1">IF(M45&gt;0,N45*100/M45,0)</f>
        <v>76.583377730420878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IFERROR(__xludf.DUMMYFUNCTION("IMPORTRANGE(""https://docs.google.com/spreadsheets/d/1Yj_ptqi66GCucihVvJfMjLAmec39IyEx_6qawtMGysU/edit?usp=sharing"",""สบก!M21"")"),750700)</f>
        <v>750700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IFERROR(__xludf.DUMMYFUNCTION("IMPORTRANGE(""https://docs.google.com/spreadsheets/d/1Yj_ptqi66GCucihVvJfMjLAmec39IyEx_6qawtMGysU/edit?usp=sharing"",""สบก!N21"")"),0)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IFERROR(__xludf.DUMMYFUNCTION("IMPORTRANGE(""https://docs.google.com/spreadsheets/d/1Yj_ptqi66GCucihVvJfMjLAmec39IyEx_6qawtMGysU/edit?usp=sharing"",""สบก!O21"")"),0)</f>
        <v>0</v>
      </c>
      <c r="M49" s="103"/>
      <c r="N49" s="93">
        <f ca="1">IFERROR(__xludf.DUMMYFUNCTION("IMPORTRANGE(""https://docs.google.com/spreadsheets/d/1Yj_ptqi66GCucihVvJfMjLAmec39IyEx_6qawtMGysU/edit?usp=sharing"",""สบก!S21"")"),0)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700000</v>
      </c>
      <c r="M53" s="127">
        <f t="shared" ca="1" si="39"/>
        <v>367640</v>
      </c>
      <c r="N53" s="127">
        <f t="shared" ca="1" si="39"/>
        <v>216968</v>
      </c>
      <c r="O53" s="126">
        <f t="shared" ref="O53:O55" ca="1" si="40">IF(L53&gt;0,N53*100/L53,0)</f>
        <v>30.995428571428572</v>
      </c>
      <c r="P53" s="126">
        <f t="shared" ref="P53:P55" ca="1" si="41">IF(M53&gt;0,N53*100/M53,0)</f>
        <v>59.016429115439017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700000</v>
      </c>
      <c r="M55" s="127">
        <f t="shared" ca="1" si="43"/>
        <v>367640</v>
      </c>
      <c r="N55" s="127">
        <f t="shared" ca="1" si="43"/>
        <v>216968</v>
      </c>
      <c r="O55" s="126">
        <f t="shared" ca="1" si="40"/>
        <v>30.995428571428572</v>
      </c>
      <c r="P55" s="126">
        <f t="shared" ca="1" si="41"/>
        <v>59.016429115439017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700000</v>
      </c>
      <c r="M57" s="93">
        <f ca="1">IFERROR(__xludf.DUMMYFUNCTION("IMPORTRANGE(""https://docs.google.com/spreadsheets/d/1Yj_ptqi66GCucihVvJfMjLAmec39IyEx_6qawtMGysU/edit?usp=sharing"",""สบก!Z21"")"),367640)</f>
        <v>367640</v>
      </c>
      <c r="N57" s="93">
        <f ca="1">IFERROR(__xludf.DUMMYFUNCTION("IMPORTRANGE(""https://docs.google.com/spreadsheets/d/1Yj_ptqi66GCucihVvJfMjLAmec39IyEx_6qawtMGysU/edit?usp=sharing"",""สบก!AA21"")"),216968)</f>
        <v>216968</v>
      </c>
      <c r="O57" s="94">
        <f ca="1">IF(L57&gt;0,N57*100/L57,0)</f>
        <v>30.995428571428572</v>
      </c>
      <c r="P57" s="94">
        <f ca="1">IF(M57&gt;0,N57*100/M57,0)</f>
        <v>59.016429115439017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IFERROR(__xludf.DUMMYFUNCTION("IMPORTRANGE(""https://docs.google.com/spreadsheets/d/1Yj_ptqi66GCucihVvJfMjLAmec39IyEx_6qawtMGysU/edit?usp=sharing"",""สบก!V21"")"),700000)</f>
        <v>700000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IFERROR(__xludf.DUMMYFUNCTION("IMPORTRANGE(""https://docs.google.com/spreadsheets/d/1Yj_ptqi66GCucihVvJfMjLAmec39IyEx_6qawtMGysU/edit?usp=sharing"",""สบก!W21"")"),0)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IFERROR(__xludf.DUMMYFUNCTION("IMPORTRANGE(""https://docs.google.com/spreadsheets/d/1Yj_ptqi66GCucihVvJfMjLAmec39IyEx_6qawtMGysU/edit?usp=sharing"",""สบก!X21"")"),0)</f>
        <v>0</v>
      </c>
      <c r="M61" s="103"/>
      <c r="N61" s="93">
        <f ca="1">IFERROR(__xludf.DUMMYFUNCTION("IMPORTRANGE(""https://docs.google.com/spreadsheets/d/1Yj_ptqi66GCucihVvJfMjLAmec39IyEx_6qawtMGysU/edit?usp=sharing"",""สบก!AB21"")"),0)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IFERROR(__xludf.DUMMYFUNCTION("IMPORTRANGE(""https://docs.google.com/spreadsheets/d/11923uPwbBZFjjGgGUA6NLw09EwE0CqkOc4q9oUmW1yo/edit?usp=sharing"",""เชียงราย!I9"")"),1)</f>
        <v>1</v>
      </c>
      <c r="J64" s="148">
        <f ca="1">IFERROR(__xludf.DUMMYFUNCTION("IMPORTRANGE(""https://docs.google.com/spreadsheets/d/11923uPwbBZFjjGgGUA6NLw09EwE0CqkOc4q9oUmW1yo/edit?usp=sharing"",""เชียงราย!J9"")"),1)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IFERROR(__xludf.DUMMYFUNCTION("IMPORTRANGE(""https://docs.google.com/spreadsheets/d/11923uPwbBZFjjGgGUA6NLw09EwE0CqkOc4q9oUmW1yo/edit?usp=sharing"",""เชียงราย!I10"")"),60)</f>
        <v>60</v>
      </c>
      <c r="J65" s="148">
        <f ca="1">IFERROR(__xludf.DUMMYFUNCTION("IMPORTRANGE(""https://docs.google.com/spreadsheets/d/11923uPwbBZFjjGgGUA6NLw09EwE0CqkOc4q9oUmW1yo/edit?usp=sharing"",""เชียงราย!J10"")"),60)</f>
        <v>60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548000</v>
      </c>
      <c r="M66" s="158">
        <f t="shared" ca="1" si="45"/>
        <v>310620</v>
      </c>
      <c r="N66" s="158">
        <f t="shared" ca="1" si="45"/>
        <v>167035</v>
      </c>
      <c r="O66" s="157">
        <f t="shared" ref="O66:O68" ca="1" si="46">IF(L66&gt;0,N66*100/L66,0)</f>
        <v>30.480839416058394</v>
      </c>
      <c r="P66" s="157">
        <f t="shared" ref="P66:P68" ca="1" si="47">IF(M66&gt;0,N66*100/M66,0)</f>
        <v>53.774708647221686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548000</v>
      </c>
      <c r="M68" s="163">
        <f t="shared" ca="1" si="49"/>
        <v>310620</v>
      </c>
      <c r="N68" s="163">
        <f t="shared" ca="1" si="49"/>
        <v>167035</v>
      </c>
      <c r="O68" s="162">
        <f t="shared" ca="1" si="46"/>
        <v>30.480839416058394</v>
      </c>
      <c r="P68" s="162">
        <f t="shared" ca="1" si="47"/>
        <v>53.774708647221686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548000</v>
      </c>
      <c r="M70" s="176">
        <f ca="1">IFERROR(__xludf.DUMMYFUNCTION("IMPORTRANGE(""https://docs.google.com/spreadsheets/d/1Yj_ptqi66GCucihVvJfMjLAmec39IyEx_6qawtMGysU/edit?usp=sharing"",""สบก!AI21"")"),310620)</f>
        <v>310620</v>
      </c>
      <c r="N70" s="177">
        <f ca="1">IFERROR(__xludf.DUMMYFUNCTION("IMPORTRANGE(""https://docs.google.com/spreadsheets/d/1Yj_ptqi66GCucihVvJfMjLAmec39IyEx_6qawtMGysU/edit?usp=sharing"",""สบก!AJ21"")"),167035)</f>
        <v>167035</v>
      </c>
      <c r="O70" s="178">
        <f ca="1">IF(L70&gt;0,N70*100/L70,0)</f>
        <v>30.480839416058394</v>
      </c>
      <c r="P70" s="178">
        <f ca="1">IF(M70&gt;0,N70*100/M70,0)</f>
        <v>53.774708647221686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IFERROR(__xludf.DUMMYFUNCTION("IMPORTRANGE(""https://docs.google.com/spreadsheets/d/1Yj_ptqi66GCucihVvJfMjLAmec39IyEx_6qawtMGysU/edit?usp=sharing"",""สบก!AE21"")"),0)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IFERROR(__xludf.DUMMYFUNCTION("IMPORTRANGE(""https://docs.google.com/spreadsheets/d/1Yj_ptqi66GCucihVvJfMjLAmec39IyEx_6qawtMGysU/edit?usp=sharing"",""สบก!AF21"")"),548000)</f>
        <v>548000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IFERROR(__xludf.DUMMYFUNCTION("IMPORTRANGE(""https://docs.google.com/spreadsheets/d/1Yj_ptqi66GCucihVvJfMjLAmec39IyEx_6qawtMGysU/edit?usp=sharing"",""สบก!AG21"")"),0)</f>
        <v>0</v>
      </c>
      <c r="M74" s="103"/>
      <c r="N74" s="93">
        <f ca="1">IFERROR(__xludf.DUMMYFUNCTION("IMPORTRANGE(""https://docs.google.com/spreadsheets/d/1Yj_ptqi66GCucihVvJfMjLAmec39IyEx_6qawtMGysU/edit?usp=sharing"",""สบก!AK21"")"),0)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IFERROR(__xludf.DUMMYFUNCTION("IMPORTRANGE(""https://docs.google.com/spreadsheets/d/11923uPwbBZFjjGgGUA6NLw09EwE0CqkOc4q9oUmW1yo/edit?usp=sharing"",""เชียงราย!J16"")"),0)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IFERROR(__xludf.DUMMYFUNCTION("IMPORTRANGE(""https://docs.google.com/spreadsheets/d/11923uPwbBZFjjGgGUA6NLw09EwE0CqkOc4q9oUmW1yo/edit?usp=sharing"",""เชียงราย!J17"")"),1)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IFERROR(__xludf.DUMMYFUNCTION("IMPORTRANGE(""https://docs.google.com/spreadsheets/d/11923uPwbBZFjjGgGUA6NLw09EwE0CqkOc4q9oUmW1yo/edit?usp=sharing"",""เชียงราย!J18"")"),1)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IFERROR(__xludf.DUMMYFUNCTION("IMPORTRANGE(""https://docs.google.com/spreadsheets/d/11923uPwbBZFjjGgGUA6NLw09EwE0CqkOc4q9oUmW1yo/edit?usp=sharing"",""เชียงราย!J19"")"),1)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IFERROR(__xludf.DUMMYFUNCTION("IMPORTRANGE(""https://docs.google.com/spreadsheets/d/11923uPwbBZFjjGgGUA6NLw09EwE0CqkOc4q9oUmW1yo/edit?usp=sharing"",""เชียงราย!I20"")"),1)</f>
        <v>1</v>
      </c>
      <c r="J80" s="210">
        <f ca="1">IFERROR(__xludf.DUMMYFUNCTION("IMPORTRANGE(""https://docs.google.com/spreadsheets/d/11923uPwbBZFjjGgGUA6NLw09EwE0CqkOc4q9oUmW1yo/edit?usp=sharing"",""เชียงราย!J20"")"),1)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IFERROR(__xludf.DUMMYFUNCTION("IMPORTRANGE(""https://docs.google.com/spreadsheets/d/11923uPwbBZFjjGgGUA6NLw09EwE0CqkOc4q9oUmW1yo/edit?usp=sharing"",""เชียงราย!I21"")"),60)</f>
        <v>60</v>
      </c>
      <c r="J81" s="210">
        <f ca="1">IFERROR(__xludf.DUMMYFUNCTION("IMPORTRANGE(""https://docs.google.com/spreadsheets/d/11923uPwbBZFjjGgGUA6NLw09EwE0CqkOc4q9oUmW1yo/edit?usp=sharing"",""เชียงราย!J21"")"),60)</f>
        <v>60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IFERROR(__xludf.DUMMYFUNCTION("IMPORTRANGE(""https://docs.google.com/spreadsheets/d/11923uPwbBZFjjGgGUA6NLw09EwE0CqkOc4q9oUmW1yo/edit?usp=sharing"",""เชียงราย!I22"")"),1)</f>
        <v>1</v>
      </c>
      <c r="J82" s="213">
        <f ca="1">IFERROR(__xludf.DUMMYFUNCTION("IMPORTRANGE(""https://docs.google.com/spreadsheets/d/11923uPwbBZFjjGgGUA6NLw09EwE0CqkOc4q9oUmW1yo/edit?usp=sharing"",""เชียงราย!J22"")"),1)</f>
        <v>1</v>
      </c>
      <c r="K82" s="171">
        <f t="shared" ca="1" si="50"/>
        <v>100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IFERROR(__xludf.DUMMYFUNCTION("IMPORTRANGE(""https://docs.google.com/spreadsheets/d/11923uPwbBZFjjGgGUA6NLw09EwE0CqkOc4q9oUmW1yo/edit?usp=sharing"",""เชียงราย!I23"")"),60)</f>
        <v>60</v>
      </c>
      <c r="J83" s="213">
        <f ca="1">IFERROR(__xludf.DUMMYFUNCTION("IMPORTRANGE(""https://docs.google.com/spreadsheets/d/11923uPwbBZFjjGgGUA6NLw09EwE0CqkOc4q9oUmW1yo/edit?usp=sharing"",""เชียงราย!J23"")"),60)</f>
        <v>60</v>
      </c>
      <c r="K83" s="171">
        <f t="shared" ca="1" si="50"/>
        <v>100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IFERROR(__xludf.DUMMYFUNCTION("IMPORTRANGE(""https://docs.google.com/spreadsheets/d/11923uPwbBZFjjGgGUA6NLw09EwE0CqkOc4q9oUmW1yo/edit?usp=sharing"",""เชียงราย!I24"")"),0)</f>
        <v>0</v>
      </c>
      <c r="J84" s="198">
        <f ca="1">IFERROR(__xludf.DUMMYFUNCTION("IMPORTRANGE(""https://docs.google.com/spreadsheets/d/11923uPwbBZFjjGgGUA6NLw09EwE0CqkOc4q9oUmW1yo/edit?usp=sharing"",""เชียงราย!J24"")"),0)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IFERROR(__xludf.DUMMYFUNCTION("IMPORTRANGE(""https://docs.google.com/spreadsheets/d/11923uPwbBZFjjGgGUA6NLw09EwE0CqkOc4q9oUmW1yo/edit?usp=sharing"",""เชียงราย!I25"")"),0)</f>
        <v>0</v>
      </c>
      <c r="J85" s="198">
        <f ca="1">IFERROR(__xludf.DUMMYFUNCTION("IMPORTRANGE(""https://docs.google.com/spreadsheets/d/11923uPwbBZFjjGgGUA6NLw09EwE0CqkOc4q9oUmW1yo/edit?usp=sharing"",""เชียงราย!J25"")"),0)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IFERROR(__xludf.DUMMYFUNCTION("IMPORTRANGE(""https://docs.google.com/spreadsheets/d/11923uPwbBZFjjGgGUA6NLw09EwE0CqkOc4q9oUmW1yo/edit?usp=sharing"",""เชียงราย!I26"")"),0)</f>
        <v>0</v>
      </c>
      <c r="J86" s="213">
        <f ca="1">IFERROR(__xludf.DUMMYFUNCTION("IMPORTRANGE(""https://docs.google.com/spreadsheets/d/11923uPwbBZFjjGgGUA6NLw09EwE0CqkOc4q9oUmW1yo/edit?usp=sharing"",""เชียงราย!J26"")"),0)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IFERROR(__xludf.DUMMYFUNCTION("IMPORTRANGE(""https://docs.google.com/spreadsheets/d/11923uPwbBZFjjGgGUA6NLw09EwE0CqkOc4q9oUmW1yo/edit?usp=sharing"",""เชียงราย!I27"")"),0)</f>
        <v>0</v>
      </c>
      <c r="J87" s="213">
        <f ca="1">IFERROR(__xludf.DUMMYFUNCTION("IMPORTRANGE(""https://docs.google.com/spreadsheets/d/11923uPwbBZFjjGgGUA6NLw09EwE0CqkOc4q9oUmW1yo/edit?usp=sharing"",""เชียงราย!J27"")"),0)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IFERROR(__xludf.DUMMYFUNCTION("IMPORTRANGE(""https://docs.google.com/spreadsheets/d/11923uPwbBZFjjGgGUA6NLw09EwE0CqkOc4q9oUmW1yo/edit?usp=sharing"",""เชียงราย!I28"")"),60)</f>
        <v>60</v>
      </c>
      <c r="J88" s="213">
        <f ca="1">IFERROR(__xludf.DUMMYFUNCTION("IMPORTRANGE(""https://docs.google.com/spreadsheets/d/11923uPwbBZFjjGgGUA6NLw09EwE0CqkOc4q9oUmW1yo/edit?usp=sharing"",""เชียงราย!J28"")"),0)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IFERROR(__xludf.DUMMYFUNCTION("IMPORTRANGE(""https://docs.google.com/spreadsheets/d/11923uPwbBZFjjGgGUA6NLw09EwE0CqkOc4q9oUmW1yo/edit?usp=sharing"",""เชียงราย!J29"")"),0)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IFERROR(__xludf.DUMMYFUNCTION("IMPORTRANGE(""https://docs.google.com/spreadsheets/d/11923uPwbBZFjjGgGUA6NLw09EwE0CqkOc4q9oUmW1yo/edit?usp=sharing"",""เชียงราย!J30"")"),0)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IFERROR(__xludf.DUMMYFUNCTION("IMPORTRANGE(""https://docs.google.com/spreadsheets/d/11923uPwbBZFjjGgGUA6NLw09EwE0CqkOc4q9oUmW1yo/edit?usp=sharing"",""เชียงราย!I32"")"),7)</f>
        <v>7</v>
      </c>
      <c r="J92" s="148">
        <f ca="1">IFERROR(__xludf.DUMMYFUNCTION("IMPORTRANGE(""https://docs.google.com/spreadsheets/d/11923uPwbBZFjjGgGUA6NLw09EwE0CqkOc4q9oUmW1yo/edit?usp=sharing"",""เชียงราย!J32"")"),0)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IFERROR(__xludf.DUMMYFUNCTION("IMPORTRANGE(""https://docs.google.com/spreadsheets/d/11923uPwbBZFjjGgGUA6NLw09EwE0CqkOc4q9oUmW1yo/edit?usp=sharing"",""เชียงราย!I33"")"),2)</f>
        <v>2</v>
      </c>
      <c r="J93" s="148">
        <f ca="1">IFERROR(__xludf.DUMMYFUNCTION("IMPORTRANGE(""https://docs.google.com/spreadsheets/d/11923uPwbBZFjjGgGUA6NLw09EwE0CqkOc4q9oUmW1yo/edit?usp=sharing"",""เชียงราย!J33"")"),0)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318960</v>
      </c>
      <c r="M94" s="158">
        <f t="shared" ca="1" si="52"/>
        <v>80790</v>
      </c>
      <c r="N94" s="158">
        <f t="shared" ca="1" si="52"/>
        <v>189800</v>
      </c>
      <c r="O94" s="157">
        <f t="shared" ref="O94:O96" ca="1" si="53">IF(L94&gt;0,N94*100/L94,0)</f>
        <v>59.505894156007024</v>
      </c>
      <c r="P94" s="157">
        <f t="shared" ref="P94:P96" ca="1" si="54">IF(M94&gt;0,N94*100/M94,0)</f>
        <v>234.9300656021785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318960</v>
      </c>
      <c r="M96" s="163">
        <f t="shared" ca="1" si="56"/>
        <v>80790</v>
      </c>
      <c r="N96" s="163">
        <f t="shared" ca="1" si="56"/>
        <v>189800</v>
      </c>
      <c r="O96" s="162">
        <f t="shared" ca="1" si="53"/>
        <v>59.505894156007024</v>
      </c>
      <c r="P96" s="162">
        <f t="shared" ca="1" si="54"/>
        <v>234.9300656021785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134160</v>
      </c>
      <c r="M98" s="176">
        <f ca="1">IFERROR(__xludf.DUMMYFUNCTION("IMPORTRANGE(""https://docs.google.com/spreadsheets/d/1Yj_ptqi66GCucihVvJfMjLAmec39IyEx_6qawtMGysU/edit?usp=sharing"",""สบก!AR21"")"),80790)</f>
        <v>80790</v>
      </c>
      <c r="N98" s="177">
        <f ca="1">IFERROR(__xludf.DUMMYFUNCTION("IMPORTRANGE(""https://docs.google.com/spreadsheets/d/1Yj_ptqi66GCucihVvJfMjLAmec39IyEx_6qawtMGysU/edit?usp=sharing"",""สบก!AS21"")"),5000)</f>
        <v>5000</v>
      </c>
      <c r="O98" s="178">
        <f ca="1">IF(L98&gt;0,N98*100/L98,0)</f>
        <v>3.7268932617769828</v>
      </c>
      <c r="P98" s="178">
        <f ca="1">IF(M98&gt;0,N98*100/M98,0)</f>
        <v>6.1888847629657135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IFERROR(__xludf.DUMMYFUNCTION("IMPORTRANGE(""https://docs.google.com/spreadsheets/d/1Yj_ptqi66GCucihVvJfMjLAmec39IyEx_6qawtMGysU/edit?usp=sharing"",""สบก!AN21"")"),0)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IFERROR(__xludf.DUMMYFUNCTION("IMPORTRANGE(""https://docs.google.com/spreadsheets/d/1Yj_ptqi66GCucihVvJfMjLAmec39IyEx_6qawtMGysU/edit?usp=sharing"",""สบก!AO21"")"),134160)</f>
        <v>134160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IFERROR(__xludf.DUMMYFUNCTION("IMPORTRANGE(""https://docs.google.com/spreadsheets/d/1Yj_ptqi66GCucihVvJfMjLAmec39IyEx_6qawtMGysU/edit?usp=sharing"",""สบก!AP21"")"),184800)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IFERROR(__xludf.DUMMYFUNCTION("IMPORTRANGE(""https://docs.google.com/spreadsheets/d/1Yj_ptqi66GCucihVvJfMjLAmec39IyEx_6qawtMGysU/edit?usp=sharing"",""สบก!AT21"")"),184800)</f>
        <v>184800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IFERROR(__xludf.DUMMYFUNCTION("IMPORTRANGE(""https://docs.google.com/spreadsheets/d/11923uPwbBZFjjGgGUA6NLw09EwE0CqkOc4q9oUmW1yo/edit?usp=sharing"",""เชียงราย!J39"")"),0)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IFERROR(__xludf.DUMMYFUNCTION("IMPORTRANGE(""https://docs.google.com/spreadsheets/d/11923uPwbBZFjjGgGUA6NLw09EwE0CqkOc4q9oUmW1yo/edit?usp=sharing"",""เชียงราย!J40"")"),1)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IFERROR(__xludf.DUMMYFUNCTION("IMPORTRANGE(""https://docs.google.com/spreadsheets/d/11923uPwbBZFjjGgGUA6NLw09EwE0CqkOc4q9oUmW1yo/edit?usp=sharing"",""เชียงราย!J41"")"),1)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IFERROR(__xludf.DUMMYFUNCTION("IMPORTRANGE(""https://docs.google.com/spreadsheets/d/11923uPwbBZFjjGgGUA6NLw09EwE0CqkOc4q9oUmW1yo/edit?usp=sharing"",""เชียงราย!J42"")"),1)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IFERROR(__xludf.DUMMYFUNCTION("IMPORTRANGE(""https://docs.google.com/spreadsheets/d/11923uPwbBZFjjGgGUA6NLw09EwE0CqkOc4q9oUmW1yo/edit?usp=sharing"",""เชียงราย!I43"")"),1)</f>
        <v>1</v>
      </c>
      <c r="J108" s="213">
        <f ca="1">IFERROR(__xludf.DUMMYFUNCTION("IMPORTRANGE(""https://docs.google.com/spreadsheets/d/11923uPwbBZFjjGgGUA6NLw09EwE0CqkOc4q9oUmW1yo/edit?usp=sharing"",""เชียงราย!J43"")"),0)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IFERROR(__xludf.DUMMYFUNCTION("IMPORTRANGE(""https://docs.google.com/spreadsheets/d/11923uPwbBZFjjGgGUA6NLw09EwE0CqkOc4q9oUmW1yo/edit?usp=sharing"",""เชียงราย!I44"")"),7)</f>
        <v>7</v>
      </c>
      <c r="J109" s="213">
        <f ca="1">IFERROR(__xludf.DUMMYFUNCTION("IMPORTRANGE(""https://docs.google.com/spreadsheets/d/11923uPwbBZFjjGgGUA6NLw09EwE0CqkOc4q9oUmW1yo/edit?usp=sharing"",""เชียงราย!J44"")"),0)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IFERROR(__xludf.DUMMYFUNCTION("IMPORTRANGE(""https://docs.google.com/spreadsheets/d/11923uPwbBZFjjGgGUA6NLw09EwE0CqkOc4q9oUmW1yo/edit?usp=sharing"",""เชียงราย!I45"")"),7)</f>
        <v>7</v>
      </c>
      <c r="J110" s="213">
        <f ca="1">IFERROR(__xludf.DUMMYFUNCTION("IMPORTRANGE(""https://docs.google.com/spreadsheets/d/11923uPwbBZFjjGgGUA6NLw09EwE0CqkOc4q9oUmW1yo/edit?usp=sharing"",""เชียงราย!J45"")"),7)</f>
        <v>7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IFERROR(__xludf.DUMMYFUNCTION("IMPORTRANGE(""https://docs.google.com/spreadsheets/d/11923uPwbBZFjjGgGUA6NLw09EwE0CqkOc4q9oUmW1yo/edit?usp=sharing"",""เชียงราย!I46"")"),7)</f>
        <v>7</v>
      </c>
      <c r="J111" s="213">
        <f ca="1">IFERROR(__xludf.DUMMYFUNCTION("IMPORTRANGE(""https://docs.google.com/spreadsheets/d/11923uPwbBZFjjGgGUA6NLw09EwE0CqkOc4q9oUmW1yo/edit?usp=sharing"",""เชียงราย!J46"")"),0)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IFERROR(__xludf.DUMMYFUNCTION("IMPORTRANGE(""https://docs.google.com/spreadsheets/d/11923uPwbBZFjjGgGUA6NLw09EwE0CqkOc4q9oUmW1yo/edit?usp=sharing"",""เชียงราย!I47"")"),7)</f>
        <v>7</v>
      </c>
      <c r="J112" s="213">
        <f ca="1">IFERROR(__xludf.DUMMYFUNCTION("IMPORTRANGE(""https://docs.google.com/spreadsheets/d/11923uPwbBZFjjGgGUA6NLw09EwE0CqkOc4q9oUmW1yo/edit?usp=sharing"",""เชียงราย!J47"")"),0)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IFERROR(__xludf.DUMMYFUNCTION("IMPORTRANGE(""https://docs.google.com/spreadsheets/d/11923uPwbBZFjjGgGUA6NLw09EwE0CqkOc4q9oUmW1yo/edit?usp=sharing"",""เชียงราย!I48"")"),2)</f>
        <v>2</v>
      </c>
      <c r="J113" s="213">
        <f ca="1">IFERROR(__xludf.DUMMYFUNCTION("IMPORTRANGE(""https://docs.google.com/spreadsheets/d/11923uPwbBZFjjGgGUA6NLw09EwE0CqkOc4q9oUmW1yo/edit?usp=sharing"",""เชียงราย!J48"")"),0)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IFERROR(__xludf.DUMMYFUNCTION("IMPORTRANGE(""https://docs.google.com/spreadsheets/d/11923uPwbBZFjjGgGUA6NLw09EwE0CqkOc4q9oUmW1yo/edit?usp=sharing"",""เชียงราย!J49"")"),0)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IFERROR(__xludf.DUMMYFUNCTION("IMPORTRANGE(""https://docs.google.com/spreadsheets/d/11923uPwbBZFjjGgGUA6NLw09EwE0CqkOc4q9oUmW1yo/edit?usp=sharing"",""เชียงราย!J50"")"),0)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IFERROR(__xludf.DUMMYFUNCTION("IMPORTRANGE(""https://docs.google.com/spreadsheets/d/11923uPwbBZFjjGgGUA6NLw09EwE0CqkOc4q9oUmW1yo/edit?usp=sharing"",""เชียงราย!I52"")"),0)</f>
        <v>0</v>
      </c>
      <c r="J117" s="148">
        <f ca="1">IFERROR(__xludf.DUMMYFUNCTION("IMPORTRANGE(""https://docs.google.com/spreadsheets/d/11923uPwbBZFjjGgGUA6NLw09EwE0CqkOc4q9oUmW1yo/edit?usp=sharing"",""เชียงราย!J52"")"),0)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IFERROR(__xludf.DUMMYFUNCTION("IMPORTRANGE(""https://docs.google.com/spreadsheets/d/1Yj_ptqi66GCucihVvJfMjLAmec39IyEx_6qawtMGysU/edit?usp=sharing"",""สบก!BA21"")"),0)</f>
        <v>0</v>
      </c>
      <c r="N122" s="177">
        <f ca="1">IFERROR(__xludf.DUMMYFUNCTION("IMPORTRANGE(""https://docs.google.com/spreadsheets/d/1Yj_ptqi66GCucihVvJfMjLAmec39IyEx_6qawtMGysU/edit?usp=sharing"",""สบก!BB21"")"),0)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IFERROR(__xludf.DUMMYFUNCTION("IMPORTRANGE(""https://docs.google.com/spreadsheets/d/1Yj_ptqi66GCucihVvJfMjLAmec39IyEx_6qawtMGysU/edit?usp=sharing"",""สบก!AW21"")"),0)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IFERROR(__xludf.DUMMYFUNCTION("IMPORTRANGE(""https://docs.google.com/spreadsheets/d/1Yj_ptqi66GCucihVvJfMjLAmec39IyEx_6qawtMGysU/edit?usp=sharing"",""สบก!AX21"")"),0)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IFERROR(__xludf.DUMMYFUNCTION("IMPORTRANGE(""https://docs.google.com/spreadsheets/d/1Yj_ptqi66GCucihVvJfMjLAmec39IyEx_6qawtMGysU/edit?usp=sharing"",""สบก!AY21"")"),0)</f>
        <v>0</v>
      </c>
      <c r="M126" s="103"/>
      <c r="N126" s="93">
        <f ca="1">IFERROR(__xludf.DUMMYFUNCTION("IMPORTRANGE(""https://docs.google.com/spreadsheets/d/1Yj_ptqi66GCucihVvJfMjLAmec39IyEx_6qawtMGysU/edit?usp=sharing"",""สบก!BC21"")"),0)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242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IFERROR(__xludf.DUMMYFUNCTION("IMPORTRANGE(""https://docs.google.com/spreadsheets/d/11923uPwbBZFjjGgGUA6NLw09EwE0CqkOc4q9oUmW1yo/edit?usp=sharing"",""เชียงราย!J58"")"),0)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IFERROR(__xludf.DUMMYFUNCTION("IMPORTRANGE(""https://docs.google.com/spreadsheets/d/11923uPwbBZFjjGgGUA6NLw09EwE0CqkOc4q9oUmW1yo/edit?usp=sharing"",""เชียงราย!J59"")"),0)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IFERROR(__xludf.DUMMYFUNCTION("IMPORTRANGE(""https://docs.google.com/spreadsheets/d/11923uPwbBZFjjGgGUA6NLw09EwE0CqkOc4q9oUmW1yo/edit?usp=sharing"",""เชียงราย!J60"")"),0)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IFERROR(__xludf.DUMMYFUNCTION("IMPORTRANGE(""https://docs.google.com/spreadsheets/d/11923uPwbBZFjjGgGUA6NLw09EwE0CqkOc4q9oUmW1yo/edit?usp=sharing"",""เชียงราย!J61"")"),0)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IFERROR(__xludf.DUMMYFUNCTION("IMPORTRANGE(""https://docs.google.com/spreadsheets/d/11923uPwbBZFjjGgGUA6NLw09EwE0CqkOc4q9oUmW1yo/edit?usp=sharing"",""เชียงราย!I62"")"),0)</f>
        <v>0</v>
      </c>
      <c r="J132" s="213">
        <f ca="1">IFERROR(__xludf.DUMMYFUNCTION("IMPORTRANGE(""https://docs.google.com/spreadsheets/d/11923uPwbBZFjjGgGUA6NLw09EwE0CqkOc4q9oUmW1yo/edit?usp=sharing"",""เชียงราย!J62"")"),0)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IFERROR(__xludf.DUMMYFUNCTION("IMPORTRANGE(""https://docs.google.com/spreadsheets/d/11923uPwbBZFjjGgGUA6NLw09EwE0CqkOc4q9oUmW1yo/edit?usp=sharing"",""เชียงราย!I63"")"),0)</f>
        <v>0</v>
      </c>
      <c r="J133" s="213">
        <f ca="1">IFERROR(__xludf.DUMMYFUNCTION("IMPORTRANGE(""https://docs.google.com/spreadsheets/d/11923uPwbBZFjjGgGUA6NLw09EwE0CqkOc4q9oUmW1yo/edit?usp=sharing"",""เชียงราย!J63"")"),0)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IFERROR(__xludf.DUMMYFUNCTION("IMPORTRANGE(""https://docs.google.com/spreadsheets/d/11923uPwbBZFjjGgGUA6NLw09EwE0CqkOc4q9oUmW1yo/edit?usp=sharing"",""เชียงราย!J64"")"),0)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IFERROR(__xludf.DUMMYFUNCTION("IMPORTRANGE(""https://docs.google.com/spreadsheets/d/11923uPwbBZFjjGgGUA6NLw09EwE0CqkOc4q9oUmW1yo/edit?usp=sharing"",""เชียงราย!J65"")"),0)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IFERROR(__xludf.DUMMYFUNCTION("IMPORTRANGE(""https://docs.google.com/spreadsheets/d/11923uPwbBZFjjGgGUA6NLw09EwE0CqkOc4q9oUmW1yo/edit?usp=sharing"",""เชียงราย!I68"")"),15)</f>
        <v>15</v>
      </c>
      <c r="J138" s="276">
        <f ca="1">IFERROR(__xludf.DUMMYFUNCTION("IMPORTRANGE(""https://docs.google.com/spreadsheets/d/11923uPwbBZFjjGgGUA6NLw09EwE0CqkOc4q9oUmW1yo/edit?usp=sharing"",""เชียงราย!J68"")"),15)</f>
        <v>15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579900</v>
      </c>
      <c r="M140" s="158">
        <f t="shared" ca="1" si="64"/>
        <v>320450</v>
      </c>
      <c r="N140" s="158">
        <f t="shared" ca="1" si="64"/>
        <v>155755</v>
      </c>
      <c r="O140" s="157">
        <f t="shared" ref="O140:O142" ca="1" si="65">IF(L140&gt;0,N140*100/L140,0)</f>
        <v>26.85894119675806</v>
      </c>
      <c r="P140" s="157">
        <f t="shared" ref="P140:P142" ca="1" si="66">IF(M140&gt;0,N140*100/M140,0)</f>
        <v>48.60508659697301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579900</v>
      </c>
      <c r="M142" s="163">
        <f t="shared" ca="1" si="68"/>
        <v>320450</v>
      </c>
      <c r="N142" s="163">
        <f t="shared" ca="1" si="68"/>
        <v>155755</v>
      </c>
      <c r="O142" s="162">
        <f t="shared" ca="1" si="65"/>
        <v>26.85894119675806</v>
      </c>
      <c r="P142" s="162">
        <f t="shared" ca="1" si="66"/>
        <v>48.60508659697301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579900</v>
      </c>
      <c r="M144" s="176">
        <f ca="1">IFERROR(__xludf.DUMMYFUNCTION("IMPORTRANGE(""https://docs.google.com/spreadsheets/d/1Yj_ptqi66GCucihVvJfMjLAmec39IyEx_6qawtMGysU/edit?usp=sharing"",""สบก!BJ21"")"),320450)</f>
        <v>320450</v>
      </c>
      <c r="N144" s="177">
        <f ca="1">IFERROR(__xludf.DUMMYFUNCTION("IMPORTRANGE(""https://docs.google.com/spreadsheets/d/1Yj_ptqi66GCucihVvJfMjLAmec39IyEx_6qawtMGysU/edit?usp=sharing"",""สบก!BK21"")"),155755)</f>
        <v>155755</v>
      </c>
      <c r="O144" s="178">
        <f ca="1">IF(L144&gt;0,N144*100/L144,0)</f>
        <v>26.85894119675806</v>
      </c>
      <c r="P144" s="178">
        <f ca="1">IF(M144&gt;0,N144*100/M144,0)</f>
        <v>48.60508659697301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IFERROR(__xludf.DUMMYFUNCTION("IMPORTRANGE(""https://docs.google.com/spreadsheets/d/1Yj_ptqi66GCucihVvJfMjLAmec39IyEx_6qawtMGysU/edit?usp=sharing"",""สบก!BF21"")"),463400)</f>
        <v>463400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IFERROR(__xludf.DUMMYFUNCTION("IMPORTRANGE(""https://docs.google.com/spreadsheets/d/1Yj_ptqi66GCucihVvJfMjLAmec39IyEx_6qawtMGysU/edit?usp=sharing"",""สบก!BG21"")"),116500)</f>
        <v>116500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IFERROR(__xludf.DUMMYFUNCTION("IMPORTRANGE(""https://docs.google.com/spreadsheets/d/1Yj_ptqi66GCucihVvJfMjLAmec39IyEx_6qawtMGysU/edit?usp=sharing"",""สบก!BH21"")"),0)</f>
        <v>0</v>
      </c>
      <c r="M148" s="103"/>
      <c r="N148" s="93">
        <f ca="1">IFERROR(__xludf.DUMMYFUNCTION("IMPORTRANGE(""https://docs.google.com/spreadsheets/d/1Yj_ptqi66GCucihVvJfMjLAmec39IyEx_6qawtMGysU/edit?usp=sharing"",""สบก!BL21"")"),0)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IFERROR(__xludf.DUMMYFUNCTION("IMPORTRANGE(""https://docs.google.com/spreadsheets/d/11923uPwbBZFjjGgGUA6NLw09EwE0CqkOc4q9oUmW1yo/edit?usp=sharing"",""เชียงราย!I74"")"),4)</f>
        <v>4</v>
      </c>
      <c r="J149" s="284">
        <f ca="1">IFERROR(__xludf.DUMMYFUNCTION("IMPORTRANGE(""https://docs.google.com/spreadsheets/d/11923uPwbBZFjjGgGUA6NLw09EwE0CqkOc4q9oUmW1yo/edit?usp=sharing"",""เชียงราย!J74"")"),1)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IFERROR(__xludf.DUMMYFUNCTION("IMPORTRANGE(""https://docs.google.com/spreadsheets/d/11923uPwbBZFjjGgGUA6NLw09EwE0CqkOc4q9oUmW1yo/edit?usp=sharing"",""เชียงราย!J79"")"),0)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IFERROR(__xludf.DUMMYFUNCTION("IMPORTRANGE(""https://docs.google.com/spreadsheets/d/11923uPwbBZFjjGgGUA6NLw09EwE0CqkOc4q9oUmW1yo/edit?usp=sharing"",""เชียงราย!J80"")"),1)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IFERROR(__xludf.DUMMYFUNCTION("IMPORTRANGE(""https://docs.google.com/spreadsheets/d/11923uPwbBZFjjGgGUA6NLw09EwE0CqkOc4q9oUmW1yo/edit?usp=sharing"",""เชียงราย!J81"")"),1)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IFERROR(__xludf.DUMMYFUNCTION("IMPORTRANGE(""https://docs.google.com/spreadsheets/d/11923uPwbBZFjjGgGUA6NLw09EwE0CqkOc4q9oUmW1yo/edit?usp=sharing"",""เชียงราย!J82"")"),1)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IFERROR(__xludf.DUMMYFUNCTION("IMPORTRANGE(""https://docs.google.com/spreadsheets/d/11923uPwbBZFjjGgGUA6NLw09EwE0CqkOc4q9oUmW1yo/edit?usp=sharing"",""เชียงราย!I83"")"),4)</f>
        <v>4</v>
      </c>
      <c r="J158" s="198">
        <f ca="1">IFERROR(__xludf.DUMMYFUNCTION("IMPORTRANGE(""https://docs.google.com/spreadsheets/d/11923uPwbBZFjjGgGUA6NLw09EwE0CqkOc4q9oUmW1yo/edit?usp=sharing"",""เชียงราย!J83"")"),1)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IFERROR(__xludf.DUMMYFUNCTION("IMPORTRANGE(""https://docs.google.com/spreadsheets/d/11923uPwbBZFjjGgGUA6NLw09EwE0CqkOc4q9oUmW1yo/edit?usp=sharing"",""เชียงราย!J84"")"),15)</f>
        <v>15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IFERROR(__xludf.DUMMYFUNCTION("IMPORTRANGE(""https://docs.google.com/spreadsheets/d/11923uPwbBZFjjGgGUA6NLw09EwE0CqkOc4q9oUmW1yo/edit?usp=sharing"",""เชียงราย!J85"")"),13)</f>
        <v>13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IFERROR(__xludf.DUMMYFUNCTION("IMPORTRANGE(""https://docs.google.com/spreadsheets/d/11923uPwbBZFjjGgGUA6NLw09EwE0CqkOc4q9oUmW1yo/edit?usp=sharing"",""เชียงราย!J86"")"),2)</f>
        <v>2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IFERROR(__xludf.DUMMYFUNCTION("IMPORTRANGE(""https://docs.google.com/spreadsheets/d/11923uPwbBZFjjGgGUA6NLw09EwE0CqkOc4q9oUmW1yo/edit?usp=sharing"",""เชียงราย!J87"")"),0)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IFERROR(__xludf.DUMMYFUNCTION("IMPORTRANGE(""https://docs.google.com/spreadsheets/d/11923uPwbBZFjjGgGUA6NLw09EwE0CqkOc4q9oUmW1yo/edit?usp=sharing"",""เชียงราย!J88"")"),0)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IFERROR(__xludf.DUMMYFUNCTION("IMPORTRANGE(""https://docs.google.com/spreadsheets/d/11923uPwbBZFjjGgGUA6NLw09EwE0CqkOc4q9oUmW1yo/edit?usp=sharing"",""เชียงราย!I89"")"),5)</f>
        <v>5</v>
      </c>
      <c r="J164" s="292">
        <f ca="1">IFERROR(__xludf.DUMMYFUNCTION("IMPORTRANGE(""https://docs.google.com/spreadsheets/d/11923uPwbBZFjjGgGUA6NLw09EwE0CqkOc4q9oUmW1yo/edit?usp=sharing"",""เชียงราย!J89"")"),0)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IFERROR(__xludf.DUMMYFUNCTION("IMPORTRANGE(""https://docs.google.com/spreadsheets/d/11923uPwbBZFjjGgGUA6NLw09EwE0CqkOc4q9oUmW1yo/edit?usp=sharing"",""เชียงราย!J94"")"),0)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IFERROR(__xludf.DUMMYFUNCTION("IMPORTRANGE(""https://docs.google.com/spreadsheets/d/11923uPwbBZFjjGgGUA6NLw09EwE0CqkOc4q9oUmW1yo/edit?usp=sharing"",""เชียงราย!J95"")"),1)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IFERROR(__xludf.DUMMYFUNCTION("IMPORTRANGE(""https://docs.google.com/spreadsheets/d/11923uPwbBZFjjGgGUA6NLw09EwE0CqkOc4q9oUmW1yo/edit?usp=sharing"",""เชียงราย!J96"")"),1)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IFERROR(__xludf.DUMMYFUNCTION("IMPORTRANGE(""https://docs.google.com/spreadsheets/d/11923uPwbBZFjjGgGUA6NLw09EwE0CqkOc4q9oUmW1yo/edit?usp=sharing"",""เชียงราย!J97"")"),0)</f>
        <v>0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IFERROR(__xludf.DUMMYFUNCTION("IMPORTRANGE(""https://docs.google.com/spreadsheets/d/11923uPwbBZFjjGgGUA6NLw09EwE0CqkOc4q9oUmW1yo/edit?usp=sharing"",""เชียงราย!I98"")"),5)</f>
        <v>5</v>
      </c>
      <c r="J173" s="198">
        <f ca="1">IFERROR(__xludf.DUMMYFUNCTION("IMPORTRANGE(""https://docs.google.com/spreadsheets/d/11923uPwbBZFjjGgGUA6NLw09EwE0CqkOc4q9oUmW1yo/edit?usp=sharing"",""เชียงราย!J98"")"),0)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IFERROR(__xludf.DUMMYFUNCTION("IMPORTRANGE(""https://docs.google.com/spreadsheets/d/11923uPwbBZFjjGgGUA6NLw09EwE0CqkOc4q9oUmW1yo/edit?usp=sharing"",""เชียงราย!J99"")"),0)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IFERROR(__xludf.DUMMYFUNCTION("IMPORTRANGE(""https://docs.google.com/spreadsheets/d/11923uPwbBZFjjGgGUA6NLw09EwE0CqkOc4q9oUmW1yo/edit?usp=sharing"",""เชียงราย!J100"")"),0)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IFERROR(__xludf.DUMMYFUNCTION("IMPORTRANGE(""https://docs.google.com/spreadsheets/d/11923uPwbBZFjjGgGUA6NLw09EwE0CqkOc4q9oUmW1yo/edit?usp=sharing"",""เชียงราย!I101"")"),0)</f>
        <v>0</v>
      </c>
      <c r="J176" s="292">
        <f ca="1">IFERROR(__xludf.DUMMYFUNCTION("IMPORTRANGE(""https://docs.google.com/spreadsheets/d/11923uPwbBZFjjGgGUA6NLw09EwE0CqkOc4q9oUmW1yo/edit?usp=sharing"",""เชียงราย!J101"")"),0)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IFERROR(__xludf.DUMMYFUNCTION("IMPORTRANGE(""https://docs.google.com/spreadsheets/d/11923uPwbBZFjjGgGUA6NLw09EwE0CqkOc4q9oUmW1yo/edit?usp=sharing"",""เชียงราย!J106"")"),0)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IFERROR(__xludf.DUMMYFUNCTION("IMPORTRANGE(""https://docs.google.com/spreadsheets/d/11923uPwbBZFjjGgGUA6NLw09EwE0CqkOc4q9oUmW1yo/edit?usp=sharing"",""เชียงราย!J107"")"),0)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IFERROR(__xludf.DUMMYFUNCTION("IMPORTRANGE(""https://docs.google.com/spreadsheets/d/11923uPwbBZFjjGgGUA6NLw09EwE0CqkOc4q9oUmW1yo/edit?usp=sharing"",""เชียงราย!J108"")"),0)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IFERROR(__xludf.DUMMYFUNCTION("IMPORTRANGE(""https://docs.google.com/spreadsheets/d/11923uPwbBZFjjGgGUA6NLw09EwE0CqkOc4q9oUmW1yo/edit?usp=sharing"",""เชียงราย!J109"")"),0)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IFERROR(__xludf.DUMMYFUNCTION("IMPORTRANGE(""https://docs.google.com/spreadsheets/d/11923uPwbBZFjjGgGUA6NLw09EwE0CqkOc4q9oUmW1yo/edit?usp=sharing"",""เชียงราย!I110"")"),0)</f>
        <v>0</v>
      </c>
      <c r="J185" s="213">
        <f ca="1">IFERROR(__xludf.DUMMYFUNCTION("IMPORTRANGE(""https://docs.google.com/spreadsheets/d/11923uPwbBZFjjGgGUA6NLw09EwE0CqkOc4q9oUmW1yo/edit?usp=sharing"",""เชียงราย!J110"")"),0)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IFERROR(__xludf.DUMMYFUNCTION("IMPORTRANGE(""https://docs.google.com/spreadsheets/d/11923uPwbBZFjjGgGUA6NLw09EwE0CqkOc4q9oUmW1yo/edit?usp=sharing"",""เชียงราย!I111"")"),0)</f>
        <v>0</v>
      </c>
      <c r="J186" s="213">
        <f ca="1">IFERROR(__xludf.DUMMYFUNCTION("IMPORTRANGE(""https://docs.google.com/spreadsheets/d/11923uPwbBZFjjGgGUA6NLw09EwE0CqkOc4q9oUmW1yo/edit?usp=sharing"",""เชียงราย!J111"")"),0)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IFERROR(__xludf.DUMMYFUNCTION("IMPORTRANGE(""https://docs.google.com/spreadsheets/d/11923uPwbBZFjjGgGUA6NLw09EwE0CqkOc4q9oUmW1yo/edit?usp=sharing"",""เชียงราย!J112"")"),0)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IFERROR(__xludf.DUMMYFUNCTION("IMPORTRANGE(""https://docs.google.com/spreadsheets/d/11923uPwbBZFjjGgGUA6NLw09EwE0CqkOc4q9oUmW1yo/edit?usp=sharing"",""เชียงราย!J113"")"),0)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IFERROR(__xludf.DUMMYFUNCTION("IMPORTRANGE(""https://docs.google.com/spreadsheets/d/11923uPwbBZFjjGgGUA6NLw09EwE0CqkOc4q9oUmW1yo/edit?usp=sharing"",""เชียงราย!I114"")"),60000)</f>
        <v>60000</v>
      </c>
      <c r="J189" s="292">
        <f ca="1">IFERROR(__xludf.DUMMYFUNCTION("IMPORTRANGE(""https://docs.google.com/spreadsheets/d/11923uPwbBZFjjGgGUA6NLw09EwE0CqkOc4q9oUmW1yo/edit?usp=sharing"",""เชียงราย!J114"")"),0)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IFERROR(__xludf.DUMMYFUNCTION("IMPORTRANGE(""https://docs.google.com/spreadsheets/d/11923uPwbBZFjjGgGUA6NLw09EwE0CqkOc4q9oUmW1yo/edit?usp=sharing"",""เชียงราย!J119"")"),0)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IFERROR(__xludf.DUMMYFUNCTION("IMPORTRANGE(""https://docs.google.com/spreadsheets/d/11923uPwbBZFjjGgGUA6NLw09EwE0CqkOc4q9oUmW1yo/edit?usp=sharing"",""เชียงราย!J120"")"),1)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IFERROR(__xludf.DUMMYFUNCTION("IMPORTRANGE(""https://docs.google.com/spreadsheets/d/11923uPwbBZFjjGgGUA6NLw09EwE0CqkOc4q9oUmW1yo/edit?usp=sharing"",""เชียงราย!J121"")"),1)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IFERROR(__xludf.DUMMYFUNCTION("IMPORTRANGE(""https://docs.google.com/spreadsheets/d/11923uPwbBZFjjGgGUA6NLw09EwE0CqkOc4q9oUmW1yo/edit?usp=sharing"",""เชียงราย!J122"")"),0)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IFERROR(__xludf.DUMMYFUNCTION("IMPORTRANGE(""https://docs.google.com/spreadsheets/d/11923uPwbBZFjjGgGUA6NLw09EwE0CqkOc4q9oUmW1yo/edit?usp=sharing"",""เชียงราย!I124"")"),60000)</f>
        <v>60000</v>
      </c>
      <c r="J199" s="198">
        <f ca="1">IFERROR(__xludf.DUMMYFUNCTION("IMPORTRANGE(""https://docs.google.com/spreadsheets/d/11923uPwbBZFjjGgGUA6NLw09EwE0CqkOc4q9oUmW1yo/edit?usp=sharing"",""เชียงราย!J124"")"),0)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IFERROR(__xludf.DUMMYFUNCTION("IMPORTRANGE(""https://docs.google.com/spreadsheets/d/11923uPwbBZFjjGgGUA6NLw09EwE0CqkOc4q9oUmW1yo/edit?usp=sharing"",""เชียงราย!I125"")"),60000)</f>
        <v>60000</v>
      </c>
      <c r="J200" s="198">
        <f ca="1">IFERROR(__xludf.DUMMYFUNCTION("IMPORTRANGE(""https://docs.google.com/spreadsheets/d/11923uPwbBZFjjGgGUA6NLw09EwE0CqkOc4q9oUmW1yo/edit?usp=sharing"",""เชียงราย!J125"")"),0)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IFERROR(__xludf.DUMMYFUNCTION("IMPORTRANGE(""https://docs.google.com/spreadsheets/d/11923uPwbBZFjjGgGUA6NLw09EwE0CqkOc4q9oUmW1yo/edit?usp=sharing"",""เชียงราย!I126"")"),15)</f>
        <v>15</v>
      </c>
      <c r="J201" s="198">
        <f ca="1">IFERROR(__xludf.DUMMYFUNCTION("IMPORTRANGE(""https://docs.google.com/spreadsheets/d/11923uPwbBZFjjGgGUA6NLw09EwE0CqkOc4q9oUmW1yo/edit?usp=sharing"",""เชียงราย!J126"")"),15)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IFERROR(__xludf.DUMMYFUNCTION("IMPORTRANGE(""https://docs.google.com/spreadsheets/d/11923uPwbBZFjjGgGUA6NLw09EwE0CqkOc4q9oUmW1yo/edit?usp=sharing"",""เชียงราย!J127"")"),0)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IFERROR(__xludf.DUMMYFUNCTION("IMPORTRANGE(""https://docs.google.com/spreadsheets/d/11923uPwbBZFjjGgGUA6NLw09EwE0CqkOc4q9oUmW1yo/edit?usp=sharing"",""เชียงราย!J128"")"),0)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IFERROR(__xludf.DUMMYFUNCTION("IMPORTRANGE(""https://docs.google.com/spreadsheets/d/11923uPwbBZFjjGgGUA6NLw09EwE0CqkOc4q9oUmW1yo/edit?usp=sharing"",""เชียงราย!I129"")"),0)</f>
        <v>0</v>
      </c>
      <c r="J204" s="292">
        <f ca="1">IFERROR(__xludf.DUMMYFUNCTION("IMPORTRANGE(""https://docs.google.com/spreadsheets/d/11923uPwbBZFjjGgGUA6NLw09EwE0CqkOc4q9oUmW1yo/edit?usp=sharing"",""เชียงราย!J129"")"),0)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IFERROR(__xludf.DUMMYFUNCTION("IMPORTRANGE(""https://docs.google.com/spreadsheets/d/11923uPwbBZFjjGgGUA6NLw09EwE0CqkOc4q9oUmW1yo/edit?usp=sharing"",""เชียงราย!J134"")"),0)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IFERROR(__xludf.DUMMYFUNCTION("IMPORTRANGE(""https://docs.google.com/spreadsheets/d/11923uPwbBZFjjGgGUA6NLw09EwE0CqkOc4q9oUmW1yo/edit?usp=sharing"",""เชียงราย!J135"")"),0)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IFERROR(__xludf.DUMMYFUNCTION("IMPORTRANGE(""https://docs.google.com/spreadsheets/d/11923uPwbBZFjjGgGUA6NLw09EwE0CqkOc4q9oUmW1yo/edit?usp=sharing"",""เชียงราย!J136"")"),0)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IFERROR(__xludf.DUMMYFUNCTION("IMPORTRANGE(""https://docs.google.com/spreadsheets/d/11923uPwbBZFjjGgGUA6NLw09EwE0CqkOc4q9oUmW1yo/edit?usp=sharing"",""เชียงราย!J137"")"),0)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IFERROR(__xludf.DUMMYFUNCTION("IMPORTRANGE(""https://docs.google.com/spreadsheets/d/11923uPwbBZFjjGgGUA6NLw09EwE0CqkOc4q9oUmW1yo/edit?usp=sharing"",""เชียงราย!I138"")"),0)</f>
        <v>0</v>
      </c>
      <c r="J213" s="213">
        <f ca="1">IFERROR(__xludf.DUMMYFUNCTION("IMPORTRANGE(""https://docs.google.com/spreadsheets/d/11923uPwbBZFjjGgGUA6NLw09EwE0CqkOc4q9oUmW1yo/edit?usp=sharing"",""เชียงราย!J138"")"),0)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IFERROR(__xludf.DUMMYFUNCTION("IMPORTRANGE(""https://docs.google.com/spreadsheets/d/11923uPwbBZFjjGgGUA6NLw09EwE0CqkOc4q9oUmW1yo/edit?usp=sharing"",""เชียงราย!I140"")"),0)</f>
        <v>0</v>
      </c>
      <c r="J215" s="213">
        <f ca="1">IFERROR(__xludf.DUMMYFUNCTION("IMPORTRANGE(""https://docs.google.com/spreadsheets/d/11923uPwbBZFjjGgGUA6NLw09EwE0CqkOc4q9oUmW1yo/edit?usp=sharing"",""เชียงราย!J140"")"),0)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IFERROR(__xludf.DUMMYFUNCTION("IMPORTRANGE(""https://docs.google.com/spreadsheets/d/11923uPwbBZFjjGgGUA6NLw09EwE0CqkOc4q9oUmW1yo/edit?usp=sharing"",""เชียงราย!I141"")"),0)</f>
        <v>0</v>
      </c>
      <c r="J216" s="213">
        <f ca="1">IFERROR(__xludf.DUMMYFUNCTION("IMPORTRANGE(""https://docs.google.com/spreadsheets/d/11923uPwbBZFjjGgGUA6NLw09EwE0CqkOc4q9oUmW1yo/edit?usp=sharing"",""เชียงราย!J141"")"),0)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IFERROR(__xludf.DUMMYFUNCTION("IMPORTRANGE(""https://docs.google.com/spreadsheets/d/11923uPwbBZFjjGgGUA6NLw09EwE0CqkOc4q9oUmW1yo/edit?usp=sharing"",""เชียงราย!J142"")"),0)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IFERROR(__xludf.DUMMYFUNCTION("IMPORTRANGE(""https://docs.google.com/spreadsheets/d/11923uPwbBZFjjGgGUA6NLw09EwE0CqkOc4q9oUmW1yo/edit?usp=sharing"",""เชียงราย!J143"")"),0)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IFERROR(__xludf.DUMMYFUNCTION("IMPORTRANGE(""https://docs.google.com/spreadsheets/d/11923uPwbBZFjjGgGUA6NLw09EwE0CqkOc4q9oUmW1yo/edit?usp=sharing"",""เชียงราย!I144"")"),14)</f>
        <v>14</v>
      </c>
      <c r="J219" s="276">
        <f ca="1">IFERROR(__xludf.DUMMYFUNCTION("IMPORTRANGE(""https://docs.google.com/spreadsheets/d/11923uPwbBZFjjGgGUA6NLw09EwE0CqkOc4q9oUmW1yo/edit?usp=sharing"",""เชียงราย!J144"")"),14)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19940</v>
      </c>
      <c r="O220" s="157">
        <f t="shared" ref="O220:O222" ca="1" si="73">IF(L220&gt;0,N220*100/L220,0)</f>
        <v>98.66402770905492</v>
      </c>
      <c r="P220" s="157">
        <f t="shared" ref="P220:P222" ca="1" si="74">IF(M220&gt;0,N220*100/M220,0)</f>
        <v>98.66402770905492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19940</v>
      </c>
      <c r="O222" s="162">
        <f t="shared" ca="1" si="73"/>
        <v>98.66402770905492</v>
      </c>
      <c r="P222" s="162">
        <f t="shared" ca="1" si="74"/>
        <v>98.66402770905492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IFERROR(__xludf.DUMMYFUNCTION("IMPORTRANGE(""https://docs.google.com/spreadsheets/d/1Yj_ptqi66GCucihVvJfMjLAmec39IyEx_6qawtMGysU/edit?usp=sharing"",""สบก!BS21"")"),20210)</f>
        <v>20210</v>
      </c>
      <c r="N224" s="177">
        <f ca="1">IFERROR(__xludf.DUMMYFUNCTION("IMPORTRANGE(""https://docs.google.com/spreadsheets/d/1Yj_ptqi66GCucihVvJfMjLAmec39IyEx_6qawtMGysU/edit?usp=sharing"",""สบก!BT21"")"),19940)</f>
        <v>19940</v>
      </c>
      <c r="O224" s="178">
        <f ca="1">IF(L224&gt;0,N224*100/L224,0)</f>
        <v>98.66402770905492</v>
      </c>
      <c r="P224" s="178">
        <f ca="1">IF(M224&gt;0,N224*100/M224,0)</f>
        <v>98.66402770905492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IFERROR(__xludf.DUMMYFUNCTION("IMPORTRANGE(""https://docs.google.com/spreadsheets/d/1Yj_ptqi66GCucihVvJfMjLAmec39IyEx_6qawtMGysU/edit?usp=sharing"",""สบก!BO21"")"),0)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IFERROR(__xludf.DUMMYFUNCTION("IMPORTRANGE(""https://docs.google.com/spreadsheets/d/1Yj_ptqi66GCucihVvJfMjLAmec39IyEx_6qawtMGysU/edit?usp=sharing"",""สบก!BP21"")"),20210)</f>
        <v>20210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IFERROR(__xludf.DUMMYFUNCTION("IMPORTRANGE(""https://docs.google.com/spreadsheets/d/1Yj_ptqi66GCucihVvJfMjLAmec39IyEx_6qawtMGysU/edit?usp=sharing"",""สบก!BQ21"")"),0)</f>
        <v>0</v>
      </c>
      <c r="M228" s="103"/>
      <c r="N228" s="93">
        <f ca="1">IFERROR(__xludf.DUMMYFUNCTION("IMPORTRANGE(""https://docs.google.com/spreadsheets/d/1Yj_ptqi66GCucihVvJfMjLAmec39IyEx_6qawtMGysU/edit?usp=sharing"",""สบก!BU21"")"),0)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IFERROR(__xludf.DUMMYFUNCTION("IMPORTRANGE(""https://docs.google.com/spreadsheets/d/11923uPwbBZFjjGgGUA6NLw09EwE0CqkOc4q9oUmW1yo/edit?usp=sharing"",""เชียงราย!I149"")"),14)</f>
        <v>14</v>
      </c>
      <c r="J229" s="276">
        <f ca="1">IFERROR(__xludf.DUMMYFUNCTION("IMPORTRANGE(""https://docs.google.com/spreadsheets/d/11923uPwbBZFjjGgGUA6NLw09EwE0CqkOc4q9oUmW1yo/edit?usp=sharing"",""เชียงราย!J149"")"),14)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IFERROR(__xludf.DUMMYFUNCTION("IMPORTRANGE(""https://docs.google.com/spreadsheets/d/11923uPwbBZFjjGgGUA6NLw09EwE0CqkOc4q9oUmW1yo/edit?usp=sharing"",""เชียงราย!J151"")"),0)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IFERROR(__xludf.DUMMYFUNCTION("IMPORTRANGE(""https://docs.google.com/spreadsheets/d/11923uPwbBZFjjGgGUA6NLw09EwE0CqkOc4q9oUmW1yo/edit?usp=sharing"",""เชียงราย!J152"")"),1)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IFERROR(__xludf.DUMMYFUNCTION("IMPORTRANGE(""https://docs.google.com/spreadsheets/d/11923uPwbBZFjjGgGUA6NLw09EwE0CqkOc4q9oUmW1yo/edit?usp=sharing"",""เชียงราย!J153"")"),1)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IFERROR(__xludf.DUMMYFUNCTION("IMPORTRANGE(""https://docs.google.com/spreadsheets/d/11923uPwbBZFjjGgGUA6NLw09EwE0CqkOc4q9oUmW1yo/edit?usp=sharing"",""เชียงราย!J154"")"),1)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IFERROR(__xludf.DUMMYFUNCTION("IMPORTRANGE(""https://docs.google.com/spreadsheets/d/11923uPwbBZFjjGgGUA6NLw09EwE0CqkOc4q9oUmW1yo/edit?usp=sharing"",""เชียงราย!I155"")"),14)</f>
        <v>14</v>
      </c>
      <c r="J235" s="198">
        <f ca="1">IFERROR(__xludf.DUMMYFUNCTION("IMPORTRANGE(""https://docs.google.com/spreadsheets/d/11923uPwbBZFjjGgGUA6NLw09EwE0CqkOc4q9oUmW1yo/edit?usp=sharing"",""เชียงราย!J155"")"),14)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IFERROR(__xludf.DUMMYFUNCTION("IMPORTRANGE(""https://docs.google.com/spreadsheets/d/11923uPwbBZFjjGgGUA6NLw09EwE0CqkOc4q9oUmW1yo/edit?usp=sharing"",""เชียงราย!J156"")"),0)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IFERROR(__xludf.DUMMYFUNCTION("IMPORTRANGE(""https://docs.google.com/spreadsheets/d/11923uPwbBZFjjGgGUA6NLw09EwE0CqkOc4q9oUmW1yo/edit?usp=sharing"",""เชียงราย!J157"")"),0)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IFERROR(__xludf.DUMMYFUNCTION("IMPORTRANGE(""https://docs.google.com/spreadsheets/d/11923uPwbBZFjjGgGUA6NLw09EwE0CqkOc4q9oUmW1yo/edit?usp=sharing"",""เชียงราย!I158"")"),0)</f>
        <v>0</v>
      </c>
      <c r="J238" s="276">
        <f ca="1">IFERROR(__xludf.DUMMYFUNCTION("IMPORTRANGE(""https://docs.google.com/spreadsheets/d/11923uPwbBZFjjGgGUA6NLw09EwE0CqkOc4q9oUmW1yo/edit?usp=sharing"",""เชียงราย!J158"")"),0)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IFERROR(__xludf.DUMMYFUNCTION("IMPORTRANGE(""https://docs.google.com/spreadsheets/d/11923uPwbBZFjjGgGUA6NLw09EwE0CqkOc4q9oUmW1yo/edit?usp=sharing"",""เชียงราย!J159"")"),"")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IFERROR(__xludf.DUMMYFUNCTION("IMPORTRANGE(""https://docs.google.com/spreadsheets/d/11923uPwbBZFjjGgGUA6NLw09EwE0CqkOc4q9oUmW1yo/edit?usp=sharing"",""เชียงราย!J161"")"),0)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IFERROR(__xludf.DUMMYFUNCTION("IMPORTRANGE(""https://docs.google.com/spreadsheets/d/11923uPwbBZFjjGgGUA6NLw09EwE0CqkOc4q9oUmW1yo/edit?usp=sharing"",""เชียงราย!J162"")"),0)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IFERROR(__xludf.DUMMYFUNCTION("IMPORTRANGE(""https://docs.google.com/spreadsheets/d/11923uPwbBZFjjGgGUA6NLw09EwE0CqkOc4q9oUmW1yo/edit?usp=sharing"",""เชียงราย!J163"")"),0)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IFERROR(__xludf.DUMMYFUNCTION("IMPORTRANGE(""https://docs.google.com/spreadsheets/d/11923uPwbBZFjjGgGUA6NLw09EwE0CqkOc4q9oUmW1yo/edit?usp=sharing"",""เชียงราย!I164"")"),0)</f>
        <v>0</v>
      </c>
      <c r="J244" s="197">
        <f ca="1">IFERROR(__xludf.DUMMYFUNCTION("IMPORTRANGE(""https://docs.google.com/spreadsheets/d/11923uPwbBZFjjGgGUA6NLw09EwE0CqkOc4q9oUmW1yo/edit?usp=sharing"",""เชียงราย!J164"")"),0)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IFERROR(__xludf.DUMMYFUNCTION("IMPORTRANGE(""https://docs.google.com/spreadsheets/d/11923uPwbBZFjjGgGUA6NLw09EwE0CqkOc4q9oUmW1yo/edit?usp=sharing"",""เชียงราย!J165"")"),0)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IFERROR(__xludf.DUMMYFUNCTION("IMPORTRANGE(""https://docs.google.com/spreadsheets/d/11923uPwbBZFjjGgGUA6NLw09EwE0CqkOc4q9oUmW1yo/edit?usp=sharing"",""เชียงราย!J166"")"),0)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IFERROR(__xludf.DUMMYFUNCTION("IMPORTRANGE(""https://docs.google.com/spreadsheets/d/11923uPwbBZFjjGgGUA6NLw09EwE0CqkOc4q9oUmW1yo/edit?usp=sharing"",""เชียงราย!I169"")"),20)</f>
        <v>20</v>
      </c>
      <c r="J249" s="324">
        <f ca="1">IFERROR(__xludf.DUMMYFUNCTION("IMPORTRANGE(""https://docs.google.com/spreadsheets/d/11923uPwbBZFjjGgGUA6NLw09EwE0CqkOc4q9oUmW1yo/edit?usp=sharing"",""เชียงราย!J169"")"),0)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12330</v>
      </c>
      <c r="O250" s="157">
        <f t="shared" ref="O250:O252" ca="1" si="78">IF(L250&gt;0,N250*100/L250,0)</f>
        <v>17.268907563025209</v>
      </c>
      <c r="P250" s="157">
        <f t="shared" ref="P250:P252" ca="1" si="79">IF(M250&gt;0,N250*100/M250,0)</f>
        <v>33.324324324324323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12330</v>
      </c>
      <c r="O252" s="162">
        <f t="shared" ca="1" si="78"/>
        <v>17.268907563025209</v>
      </c>
      <c r="P252" s="162">
        <f t="shared" ca="1" si="79"/>
        <v>33.324324324324323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IFERROR(__xludf.DUMMYFUNCTION("IMPORTRANGE(""https://docs.google.com/spreadsheets/d/1Yj_ptqi66GCucihVvJfMjLAmec39IyEx_6qawtMGysU/edit?usp=sharing"",""สบก!CB21"")"),37000)</f>
        <v>37000</v>
      </c>
      <c r="N254" s="177">
        <f ca="1">IFERROR(__xludf.DUMMYFUNCTION("IMPORTRANGE(""https://docs.google.com/spreadsheets/d/1Yj_ptqi66GCucihVvJfMjLAmec39IyEx_6qawtMGysU/edit?usp=sharing"",""สบก!CC21"")"),12330)</f>
        <v>12330</v>
      </c>
      <c r="O254" s="178">
        <f ca="1">IF(L254&gt;0,N254*100/L254,0)</f>
        <v>17.268907563025209</v>
      </c>
      <c r="P254" s="178">
        <f ca="1">IF(M254&gt;0,N254*100/M254,0)</f>
        <v>33.324324324324323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IFERROR(__xludf.DUMMYFUNCTION("IMPORTRANGE(""https://docs.google.com/spreadsheets/d/1Yj_ptqi66GCucihVvJfMjLAmec39IyEx_6qawtMGysU/edit?usp=sharing"",""สบก!BX21"")"),0)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IFERROR(__xludf.DUMMYFUNCTION("IMPORTRANGE(""https://docs.google.com/spreadsheets/d/1Yj_ptqi66GCucihVvJfMjLAmec39IyEx_6qawtMGysU/edit?usp=sharing"",""สบก!BY21"")"),71400)</f>
        <v>71400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IFERROR(__xludf.DUMMYFUNCTION("IMPORTRANGE(""https://docs.google.com/spreadsheets/d/1Yj_ptqi66GCucihVvJfMjLAmec39IyEx_6qawtMGysU/edit?usp=sharing"",""สบก!BZ21"")"),0)</f>
        <v>0</v>
      </c>
      <c r="M258" s="103"/>
      <c r="N258" s="93">
        <f ca="1">IFERROR(__xludf.DUMMYFUNCTION("IMPORTRANGE(""https://docs.google.com/spreadsheets/d/1Yj_ptqi66GCucihVvJfMjLAmec39IyEx_6qawtMGysU/edit?usp=sharing"",""สบก!CD21"")"),0)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IFERROR(__xludf.DUMMYFUNCTION("IMPORTRANGE(""https://docs.google.com/spreadsheets/d/11923uPwbBZFjjGgGUA6NLw09EwE0CqkOc4q9oUmW1yo/edit?usp=sharing"",""เชียงราย!J175"")"),0)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IFERROR(__xludf.DUMMYFUNCTION("IMPORTRANGE(""https://docs.google.com/spreadsheets/d/11923uPwbBZFjjGgGUA6NLw09EwE0CqkOc4q9oUmW1yo/edit?usp=sharing"",""เชียงราย!J176"")"),1)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IFERROR(__xludf.DUMMYFUNCTION("IMPORTRANGE(""https://docs.google.com/spreadsheets/d/11923uPwbBZFjjGgGUA6NLw09EwE0CqkOc4q9oUmW1yo/edit?usp=sharing"",""เชียงราย!J177"")"),1)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IFERROR(__xludf.DUMMYFUNCTION("IMPORTRANGE(""https://docs.google.com/spreadsheets/d/11923uPwbBZFjjGgGUA6NLw09EwE0CqkOc4q9oUmW1yo/edit?usp=sharing"",""เชียงราย!J178"")"),1)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IFERROR(__xludf.DUMMYFUNCTION("IMPORTRANGE(""https://docs.google.com/spreadsheets/d/11923uPwbBZFjjGgGUA6NLw09EwE0CqkOc4q9oUmW1yo/edit?usp=sharing"",""เชียงราย!I179"")"),1)</f>
        <v>1</v>
      </c>
      <c r="J264" s="198">
        <f ca="1">IFERROR(__xludf.DUMMYFUNCTION("IMPORTRANGE(""https://docs.google.com/spreadsheets/d/11923uPwbBZFjjGgGUA6NLw09EwE0CqkOc4q9oUmW1yo/edit?usp=sharing"",""เชียงราย!J179"")"),1)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IFERROR(__xludf.DUMMYFUNCTION("IMPORTRANGE(""https://docs.google.com/spreadsheets/d/11923uPwbBZFjjGgGUA6NLw09EwE0CqkOc4q9oUmW1yo/edit?usp=sharing"",""เชียงราย!I180"")"),20)</f>
        <v>20</v>
      </c>
      <c r="J265" s="198">
        <f ca="1">IFERROR(__xludf.DUMMYFUNCTION("IMPORTRANGE(""https://docs.google.com/spreadsheets/d/11923uPwbBZFjjGgGUA6NLw09EwE0CqkOc4q9oUmW1yo/edit?usp=sharing"",""เชียงราย!J180"")"),0)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IFERROR(__xludf.DUMMYFUNCTION("IMPORTRANGE(""https://docs.google.com/spreadsheets/d/11923uPwbBZFjjGgGUA6NLw09EwE0CqkOc4q9oUmW1yo/edit?usp=sharing"",""เชียงราย!I181"")"),20)</f>
        <v>20</v>
      </c>
      <c r="J266" s="198">
        <f ca="1">IFERROR(__xludf.DUMMYFUNCTION("IMPORTRANGE(""https://docs.google.com/spreadsheets/d/11923uPwbBZFjjGgGUA6NLw09EwE0CqkOc4q9oUmW1yo/edit?usp=sharing"",""เชียงราย!J181"")"),0)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IFERROR(__xludf.DUMMYFUNCTION("IMPORTRANGE(""https://docs.google.com/spreadsheets/d/11923uPwbBZFjjGgGUA6NLw09EwE0CqkOc4q9oUmW1yo/edit?usp=sharing"",""เชียงราย!I182"")"),1)</f>
        <v>1</v>
      </c>
      <c r="J267" s="198">
        <f ca="1">IFERROR(__xludf.DUMMYFUNCTION("IMPORTRANGE(""https://docs.google.com/spreadsheets/d/11923uPwbBZFjjGgGUA6NLw09EwE0CqkOc4q9oUmW1yo/edit?usp=sharing"",""เชียงราย!J182"")"),0)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IFERROR(__xludf.DUMMYFUNCTION("IMPORTRANGE(""https://docs.google.com/spreadsheets/d/11923uPwbBZFjjGgGUA6NLw09EwE0CqkOc4q9oUmW1yo/edit?usp=sharing"",""เชียงราย!J183"")"),0)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IFERROR(__xludf.DUMMYFUNCTION("IMPORTRANGE(""https://docs.google.com/spreadsheets/d/11923uPwbBZFjjGgGUA6NLw09EwE0CqkOc4q9oUmW1yo/edit?usp=sharing"",""เชียงราย!J184"")"),0)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IFERROR(__xludf.DUMMYFUNCTION("IMPORTRANGE(""https://docs.google.com/spreadsheets/d/11923uPwbBZFjjGgGUA6NLw09EwE0CqkOc4q9oUmW1yo/edit?usp=sharing"",""เชียงราย!I185"")"),15)</f>
        <v>15</v>
      </c>
      <c r="J270" s="324">
        <f ca="1">IFERROR(__xludf.DUMMYFUNCTION("IMPORTRANGE(""https://docs.google.com/spreadsheets/d/11923uPwbBZFjjGgGUA6NLw09EwE0CqkOc4q9oUmW1yo/edit?usp=sharing"",""เชียงราย!J185"")"),15)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105700</v>
      </c>
      <c r="M271" s="158">
        <f t="shared" ca="1" si="83"/>
        <v>80000</v>
      </c>
      <c r="N271" s="158">
        <f t="shared" ca="1" si="83"/>
        <v>43525</v>
      </c>
      <c r="O271" s="157">
        <f t="shared" ref="O271:O273" ca="1" si="84">IF(L271&gt;0,N271*100/L271,0)</f>
        <v>41.177861873226114</v>
      </c>
      <c r="P271" s="157">
        <f t="shared" ref="P271:P273" ca="1" si="85">IF(M271&gt;0,N271*100/M271,0)</f>
        <v>54.40625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105700</v>
      </c>
      <c r="M273" s="163">
        <f t="shared" ca="1" si="87"/>
        <v>80000</v>
      </c>
      <c r="N273" s="163">
        <f t="shared" ca="1" si="87"/>
        <v>43525</v>
      </c>
      <c r="O273" s="162">
        <f t="shared" ca="1" si="84"/>
        <v>41.177861873226114</v>
      </c>
      <c r="P273" s="162">
        <f t="shared" ca="1" si="85"/>
        <v>54.40625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105700</v>
      </c>
      <c r="M275" s="176">
        <f ca="1">IFERROR(__xludf.DUMMYFUNCTION("IMPORTRANGE(""https://docs.google.com/spreadsheets/d/1Yj_ptqi66GCucihVvJfMjLAmec39IyEx_6qawtMGysU/edit?usp=sharing"",""สบก!CK21"")"),80000)</f>
        <v>80000</v>
      </c>
      <c r="N275" s="177">
        <f ca="1">IFERROR(__xludf.DUMMYFUNCTION("IMPORTRANGE(""https://docs.google.com/spreadsheets/d/1Yj_ptqi66GCucihVvJfMjLAmec39IyEx_6qawtMGysU/edit?usp=sharing"",""สบก!CL21"")"),43525)</f>
        <v>43525</v>
      </c>
      <c r="O275" s="178">
        <f ca="1">IF(L275&gt;0,N275*100/L275,0)</f>
        <v>41.177861873226114</v>
      </c>
      <c r="P275" s="178">
        <f ca="1">IF(M275&gt;0,N275*100/M275,0)</f>
        <v>54.40625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IFERROR(__xludf.DUMMYFUNCTION("IMPORTRANGE(""https://docs.google.com/spreadsheets/d/1Yj_ptqi66GCucihVvJfMjLAmec39IyEx_6qawtMGysU/edit?usp=sharing"",""สบก!CG21"")"),0)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IFERROR(__xludf.DUMMYFUNCTION("IMPORTRANGE(""https://docs.google.com/spreadsheets/d/1Yj_ptqi66GCucihVvJfMjLAmec39IyEx_6qawtMGysU/edit?usp=sharing"",""สบก!CH21"")"),105700)</f>
        <v>105700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IFERROR(__xludf.DUMMYFUNCTION("IMPORTRANGE(""https://docs.google.com/spreadsheets/d/1Yj_ptqi66GCucihVvJfMjLAmec39IyEx_6qawtMGysU/edit?usp=sharing"",""สบก!CI21"")"),0)</f>
        <v>0</v>
      </c>
      <c r="M279" s="103"/>
      <c r="N279" s="93">
        <f ca="1">IFERROR(__xludf.DUMMYFUNCTION("IMPORTRANGE(""https://docs.google.com/spreadsheets/d/1Yj_ptqi66GCucihVvJfMjLAmec39IyEx_6qawtMGysU/edit?usp=sharing"",""สบก!CM21"")"),0)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IFERROR(__xludf.DUMMYFUNCTION("IMPORTRANGE(""https://docs.google.com/spreadsheets/d/11923uPwbBZFjjGgGUA6NLw09EwE0CqkOc4q9oUmW1yo/edit?usp=sharing"",""เชียงราย!J191"")"),0)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IFERROR(__xludf.DUMMYFUNCTION("IMPORTRANGE(""https://docs.google.com/spreadsheets/d/11923uPwbBZFjjGgGUA6NLw09EwE0CqkOc4q9oUmW1yo/edit?usp=sharing"",""เชียงราย!J192"")"),1)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IFERROR(__xludf.DUMMYFUNCTION("IMPORTRANGE(""https://docs.google.com/spreadsheets/d/11923uPwbBZFjjGgGUA6NLw09EwE0CqkOc4q9oUmW1yo/edit?usp=sharing"",""เชียงราย!J193"")"),1)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IFERROR(__xludf.DUMMYFUNCTION("IMPORTRANGE(""https://docs.google.com/spreadsheets/d/11923uPwbBZFjjGgGUA6NLw09EwE0CqkOc4q9oUmW1yo/edit?usp=sharing"",""เชียงราย!J194"")"),1)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IFERROR(__xludf.DUMMYFUNCTION("IMPORTRANGE(""https://docs.google.com/spreadsheets/d/11923uPwbBZFjjGgGUA6NLw09EwE0CqkOc4q9oUmW1yo/edit?usp=sharing"",""เชียงราย!I195"")"),15)</f>
        <v>15</v>
      </c>
      <c r="J285" s="198">
        <f ca="1">IFERROR(__xludf.DUMMYFUNCTION("IMPORTRANGE(""https://docs.google.com/spreadsheets/d/11923uPwbBZFjjGgGUA6NLw09EwE0CqkOc4q9oUmW1yo/edit?usp=sharing"",""เชียงราย!J195"")"),15)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IFERROR(__xludf.DUMMYFUNCTION("IMPORTRANGE(""https://docs.google.com/spreadsheets/d/11923uPwbBZFjjGgGUA6NLw09EwE0CqkOc4q9oUmW1yo/edit?usp=sharing"",""เชียงราย!J196"")"),0)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IFERROR(__xludf.DUMMYFUNCTION("IMPORTRANGE(""https://docs.google.com/spreadsheets/d/11923uPwbBZFjjGgGUA6NLw09EwE0CqkOc4q9oUmW1yo/edit?usp=sharing"",""เชียงราย!J197"")"),0)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IFERROR(__xludf.DUMMYFUNCTION("IMPORTRANGE(""https://docs.google.com/spreadsheets/d/11923uPwbBZFjjGgGUA6NLw09EwE0CqkOc4q9oUmW1yo/edit?usp=sharing"",""เชียงราย!I199"")"),0)</f>
        <v>0</v>
      </c>
      <c r="J289" s="324">
        <f ca="1">IFERROR(__xludf.DUMMYFUNCTION("IMPORTRANGE(""https://docs.google.com/spreadsheets/d/11923uPwbBZFjjGgGUA6NLw09EwE0CqkOc4q9oUmW1yo/edit?usp=sharing"",""เชียงราย!J199"")"),0)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IFERROR(__xludf.DUMMYFUNCTION("IMPORTRANGE(""https://docs.google.com/spreadsheets/d/1Yj_ptqi66GCucihVvJfMjLAmec39IyEx_6qawtMGysU/edit?usp=sharing"",""สบก!CT21"")"),0)</f>
        <v>0</v>
      </c>
      <c r="N294" s="177">
        <f ca="1">IFERROR(__xludf.DUMMYFUNCTION("IMPORTRANGE(""https://docs.google.com/spreadsheets/d/1Yj_ptqi66GCucihVvJfMjLAmec39IyEx_6qawtMGysU/edit?usp=sharing"",""สบก!CU21"")"),0)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IFERROR(__xludf.DUMMYFUNCTION("IMPORTRANGE(""https://docs.google.com/spreadsheets/d/1Yj_ptqi66GCucihVvJfMjLAmec39IyEx_6qawtMGysU/edit?usp=sharing"",""สบก!CP21"")"),0)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IFERROR(__xludf.DUMMYFUNCTION("IMPORTRANGE(""https://docs.google.com/spreadsheets/d/1Yj_ptqi66GCucihVvJfMjLAmec39IyEx_6qawtMGysU/edit?usp=sharing"",""สบก!CQ21"")"),0)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IFERROR(__xludf.DUMMYFUNCTION("IMPORTRANGE(""https://docs.google.com/spreadsheets/d/1Yj_ptqi66GCucihVvJfMjLAmec39IyEx_6qawtMGysU/edit?usp=sharing"",""สบก!CR21"")"),0)</f>
        <v>0</v>
      </c>
      <c r="M298" s="103"/>
      <c r="N298" s="93">
        <f ca="1">IFERROR(__xludf.DUMMYFUNCTION("IMPORTRANGE(""https://docs.google.com/spreadsheets/d/1Yj_ptqi66GCucihVvJfMjLAmec39IyEx_6qawtMGysU/edit?usp=sharing"",""สบก!CV21"")"),0)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IFERROR(__xludf.DUMMYFUNCTION("IMPORTRANGE(""https://docs.google.com/spreadsheets/d/11923uPwbBZFjjGgGUA6NLw09EwE0CqkOc4q9oUmW1yo/edit?usp=sharing"",""เชียงราย!J205"")"),0)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IFERROR(__xludf.DUMMYFUNCTION("IMPORTRANGE(""https://docs.google.com/spreadsheets/d/11923uPwbBZFjjGgGUA6NLw09EwE0CqkOc4q9oUmW1yo/edit?usp=sharing"",""เชียงราย!J206"")"),0)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IFERROR(__xludf.DUMMYFUNCTION("IMPORTRANGE(""https://docs.google.com/spreadsheets/d/11923uPwbBZFjjGgGUA6NLw09EwE0CqkOc4q9oUmW1yo/edit?usp=sharing"",""เชียงราย!J207"")"),0)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IFERROR(__xludf.DUMMYFUNCTION("IMPORTRANGE(""https://docs.google.com/spreadsheets/d/11923uPwbBZFjjGgGUA6NLw09EwE0CqkOc4q9oUmW1yo/edit?usp=sharing"",""เชียงราย!J208"")"),0)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IFERROR(__xludf.DUMMYFUNCTION("IMPORTRANGE(""https://docs.google.com/spreadsheets/d/11923uPwbBZFjjGgGUA6NLw09EwE0CqkOc4q9oUmW1yo/edit?usp=sharing"",""เชียงราย!I209"")"),0)</f>
        <v>0</v>
      </c>
      <c r="J304" s="213">
        <f ca="1">IFERROR(__xludf.DUMMYFUNCTION("IMPORTRANGE(""https://docs.google.com/spreadsheets/d/11923uPwbBZFjjGgGUA6NLw09EwE0CqkOc4q9oUmW1yo/edit?usp=sharing"",""เชียงราย!J209"")"),0)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IFERROR(__xludf.DUMMYFUNCTION("IMPORTRANGE(""https://docs.google.com/spreadsheets/d/11923uPwbBZFjjGgGUA6NLw09EwE0CqkOc4q9oUmW1yo/edit?usp=sharing"",""เชียงราย!I211"")"),0)</f>
        <v>0</v>
      </c>
      <c r="J306" s="213">
        <f ca="1">IFERROR(__xludf.DUMMYFUNCTION("IMPORTRANGE(""https://docs.google.com/spreadsheets/d/11923uPwbBZFjjGgGUA6NLw09EwE0CqkOc4q9oUmW1yo/edit?usp=sharing"",""เชียงราย!J211"")"),0)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IFERROR(__xludf.DUMMYFUNCTION("IMPORTRANGE(""https://docs.google.com/spreadsheets/d/11923uPwbBZFjjGgGUA6NLw09EwE0CqkOc4q9oUmW1yo/edit?usp=sharing"",""เชียงราย!J212"")"),0)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IFERROR(__xludf.DUMMYFUNCTION("IMPORTRANGE(""https://docs.google.com/spreadsheets/d/11923uPwbBZFjjGgGUA6NLw09EwE0CqkOc4q9oUmW1yo/edit?usp=sharing"",""เชียงราย!J213"")"),0)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IFERROR(__xludf.DUMMYFUNCTION("IMPORTRANGE(""https://docs.google.com/spreadsheets/d/11923uPwbBZFjjGgGUA6NLw09EwE0CqkOc4q9oUmW1yo/edit?usp=sharing"",""เชียงราย!I214"")"),0)</f>
        <v>0</v>
      </c>
      <c r="J309" s="341">
        <f ca="1">IFERROR(__xludf.DUMMYFUNCTION("IMPORTRANGE(""https://docs.google.com/spreadsheets/d/11923uPwbBZFjjGgGUA6NLw09EwE0CqkOc4q9oUmW1yo/edit?usp=sharing"",""เชียงราย!J214"")"),0)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IFERROR(__xludf.DUMMYFUNCTION("IMPORTRANGE(""https://docs.google.com/spreadsheets/d/1Yj_ptqi66GCucihVvJfMjLAmec39IyEx_6qawtMGysU/edit?usp=sharing"",""สบก!DC21"")"),0)</f>
        <v>0</v>
      </c>
      <c r="N314" s="177">
        <f ca="1">IFERROR(__xludf.DUMMYFUNCTION("IMPORTRANGE(""https://docs.google.com/spreadsheets/d/1Yj_ptqi66GCucihVvJfMjLAmec39IyEx_6qawtMGysU/edit?usp=sharing"",""สบก!DD21"")"),0)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IFERROR(__xludf.DUMMYFUNCTION("IMPORTRANGE(""https://docs.google.com/spreadsheets/d/1Yj_ptqi66GCucihVvJfMjLAmec39IyEx_6qawtMGysU/edit?usp=sharing"",""สบก!CY21"")"),0)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IFERROR(__xludf.DUMMYFUNCTION("IMPORTRANGE(""https://docs.google.com/spreadsheets/d/1Yj_ptqi66GCucihVvJfMjLAmec39IyEx_6qawtMGysU/edit?usp=sharing"",""สบก!CZ21"")"),0)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IFERROR(__xludf.DUMMYFUNCTION("IMPORTRANGE(""https://docs.google.com/spreadsheets/d/1Yj_ptqi66GCucihVvJfMjLAmec39IyEx_6qawtMGysU/edit?usp=sharing"",""สบก!DA21"")"),0)</f>
        <v>0</v>
      </c>
      <c r="M318" s="103"/>
      <c r="N318" s="93">
        <f ca="1">IFERROR(__xludf.DUMMYFUNCTION("IMPORTRANGE(""https://docs.google.com/spreadsheets/d/1Yj_ptqi66GCucihVvJfMjLAmec39IyEx_6qawtMGysU/edit?usp=sharing"",""สบก!DE21"")"),0)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IFERROR(__xludf.DUMMYFUNCTION("IMPORTRANGE(""https://docs.google.com/spreadsheets/d/11923uPwbBZFjjGgGUA6NLw09EwE0CqkOc4q9oUmW1yo/edit?usp=sharing"",""เชียงราย!J220"")"),0)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IFERROR(__xludf.DUMMYFUNCTION("IMPORTRANGE(""https://docs.google.com/spreadsheets/d/11923uPwbBZFjjGgGUA6NLw09EwE0CqkOc4q9oUmW1yo/edit?usp=sharing"",""เชียงราย!J221"")"),0)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IFERROR(__xludf.DUMMYFUNCTION("IMPORTRANGE(""https://docs.google.com/spreadsheets/d/11923uPwbBZFjjGgGUA6NLw09EwE0CqkOc4q9oUmW1yo/edit?usp=sharing"",""เชียงราย!J222"")"),0)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IFERROR(__xludf.DUMMYFUNCTION("IMPORTRANGE(""https://docs.google.com/spreadsheets/d/11923uPwbBZFjjGgGUA6NLw09EwE0CqkOc4q9oUmW1yo/edit?usp=sharing"",""เชียงราย!J223"")"),0)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IFERROR(__xludf.DUMMYFUNCTION("IMPORTRANGE(""https://docs.google.com/spreadsheets/d/11923uPwbBZFjjGgGUA6NLw09EwE0CqkOc4q9oUmW1yo/edit?usp=sharing"",""เชียงราย!I224"")"),0)</f>
        <v>0</v>
      </c>
      <c r="J324" s="213">
        <f ca="1">IFERROR(__xludf.DUMMYFUNCTION("IMPORTRANGE(""https://docs.google.com/spreadsheets/d/11923uPwbBZFjjGgGUA6NLw09EwE0CqkOc4q9oUmW1yo/edit?usp=sharing"",""เชียงราย!J224"")"),0)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IFERROR(__xludf.DUMMYFUNCTION("IMPORTRANGE(""https://docs.google.com/spreadsheets/d/11923uPwbBZFjjGgGUA6NLw09EwE0CqkOc4q9oUmW1yo/edit?usp=sharing"",""เชียงราย!J225"")"),0)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IFERROR(__xludf.DUMMYFUNCTION("IMPORTRANGE(""https://docs.google.com/spreadsheets/d/11923uPwbBZFjjGgGUA6NLw09EwE0CqkOc4q9oUmW1yo/edit?usp=sharing"",""เชียงราย!J226"")"),0)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IFERROR(__xludf.DUMMYFUNCTION("IMPORTRANGE(""https://docs.google.com/spreadsheets/d/11923uPwbBZFjjGgGUA6NLw09EwE0CqkOc4q9oUmW1yo/edit?usp=sharing"",""เชียงราย!I228"")"),680)</f>
        <v>680</v>
      </c>
      <c r="J328" s="347">
        <f ca="1">IFERROR(__xludf.DUMMYFUNCTION("IMPORTRANGE(""https://docs.google.com/spreadsheets/d/11923uPwbBZFjjGgGUA6NLw09EwE0CqkOc4q9oUmW1yo/edit?usp=sharing"",""เชียงราย!J228"")"),37)</f>
        <v>37</v>
      </c>
      <c r="K328" s="325">
        <f ca="1">IF(I328&gt;0,J328*100/I328,0)</f>
        <v>5.4411764705882355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1538870</v>
      </c>
      <c r="M329" s="158">
        <f t="shared" ca="1" si="98"/>
        <v>830640</v>
      </c>
      <c r="N329" s="158">
        <f t="shared" ca="1" si="98"/>
        <v>507799</v>
      </c>
      <c r="O329" s="157">
        <f t="shared" ref="O329:O331" ca="1" si="99">IF(L329&gt;0,N329*100/L329,0)</f>
        <v>32.998173984807032</v>
      </c>
      <c r="P329" s="157">
        <f t="shared" ref="P329:P331" ca="1" si="100">IF(M329&gt;0,N329*100/M329,0)</f>
        <v>61.133463353558703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1538870</v>
      </c>
      <c r="M331" s="163">
        <f t="shared" ca="1" si="102"/>
        <v>830640</v>
      </c>
      <c r="N331" s="163">
        <f t="shared" ca="1" si="102"/>
        <v>507799</v>
      </c>
      <c r="O331" s="162">
        <f t="shared" ca="1" si="99"/>
        <v>32.998173984807032</v>
      </c>
      <c r="P331" s="162">
        <f t="shared" ca="1" si="100"/>
        <v>61.133463353558703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1538870</v>
      </c>
      <c r="M333" s="176">
        <f ca="1">IFERROR(__xludf.DUMMYFUNCTION("IMPORTRANGE(""https://docs.google.com/spreadsheets/d/1Yj_ptqi66GCucihVvJfMjLAmec39IyEx_6qawtMGysU/edit?usp=sharing"",""สบก!DL21"")"),830640)</f>
        <v>830640</v>
      </c>
      <c r="N333" s="177">
        <f ca="1">IFERROR(__xludf.DUMMYFUNCTION("IMPORTRANGE(""https://docs.google.com/spreadsheets/d/1Yj_ptqi66GCucihVvJfMjLAmec39IyEx_6qawtMGysU/edit?usp=sharing"",""สบก!DM21"")"),507799)</f>
        <v>507799</v>
      </c>
      <c r="O333" s="178">
        <f ca="1">IF(L333&gt;0,N333*100/L333,0)</f>
        <v>32.998173984807032</v>
      </c>
      <c r="P333" s="178">
        <f ca="1">IF(M333&gt;0,N333*100/M333,0)</f>
        <v>61.133463353558703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IFERROR(__xludf.DUMMYFUNCTION("IMPORTRANGE(""https://docs.google.com/spreadsheets/d/1Yj_ptqi66GCucihVvJfMjLAmec39IyEx_6qawtMGysU/edit?usp=sharing"",""สบก!DH21"")"),831600)</f>
        <v>831600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IFERROR(__xludf.DUMMYFUNCTION("IMPORTRANGE(""https://docs.google.com/spreadsheets/d/1Yj_ptqi66GCucihVvJfMjLAmec39IyEx_6qawtMGysU/edit?usp=sharing"",""สบก!DI21"")"),707270)</f>
        <v>707270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IFERROR(__xludf.DUMMYFUNCTION("IMPORTRANGE(""https://docs.google.com/spreadsheets/d/1Yj_ptqi66GCucihVvJfMjLAmec39IyEx_6qawtMGysU/edit?usp=sharing"",""สบก!DJ21"")"),0)</f>
        <v>0</v>
      </c>
      <c r="M337" s="103"/>
      <c r="N337" s="93">
        <f ca="1">IFERROR(__xludf.DUMMYFUNCTION("IMPORTRANGE(""https://docs.google.com/spreadsheets/d/1Yj_ptqi66GCucihVvJfMjLAmec39IyEx_6qawtMGysU/edit?usp=sharing"",""สบก!DN21"")"),0)</f>
        <v>0</v>
      </c>
      <c r="O337" s="103">
        <f ca="1">IF(L337&gt;0,N337*100/L337,0)</f>
        <v>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IFERROR(__xludf.DUMMYFUNCTION("IMPORTRANGE(""https://docs.google.com/spreadsheets/d/11923uPwbBZFjjGgGUA6NLw09EwE0CqkOc4q9oUmW1yo/edit?usp=sharing"",""เชียงราย!I234"")"),0)</f>
        <v>0</v>
      </c>
      <c r="J339" s="197">
        <f ca="1">IFERROR(__xludf.DUMMYFUNCTION("IMPORTRANGE(""https://docs.google.com/spreadsheets/d/11923uPwbBZFjjGgGUA6NLw09EwE0CqkOc4q9oUmW1yo/edit?usp=sharing"",""เชียงราย!J234"")"),89)</f>
        <v>89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IFERROR(__xludf.DUMMYFUNCTION("IMPORTRANGE(""https://docs.google.com/spreadsheets/d/11923uPwbBZFjjGgGUA6NLw09EwE0CqkOc4q9oUmW1yo/edit?usp=sharing"",""เชียงราย!I235"")"),3400)</f>
        <v>3400</v>
      </c>
      <c r="J340" s="197">
        <f ca="1">IFERROR(__xludf.DUMMYFUNCTION("IMPORTRANGE(""https://docs.google.com/spreadsheets/d/11923uPwbBZFjjGgGUA6NLw09EwE0CqkOc4q9oUmW1yo/edit?usp=sharing"",""เชียงราย!J235"")"),736.19)</f>
        <v>736.19</v>
      </c>
      <c r="K340" s="350">
        <f t="shared" ca="1" si="103"/>
        <v>21.652647058823529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IFERROR(__xludf.DUMMYFUNCTION("IMPORTRANGE(""https://docs.google.com/spreadsheets/d/11923uPwbBZFjjGgGUA6NLw09EwE0CqkOc4q9oUmW1yo/edit?usp=sharing"",""เชียงราย!I236"")"),680)</f>
        <v>680</v>
      </c>
      <c r="J341" s="197">
        <f ca="1">IFERROR(__xludf.DUMMYFUNCTION("IMPORTRANGE(""https://docs.google.com/spreadsheets/d/11923uPwbBZFjjGgGUA6NLw09EwE0CqkOc4q9oUmW1yo/edit?usp=sharing"",""เชียงราย!J236"")"),116)</f>
        <v>116</v>
      </c>
      <c r="K341" s="350">
        <f t="shared" ca="1" si="103"/>
        <v>17.058823529411764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IFERROR(__xludf.DUMMYFUNCTION("IMPORTRANGE(""https://docs.google.com/spreadsheets/d/11923uPwbBZFjjGgGUA6NLw09EwE0CqkOc4q9oUmW1yo/edit?usp=sharing"",""เชียงราย!I237"")"),0)</f>
        <v>0</v>
      </c>
      <c r="J342" s="197">
        <f ca="1">IFERROR(__xludf.DUMMYFUNCTION("IMPORTRANGE(""https://docs.google.com/spreadsheets/d/11923uPwbBZFjjGgGUA6NLw09EwE0CqkOc4q9oUmW1yo/edit?usp=sharing"",""เชียงราย!J237"")"),969.93)</f>
        <v>969.93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IFERROR(__xludf.DUMMYFUNCTION("IMPORTRANGE(""https://docs.google.com/spreadsheets/d/11923uPwbBZFjjGgGUA6NLw09EwE0CqkOc4q9oUmW1yo/edit?usp=sharing"",""เชียงราย!I238"")"),680)</f>
        <v>680</v>
      </c>
      <c r="J343" s="197">
        <f ca="1">IFERROR(__xludf.DUMMYFUNCTION("IMPORTRANGE(""https://docs.google.com/spreadsheets/d/11923uPwbBZFjjGgGUA6NLw09EwE0CqkOc4q9oUmW1yo/edit?usp=sharing"",""เชียงราย!J238"")"),1)</f>
        <v>1</v>
      </c>
      <c r="K343" s="350">
        <f t="shared" ca="1" si="103"/>
        <v>0.14705882352941177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IFERROR(__xludf.DUMMYFUNCTION("IMPORTRANGE(""https://docs.google.com/spreadsheets/d/11923uPwbBZFjjGgGUA6NLw09EwE0CqkOc4q9oUmW1yo/edit?usp=sharing"",""เชียงราย!I239"")"),0)</f>
        <v>0</v>
      </c>
      <c r="J344" s="197">
        <f ca="1">IFERROR(__xludf.DUMMYFUNCTION("IMPORTRANGE(""https://docs.google.com/spreadsheets/d/11923uPwbBZFjjGgGUA6NLw09EwE0CqkOc4q9oUmW1yo/edit?usp=sharing"",""เชียงราย!J239"")"),2.4)</f>
        <v>2.4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IFERROR(__xludf.DUMMYFUNCTION("IMPORTRANGE(""https://docs.google.com/spreadsheets/d/11923uPwbBZFjjGgGUA6NLw09EwE0CqkOc4q9oUmW1yo/edit?usp=sharing"",""เชียงราย!I240"")"),680)</f>
        <v>680</v>
      </c>
      <c r="J345" s="197">
        <f ca="1">IFERROR(__xludf.DUMMYFUNCTION("IMPORTRANGE(""https://docs.google.com/spreadsheets/d/11923uPwbBZFjjGgGUA6NLw09EwE0CqkOc4q9oUmW1yo/edit?usp=sharing"",""เชียงราย!J240"")"),37)</f>
        <v>37</v>
      </c>
      <c r="K345" s="350">
        <f t="shared" ca="1" si="103"/>
        <v>5.4411764705882355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IFERROR(__xludf.DUMMYFUNCTION("IMPORTRANGE(""https://docs.google.com/spreadsheets/d/11923uPwbBZFjjGgGUA6NLw09EwE0CqkOc4q9oUmW1yo/edit?usp=sharing"",""เชียงราย!I241"")"),0)</f>
        <v>0</v>
      </c>
      <c r="J346" s="197">
        <f ca="1">IFERROR(__xludf.DUMMYFUNCTION("IMPORTRANGE(""https://docs.google.com/spreadsheets/d/11923uPwbBZFjjGgGUA6NLw09EwE0CqkOc4q9oUmW1yo/edit?usp=sharing"",""เชียงราย!J241"")"),361.51)</f>
        <v>361.51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IFERROR(__xludf.DUMMYFUNCTION("IMPORTRANGE(""https://docs.google.com/spreadsheets/d/11923uPwbBZFjjGgGUA6NLw09EwE0CqkOc4q9oUmW1yo/edit?usp=sharing"",""เชียงราย!L242"")"),2434919)</f>
        <v>2434919</v>
      </c>
      <c r="M347" s="366"/>
      <c r="N347" s="366">
        <f ca="1">IFERROR(__xludf.DUMMYFUNCTION("IMPORTRANGE(""https://docs.google.com/spreadsheets/d/11923uPwbBZFjjGgGUA6NLw09EwE0CqkOc4q9oUmW1yo/edit?usp=sharing"",""เชียงราย!M242"")"),227630)</f>
        <v>227630</v>
      </c>
      <c r="O347" s="366">
        <f ca="1">+IF(L347&gt;0,N347*100/L347,0)</f>
        <v>9.3485655991020646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IFERROR(__xludf.DUMMYFUNCTION("IMPORTRANGE(""https://docs.google.com/spreadsheets/d/11923uPwbBZFjjGgGUA6NLw09EwE0CqkOc4q9oUmW1yo/edit?usp=sharing"",""เชียงราย!I244"")"),200)</f>
        <v>200</v>
      </c>
      <c r="J349" s="379">
        <f ca="1">IFERROR(__xludf.DUMMYFUNCTION("IMPORTRANGE(""https://docs.google.com/spreadsheets/d/11923uPwbBZFjjGgGUA6NLw09EwE0CqkOc4q9oUmW1yo/edit?usp=sharing"",""เชียงราย!J244"")"),0)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IFERROR(__xludf.DUMMYFUNCTION("IMPORTRANGE(""https://docs.google.com/spreadsheets/d/11923uPwbBZFjjGgGUA6NLw09EwE0CqkOc4q9oUmW1yo/edit?usp=sharing"",""เชียงราย!L244"")"),532200)</f>
        <v>532200</v>
      </c>
      <c r="M349" s="381"/>
      <c r="N349" s="381">
        <f ca="1">IFERROR(__xludf.DUMMYFUNCTION("IMPORTRANGE(""https://docs.google.com/spreadsheets/d/11923uPwbBZFjjGgGUA6NLw09EwE0CqkOc4q9oUmW1yo/edit?usp=sharing"",""เชียงราย!M244"")"),32500)</f>
        <v>32500</v>
      </c>
      <c r="O349" s="381">
        <f ca="1">+IF(L349&gt;0,N349*100/L349,0)</f>
        <v>6.1067267944381811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IFERROR(__xludf.DUMMYFUNCTION("IMPORTRANGE(""https://docs.google.com/spreadsheets/d/11923uPwbBZFjjGgGUA6NLw09EwE0CqkOc4q9oUmW1yo/edit?usp=sharing"",""เชียงราย!I245"")"),100)</f>
        <v>100</v>
      </c>
      <c r="J350" s="379">
        <f ca="1">IFERROR(__xludf.DUMMYFUNCTION("IMPORTRANGE(""https://docs.google.com/spreadsheets/d/11923uPwbBZFjjGgGUA6NLw09EwE0CqkOc4q9oUmW1yo/edit?usp=sharing"",""เชียงราย!J245"")"),0)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IFERROR(__xludf.DUMMYFUNCTION("IMPORTRANGE(""https://docs.google.com/spreadsheets/d/11923uPwbBZFjjGgGUA6NLw09EwE0CqkOc4q9oUmW1yo/edit?usp=sharing"",""เชียงราย!L246"")"),0)</f>
        <v>0</v>
      </c>
      <c r="M351" s="172"/>
      <c r="N351" s="172">
        <f ca="1">IFERROR(__xludf.DUMMYFUNCTION("IMPORTRANGE(""https://docs.google.com/spreadsheets/d/11923uPwbBZFjjGgGUA6NLw09EwE0CqkOc4q9oUmW1yo/edit?usp=sharing"",""เชียงราย!M246"")"),0)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IFERROR(__xludf.DUMMYFUNCTION("IMPORTRANGE(""https://docs.google.com/spreadsheets/d/11923uPwbBZFjjGgGUA6NLw09EwE0CqkOc4q9oUmW1yo/edit?usp=sharing"",""เชียงราย!L247"")"),532200)</f>
        <v>532200</v>
      </c>
      <c r="M352" s="173"/>
      <c r="N352" s="172">
        <f ca="1">IFERROR(__xludf.DUMMYFUNCTION("IMPORTRANGE(""https://docs.google.com/spreadsheets/d/11923uPwbBZFjjGgGUA6NLw09EwE0CqkOc4q9oUmW1yo/edit?usp=sharing"",""เชียงราย!M247"")"),32500)</f>
        <v>32500</v>
      </c>
      <c r="O352" s="173">
        <f t="shared" ca="1" si="105"/>
        <v>6.1067267944381811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IFERROR(__xludf.DUMMYFUNCTION("IMPORTRANGE(""https://docs.google.com/spreadsheets/d/11923uPwbBZFjjGgGUA6NLw09EwE0CqkOc4q9oUmW1yo/edit?usp=sharing"",""เชียงราย!L248"")"),0)</f>
        <v>0</v>
      </c>
      <c r="M353" s="178"/>
      <c r="N353" s="178">
        <f ca="1">IFERROR(__xludf.DUMMYFUNCTION("IMPORTRANGE(""https://docs.google.com/spreadsheets/d/11923uPwbBZFjjGgGUA6NLw09EwE0CqkOc4q9oUmW1yo/edit?usp=sharing"",""เชียงราย!M248"")"),0)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IFERROR(__xludf.DUMMYFUNCTION("IMPORTRANGE(""https://docs.google.com/spreadsheets/d/11923uPwbBZFjjGgGUA6NLw09EwE0CqkOc4q9oUmW1yo/edit?usp=sharing"",""เชียงราย!L249"")"),532200)</f>
        <v>532200</v>
      </c>
      <c r="M354" s="178"/>
      <c r="N354" s="175">
        <f ca="1">IFERROR(__xludf.DUMMYFUNCTION("IMPORTRANGE(""https://docs.google.com/spreadsheets/d/11923uPwbBZFjjGgGUA6NLw09EwE0CqkOc4q9oUmW1yo/edit?usp=sharing"",""เชียงราย!M249"")"),32500)</f>
        <v>32500</v>
      </c>
      <c r="O354" s="178">
        <f t="shared" ca="1" si="105"/>
        <v>6.1067267944381811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IFERROR(__xludf.DUMMYFUNCTION("IMPORTRANGE(""https://docs.google.com/spreadsheets/d/11923uPwbBZFjjGgGUA6NLw09EwE0CqkOc4q9oUmW1yo/edit?usp=sharing"",""เชียงราย!M250"")"),0)</f>
        <v>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IFERROR(__xludf.DUMMYFUNCTION("IMPORTRANGE(""https://docs.google.com/spreadsheets/d/11923uPwbBZFjjGgGUA6NLw09EwE0CqkOc4q9oUmW1yo/edit?usp=sharing"",""เชียงราย!M251"")"),0)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IFERROR(__xludf.DUMMYFUNCTION("IMPORTRANGE(""https://docs.google.com/spreadsheets/d/11923uPwbBZFjjGgGUA6NLw09EwE0CqkOc4q9oUmW1yo/edit?usp=sharing"",""เชียงราย!M252"")"),31500)</f>
        <v>31500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IFERROR(__xludf.DUMMYFUNCTION("IMPORTRANGE(""https://docs.google.com/spreadsheets/d/11923uPwbBZFjjGgGUA6NLw09EwE0CqkOc4q9oUmW1yo/edit?usp=sharing"",""เชียงราย!M253"")"),1000)</f>
        <v>1000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IFERROR(__xludf.DUMMYFUNCTION("IMPORTRANGE(""https://docs.google.com/spreadsheets/d/11923uPwbBZFjjGgGUA6NLw09EwE0CqkOc4q9oUmW1yo/edit?usp=sharing"",""เชียงราย!J255"")"),0)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IFERROR(__xludf.DUMMYFUNCTION("IMPORTRANGE(""https://docs.google.com/spreadsheets/d/11923uPwbBZFjjGgGUA6NLw09EwE0CqkOc4q9oUmW1yo/edit?usp=sharing"",""เชียงราย!J256"")"),1)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IFERROR(__xludf.DUMMYFUNCTION("IMPORTRANGE(""https://docs.google.com/spreadsheets/d/11923uPwbBZFjjGgGUA6NLw09EwE0CqkOc4q9oUmW1yo/edit?usp=sharing"",""เชียงราย!J257"")"),1)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IFERROR(__xludf.DUMMYFUNCTION("IMPORTRANGE(""https://docs.google.com/spreadsheets/d/11923uPwbBZFjjGgGUA6NLw09EwE0CqkOc4q9oUmW1yo/edit?usp=sharing"",""เชียงราย!J258"")"),1)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IFERROR(__xludf.DUMMYFUNCTION("IMPORTRANGE(""https://docs.google.com/spreadsheets/d/11923uPwbBZFjjGgGUA6NLw09EwE0CqkOc4q9oUmW1yo/edit?usp=sharing"",""เชียงราย!J166"")"),0)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IFERROR(__xludf.DUMMYFUNCTION("IMPORTRANGE(""https://docs.google.com/spreadsheets/d/11923uPwbBZFjjGgGUA6NLw09EwE0CqkOc4q9oUmW1yo/edit?usp=sharing"",""เชียงราย!J166"")"),0)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IFERROR(__xludf.DUMMYFUNCTION("IMPORTRANGE(""https://docs.google.com/spreadsheets/d/11923uPwbBZFjjGgGUA6NLw09EwE0CqkOc4q9oUmW1yo/edit?usp=sharing"",""เชียงราย!J166"")"),0)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IFERROR(__xludf.DUMMYFUNCTION("IMPORTRANGE(""https://docs.google.com/spreadsheets/d/11923uPwbBZFjjGgGUA6NLw09EwE0CqkOc4q9oUmW1yo/edit?usp=sharing"",""เชียงราย!J166"")"),0)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IFERROR(__xludf.DUMMYFUNCTION("IMPORTRANGE(""https://docs.google.com/spreadsheets/d/11923uPwbBZFjjGgGUA6NLw09EwE0CqkOc4q9oUmW1yo/edit?usp=sharing"",""เชียงราย!I263"")"),100)</f>
        <v>100</v>
      </c>
      <c r="J368" s="197">
        <f ca="1">IFERROR(__xludf.DUMMYFUNCTION("IMPORTRANGE(""https://docs.google.com/spreadsheets/d/11923uPwbBZFjjGgGUA6NLw09EwE0CqkOc4q9oUmW1yo/edit?usp=sharing"",""เชียงราย!J263"")"),0)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IFERROR(__xludf.DUMMYFUNCTION("IMPORTRANGE(""https://docs.google.com/spreadsheets/d/11923uPwbBZFjjGgGUA6NLw09EwE0CqkOc4q9oUmW1yo/edit?usp=sharing"",""เชียงราย!I164"")"),0)</f>
        <v>0</v>
      </c>
      <c r="J369" s="213">
        <f ca="1">IFERROR(__xludf.DUMMYFUNCTION("IMPORTRANGE(""https://docs.google.com/spreadsheets/d/11923uPwbBZFjjGgGUA6NLw09EwE0CqkOc4q9oUmW1yo/edit?usp=sharing"",""เชียงราย!J164"")"),0)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IFERROR(__xludf.DUMMYFUNCTION("IMPORTRANGE(""https://docs.google.com/spreadsheets/d/11923uPwbBZFjjGgGUA6NLw09EwE0CqkOc4q9oUmW1yo/edit?usp=sharing"",""เชียงราย!I265"")"),100)</f>
        <v>100</v>
      </c>
      <c r="J370" s="213">
        <f ca="1">IFERROR(__xludf.DUMMYFUNCTION("IMPORTRANGE(""https://docs.google.com/spreadsheets/d/11923uPwbBZFjjGgGUA6NLw09EwE0CqkOc4q9oUmW1yo/edit?usp=sharing"",""เชียงราย!J265"")"),50)</f>
        <v>50</v>
      </c>
      <c r="K370" s="171">
        <f t="shared" ca="1" si="106"/>
        <v>50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IFERROR(__xludf.DUMMYFUNCTION("IMPORTRANGE(""https://docs.google.com/spreadsheets/d/11923uPwbBZFjjGgGUA6NLw09EwE0CqkOc4q9oUmW1yo/edit?usp=sharing"",""เชียงราย!I164"")"),0)</f>
        <v>0</v>
      </c>
      <c r="J371" s="198">
        <f ca="1">IFERROR(__xludf.DUMMYFUNCTION("IMPORTRANGE(""https://docs.google.com/spreadsheets/d/11923uPwbBZFjjGgGUA6NLw09EwE0CqkOc4q9oUmW1yo/edit?usp=sharing"",""เชียงราย!J164"")"),0)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IFERROR(__xludf.DUMMYFUNCTION("IMPORTRANGE(""https://docs.google.com/spreadsheets/d/11923uPwbBZFjjGgGUA6NLw09EwE0CqkOc4q9oUmW1yo/edit?usp=sharing"",""เชียงราย!I267"")"),100)</f>
        <v>100</v>
      </c>
      <c r="J372" s="198">
        <f ca="1">IFERROR(__xludf.DUMMYFUNCTION("IMPORTRANGE(""https://docs.google.com/spreadsheets/d/11923uPwbBZFjjGgGUA6NLw09EwE0CqkOc4q9oUmW1yo/edit?usp=sharing"",""เชียงราย!J267"")"),0)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IFERROR(__xludf.DUMMYFUNCTION("IMPORTRANGE(""https://docs.google.com/spreadsheets/d/11923uPwbBZFjjGgGUA6NLw09EwE0CqkOc4q9oUmW1yo/edit?usp=sharing"",""เชียงราย!I164"")"),0)</f>
        <v>0</v>
      </c>
      <c r="J373" s="213">
        <f ca="1">IFERROR(__xludf.DUMMYFUNCTION("IMPORTRANGE(""https://docs.google.com/spreadsheets/d/11923uPwbBZFjjGgGUA6NLw09EwE0CqkOc4q9oUmW1yo/edit?usp=sharing"",""เชียงราย!J164"")"),0)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IFERROR(__xludf.DUMMYFUNCTION("IMPORTRANGE(""https://docs.google.com/spreadsheets/d/11923uPwbBZFjjGgGUA6NLw09EwE0CqkOc4q9oUmW1yo/edit?usp=sharing"",""เชียงราย!I164"")"),0)</f>
        <v>0</v>
      </c>
      <c r="J374" s="197">
        <f ca="1">IFERROR(__xludf.DUMMYFUNCTION("IMPORTRANGE(""https://docs.google.com/spreadsheets/d/11923uPwbBZFjjGgGUA6NLw09EwE0CqkOc4q9oUmW1yo/edit?usp=sharing"",""เชียงราย!J164"")"),0)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IFERROR(__xludf.DUMMYFUNCTION("IMPORTRANGE(""https://docs.google.com/spreadsheets/d/11923uPwbBZFjjGgGUA6NLw09EwE0CqkOc4q9oUmW1yo/edit?usp=sharing"",""เชียงราย!I270"")"),200)</f>
        <v>200</v>
      </c>
      <c r="J375" s="197">
        <f ca="1">IFERROR(__xludf.DUMMYFUNCTION("IMPORTRANGE(""https://docs.google.com/spreadsheets/d/11923uPwbBZFjjGgGUA6NLw09EwE0CqkOc4q9oUmW1yo/edit?usp=sharing"",""เชียงราย!J270"")"),0)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IFERROR(__xludf.DUMMYFUNCTION("IMPORTRANGE(""https://docs.google.com/spreadsheets/d/11923uPwbBZFjjGgGUA6NLw09EwE0CqkOc4q9oUmW1yo/edit?usp=sharing"",""เชียงราย!I271"")"),100)</f>
        <v>100</v>
      </c>
      <c r="J376" s="198">
        <f ca="1">IFERROR(__xludf.DUMMYFUNCTION("IMPORTRANGE(""https://docs.google.com/spreadsheets/d/11923uPwbBZFjjGgGUA6NLw09EwE0CqkOc4q9oUmW1yo/edit?usp=sharing"",""เชียงราย!J271"")"),0)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IFERROR(__xludf.DUMMYFUNCTION("IMPORTRANGE(""https://docs.google.com/spreadsheets/d/11923uPwbBZFjjGgGUA6NLw09EwE0CqkOc4q9oUmW1yo/edit?usp=sharing"",""เชียงราย!I272"")"),100)</f>
        <v>100</v>
      </c>
      <c r="J377" s="213">
        <f ca="1">IFERROR(__xludf.DUMMYFUNCTION("IMPORTRANGE(""https://docs.google.com/spreadsheets/d/11923uPwbBZFjjGgGUA6NLw09EwE0CqkOc4q9oUmW1yo/edit?usp=sharing"",""เชียงราย!J272"")"),0)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IFERROR(__xludf.DUMMYFUNCTION("IMPORTRANGE(""https://docs.google.com/spreadsheets/d/11923uPwbBZFjjGgGUA6NLw09EwE0CqkOc4q9oUmW1yo/edit?usp=sharing"",""เชียงราย!J273"")"),0)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IFERROR(__xludf.DUMMYFUNCTION("IMPORTRANGE(""https://docs.google.com/spreadsheets/d/11923uPwbBZFjjGgGUA6NLw09EwE0CqkOc4q9oUmW1yo/edit?usp=sharing"",""เชียงราย!J274"")"),0)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IFERROR(__xludf.DUMMYFUNCTION("IMPORTRANGE(""https://docs.google.com/spreadsheets/d/11923uPwbBZFjjGgGUA6NLw09EwE0CqkOc4q9oUmW1yo/edit?usp=sharing"",""เชียงราย!I275"")"),500)</f>
        <v>500</v>
      </c>
      <c r="J380" s="379">
        <f ca="1">IFERROR(__xludf.DUMMYFUNCTION("IMPORTRANGE(""https://docs.google.com/spreadsheets/d/11923uPwbBZFjjGgGUA6NLw09EwE0CqkOc4q9oUmW1yo/edit?usp=sharing"",""เชียงราย!J275"")"),0)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IFERROR(__xludf.DUMMYFUNCTION("IMPORTRANGE(""https://docs.google.com/spreadsheets/d/11923uPwbBZFjjGgGUA6NLw09EwE0CqkOc4q9oUmW1yo/edit?usp=sharing"",""เชียงราย!L275"")"),460140)</f>
        <v>460140</v>
      </c>
      <c r="M380" s="381"/>
      <c r="N380" s="381">
        <f ca="1">IFERROR(__xludf.DUMMYFUNCTION("IMPORTRANGE(""https://docs.google.com/spreadsheets/d/11923uPwbBZFjjGgGUA6NLw09EwE0CqkOc4q9oUmW1yo/edit?usp=sharing"",""เชียงราย!M275"")"),6890)</f>
        <v>6890</v>
      </c>
      <c r="O380" s="381">
        <f ca="1">+IF(L380&gt;0,N380*100/L380,0)</f>
        <v>1.4973703655409223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IFERROR(__xludf.DUMMYFUNCTION("IMPORTRANGE(""https://docs.google.com/spreadsheets/d/11923uPwbBZFjjGgGUA6NLw09EwE0CqkOc4q9oUmW1yo/edit?usp=sharing"",""เชียงราย!I276"")"),50)</f>
        <v>50</v>
      </c>
      <c r="J381" s="379">
        <f ca="1">IFERROR(__xludf.DUMMYFUNCTION("IMPORTRANGE(""https://docs.google.com/spreadsheets/d/11923uPwbBZFjjGgGUA6NLw09EwE0CqkOc4q9oUmW1yo/edit?usp=sharing"",""เชียงราย!J276"")"),0)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IFERROR(__xludf.DUMMYFUNCTION("IMPORTRANGE(""https://docs.google.com/spreadsheets/d/11923uPwbBZFjjGgGUA6NLw09EwE0CqkOc4q9oUmW1yo/edit?usp=sharing"",""เชียงราย!L277"")"),0)</f>
        <v>0</v>
      </c>
      <c r="M382" s="172"/>
      <c r="N382" s="172">
        <f ca="1">IFERROR(__xludf.DUMMYFUNCTION("IMPORTRANGE(""https://docs.google.com/spreadsheets/d/11923uPwbBZFjjGgGUA6NLw09EwE0CqkOc4q9oUmW1yo/edit?usp=sharing"",""เชียงราย!M277"")"),0)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IFERROR(__xludf.DUMMYFUNCTION("IMPORTRANGE(""https://docs.google.com/spreadsheets/d/11923uPwbBZFjjGgGUA6NLw09EwE0CqkOc4q9oUmW1yo/edit?usp=sharing"",""เชียงราย!L278"")"),460140)</f>
        <v>460140</v>
      </c>
      <c r="M383" s="173"/>
      <c r="N383" s="173">
        <f ca="1">IFERROR(__xludf.DUMMYFUNCTION("IMPORTRANGE(""https://docs.google.com/spreadsheets/d/11923uPwbBZFjjGgGUA6NLw09EwE0CqkOc4q9oUmW1yo/edit?usp=sharing"",""เชียงราย!M278"")"),6890)</f>
        <v>6890</v>
      </c>
      <c r="O383" s="173">
        <f t="shared" ca="1" si="109"/>
        <v>1.4973703655409223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IFERROR(__xludf.DUMMYFUNCTION("IMPORTRANGE(""https://docs.google.com/spreadsheets/d/11923uPwbBZFjjGgGUA6NLw09EwE0CqkOc4q9oUmW1yo/edit?usp=sharing"",""เชียงราย!L279"")"),0)</f>
        <v>0</v>
      </c>
      <c r="M384" s="178"/>
      <c r="N384" s="178">
        <f ca="1">IFERROR(__xludf.DUMMYFUNCTION("IMPORTRANGE(""https://docs.google.com/spreadsheets/d/11923uPwbBZFjjGgGUA6NLw09EwE0CqkOc4q9oUmW1yo/edit?usp=sharing"",""เชียงราย!M279"")"),0)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IFERROR(__xludf.DUMMYFUNCTION("IMPORTRANGE(""https://docs.google.com/spreadsheets/d/11923uPwbBZFjjGgGUA6NLw09EwE0CqkOc4q9oUmW1yo/edit?usp=sharing"",""เชียงราย!L280"")"),460140)</f>
        <v>460140</v>
      </c>
      <c r="M385" s="178"/>
      <c r="N385" s="175">
        <f ca="1">IFERROR(__xludf.DUMMYFUNCTION("IMPORTRANGE(""https://docs.google.com/spreadsheets/d/11923uPwbBZFjjGgGUA6NLw09EwE0CqkOc4q9oUmW1yo/edit?usp=sharing"",""เชียงราย!M280"")"),6890)</f>
        <v>6890</v>
      </c>
      <c r="O385" s="178">
        <f t="shared" ca="1" si="109"/>
        <v>1.4973703655409223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IFERROR(__xludf.DUMMYFUNCTION("IMPORTRANGE(""https://docs.google.com/spreadsheets/d/11923uPwbBZFjjGgGUA6NLw09EwE0CqkOc4q9oUmW1yo/edit?usp=sharing"",""เชียงราย!M281"")"),750)</f>
        <v>750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IFERROR(__xludf.DUMMYFUNCTION("IMPORTRANGE(""https://docs.google.com/spreadsheets/d/11923uPwbBZFjjGgGUA6NLw09EwE0CqkOc4q9oUmW1yo/edit?usp=sharing"",""เชียงราย!M282"")"),0)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IFERROR(__xludf.DUMMYFUNCTION("IMPORTRANGE(""https://docs.google.com/spreadsheets/d/11923uPwbBZFjjGgGUA6NLw09EwE0CqkOc4q9oUmW1yo/edit?usp=sharing"",""เชียงราย!M283"")"),0)</f>
        <v>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IFERROR(__xludf.DUMMYFUNCTION("IMPORTRANGE(""https://docs.google.com/spreadsheets/d/11923uPwbBZFjjGgGUA6NLw09EwE0CqkOc4q9oUmW1yo/edit?usp=sharing"",""เชียงราย!M284"")"),6140)</f>
        <v>6140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IFERROR(__xludf.DUMMYFUNCTION("IMPORTRANGE(""https://docs.google.com/spreadsheets/d/11923uPwbBZFjjGgGUA6NLw09EwE0CqkOc4q9oUmW1yo/edit?usp=sharing"",""เชียงราย!J286"")"),0)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IFERROR(__xludf.DUMMYFUNCTION("IMPORTRANGE(""https://docs.google.com/spreadsheets/d/11923uPwbBZFjjGgGUA6NLw09EwE0CqkOc4q9oUmW1yo/edit?usp=sharing"",""เชียงราย!J287"")"),1)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IFERROR(__xludf.DUMMYFUNCTION("IMPORTRANGE(""https://docs.google.com/spreadsheets/d/11923uPwbBZFjjGgGUA6NLw09EwE0CqkOc4q9oUmW1yo/edit?usp=sharing"",""เชียงราย!J288"")"),1)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IFERROR(__xludf.DUMMYFUNCTION("IMPORTRANGE(""https://docs.google.com/spreadsheets/d/11923uPwbBZFjjGgGUA6NLw09EwE0CqkOc4q9oUmW1yo/edit?usp=sharing"",""เชียงราย!J289"")"),1)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IFERROR(__xludf.DUMMYFUNCTION("IMPORTRANGE(""https://docs.google.com/spreadsheets/d/11923uPwbBZFjjGgGUA6NLw09EwE0CqkOc4q9oUmW1yo/edit?usp=sharing"",""เชียงราย!I291"")"),50)</f>
        <v>50</v>
      </c>
      <c r="J396" s="207">
        <f ca="1">IFERROR(__xludf.DUMMYFUNCTION("IMPORTRANGE(""https://docs.google.com/spreadsheets/d/11923uPwbBZFjjGgGUA6NLw09EwE0CqkOc4q9oUmW1yo/edit?usp=sharing"",""เชียงราย!J291"")"),0)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IFERROR(__xludf.DUMMYFUNCTION("IMPORTRANGE(""https://docs.google.com/spreadsheets/d/11923uPwbBZFjjGgGUA6NLw09EwE0CqkOc4q9oUmW1yo/edit?usp=sharing"",""เชียงราย!I292"")"),500)</f>
        <v>500</v>
      </c>
      <c r="J397" s="207">
        <f ca="1">IFERROR(__xludf.DUMMYFUNCTION("IMPORTRANGE(""https://docs.google.com/spreadsheets/d/11923uPwbBZFjjGgGUA6NLw09EwE0CqkOc4q9oUmW1yo/edit?usp=sharing"",""เชียงราย!J292"")"),0)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IFERROR(__xludf.DUMMYFUNCTION("IMPORTRANGE(""https://docs.google.com/spreadsheets/d/11923uPwbBZFjjGgGUA6NLw09EwE0CqkOc4q9oUmW1yo/edit?usp=sharing"",""เชียงราย!I293"")"),50)</f>
        <v>50</v>
      </c>
      <c r="J398" s="207">
        <f ca="1">IFERROR(__xludf.DUMMYFUNCTION("IMPORTRANGE(""https://docs.google.com/spreadsheets/d/11923uPwbBZFjjGgGUA6NLw09EwE0CqkOc4q9oUmW1yo/edit?usp=sharing"",""เชียงราย!J293"")"),0)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IFERROR(__xludf.DUMMYFUNCTION("IMPORTRANGE(""https://docs.google.com/spreadsheets/d/11923uPwbBZFjjGgGUA6NLw09EwE0CqkOc4q9oUmW1yo/edit?usp=sharing"",""เชียงราย!J294"")"),0)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IFERROR(__xludf.DUMMYFUNCTION("IMPORTRANGE(""https://docs.google.com/spreadsheets/d/11923uPwbBZFjjGgGUA6NLw09EwE0CqkOc4q9oUmW1yo/edit?usp=sharing"",""เชียงราย!J295"")"),0)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IFERROR(__xludf.DUMMYFUNCTION("IMPORTRANGE(""https://docs.google.com/spreadsheets/d/11923uPwbBZFjjGgGUA6NLw09EwE0CqkOc4q9oUmW1yo/edit?usp=sharing"",""เชียงราย!I296"")"),174)</f>
        <v>174</v>
      </c>
      <c r="J401" s="379">
        <f ca="1">IFERROR(__xludf.DUMMYFUNCTION("IMPORTRANGE(""https://docs.google.com/spreadsheets/d/11923uPwbBZFjjGgGUA6NLw09EwE0CqkOc4q9oUmW1yo/edit?usp=sharing"",""เชียงราย!J296"")"),0)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IFERROR(__xludf.DUMMYFUNCTION("IMPORTRANGE(""https://docs.google.com/spreadsheets/d/11923uPwbBZFjjGgGUA6NLw09EwE0CqkOc4q9oUmW1yo/edit?usp=sharing"",""เชียงราย!L296"")"),195900)</f>
        <v>195900</v>
      </c>
      <c r="M401" s="381"/>
      <c r="N401" s="381">
        <f ca="1">IFERROR(__xludf.DUMMYFUNCTION("IMPORTRANGE(""https://docs.google.com/spreadsheets/d/11923uPwbBZFjjGgGUA6NLw09EwE0CqkOc4q9oUmW1yo/edit?usp=sharing"",""เชียงราย!M296"")"),0)</f>
        <v>0</v>
      </c>
      <c r="O401" s="381">
        <f ca="1">+IF(L401&gt;0,N401*100/L401,0)</f>
        <v>0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IFERROR(__xludf.DUMMYFUNCTION("IMPORTRANGE(""https://docs.google.com/spreadsheets/d/11923uPwbBZFjjGgGUA6NLw09EwE0CqkOc4q9oUmW1yo/edit?usp=sharing"",""เชียงราย!I297"")"),58)</f>
        <v>58</v>
      </c>
      <c r="J402" s="379">
        <f ca="1">IFERROR(__xludf.DUMMYFUNCTION("IMPORTRANGE(""https://docs.google.com/spreadsheets/d/11923uPwbBZFjjGgGUA6NLw09EwE0CqkOc4q9oUmW1yo/edit?usp=sharing"",""เชียงราย!J297"")"),0)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IFERROR(__xludf.DUMMYFUNCTION("IMPORTRANGE(""https://docs.google.com/spreadsheets/d/11923uPwbBZFjjGgGUA6NLw09EwE0CqkOc4q9oUmW1yo/edit?usp=sharing"",""เชียงราย!L298"")"),0)</f>
        <v>0</v>
      </c>
      <c r="M403" s="172"/>
      <c r="N403" s="178">
        <f ca="1">IFERROR(__xludf.DUMMYFUNCTION("IMPORTRANGE(""https://docs.google.com/spreadsheets/d/11923uPwbBZFjjGgGUA6NLw09EwE0CqkOc4q9oUmW1yo/edit?usp=sharing"",""เชียงราย!M298"")"),0)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IFERROR(__xludf.DUMMYFUNCTION("IMPORTRANGE(""https://docs.google.com/spreadsheets/d/11923uPwbBZFjjGgGUA6NLw09EwE0CqkOc4q9oUmW1yo/edit?usp=sharing"",""เชียงราย!L299"")"),195900)</f>
        <v>195900</v>
      </c>
      <c r="M404" s="173"/>
      <c r="N404" s="178">
        <f ca="1">IFERROR(__xludf.DUMMYFUNCTION("IMPORTRANGE(""https://docs.google.com/spreadsheets/d/11923uPwbBZFjjGgGUA6NLw09EwE0CqkOc4q9oUmW1yo/edit?usp=sharing"",""เชียงราย!M299"")"),0)</f>
        <v>0</v>
      </c>
      <c r="O404" s="178">
        <f t="shared" ca="1" si="112"/>
        <v>0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IFERROR(__xludf.DUMMYFUNCTION("IMPORTRANGE(""https://docs.google.com/spreadsheets/d/11923uPwbBZFjjGgGUA6NLw09EwE0CqkOc4q9oUmW1yo/edit?usp=sharing"",""เชียงราย!L300"")"),0)</f>
        <v>0</v>
      </c>
      <c r="M405" s="178"/>
      <c r="N405" s="178">
        <f ca="1">IFERROR(__xludf.DUMMYFUNCTION("IMPORTRANGE(""https://docs.google.com/spreadsheets/d/11923uPwbBZFjjGgGUA6NLw09EwE0CqkOc4q9oUmW1yo/edit?usp=sharing"",""เชียงราย!M300"")"),0)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IFERROR(__xludf.DUMMYFUNCTION("IMPORTRANGE(""https://docs.google.com/spreadsheets/d/11923uPwbBZFjjGgGUA6NLw09EwE0CqkOc4q9oUmW1yo/edit?usp=sharing"",""เชียงราย!L301"")"),195900)</f>
        <v>195900</v>
      </c>
      <c r="M406" s="178"/>
      <c r="N406" s="178">
        <f ca="1">IFERROR(__xludf.DUMMYFUNCTION("IMPORTRANGE(""https://docs.google.com/spreadsheets/d/11923uPwbBZFjjGgGUA6NLw09EwE0CqkOc4q9oUmW1yo/edit?usp=sharing"",""เชียงราย!M301"")"),0)</f>
        <v>0</v>
      </c>
      <c r="O406" s="178">
        <f t="shared" ca="1" si="112"/>
        <v>0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IFERROR(__xludf.DUMMYFUNCTION("IMPORTRANGE(""https://docs.google.com/spreadsheets/d/11923uPwbBZFjjGgGUA6NLw09EwE0CqkOc4q9oUmW1yo/edit?usp=sharing"",""เชียงราย!M302"")"),0)</f>
        <v>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IFERROR(__xludf.DUMMYFUNCTION("IMPORTRANGE(""https://docs.google.com/spreadsheets/d/11923uPwbBZFjjGgGUA6NLw09EwE0CqkOc4q9oUmW1yo/edit?usp=sharing"",""เชียงราย!M303"")"),0)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IFERROR(__xludf.DUMMYFUNCTION("IMPORTRANGE(""https://docs.google.com/spreadsheets/d/11923uPwbBZFjjGgGUA6NLw09EwE0CqkOc4q9oUmW1yo/edit?usp=sharing"",""เชียงราย!M304"")"),0)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IFERROR(__xludf.DUMMYFUNCTION("IMPORTRANGE(""https://docs.google.com/spreadsheets/d/11923uPwbBZFjjGgGUA6NLw09EwE0CqkOc4q9oUmW1yo/edit?usp=sharing"",""เชียงราย!M305"")"),0)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IFERROR(__xludf.DUMMYFUNCTION("IMPORTRANGE(""https://docs.google.com/spreadsheets/d/11923uPwbBZFjjGgGUA6NLw09EwE0CqkOc4q9oUmW1yo/edit?usp=sharing"",""เชียงราย!J307"")"),0)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IFERROR(__xludf.DUMMYFUNCTION("IMPORTRANGE(""https://docs.google.com/spreadsheets/d/11923uPwbBZFjjGgGUA6NLw09EwE0CqkOc4q9oUmW1yo/edit?usp=sharing"",""เชียงราย!J308"")"),1)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IFERROR(__xludf.DUMMYFUNCTION("IMPORTRANGE(""https://docs.google.com/spreadsheets/d/11923uPwbBZFjjGgGUA6NLw09EwE0CqkOc4q9oUmW1yo/edit?usp=sharing"",""เชียงราย!J309"")"),1)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IFERROR(__xludf.DUMMYFUNCTION("IMPORTRANGE(""https://docs.google.com/spreadsheets/d/11923uPwbBZFjjGgGUA6NLw09EwE0CqkOc4q9oUmW1yo/edit?usp=sharing"",""เชียงราย!J310"")"),1)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IFERROR(__xludf.DUMMYFUNCTION("IMPORTRANGE(""https://docs.google.com/spreadsheets/d/11923uPwbBZFjjGgGUA6NLw09EwE0CqkOc4q9oUmW1yo/edit?usp=sharing"",""เชียงราย!I311"")"),58)</f>
        <v>58</v>
      </c>
      <c r="J416" s="210">
        <f ca="1">IFERROR(__xludf.DUMMYFUNCTION("IMPORTRANGE(""https://docs.google.com/spreadsheets/d/11923uPwbBZFjjGgGUA6NLw09EwE0CqkOc4q9oUmW1yo/edit?usp=sharing"",""เชียงราย!J311"")"),0)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IFERROR(__xludf.DUMMYFUNCTION("IMPORTRANGE(""https://docs.google.com/spreadsheets/d/11923uPwbBZFjjGgGUA6NLw09EwE0CqkOc4q9oUmW1yo/edit?usp=sharing"",""เชียงราย!I312"")"),10)</f>
        <v>10</v>
      </c>
      <c r="J417" s="400">
        <f ca="1">IFERROR(__xludf.DUMMYFUNCTION("IMPORTRANGE(""https://docs.google.com/spreadsheets/d/11923uPwbBZFjjGgGUA6NLw09EwE0CqkOc4q9oUmW1yo/edit?usp=sharing"",""เชียงราย!J312"")"),0)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IFERROR(__xludf.DUMMYFUNCTION("IMPORTRANGE(""https://docs.google.com/spreadsheets/d/11923uPwbBZFjjGgGUA6NLw09EwE0CqkOc4q9oUmW1yo/edit?usp=sharing"",""เชียงราย!I313"")"),30)</f>
        <v>30</v>
      </c>
      <c r="J418" s="401">
        <f ca="1">IFERROR(__xludf.DUMMYFUNCTION("IMPORTRANGE(""https://docs.google.com/spreadsheets/d/11923uPwbBZFjjGgGUA6NLw09EwE0CqkOc4q9oUmW1yo/edit?usp=sharing"",""เชียงราย!J313"")"),0)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IFERROR(__xludf.DUMMYFUNCTION("IMPORTRANGE(""https://docs.google.com/spreadsheets/d/11923uPwbBZFjjGgGUA6NLw09EwE0CqkOc4q9oUmW1yo/edit?usp=sharing"",""เชียงราย!I314"")"),10)</f>
        <v>10</v>
      </c>
      <c r="J419" s="402">
        <f ca="1">IFERROR(__xludf.DUMMYFUNCTION("IMPORTRANGE(""https://docs.google.com/spreadsheets/d/11923uPwbBZFjjGgGUA6NLw09EwE0CqkOc4q9oUmW1yo/edit?usp=sharing"",""เชียงราย!J314"")"),0)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IFERROR(__xludf.DUMMYFUNCTION("IMPORTRANGE(""https://docs.google.com/spreadsheets/d/11923uPwbBZFjjGgGUA6NLw09EwE0CqkOc4q9oUmW1yo/edit?usp=sharing"",""เชียงราย!I315"")"),10)</f>
        <v>10</v>
      </c>
      <c r="J420" s="402">
        <f ca="1">IFERROR(__xludf.DUMMYFUNCTION("IMPORTRANGE(""https://docs.google.com/spreadsheets/d/11923uPwbBZFjjGgGUA6NLw09EwE0CqkOc4q9oUmW1yo/edit?usp=sharing"",""เชียงราย!J315"")"),0)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IFERROR(__xludf.DUMMYFUNCTION("IMPORTRANGE(""https://docs.google.com/spreadsheets/d/11923uPwbBZFjjGgGUA6NLw09EwE0CqkOc4q9oUmW1yo/edit?usp=sharing"",""เชียงราย!I316"")"),38)</f>
        <v>38</v>
      </c>
      <c r="J421" s="400">
        <f ca="1">IFERROR(__xludf.DUMMYFUNCTION("IMPORTRANGE(""https://docs.google.com/spreadsheets/d/11923uPwbBZFjjGgGUA6NLw09EwE0CqkOc4q9oUmW1yo/edit?usp=sharing"",""เชียงราย!J316"")"),0)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IFERROR(__xludf.DUMMYFUNCTION("IMPORTRANGE(""https://docs.google.com/spreadsheets/d/11923uPwbBZFjjGgGUA6NLw09EwE0CqkOc4q9oUmW1yo/edit?usp=sharing"",""เชียงราย!I317"")"),114)</f>
        <v>114</v>
      </c>
      <c r="J422" s="401">
        <f ca="1">IFERROR(__xludf.DUMMYFUNCTION("IMPORTRANGE(""https://docs.google.com/spreadsheets/d/11923uPwbBZFjjGgGUA6NLw09EwE0CqkOc4q9oUmW1yo/edit?usp=sharing"",""เชียงราย!J317"")"),0)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IFERROR(__xludf.DUMMYFUNCTION("IMPORTRANGE(""https://docs.google.com/spreadsheets/d/11923uPwbBZFjjGgGUA6NLw09EwE0CqkOc4q9oUmW1yo/edit?usp=sharing"",""เชียงราย!I318"")"),38)</f>
        <v>38</v>
      </c>
      <c r="J423" s="402">
        <f ca="1">IFERROR(__xludf.DUMMYFUNCTION("IMPORTRANGE(""https://docs.google.com/spreadsheets/d/11923uPwbBZFjjGgGUA6NLw09EwE0CqkOc4q9oUmW1yo/edit?usp=sharing"",""เชียงราย!J318"")"),0)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IFERROR(__xludf.DUMMYFUNCTION("IMPORTRANGE(""https://docs.google.com/spreadsheets/d/11923uPwbBZFjjGgGUA6NLw09EwE0CqkOc4q9oUmW1yo/edit?usp=sharing"",""เชียงราย!I319"")"),38)</f>
        <v>38</v>
      </c>
      <c r="J424" s="402">
        <f ca="1">IFERROR(__xludf.DUMMYFUNCTION("IMPORTRANGE(""https://docs.google.com/spreadsheets/d/11923uPwbBZFjjGgGUA6NLw09EwE0CqkOc4q9oUmW1yo/edit?usp=sharing"",""เชียงราย!J319"")"),0)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IFERROR(__xludf.DUMMYFUNCTION("IMPORTRANGE(""https://docs.google.com/spreadsheets/d/11923uPwbBZFjjGgGUA6NLw09EwE0CqkOc4q9oUmW1yo/edit?usp=sharing"",""เชียงราย!I320"")"),38)</f>
        <v>38</v>
      </c>
      <c r="J425" s="402">
        <f ca="1">IFERROR(__xludf.DUMMYFUNCTION("IMPORTRANGE(""https://docs.google.com/spreadsheets/d/11923uPwbBZFjjGgGUA6NLw09EwE0CqkOc4q9oUmW1yo/edit?usp=sharing"",""เชียงราย!J320"")"),0)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IFERROR(__xludf.DUMMYFUNCTION("IMPORTRANGE(""https://docs.google.com/spreadsheets/d/11923uPwbBZFjjGgGUA6NLw09EwE0CqkOc4q9oUmW1yo/edit?usp=sharing"",""เชียงราย!I321"")"),10)</f>
        <v>10</v>
      </c>
      <c r="J426" s="400">
        <f ca="1">IFERROR(__xludf.DUMMYFUNCTION("IMPORTRANGE(""https://docs.google.com/spreadsheets/d/11923uPwbBZFjjGgGUA6NLw09EwE0CqkOc4q9oUmW1yo/edit?usp=sharing"",""เชียงราย!J321"")"),0)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IFERROR(__xludf.DUMMYFUNCTION("IMPORTRANGE(""https://docs.google.com/spreadsheets/d/11923uPwbBZFjjGgGUA6NLw09EwE0CqkOc4q9oUmW1yo/edit?usp=sharing"",""เชียงราย!I322"")"),30)</f>
        <v>30</v>
      </c>
      <c r="J427" s="401">
        <f ca="1">IFERROR(__xludf.DUMMYFUNCTION("IMPORTRANGE(""https://docs.google.com/spreadsheets/d/11923uPwbBZFjjGgGUA6NLw09EwE0CqkOc4q9oUmW1yo/edit?usp=sharing"",""เชียงราย!J322"")"),0)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IFERROR(__xludf.DUMMYFUNCTION("IMPORTRANGE(""https://docs.google.com/spreadsheets/d/11923uPwbBZFjjGgGUA6NLw09EwE0CqkOc4q9oUmW1yo/edit?usp=sharing"",""เชียงราย!I323"")"),10)</f>
        <v>10</v>
      </c>
      <c r="J428" s="402">
        <f ca="1">IFERROR(__xludf.DUMMYFUNCTION("IMPORTRANGE(""https://docs.google.com/spreadsheets/d/11923uPwbBZFjjGgGUA6NLw09EwE0CqkOc4q9oUmW1yo/edit?usp=sharing"",""เชียงราย!J323"")"),0)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IFERROR(__xludf.DUMMYFUNCTION("IMPORTRANGE(""https://docs.google.com/spreadsheets/d/11923uPwbBZFjjGgGUA6NLw09EwE0CqkOc4q9oUmW1yo/edit?usp=sharing"",""เชียงราย!I324"")"),10)</f>
        <v>10</v>
      </c>
      <c r="J429" s="402">
        <f ca="1">IFERROR(__xludf.DUMMYFUNCTION("IMPORTRANGE(""https://docs.google.com/spreadsheets/d/11923uPwbBZFjjGgGUA6NLw09EwE0CqkOc4q9oUmW1yo/edit?usp=sharing"",""เชียงราย!J324"")"),0)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IFERROR(__xludf.DUMMYFUNCTION("IMPORTRANGE(""https://docs.google.com/spreadsheets/d/11923uPwbBZFjjGgGUA6NLw09EwE0CqkOc4q9oUmW1yo/edit?usp=sharing"",""เชียงราย!I325"")"),48)</f>
        <v>48</v>
      </c>
      <c r="J430" s="400">
        <f ca="1">IFERROR(__xludf.DUMMYFUNCTION("IMPORTRANGE(""https://docs.google.com/spreadsheets/d/11923uPwbBZFjjGgGUA6NLw09EwE0CqkOc4q9oUmW1yo/edit?usp=sharing"",""เชียงราย!J325"")"),0)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IFERROR(__xludf.DUMMYFUNCTION("IMPORTRANGE(""https://docs.google.com/spreadsheets/d/11923uPwbBZFjjGgGUA6NLw09EwE0CqkOc4q9oUmW1yo/edit?usp=sharing"",""เชียงราย!I326"")"),10)</f>
        <v>10</v>
      </c>
      <c r="J431" s="402">
        <f ca="1">IFERROR(__xludf.DUMMYFUNCTION("IMPORTRANGE(""https://docs.google.com/spreadsheets/d/11923uPwbBZFjjGgGUA6NLw09EwE0CqkOc4q9oUmW1yo/edit?usp=sharing"",""เชียงราย!J326"")"),0)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IFERROR(__xludf.DUMMYFUNCTION("IMPORTRANGE(""https://docs.google.com/spreadsheets/d/11923uPwbBZFjjGgGUA6NLw09EwE0CqkOc4q9oUmW1yo/edit?usp=sharing"",""เชียงราย!I327"")"),38)</f>
        <v>38</v>
      </c>
      <c r="J432" s="402">
        <f ca="1">IFERROR(__xludf.DUMMYFUNCTION("IMPORTRANGE(""https://docs.google.com/spreadsheets/d/11923uPwbBZFjjGgGUA6NLw09EwE0CqkOc4q9oUmW1yo/edit?usp=sharing"",""เชียงราย!J327"")"),0)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IFERROR(__xludf.DUMMYFUNCTION("IMPORTRANGE(""https://docs.google.com/spreadsheets/d/11923uPwbBZFjjGgGUA6NLw09EwE0CqkOc4q9oUmW1yo/edit?usp=sharing"",""เชียงราย!J328"")"),0)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IFERROR(__xludf.DUMMYFUNCTION("IMPORTRANGE(""https://docs.google.com/spreadsheets/d/11923uPwbBZFjjGgGUA6NLw09EwE0CqkOc4q9oUmW1yo/edit?usp=sharing"",""เชียงราย!J329"")"),0)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IFERROR(__xludf.DUMMYFUNCTION("IMPORTRANGE(""https://docs.google.com/spreadsheets/d/11923uPwbBZFjjGgGUA6NLw09EwE0CqkOc4q9oUmW1yo/edit?usp=sharing"",""เชียงราย!I330"")"),50)</f>
        <v>50</v>
      </c>
      <c r="J435" s="418">
        <f ca="1">IFERROR(__xludf.DUMMYFUNCTION("IMPORTRANGE(""https://docs.google.com/spreadsheets/d/11923uPwbBZFjjGgGUA6NLw09EwE0CqkOc4q9oUmW1yo/edit?usp=sharing"",""เชียงราย!J330"")"),10)</f>
        <v>10</v>
      </c>
      <c r="K435" s="419">
        <f ca="1">IF(I435&gt;0,J435*100/I435,0)</f>
        <v>20</v>
      </c>
      <c r="L435" s="420">
        <f ca="1">IFERROR(__xludf.DUMMYFUNCTION("IMPORTRANGE(""https://docs.google.com/spreadsheets/d/11923uPwbBZFjjGgGUA6NLw09EwE0CqkOc4q9oUmW1yo/edit?usp=sharing"",""เชียงราย!L330"")"),154800)</f>
        <v>154800</v>
      </c>
      <c r="M435" s="420"/>
      <c r="N435" s="420">
        <f ca="1">IFERROR(__xludf.DUMMYFUNCTION("IMPORTRANGE(""https://docs.google.com/spreadsheets/d/11923uPwbBZFjjGgGUA6NLw09EwE0CqkOc4q9oUmW1yo/edit?usp=sharing"",""เชียงราย!M330"")"),25387)</f>
        <v>25387</v>
      </c>
      <c r="O435" s="420">
        <f t="shared" ref="O435:O439" ca="1" si="114">+IF(L435&gt;0,N435*100/L435,0)</f>
        <v>16.399870801033593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IFERROR(__xludf.DUMMYFUNCTION("IMPORTRANGE(""https://docs.google.com/spreadsheets/d/11923uPwbBZFjjGgGUA6NLw09EwE0CqkOc4q9oUmW1yo/edit?usp=sharing"",""เชียงราย!L331"")"),0)</f>
        <v>0</v>
      </c>
      <c r="M436" s="172"/>
      <c r="N436" s="178">
        <f ca="1">IFERROR(__xludf.DUMMYFUNCTION("IMPORTRANGE(""https://docs.google.com/spreadsheets/d/11923uPwbBZFjjGgGUA6NLw09EwE0CqkOc4q9oUmW1yo/edit?usp=sharing"",""เชียงราย!M331"")"),0)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IFERROR(__xludf.DUMMYFUNCTION("IMPORTRANGE(""https://docs.google.com/spreadsheets/d/11923uPwbBZFjjGgGUA6NLw09EwE0CqkOc4q9oUmW1yo/edit?usp=sharing"",""เชียงราย!L332"")"),154800)</f>
        <v>154800</v>
      </c>
      <c r="M437" s="173"/>
      <c r="N437" s="178">
        <f ca="1">IFERROR(__xludf.DUMMYFUNCTION("IMPORTRANGE(""https://docs.google.com/spreadsheets/d/11923uPwbBZFjjGgGUA6NLw09EwE0CqkOc4q9oUmW1yo/edit?usp=sharing"",""เชียงราย!M332"")"),25387)</f>
        <v>25387</v>
      </c>
      <c r="O437" s="178">
        <f t="shared" ca="1" si="114"/>
        <v>16.399870801033593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IFERROR(__xludf.DUMMYFUNCTION("IMPORTRANGE(""https://docs.google.com/spreadsheets/d/11923uPwbBZFjjGgGUA6NLw09EwE0CqkOc4q9oUmW1yo/edit?usp=sharing"",""เชียงราย!L333"")"),0)</f>
        <v>0</v>
      </c>
      <c r="M438" s="178"/>
      <c r="N438" s="178">
        <f ca="1">IFERROR(__xludf.DUMMYFUNCTION("IMPORTRANGE(""https://docs.google.com/spreadsheets/d/11923uPwbBZFjjGgGUA6NLw09EwE0CqkOc4q9oUmW1yo/edit?usp=sharing"",""เชียงราย!M333"")"),0)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IFERROR(__xludf.DUMMYFUNCTION("IMPORTRANGE(""https://docs.google.com/spreadsheets/d/11923uPwbBZFjjGgGUA6NLw09EwE0CqkOc4q9oUmW1yo/edit?usp=sharing"",""เชียงราย!L334"")"),154800)</f>
        <v>154800</v>
      </c>
      <c r="M439" s="178"/>
      <c r="N439" s="178">
        <f ca="1">IFERROR(__xludf.DUMMYFUNCTION("IMPORTRANGE(""https://docs.google.com/spreadsheets/d/11923uPwbBZFjjGgGUA6NLw09EwE0CqkOc4q9oUmW1yo/edit?usp=sharing"",""เชียงราย!M334"")"),25387)</f>
        <v>25387</v>
      </c>
      <c r="O439" s="178">
        <f t="shared" ca="1" si="114"/>
        <v>16.399870801033593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IFERROR(__xludf.DUMMYFUNCTION("IMPORTRANGE(""https://docs.google.com/spreadsheets/d/11923uPwbBZFjjGgGUA6NLw09EwE0CqkOc4q9oUmW1yo/edit?usp=sharing"",""เชียงราย!M335"")"),23287)</f>
        <v>23287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IFERROR(__xludf.DUMMYFUNCTION("IMPORTRANGE(""https://docs.google.com/spreadsheets/d/11923uPwbBZFjjGgGUA6NLw09EwE0CqkOc4q9oUmW1yo/edit?usp=sharing"",""เชียงราย!M336"")"),0)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IFERROR(__xludf.DUMMYFUNCTION("IMPORTRANGE(""https://docs.google.com/spreadsheets/d/11923uPwbBZFjjGgGUA6NLw09EwE0CqkOc4q9oUmW1yo/edit?usp=sharing"",""เชียงราย!M337"")"),0)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IFERROR(__xludf.DUMMYFUNCTION("IMPORTRANGE(""https://docs.google.com/spreadsheets/d/11923uPwbBZFjjGgGUA6NLw09EwE0CqkOc4q9oUmW1yo/edit?usp=sharing"",""เชียงราย!M338"")"),2100)</f>
        <v>2100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IFERROR(__xludf.DUMMYFUNCTION("IMPORTRANGE(""https://docs.google.com/spreadsheets/d/11923uPwbBZFjjGgGUA6NLw09EwE0CqkOc4q9oUmW1yo/edit?usp=sharing"",""เชียงราย!J340"")"),0)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IFERROR(__xludf.DUMMYFUNCTION("IMPORTRANGE(""https://docs.google.com/spreadsheets/d/11923uPwbBZFjjGgGUA6NLw09EwE0CqkOc4q9oUmW1yo/edit?usp=sharing"",""เชียงราย!J341"")"),1)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IFERROR(__xludf.DUMMYFUNCTION("IMPORTRANGE(""https://docs.google.com/spreadsheets/d/11923uPwbBZFjjGgGUA6NLw09EwE0CqkOc4q9oUmW1yo/edit?usp=sharing"",""เชียงราย!J342"")"),1)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IFERROR(__xludf.DUMMYFUNCTION("IMPORTRANGE(""https://docs.google.com/spreadsheets/d/11923uPwbBZFjjGgGUA6NLw09EwE0CqkOc4q9oUmW1yo/edit?usp=sharing"",""เชียงราย!J343"")"),1)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IFERROR(__xludf.DUMMYFUNCTION("IMPORTRANGE(""https://docs.google.com/spreadsheets/d/11923uPwbBZFjjGgGUA6NLw09EwE0CqkOc4q9oUmW1yo/edit?usp=sharing"",""เชียงราย!I344"")"),50)</f>
        <v>50</v>
      </c>
      <c r="J449" s="210">
        <f ca="1">IFERROR(__xludf.DUMMYFUNCTION("IMPORTRANGE(""https://docs.google.com/spreadsheets/d/11923uPwbBZFjjGgGUA6NLw09EwE0CqkOc4q9oUmW1yo/edit?usp=sharing"",""เชียงราย!J344"")"),10)</f>
        <v>10</v>
      </c>
      <c r="K449" s="171">
        <f t="shared" ref="K449:K452" ca="1" si="115">IF(I449&gt;0,J449*100/I449,0)</f>
        <v>20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IFERROR(__xludf.DUMMYFUNCTION("IMPORTRANGE(""https://docs.google.com/spreadsheets/d/11923uPwbBZFjjGgGUA6NLw09EwE0CqkOc4q9oUmW1yo/edit?usp=sharing"",""เชียงราย!I345"")"),20)</f>
        <v>20</v>
      </c>
      <c r="J450" s="198">
        <f ca="1">IFERROR(__xludf.DUMMYFUNCTION("IMPORTRANGE(""https://docs.google.com/spreadsheets/d/11923uPwbBZFjjGgGUA6NLw09EwE0CqkOc4q9oUmW1yo/edit?usp=sharing"",""เชียงราย!J345"")"),10)</f>
        <v>10</v>
      </c>
      <c r="K450" s="171">
        <f t="shared" ca="1" si="115"/>
        <v>50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IFERROR(__xludf.DUMMYFUNCTION("IMPORTRANGE(""https://docs.google.com/spreadsheets/d/11923uPwbBZFjjGgGUA6NLw09EwE0CqkOc4q9oUmW1yo/edit?usp=sharing"",""เชียงราย!I346"")"),30)</f>
        <v>30</v>
      </c>
      <c r="J451" s="197">
        <f ca="1">IFERROR(__xludf.DUMMYFUNCTION("IMPORTRANGE(""https://docs.google.com/spreadsheets/d/11923uPwbBZFjjGgGUA6NLw09EwE0CqkOc4q9oUmW1yo/edit?usp=sharing"",""เชียงราย!J346"")"),0)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IFERROR(__xludf.DUMMYFUNCTION("IMPORTRANGE(""https://docs.google.com/spreadsheets/d/11923uPwbBZFjjGgGUA6NLw09EwE0CqkOc4q9oUmW1yo/edit?usp=sharing"",""เชียงราย!I347"")"),0)</f>
        <v>0</v>
      </c>
      <c r="J452" s="197">
        <f ca="1">IFERROR(__xludf.DUMMYFUNCTION("IMPORTRANGE(""https://docs.google.com/spreadsheets/d/11923uPwbBZFjjGgGUA6NLw09EwE0CqkOc4q9oUmW1yo/edit?usp=sharing"",""เชียงราย!J347"")"),0)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IFERROR(__xludf.DUMMYFUNCTION("IMPORTRANGE(""https://docs.google.com/spreadsheets/d/11923uPwbBZFjjGgGUA6NLw09EwE0CqkOc4q9oUmW1yo/edit?usp=sharing"",""เชียงราย!J348"")"),0)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IFERROR(__xludf.DUMMYFUNCTION("IMPORTRANGE(""https://docs.google.com/spreadsheets/d/11923uPwbBZFjjGgGUA6NLw09EwE0CqkOc4q9oUmW1yo/edit?usp=sharing"",""เชียงราย!J349"")"),0)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IFERROR(__xludf.DUMMYFUNCTION("IMPORTRANGE(""https://docs.google.com/spreadsheets/d/11923uPwbBZFjjGgGUA6NLw09EwE0CqkOc4q9oUmW1yo/edit?usp=sharing"",""เชียงราย!I350"")"),44814)</f>
        <v>44814</v>
      </c>
      <c r="J455" s="379">
        <f ca="1">IFERROR(__xludf.DUMMYFUNCTION("IMPORTRANGE(""https://docs.google.com/spreadsheets/d/11923uPwbBZFjjGgGUA6NLw09EwE0CqkOc4q9oUmW1yo/edit?usp=sharing"",""เชียงราย!J350"")"),0)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IFERROR(__xludf.DUMMYFUNCTION("IMPORTRANGE(""https://docs.google.com/spreadsheets/d/11923uPwbBZFjjGgGUA6NLw09EwE0CqkOc4q9oUmW1yo/edit?usp=sharing"",""เชียงราย!L350"")"),510553)</f>
        <v>510553</v>
      </c>
      <c r="M455" s="381"/>
      <c r="N455" s="381">
        <f ca="1">IFERROR(__xludf.DUMMYFUNCTION("IMPORTRANGE(""https://docs.google.com/spreadsheets/d/11923uPwbBZFjjGgGUA6NLw09EwE0CqkOc4q9oUmW1yo/edit?usp=sharing"",""เชียงราย!M350"")"),60040)</f>
        <v>60040</v>
      </c>
      <c r="O455" s="381">
        <f t="shared" ref="O455:O459" ca="1" si="116">+IF(L455&gt;0,N455*100/L455,0)</f>
        <v>11.759797709542399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IFERROR(__xludf.DUMMYFUNCTION("IMPORTRANGE(""https://docs.google.com/spreadsheets/d/11923uPwbBZFjjGgGUA6NLw09EwE0CqkOc4q9oUmW1yo/edit?usp=sharing"",""เชียงราย!L351"")"),0)</f>
        <v>0</v>
      </c>
      <c r="M456" s="172"/>
      <c r="N456" s="178">
        <f ca="1">IFERROR(__xludf.DUMMYFUNCTION("IMPORTRANGE(""https://docs.google.com/spreadsheets/d/11923uPwbBZFjjGgGUA6NLw09EwE0CqkOc4q9oUmW1yo/edit?usp=sharing"",""เชียงราย!M351"")"),0)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IFERROR(__xludf.DUMMYFUNCTION("IMPORTRANGE(""https://docs.google.com/spreadsheets/d/11923uPwbBZFjjGgGUA6NLw09EwE0CqkOc4q9oUmW1yo/edit?usp=sharing"",""เชียงราย!L352"")"),510553)</f>
        <v>510553</v>
      </c>
      <c r="M457" s="173"/>
      <c r="N457" s="178">
        <f ca="1">IFERROR(__xludf.DUMMYFUNCTION("IMPORTRANGE(""https://docs.google.com/spreadsheets/d/11923uPwbBZFjjGgGUA6NLw09EwE0CqkOc4q9oUmW1yo/edit?usp=sharing"",""เชียงราย!M352"")"),60040)</f>
        <v>60040</v>
      </c>
      <c r="O457" s="178">
        <f t="shared" ca="1" si="116"/>
        <v>11.759797709542399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IFERROR(__xludf.DUMMYFUNCTION("IMPORTRANGE(""https://docs.google.com/spreadsheets/d/11923uPwbBZFjjGgGUA6NLw09EwE0CqkOc4q9oUmW1yo/edit?usp=sharing"",""เชียงราย!L353"")"),0)</f>
        <v>0</v>
      </c>
      <c r="M458" s="178"/>
      <c r="N458" s="178">
        <f ca="1">IFERROR(__xludf.DUMMYFUNCTION("IMPORTRANGE(""https://docs.google.com/spreadsheets/d/11923uPwbBZFjjGgGUA6NLw09EwE0CqkOc4q9oUmW1yo/edit?usp=sharing"",""เชียงราย!M353"")"),0)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IFERROR(__xludf.DUMMYFUNCTION("IMPORTRANGE(""https://docs.google.com/spreadsheets/d/11923uPwbBZFjjGgGUA6NLw09EwE0CqkOc4q9oUmW1yo/edit?usp=sharing"",""เชียงราย!L354"")"),510553)</f>
        <v>510553</v>
      </c>
      <c r="M459" s="178"/>
      <c r="N459" s="178">
        <f ca="1">IFERROR(__xludf.DUMMYFUNCTION("IMPORTRANGE(""https://docs.google.com/spreadsheets/d/11923uPwbBZFjjGgGUA6NLw09EwE0CqkOc4q9oUmW1yo/edit?usp=sharing"",""เชียงราย!M354"")"),60040)</f>
        <v>60040</v>
      </c>
      <c r="O459" s="178">
        <f t="shared" ca="1" si="116"/>
        <v>11.759797709542399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IFERROR(__xludf.DUMMYFUNCTION("IMPORTRANGE(""https://docs.google.com/spreadsheets/d/11923uPwbBZFjjGgGUA6NLw09EwE0CqkOc4q9oUmW1yo/edit?usp=sharing"",""เชียงราย!M355"")"),0)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IFERROR(__xludf.DUMMYFUNCTION("IMPORTRANGE(""https://docs.google.com/spreadsheets/d/11923uPwbBZFjjGgGUA6NLw09EwE0CqkOc4q9oUmW1yo/edit?usp=sharing"",""เชียงราย!M356"")"),0)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IFERROR(__xludf.DUMMYFUNCTION("IMPORTRANGE(""https://docs.google.com/spreadsheets/d/11923uPwbBZFjjGgGUA6NLw09EwE0CqkOc4q9oUmW1yo/edit?usp=sharing"",""เชียงราย!M357"")"),31500)</f>
        <v>31500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IFERROR(__xludf.DUMMYFUNCTION("IMPORTRANGE(""https://docs.google.com/spreadsheets/d/11923uPwbBZFjjGgGUA6NLw09EwE0CqkOc4q9oUmW1yo/edit?usp=sharing"",""เชียงราย!M358"")"),28540)</f>
        <v>28540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IFERROR(__xludf.DUMMYFUNCTION("IMPORTRANGE(""https://docs.google.com/spreadsheets/d/11923uPwbBZFjjGgGUA6NLw09EwE0CqkOc4q9oUmW1yo/edit?usp=sharing"",""เชียงราย!I359"")"),44814)</f>
        <v>44814</v>
      </c>
      <c r="J464" s="276">
        <f ca="1">IFERROR(__xludf.DUMMYFUNCTION("IMPORTRANGE(""https://docs.google.com/spreadsheets/d/11923uPwbBZFjjGgGUA6NLw09EwE0CqkOc4q9oUmW1yo/edit?usp=sharing"",""เชียงราย!J359"")"),0)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IFERROR(__xludf.DUMMYFUNCTION("IMPORTRANGE(""https://docs.google.com/spreadsheets/d/11923uPwbBZFjjGgGUA6NLw09EwE0CqkOc4q9oUmW1yo/edit?usp=sharing"",""เชียงราย!I360"")"),44814)</f>
        <v>44814</v>
      </c>
      <c r="J465" s="428">
        <f ca="1">IFERROR(__xludf.DUMMYFUNCTION("IMPORTRANGE(""https://docs.google.com/spreadsheets/d/11923uPwbBZFjjGgGUA6NLw09EwE0CqkOc4q9oUmW1yo/edit?usp=sharing"",""เชียงราย!J360"")"),25757.74)</f>
        <v>25757.74</v>
      </c>
      <c r="K465" s="211">
        <f t="shared" ca="1" si="117"/>
        <v>57.476993796581425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IFERROR(__xludf.DUMMYFUNCTION("IMPORTRANGE(""https://docs.google.com/spreadsheets/d/11923uPwbBZFjjGgGUA6NLw09EwE0CqkOc4q9oUmW1yo/edit?usp=sharing"",""เชียงราย!I361"")"),9843)</f>
        <v>9843</v>
      </c>
      <c r="J466" s="428">
        <f ca="1">IFERROR(__xludf.DUMMYFUNCTION("IMPORTRANGE(""https://docs.google.com/spreadsheets/d/11923uPwbBZFjjGgGUA6NLw09EwE0CqkOc4q9oUmW1yo/edit?usp=sharing"",""เชียงราย!J361"")"),5909)</f>
        <v>5909</v>
      </c>
      <c r="K466" s="211">
        <f t="shared" ca="1" si="117"/>
        <v>60.032510413491821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IFERROR(__xludf.DUMMYFUNCTION("IMPORTRANGE(""https://docs.google.com/spreadsheets/d/11923uPwbBZFjjGgGUA6NLw09EwE0CqkOc4q9oUmW1yo/edit?usp=sharing"",""เชียงราย!I362"")"),0)</f>
        <v>0</v>
      </c>
      <c r="J467" s="198">
        <f ca="1">IFERROR(__xludf.DUMMYFUNCTION("IMPORTRANGE(""https://docs.google.com/spreadsheets/d/11923uPwbBZFjjGgGUA6NLw09EwE0CqkOc4q9oUmW1yo/edit?usp=sharing"",""เชียงราย!J362"")"),22512.74)</f>
        <v>22512.74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IFERROR(__xludf.DUMMYFUNCTION("IMPORTRANGE(""https://docs.google.com/spreadsheets/d/11923uPwbBZFjjGgGUA6NLw09EwE0CqkOc4q9oUmW1yo/edit?usp=sharing"",""เชียงราย!I363"")"),0)</f>
        <v>0</v>
      </c>
      <c r="J468" s="198">
        <f ca="1">IFERROR(__xludf.DUMMYFUNCTION("IMPORTRANGE(""https://docs.google.com/spreadsheets/d/11923uPwbBZFjjGgGUA6NLw09EwE0CqkOc4q9oUmW1yo/edit?usp=sharing"",""เชียงราย!J363"")"),5308)</f>
        <v>5308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IFERROR(__xludf.DUMMYFUNCTION("IMPORTRANGE(""https://docs.google.com/spreadsheets/d/11923uPwbBZFjjGgGUA6NLw09EwE0CqkOc4q9oUmW1yo/edit?usp=sharing"",""เชียงราย!I364"")"),0)</f>
        <v>0</v>
      </c>
      <c r="J469" s="198">
        <f ca="1">IFERROR(__xludf.DUMMYFUNCTION("IMPORTRANGE(""https://docs.google.com/spreadsheets/d/11923uPwbBZFjjGgGUA6NLw09EwE0CqkOc4q9oUmW1yo/edit?usp=sharing"",""เชียงราย!J364"")"),3080)</f>
        <v>3080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IFERROR(__xludf.DUMMYFUNCTION("IMPORTRANGE(""https://docs.google.com/spreadsheets/d/11923uPwbBZFjjGgGUA6NLw09EwE0CqkOc4q9oUmW1yo/edit?usp=sharing"",""เชียงราย!I365"")"),0)</f>
        <v>0</v>
      </c>
      <c r="J470" s="198">
        <f ca="1">IFERROR(__xludf.DUMMYFUNCTION("IMPORTRANGE(""https://docs.google.com/spreadsheets/d/11923uPwbBZFjjGgGUA6NLw09EwE0CqkOc4q9oUmW1yo/edit?usp=sharing"",""เชียงราย!J365"")"),556)</f>
        <v>556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IFERROR(__xludf.DUMMYFUNCTION("IMPORTRANGE(""https://docs.google.com/spreadsheets/d/11923uPwbBZFjjGgGUA6NLw09EwE0CqkOc4q9oUmW1yo/edit?usp=sharing"",""เชียงราย!I366"")"),0)</f>
        <v>0</v>
      </c>
      <c r="J471" s="198">
        <f ca="1">IFERROR(__xludf.DUMMYFUNCTION("IMPORTRANGE(""https://docs.google.com/spreadsheets/d/11923uPwbBZFjjGgGUA6NLw09EwE0CqkOc4q9oUmW1yo/edit?usp=sharing"",""เชียงราย!J366"")"),165)</f>
        <v>165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IFERROR(__xludf.DUMMYFUNCTION("IMPORTRANGE(""https://docs.google.com/spreadsheets/d/11923uPwbBZFjjGgGUA6NLw09EwE0CqkOc4q9oUmW1yo/edit?usp=sharing"",""เชียงราย!I367"")"),0)</f>
        <v>0</v>
      </c>
      <c r="J472" s="198">
        <f ca="1">IFERROR(__xludf.DUMMYFUNCTION("IMPORTRANGE(""https://docs.google.com/spreadsheets/d/11923uPwbBZFjjGgGUA6NLw09EwE0CqkOc4q9oUmW1yo/edit?usp=sharing"",""เชียงราย!J367"")"),45)</f>
        <v>45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IFERROR(__xludf.DUMMYFUNCTION("IMPORTRANGE(""https://docs.google.com/spreadsheets/d/11923uPwbBZFjjGgGUA6NLw09EwE0CqkOc4q9oUmW1yo/edit?usp=sharing"",""เชียงราย!I368"")"),44814)</f>
        <v>44814</v>
      </c>
      <c r="J473" s="428">
        <f ca="1">IFERROR(__xludf.DUMMYFUNCTION("IMPORTRANGE(""https://docs.google.com/spreadsheets/d/11923uPwbBZFjjGgGUA6NLw09EwE0CqkOc4q9oUmW1yo/edit?usp=sharing"",""เชียงราย!J368"")"),0)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IFERROR(__xludf.DUMMYFUNCTION("IMPORTRANGE(""https://docs.google.com/spreadsheets/d/11923uPwbBZFjjGgGUA6NLw09EwE0CqkOc4q9oUmW1yo/edit?usp=sharing"",""เชียงราย!I369"")"),9843)</f>
        <v>9843</v>
      </c>
      <c r="J474" s="428">
        <f ca="1">IFERROR(__xludf.DUMMYFUNCTION("IMPORTRANGE(""https://docs.google.com/spreadsheets/d/11923uPwbBZFjjGgGUA6NLw09EwE0CqkOc4q9oUmW1yo/edit?usp=sharing"",""เชียงราย!J369"")"),0)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IFERROR(__xludf.DUMMYFUNCTION("IMPORTRANGE(""https://docs.google.com/spreadsheets/d/11923uPwbBZFjjGgGUA6NLw09EwE0CqkOc4q9oUmW1yo/edit?usp=sharing"",""เชียงราย!I370"")"),0)</f>
        <v>0</v>
      </c>
      <c r="J475" s="198">
        <f ca="1">IFERROR(__xludf.DUMMYFUNCTION("IMPORTRANGE(""https://docs.google.com/spreadsheets/d/11923uPwbBZFjjGgGUA6NLw09EwE0CqkOc4q9oUmW1yo/edit?usp=sharing"",""เชียงราย!J370"")"),0)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IFERROR(__xludf.DUMMYFUNCTION("IMPORTRANGE(""https://docs.google.com/spreadsheets/d/11923uPwbBZFjjGgGUA6NLw09EwE0CqkOc4q9oUmW1yo/edit?usp=sharing"",""เชียงราย!I371"")"),0)</f>
        <v>0</v>
      </c>
      <c r="J476" s="198">
        <f ca="1">IFERROR(__xludf.DUMMYFUNCTION("IMPORTRANGE(""https://docs.google.com/spreadsheets/d/11923uPwbBZFjjGgGUA6NLw09EwE0CqkOc4q9oUmW1yo/edit?usp=sharing"",""เชียงราย!J371"")"),0)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IFERROR(__xludf.DUMMYFUNCTION("IMPORTRANGE(""https://docs.google.com/spreadsheets/d/11923uPwbBZFjjGgGUA6NLw09EwE0CqkOc4q9oUmW1yo/edit?usp=sharing"",""เชียงราย!I372"")"),0)</f>
        <v>0</v>
      </c>
      <c r="J477" s="198">
        <f ca="1">IFERROR(__xludf.DUMMYFUNCTION("IMPORTRANGE(""https://docs.google.com/spreadsheets/d/11923uPwbBZFjjGgGUA6NLw09EwE0CqkOc4q9oUmW1yo/edit?usp=sharing"",""เชียงราย!J372"")"),0)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IFERROR(__xludf.DUMMYFUNCTION("IMPORTRANGE(""https://docs.google.com/spreadsheets/d/11923uPwbBZFjjGgGUA6NLw09EwE0CqkOc4q9oUmW1yo/edit?usp=sharing"",""เชียงราย!I373"")"),0)</f>
        <v>0</v>
      </c>
      <c r="J478" s="198">
        <f ca="1">IFERROR(__xludf.DUMMYFUNCTION("IMPORTRANGE(""https://docs.google.com/spreadsheets/d/11923uPwbBZFjjGgGUA6NLw09EwE0CqkOc4q9oUmW1yo/edit?usp=sharing"",""เชียงราย!J373"")"),0)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IFERROR(__xludf.DUMMYFUNCTION("IMPORTRANGE(""https://docs.google.com/spreadsheets/d/11923uPwbBZFjjGgGUA6NLw09EwE0CqkOc4q9oUmW1yo/edit?usp=sharing"",""เชียงราย!I374"")"),0)</f>
        <v>0</v>
      </c>
      <c r="J479" s="198">
        <f ca="1">IFERROR(__xludf.DUMMYFUNCTION("IMPORTRANGE(""https://docs.google.com/spreadsheets/d/11923uPwbBZFjjGgGUA6NLw09EwE0CqkOc4q9oUmW1yo/edit?usp=sharing"",""เชียงราย!J374"")"),0)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IFERROR(__xludf.DUMMYFUNCTION("IMPORTRANGE(""https://docs.google.com/spreadsheets/d/11923uPwbBZFjjGgGUA6NLw09EwE0CqkOc4q9oUmW1yo/edit?usp=sharing"",""เชียงราย!I375"")"),0)</f>
        <v>0</v>
      </c>
      <c r="J480" s="198">
        <f ca="1">IFERROR(__xludf.DUMMYFUNCTION("IMPORTRANGE(""https://docs.google.com/spreadsheets/d/11923uPwbBZFjjGgGUA6NLw09EwE0CqkOc4q9oUmW1yo/edit?usp=sharing"",""เชียงราย!J375"")"),0)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IFERROR(__xludf.DUMMYFUNCTION("IMPORTRANGE(""https://docs.google.com/spreadsheets/d/11923uPwbBZFjjGgGUA6NLw09EwE0CqkOc4q9oUmW1yo/edit?usp=sharing"",""เชียงราย!I376"")"),44814)</f>
        <v>44814</v>
      </c>
      <c r="J481" s="428">
        <f ca="1">IFERROR(__xludf.DUMMYFUNCTION("IMPORTRANGE(""https://docs.google.com/spreadsheets/d/11923uPwbBZFjjGgGUA6NLw09EwE0CqkOc4q9oUmW1yo/edit?usp=sharing"",""เชียงราย!J376"")"),0)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IFERROR(__xludf.DUMMYFUNCTION("IMPORTRANGE(""https://docs.google.com/spreadsheets/d/11923uPwbBZFjjGgGUA6NLw09EwE0CqkOc4q9oUmW1yo/edit?usp=sharing"",""เชียงราย!I377"")"),9843)</f>
        <v>9843</v>
      </c>
      <c r="J482" s="428">
        <f ca="1">IFERROR(__xludf.DUMMYFUNCTION("IMPORTRANGE(""https://docs.google.com/spreadsheets/d/11923uPwbBZFjjGgGUA6NLw09EwE0CqkOc4q9oUmW1yo/edit?usp=sharing"",""เชียงราย!J377"")"),0)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IFERROR(__xludf.DUMMYFUNCTION("IMPORTRANGE(""https://docs.google.com/spreadsheets/d/11923uPwbBZFjjGgGUA6NLw09EwE0CqkOc4q9oUmW1yo/edit?usp=sharing"",""เชียงราย!I378"")"),0)</f>
        <v>0</v>
      </c>
      <c r="J483" s="198">
        <f ca="1">IFERROR(__xludf.DUMMYFUNCTION("IMPORTRANGE(""https://docs.google.com/spreadsheets/d/11923uPwbBZFjjGgGUA6NLw09EwE0CqkOc4q9oUmW1yo/edit?usp=sharing"",""เชียงราย!J378"")"),0)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IFERROR(__xludf.DUMMYFUNCTION("IMPORTRANGE(""https://docs.google.com/spreadsheets/d/11923uPwbBZFjjGgGUA6NLw09EwE0CqkOc4q9oUmW1yo/edit?usp=sharing"",""เชียงราย!I379"")"),0)</f>
        <v>0</v>
      </c>
      <c r="J484" s="198">
        <f ca="1">IFERROR(__xludf.DUMMYFUNCTION("IMPORTRANGE(""https://docs.google.com/spreadsheets/d/11923uPwbBZFjjGgGUA6NLw09EwE0CqkOc4q9oUmW1yo/edit?usp=sharing"",""เชียงราย!J379"")"),0)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IFERROR(__xludf.DUMMYFUNCTION("IMPORTRANGE(""https://docs.google.com/spreadsheets/d/11923uPwbBZFjjGgGUA6NLw09EwE0CqkOc4q9oUmW1yo/edit?usp=sharing"",""เชียงราย!I380"")"),0)</f>
        <v>0</v>
      </c>
      <c r="J485" s="198">
        <f ca="1">IFERROR(__xludf.DUMMYFUNCTION("IMPORTRANGE(""https://docs.google.com/spreadsheets/d/11923uPwbBZFjjGgGUA6NLw09EwE0CqkOc4q9oUmW1yo/edit?usp=sharing"",""เชียงราย!J380"")"),0)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IFERROR(__xludf.DUMMYFUNCTION("IMPORTRANGE(""https://docs.google.com/spreadsheets/d/11923uPwbBZFjjGgGUA6NLw09EwE0CqkOc4q9oUmW1yo/edit?usp=sharing"",""เชียงราย!I381"")"),0)</f>
        <v>0</v>
      </c>
      <c r="J486" s="198">
        <f ca="1">IFERROR(__xludf.DUMMYFUNCTION("IMPORTRANGE(""https://docs.google.com/spreadsheets/d/11923uPwbBZFjjGgGUA6NLw09EwE0CqkOc4q9oUmW1yo/edit?usp=sharing"",""เชียงราย!J381"")"),0)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IFERROR(__xludf.DUMMYFUNCTION("IMPORTRANGE(""https://docs.google.com/spreadsheets/d/11923uPwbBZFjjGgGUA6NLw09EwE0CqkOc4q9oUmW1yo/edit?usp=sharing"",""เชียงราย!I382"")"),0)</f>
        <v>0</v>
      </c>
      <c r="J487" s="428">
        <f ca="1">IFERROR(__xludf.DUMMYFUNCTION("IMPORTRANGE(""https://docs.google.com/spreadsheets/d/11923uPwbBZFjjGgGUA6NLw09EwE0CqkOc4q9oUmW1yo/edit?usp=sharing"",""เชียงราย!J382"")"),0)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IFERROR(__xludf.DUMMYFUNCTION("IMPORTRANGE(""https://docs.google.com/spreadsheets/d/11923uPwbBZFjjGgGUA6NLw09EwE0CqkOc4q9oUmW1yo/edit?usp=sharing"",""เชียงราย!I383"")"),0)</f>
        <v>0</v>
      </c>
      <c r="J488" s="428">
        <f ca="1">IFERROR(__xludf.DUMMYFUNCTION("IMPORTRANGE(""https://docs.google.com/spreadsheets/d/11923uPwbBZFjjGgGUA6NLw09EwE0CqkOc4q9oUmW1yo/edit?usp=sharing"",""เชียงราย!J383"")"),0)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IFERROR(__xludf.DUMMYFUNCTION("IMPORTRANGE(""https://docs.google.com/spreadsheets/d/11923uPwbBZFjjGgGUA6NLw09EwE0CqkOc4q9oUmW1yo/edit?usp=sharing"",""เชียงราย!I384"")"),0)</f>
        <v>0</v>
      </c>
      <c r="J489" s="198">
        <f ca="1">IFERROR(__xludf.DUMMYFUNCTION("IMPORTRANGE(""https://docs.google.com/spreadsheets/d/11923uPwbBZFjjGgGUA6NLw09EwE0CqkOc4q9oUmW1yo/edit?usp=sharing"",""เชียงราย!J384"")"),0)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IFERROR(__xludf.DUMMYFUNCTION("IMPORTRANGE(""https://docs.google.com/spreadsheets/d/11923uPwbBZFjjGgGUA6NLw09EwE0CqkOc4q9oUmW1yo/edit?usp=sharing"",""เชียงราย!I385"")"),0)</f>
        <v>0</v>
      </c>
      <c r="J490" s="198">
        <f ca="1">IFERROR(__xludf.DUMMYFUNCTION("IMPORTRANGE(""https://docs.google.com/spreadsheets/d/11923uPwbBZFjjGgGUA6NLw09EwE0CqkOc4q9oUmW1yo/edit?usp=sharing"",""เชียงราย!J385"")"),0)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IFERROR(__xludf.DUMMYFUNCTION("IMPORTRANGE(""https://docs.google.com/spreadsheets/d/11923uPwbBZFjjGgGUA6NLw09EwE0CqkOc4q9oUmW1yo/edit?usp=sharing"",""เชียงราย!I386"")"),0)</f>
        <v>0</v>
      </c>
      <c r="J491" s="198">
        <f ca="1">IFERROR(__xludf.DUMMYFUNCTION("IMPORTRANGE(""https://docs.google.com/spreadsheets/d/11923uPwbBZFjjGgGUA6NLw09EwE0CqkOc4q9oUmW1yo/edit?usp=sharing"",""เชียงราย!J386"")"),0)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IFERROR(__xludf.DUMMYFUNCTION("IMPORTRANGE(""https://docs.google.com/spreadsheets/d/11923uPwbBZFjjGgGUA6NLw09EwE0CqkOc4q9oUmW1yo/edit?usp=sharing"",""เชียงราย!I387"")"),0)</f>
        <v>0</v>
      </c>
      <c r="J492" s="198">
        <f ca="1">IFERROR(__xludf.DUMMYFUNCTION("IMPORTRANGE(""https://docs.google.com/spreadsheets/d/11923uPwbBZFjjGgGUA6NLw09EwE0CqkOc4q9oUmW1yo/edit?usp=sharing"",""เชียงราย!J387"")"),0)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IFERROR(__xludf.DUMMYFUNCTION("IMPORTRANGE(""https://docs.google.com/spreadsheets/d/11923uPwbBZFjjGgGUA6NLw09EwE0CqkOc4q9oUmW1yo/edit?usp=sharing"",""เชียงราย!I388"")"),0)</f>
        <v>0</v>
      </c>
      <c r="J493" s="198">
        <f ca="1">IFERROR(__xludf.DUMMYFUNCTION("IMPORTRANGE(""https://docs.google.com/spreadsheets/d/11923uPwbBZFjjGgGUA6NLw09EwE0CqkOc4q9oUmW1yo/edit?usp=sharing"",""เชียงราย!J388"")"),0)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IFERROR(__xludf.DUMMYFUNCTION("IMPORTRANGE(""https://docs.google.com/spreadsheets/d/11923uPwbBZFjjGgGUA6NLw09EwE0CqkOc4q9oUmW1yo/edit?usp=sharing"",""เชียงราย!I389"")"),0)</f>
        <v>0</v>
      </c>
      <c r="J494" s="444">
        <f ca="1">IFERROR(__xludf.DUMMYFUNCTION("IMPORTRANGE(""https://docs.google.com/spreadsheets/d/11923uPwbBZFjjGgGUA6NLw09EwE0CqkOc4q9oUmW1yo/edit?usp=sharing"",""เชียงราย!J389"")"),0)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IFERROR(__xludf.DUMMYFUNCTION("IMPORTRANGE(""https://docs.google.com/spreadsheets/d/11923uPwbBZFjjGgGUA6NLw09EwE0CqkOc4q9oUmW1yo/edit?usp=sharing"",""เชียงราย!I390"")"),0)</f>
        <v>0</v>
      </c>
      <c r="J495" s="444">
        <f ca="1">IFERROR(__xludf.DUMMYFUNCTION("IMPORTRANGE(""https://docs.google.com/spreadsheets/d/11923uPwbBZFjjGgGUA6NLw09EwE0CqkOc4q9oUmW1yo/edit?usp=sharing"",""เชียงราย!J390"")"),0)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IFERROR(__xludf.DUMMYFUNCTION("IMPORTRANGE(""https://docs.google.com/spreadsheets/d/11923uPwbBZFjjGgGUA6NLw09EwE0CqkOc4q9oUmW1yo/edit?usp=sharing"",""เชียงราย!I391"")"),0)</f>
        <v>0</v>
      </c>
      <c r="J496" s="444">
        <f ca="1">IFERROR(__xludf.DUMMYFUNCTION("IMPORTRANGE(""https://docs.google.com/spreadsheets/d/11923uPwbBZFjjGgGUA6NLw09EwE0CqkOc4q9oUmW1yo/edit?usp=sharing"",""เชียงราย!J391"")"),0)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IFERROR(__xludf.DUMMYFUNCTION("IMPORTRANGE(""https://docs.google.com/spreadsheets/d/11923uPwbBZFjjGgGUA6NLw09EwE0CqkOc4q9oUmW1yo/edit?usp=sharing"",""เชียงราย!I392"")"),31)</f>
        <v>31</v>
      </c>
      <c r="J497" s="451">
        <f ca="1">IFERROR(__xludf.DUMMYFUNCTION("IMPORTRANGE(""https://docs.google.com/spreadsheets/d/11923uPwbBZFjjGgGUA6NLw09EwE0CqkOc4q9oUmW1yo/edit?usp=sharing"",""เชียงราย!J392"")"),460)</f>
        <v>460</v>
      </c>
      <c r="K497" s="452">
        <f t="shared" ca="1" si="117"/>
        <v>1483.8709677419354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IFERROR(__xludf.DUMMYFUNCTION("IMPORTRANGE(""https://docs.google.com/spreadsheets/d/11923uPwbBZFjjGgGUA6NLw09EwE0CqkOc4q9oUmW1yo/edit?usp=sharing"",""เชียงราย!I393"")"),31)</f>
        <v>31</v>
      </c>
      <c r="J498" s="428">
        <f ca="1">IFERROR(__xludf.DUMMYFUNCTION("IMPORTRANGE(""https://docs.google.com/spreadsheets/d/11923uPwbBZFjjGgGUA6NLw09EwE0CqkOc4q9oUmW1yo/edit?usp=sharing"",""เชียงราย!J393"")"),460)</f>
        <v>460</v>
      </c>
      <c r="K498" s="171">
        <f t="shared" ca="1" si="117"/>
        <v>1483.8709677419354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IFERROR(__xludf.DUMMYFUNCTION("IMPORTRANGE(""https://docs.google.com/spreadsheets/d/11923uPwbBZFjjGgGUA6NLw09EwE0CqkOc4q9oUmW1yo/edit?usp=sharing"",""เชียงราย!I394"")"),6)</f>
        <v>6</v>
      </c>
      <c r="J499" s="428">
        <f ca="1">IFERROR(__xludf.DUMMYFUNCTION("IMPORTRANGE(""https://docs.google.com/spreadsheets/d/11923uPwbBZFjjGgGUA6NLw09EwE0CqkOc4q9oUmW1yo/edit?usp=sharing"",""เชียงราย!J394"")"),58)</f>
        <v>58</v>
      </c>
      <c r="K499" s="211">
        <f t="shared" ca="1" si="117"/>
        <v>966.66666666666663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IFERROR(__xludf.DUMMYFUNCTION("IMPORTRANGE(""https://docs.google.com/spreadsheets/d/11923uPwbBZFjjGgGUA6NLw09EwE0CqkOc4q9oUmW1yo/edit?usp=sharing"",""เชียงราย!I395"")"),0)</f>
        <v>0</v>
      </c>
      <c r="J500" s="170">
        <f ca="1">IFERROR(__xludf.DUMMYFUNCTION("IMPORTRANGE(""https://docs.google.com/spreadsheets/d/11923uPwbBZFjjGgGUA6NLw09EwE0CqkOc4q9oUmW1yo/edit?usp=sharing"",""เชียงราย!J395"")"),426)</f>
        <v>426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IFERROR(__xludf.DUMMYFUNCTION("IMPORTRANGE(""https://docs.google.com/spreadsheets/d/11923uPwbBZFjjGgGUA6NLw09EwE0CqkOc4q9oUmW1yo/edit?usp=sharing"",""เชียงราย!I396"")"),0)</f>
        <v>0</v>
      </c>
      <c r="J501" s="170">
        <f ca="1">IFERROR(__xludf.DUMMYFUNCTION("IMPORTRANGE(""https://docs.google.com/spreadsheets/d/11923uPwbBZFjjGgGUA6NLw09EwE0CqkOc4q9oUmW1yo/edit?usp=sharing"",""เชียงราย!J396"")"),52)</f>
        <v>52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IFERROR(__xludf.DUMMYFUNCTION("IMPORTRANGE(""https://docs.google.com/spreadsheets/d/11923uPwbBZFjjGgGUA6NLw09EwE0CqkOc4q9oUmW1yo/edit?usp=sharing"",""เชียงราย!I397"")"),0)</f>
        <v>0</v>
      </c>
      <c r="J502" s="198">
        <f ca="1">IFERROR(__xludf.DUMMYFUNCTION("IMPORTRANGE(""https://docs.google.com/spreadsheets/d/11923uPwbBZFjjGgGUA6NLw09EwE0CqkOc4q9oUmW1yo/edit?usp=sharing"",""เชียงราย!J397"")"),426)</f>
        <v>426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IFERROR(__xludf.DUMMYFUNCTION("IMPORTRANGE(""https://docs.google.com/spreadsheets/d/11923uPwbBZFjjGgGUA6NLw09EwE0CqkOc4q9oUmW1yo/edit?usp=sharing"",""เชียงราย!I398"")"),0)</f>
        <v>0</v>
      </c>
      <c r="J503" s="207">
        <f ca="1">IFERROR(__xludf.DUMMYFUNCTION("IMPORTRANGE(""https://docs.google.com/spreadsheets/d/11923uPwbBZFjjGgGUA6NLw09EwE0CqkOc4q9oUmW1yo/edit?usp=sharing"",""เชียงราย!J398"")"),52)</f>
        <v>52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IFERROR(__xludf.DUMMYFUNCTION("IMPORTRANGE(""https://docs.google.com/spreadsheets/d/11923uPwbBZFjjGgGUA6NLw09EwE0CqkOc4q9oUmW1yo/edit?usp=sharing"",""เชียงราย!I399"")"),0)</f>
        <v>0</v>
      </c>
      <c r="J504" s="198">
        <f ca="1">IFERROR(__xludf.DUMMYFUNCTION("IMPORTRANGE(""https://docs.google.com/spreadsheets/d/11923uPwbBZFjjGgGUA6NLw09EwE0CqkOc4q9oUmW1yo/edit?usp=sharing"",""เชียงราย!J399"")"),0)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IFERROR(__xludf.DUMMYFUNCTION("IMPORTRANGE(""https://docs.google.com/spreadsheets/d/11923uPwbBZFjjGgGUA6NLw09EwE0CqkOc4q9oUmW1yo/edit?usp=sharing"",""เชียงราย!I400"")"),0)</f>
        <v>0</v>
      </c>
      <c r="J505" s="207">
        <f ca="1">IFERROR(__xludf.DUMMYFUNCTION("IMPORTRANGE(""https://docs.google.com/spreadsheets/d/11923uPwbBZFjjGgGUA6NLw09EwE0CqkOc4q9oUmW1yo/edit?usp=sharing"",""เชียงราย!J400"")"),0)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IFERROR(__xludf.DUMMYFUNCTION("IMPORTRANGE(""https://docs.google.com/spreadsheets/d/11923uPwbBZFjjGgGUA6NLw09EwE0CqkOc4q9oUmW1yo/edit?usp=sharing"",""เชียงราย!I401"")"),0)</f>
        <v>0</v>
      </c>
      <c r="J506" s="198">
        <f ca="1">IFERROR(__xludf.DUMMYFUNCTION("IMPORTRANGE(""https://docs.google.com/spreadsheets/d/11923uPwbBZFjjGgGUA6NLw09EwE0CqkOc4q9oUmW1yo/edit?usp=sharing"",""เชียงราย!J401"")"),0)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IFERROR(__xludf.DUMMYFUNCTION("IMPORTRANGE(""https://docs.google.com/spreadsheets/d/11923uPwbBZFjjGgGUA6NLw09EwE0CqkOc4q9oUmW1yo/edit?usp=sharing"",""เชียงราย!I402"")"),0)</f>
        <v>0</v>
      </c>
      <c r="J507" s="207">
        <f ca="1">IFERROR(__xludf.DUMMYFUNCTION("IMPORTRANGE(""https://docs.google.com/spreadsheets/d/11923uPwbBZFjjGgGUA6NLw09EwE0CqkOc4q9oUmW1yo/edit?usp=sharing"",""เชียงราย!J402"")"),0)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IFERROR(__xludf.DUMMYFUNCTION("IMPORTRANGE(""https://docs.google.com/spreadsheets/d/11923uPwbBZFjjGgGUA6NLw09EwE0CqkOc4q9oUmW1yo/edit?usp=sharing"",""เชียงราย!I403"")"),0)</f>
        <v>0</v>
      </c>
      <c r="J508" s="170">
        <f ca="1">IFERROR(__xludf.DUMMYFUNCTION("IMPORTRANGE(""https://docs.google.com/spreadsheets/d/11923uPwbBZFjjGgGUA6NLw09EwE0CqkOc4q9oUmW1yo/edit?usp=sharing"",""เชียงราย!J403"")"),34)</f>
        <v>34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IFERROR(__xludf.DUMMYFUNCTION("IMPORTRANGE(""https://docs.google.com/spreadsheets/d/11923uPwbBZFjjGgGUA6NLw09EwE0CqkOc4q9oUmW1yo/edit?usp=sharing"",""เชียงราย!I404"")"),0)</f>
        <v>0</v>
      </c>
      <c r="J509" s="170">
        <f ca="1">IFERROR(__xludf.DUMMYFUNCTION("IMPORTRANGE(""https://docs.google.com/spreadsheets/d/11923uPwbBZFjjGgGUA6NLw09EwE0CqkOc4q9oUmW1yo/edit?usp=sharing"",""เชียงราย!J404"")"),6)</f>
        <v>6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IFERROR(__xludf.DUMMYFUNCTION("IMPORTRANGE(""https://docs.google.com/spreadsheets/d/11923uPwbBZFjjGgGUA6NLw09EwE0CqkOc4q9oUmW1yo/edit?usp=sharing"",""เชียงราย!I405"")"),0)</f>
        <v>0</v>
      </c>
      <c r="J510" s="207">
        <f ca="1">IFERROR(__xludf.DUMMYFUNCTION("IMPORTRANGE(""https://docs.google.com/spreadsheets/d/11923uPwbBZFjjGgGUA6NLw09EwE0CqkOc4q9oUmW1yo/edit?usp=sharing"",""เชียงราย!J405"")"),34)</f>
        <v>34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IFERROR(__xludf.DUMMYFUNCTION("IMPORTRANGE(""https://docs.google.com/spreadsheets/d/11923uPwbBZFjjGgGUA6NLw09EwE0CqkOc4q9oUmW1yo/edit?usp=sharing"",""เชียงราย!I406"")"),0)</f>
        <v>0</v>
      </c>
      <c r="J511" s="207">
        <f ca="1">IFERROR(__xludf.DUMMYFUNCTION("IMPORTRANGE(""https://docs.google.com/spreadsheets/d/11923uPwbBZFjjGgGUA6NLw09EwE0CqkOc4q9oUmW1yo/edit?usp=sharing"",""เชียงราย!J406"")"),6)</f>
        <v>6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IFERROR(__xludf.DUMMYFUNCTION("IMPORTRANGE(""https://docs.google.com/spreadsheets/d/11923uPwbBZFjjGgGUA6NLw09EwE0CqkOc4q9oUmW1yo/edit?usp=sharing"",""เชียงราย!I407"")"),0)</f>
        <v>0</v>
      </c>
      <c r="J512" s="207">
        <f ca="1">IFERROR(__xludf.DUMMYFUNCTION("IMPORTRANGE(""https://docs.google.com/spreadsheets/d/11923uPwbBZFjjGgGUA6NLw09EwE0CqkOc4q9oUmW1yo/edit?usp=sharing"",""เชียงราย!J407"")"),0)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IFERROR(__xludf.DUMMYFUNCTION("IMPORTRANGE(""https://docs.google.com/spreadsheets/d/11923uPwbBZFjjGgGUA6NLw09EwE0CqkOc4q9oUmW1yo/edit?usp=sharing"",""เชียงราย!I408"")"),0)</f>
        <v>0</v>
      </c>
      <c r="J513" s="207">
        <f ca="1">IFERROR(__xludf.DUMMYFUNCTION("IMPORTRANGE(""https://docs.google.com/spreadsheets/d/11923uPwbBZFjjGgGUA6NLw09EwE0CqkOc4q9oUmW1yo/edit?usp=sharing"",""เชียงราย!J408"")"),0)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IFERROR(__xludf.DUMMYFUNCTION("IMPORTRANGE(""https://docs.google.com/spreadsheets/d/11923uPwbBZFjjGgGUA6NLw09EwE0CqkOc4q9oUmW1yo/edit?usp=sharing"",""เชียงราย!I409"")"),0)</f>
        <v>0</v>
      </c>
      <c r="J514" s="207">
        <f ca="1">IFERROR(__xludf.DUMMYFUNCTION("IMPORTRANGE(""https://docs.google.com/spreadsheets/d/11923uPwbBZFjjGgGUA6NLw09EwE0CqkOc4q9oUmW1yo/edit?usp=sharing"",""เชียงราย!J409"")"),0)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IFERROR(__xludf.DUMMYFUNCTION("IMPORTRANGE(""https://docs.google.com/spreadsheets/d/11923uPwbBZFjjGgGUA6NLw09EwE0CqkOc4q9oUmW1yo/edit?usp=sharing"",""เชียงราย!I410"")"),0)</f>
        <v>0</v>
      </c>
      <c r="J515" s="207">
        <f ca="1">IFERROR(__xludf.DUMMYFUNCTION("IMPORTRANGE(""https://docs.google.com/spreadsheets/d/11923uPwbBZFjjGgGUA6NLw09EwE0CqkOc4q9oUmW1yo/edit?usp=sharing"",""เชียงราย!J410"")"),0)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IFERROR(__xludf.DUMMYFUNCTION("IMPORTRANGE(""https://docs.google.com/spreadsheets/d/11923uPwbBZFjjGgGUA6NLw09EwE0CqkOc4q9oUmW1yo/edit?usp=sharing"",""เชียงราย!I411"")"),0)</f>
        <v>0</v>
      </c>
      <c r="J516" s="276">
        <f ca="1">IFERROR(__xludf.DUMMYFUNCTION("IMPORTRANGE(""https://docs.google.com/spreadsheets/d/11923uPwbBZFjjGgGUA6NLw09EwE0CqkOc4q9oUmW1yo/edit?usp=sharing"",""เชียงราย!J411"")"),0)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IFERROR(__xludf.DUMMYFUNCTION("IMPORTRANGE(""https://docs.google.com/spreadsheets/d/11923uPwbBZFjjGgGUA6NLw09EwE0CqkOc4q9oUmW1yo/edit?usp=sharing"",""เชียงราย!I412"")"),0)</f>
        <v>0</v>
      </c>
      <c r="J517" s="292">
        <f ca="1">IFERROR(__xludf.DUMMYFUNCTION("IMPORTRANGE(""https://docs.google.com/spreadsheets/d/11923uPwbBZFjjGgGUA6NLw09EwE0CqkOc4q9oUmW1yo/edit?usp=sharing"",""เชียงราย!J412"")"),0)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IFERROR(__xludf.DUMMYFUNCTION("IMPORTRANGE(""https://docs.google.com/spreadsheets/d/11923uPwbBZFjjGgGUA6NLw09EwE0CqkOc4q9oUmW1yo/edit?usp=sharing"",""เชียงราย!I413"")"),0)</f>
        <v>0</v>
      </c>
      <c r="J518" s="292">
        <f ca="1">IFERROR(__xludf.DUMMYFUNCTION("IMPORTRANGE(""https://docs.google.com/spreadsheets/d/11923uPwbBZFjjGgGUA6NLw09EwE0CqkOc4q9oUmW1yo/edit?usp=sharing"",""เชียงราย!J413"")"),0)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IFERROR(__xludf.DUMMYFUNCTION("IMPORTRANGE(""https://docs.google.com/spreadsheets/d/11923uPwbBZFjjGgGUA6NLw09EwE0CqkOc4q9oUmW1yo/edit?usp=sharing"",""เชียงราย!I414"")"),0)</f>
        <v>0</v>
      </c>
      <c r="J519" s="197">
        <f ca="1">IFERROR(__xludf.DUMMYFUNCTION("IMPORTRANGE(""https://docs.google.com/spreadsheets/d/11923uPwbBZFjjGgGUA6NLw09EwE0CqkOc4q9oUmW1yo/edit?usp=sharing"",""เชียงราย!J414"")"),0)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IFERROR(__xludf.DUMMYFUNCTION("IMPORTRANGE(""https://docs.google.com/spreadsheets/d/11923uPwbBZFjjGgGUA6NLw09EwE0CqkOc4q9oUmW1yo/edit?usp=sharing"",""เชียงราย!I415"")"),0)</f>
        <v>0</v>
      </c>
      <c r="J520" s="197">
        <f ca="1">IFERROR(__xludf.DUMMYFUNCTION("IMPORTRANGE(""https://docs.google.com/spreadsheets/d/11923uPwbBZFjjGgGUA6NLw09EwE0CqkOc4q9oUmW1yo/edit?usp=sharing"",""เชียงราย!J415"")"),0)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IFERROR(__xludf.DUMMYFUNCTION("IMPORTRANGE(""https://docs.google.com/spreadsheets/d/11923uPwbBZFjjGgGUA6NLw09EwE0CqkOc4q9oUmW1yo/edit?usp=sharing"",""เชียงราย!I416"")"),0)</f>
        <v>0</v>
      </c>
      <c r="J521" s="197">
        <f ca="1">IFERROR(__xludf.DUMMYFUNCTION("IMPORTRANGE(""https://docs.google.com/spreadsheets/d/11923uPwbBZFjjGgGUA6NLw09EwE0CqkOc4q9oUmW1yo/edit?usp=sharing"",""เชียงราย!J416"")"),0)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IFERROR(__xludf.DUMMYFUNCTION("IMPORTRANGE(""https://docs.google.com/spreadsheets/d/11923uPwbBZFjjGgGUA6NLw09EwE0CqkOc4q9oUmW1yo/edit?usp=sharing"",""เชียงราย!I417"")"),0)</f>
        <v>0</v>
      </c>
      <c r="J522" s="197">
        <f ca="1">IFERROR(__xludf.DUMMYFUNCTION("IMPORTRANGE(""https://docs.google.com/spreadsheets/d/11923uPwbBZFjjGgGUA6NLw09EwE0CqkOc4q9oUmW1yo/edit?usp=sharing"",""เชียงราย!J417"")"),0)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IFERROR(__xludf.DUMMYFUNCTION("IMPORTRANGE(""https://docs.google.com/spreadsheets/d/11923uPwbBZFjjGgGUA6NLw09EwE0CqkOc4q9oUmW1yo/edit?usp=sharing"",""เชียงราย!I418"")"),0)</f>
        <v>0</v>
      </c>
      <c r="J523" s="197">
        <f ca="1">IFERROR(__xludf.DUMMYFUNCTION("IMPORTRANGE(""https://docs.google.com/spreadsheets/d/11923uPwbBZFjjGgGUA6NLw09EwE0CqkOc4q9oUmW1yo/edit?usp=sharing"",""เชียงราย!J418"")"),0)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IFERROR(__xludf.DUMMYFUNCTION("IMPORTRANGE(""https://docs.google.com/spreadsheets/d/11923uPwbBZFjjGgGUA6NLw09EwE0CqkOc4q9oUmW1yo/edit?usp=sharing"",""เชียงราย!I419"")"),0)</f>
        <v>0</v>
      </c>
      <c r="J524" s="197">
        <f ca="1">IFERROR(__xludf.DUMMYFUNCTION("IMPORTRANGE(""https://docs.google.com/spreadsheets/d/11923uPwbBZFjjGgGUA6NLw09EwE0CqkOc4q9oUmW1yo/edit?usp=sharing"",""เชียงราย!J419"")"),0)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IFERROR(__xludf.DUMMYFUNCTION("IMPORTRANGE(""https://docs.google.com/spreadsheets/d/11923uPwbBZFjjGgGUA6NLw09EwE0CqkOc4q9oUmW1yo/edit?usp=sharing"",""เชียงราย!I420"")"),0)</f>
        <v>0</v>
      </c>
      <c r="J525" s="292">
        <f ca="1">IFERROR(__xludf.DUMMYFUNCTION("IMPORTRANGE(""https://docs.google.com/spreadsheets/d/11923uPwbBZFjjGgGUA6NLw09EwE0CqkOc4q9oUmW1yo/edit?usp=sharing"",""เชียงราย!J420"")"),0)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IFERROR(__xludf.DUMMYFUNCTION("IMPORTRANGE(""https://docs.google.com/spreadsheets/d/11923uPwbBZFjjGgGUA6NLw09EwE0CqkOc4q9oUmW1yo/edit?usp=sharing"",""เชียงราย!I421"")"),0)</f>
        <v>0</v>
      </c>
      <c r="J526" s="292">
        <f ca="1">IFERROR(__xludf.DUMMYFUNCTION("IMPORTRANGE(""https://docs.google.com/spreadsheets/d/11923uPwbBZFjjGgGUA6NLw09EwE0CqkOc4q9oUmW1yo/edit?usp=sharing"",""เชียงราย!J421"")"),0)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IFERROR(__xludf.DUMMYFUNCTION("IMPORTRANGE(""https://docs.google.com/spreadsheets/d/11923uPwbBZFjjGgGUA6NLw09EwE0CqkOc4q9oUmW1yo/edit?usp=sharing"",""เชียงราย!I422"")"),0)</f>
        <v>0</v>
      </c>
      <c r="J527" s="207">
        <f ca="1">IFERROR(__xludf.DUMMYFUNCTION("IMPORTRANGE(""https://docs.google.com/spreadsheets/d/11923uPwbBZFjjGgGUA6NLw09EwE0CqkOc4q9oUmW1yo/edit?usp=sharing"",""เชียงราย!J422"")"),0)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IFERROR(__xludf.DUMMYFUNCTION("IMPORTRANGE(""https://docs.google.com/spreadsheets/d/11923uPwbBZFjjGgGUA6NLw09EwE0CqkOc4q9oUmW1yo/edit?usp=sharing"",""เชียงราย!I423"")"),0)</f>
        <v>0</v>
      </c>
      <c r="J528" s="207">
        <f ca="1">IFERROR(__xludf.DUMMYFUNCTION("IMPORTRANGE(""https://docs.google.com/spreadsheets/d/11923uPwbBZFjjGgGUA6NLw09EwE0CqkOc4q9oUmW1yo/edit?usp=sharing"",""เชียงราย!J423"")"),0)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IFERROR(__xludf.DUMMYFUNCTION("IMPORTRANGE(""https://docs.google.com/spreadsheets/d/11923uPwbBZFjjGgGUA6NLw09EwE0CqkOc4q9oUmW1yo/edit?usp=sharing"",""เชียงราย!I424"")"),0)</f>
        <v>0</v>
      </c>
      <c r="J529" s="207">
        <f ca="1">IFERROR(__xludf.DUMMYFUNCTION("IMPORTRANGE(""https://docs.google.com/spreadsheets/d/11923uPwbBZFjjGgGUA6NLw09EwE0CqkOc4q9oUmW1yo/edit?usp=sharing"",""เชียงราย!J424"")"),0)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IFERROR(__xludf.DUMMYFUNCTION("IMPORTRANGE(""https://docs.google.com/spreadsheets/d/11923uPwbBZFjjGgGUA6NLw09EwE0CqkOc4q9oUmW1yo/edit?usp=sharing"",""เชียงราย!I425"")"),0)</f>
        <v>0</v>
      </c>
      <c r="J530" s="207">
        <f ca="1">IFERROR(__xludf.DUMMYFUNCTION("IMPORTRANGE(""https://docs.google.com/spreadsheets/d/11923uPwbBZFjjGgGUA6NLw09EwE0CqkOc4q9oUmW1yo/edit?usp=sharing"",""เชียงราย!J425"")"),0)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IFERROR(__xludf.DUMMYFUNCTION("IMPORTRANGE(""https://docs.google.com/spreadsheets/d/11923uPwbBZFjjGgGUA6NLw09EwE0CqkOc4q9oUmW1yo/edit?usp=sharing"",""เชียงราย!I426"")"),0)</f>
        <v>0</v>
      </c>
      <c r="J531" s="207">
        <f ca="1">IFERROR(__xludf.DUMMYFUNCTION("IMPORTRANGE(""https://docs.google.com/spreadsheets/d/11923uPwbBZFjjGgGUA6NLw09EwE0CqkOc4q9oUmW1yo/edit?usp=sharing"",""เชียงราย!J426"")"),0)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IFERROR(__xludf.DUMMYFUNCTION("IMPORTRANGE(""https://docs.google.com/spreadsheets/d/11923uPwbBZFjjGgGUA6NLw09EwE0CqkOc4q9oUmW1yo/edit?usp=sharing"",""เชียงราย!I427"")"),0)</f>
        <v>0</v>
      </c>
      <c r="J532" s="474">
        <f ca="1">IFERROR(__xludf.DUMMYFUNCTION("IMPORTRANGE(""https://docs.google.com/spreadsheets/d/11923uPwbBZFjjGgGUA6NLw09EwE0CqkOc4q9oUmW1yo/edit?usp=sharing"",""เชียงราย!J427"")"),0)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IFERROR(__xludf.DUMMYFUNCTION("IMPORTRANGE(""https://docs.google.com/spreadsheets/d/11923uPwbBZFjjGgGUA6NLw09EwE0CqkOc4q9oUmW1yo/edit?usp=sharing"",""เชียงราย!I428"")"),30)</f>
        <v>30</v>
      </c>
      <c r="J533" s="418">
        <f ca="1">IFERROR(__xludf.DUMMYFUNCTION("IMPORTRANGE(""https://docs.google.com/spreadsheets/d/11923uPwbBZFjjGgGUA6NLw09EwE0CqkOc4q9oUmW1yo/edit?usp=sharing"",""เชียงราย!J428"")"),30)</f>
        <v>30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IFERROR(__xludf.DUMMYFUNCTION("IMPORTRANGE(""https://docs.google.com/spreadsheets/d/11923uPwbBZFjjGgGUA6NLw09EwE0CqkOc4q9oUmW1yo/edit?usp=sharing"",""เชียงราย!L428"")"),41150)</f>
        <v>41150</v>
      </c>
      <c r="M533" s="420"/>
      <c r="N533" s="420">
        <f ca="1">IFERROR(__xludf.DUMMYFUNCTION("IMPORTRANGE(""https://docs.google.com/spreadsheets/d/11923uPwbBZFjjGgGUA6NLw09EwE0CqkOc4q9oUmW1yo/edit?usp=sharing"",""เชียงราย!M428"")"),31793)</f>
        <v>31793</v>
      </c>
      <c r="O533" s="420">
        <f t="shared" ref="O533:O537" ca="1" si="118">+IF(L533&gt;0,N533*100/L533,0)</f>
        <v>77.261239368165249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IFERROR(__xludf.DUMMYFUNCTION("IMPORTRANGE(""https://docs.google.com/spreadsheets/d/11923uPwbBZFjjGgGUA6NLw09EwE0CqkOc4q9oUmW1yo/edit?usp=sharing"",""เชียงราย!L429"")"),0)</f>
        <v>0</v>
      </c>
      <c r="M534" s="172"/>
      <c r="N534" s="178">
        <f ca="1">IFERROR(__xludf.DUMMYFUNCTION("IMPORTRANGE(""https://docs.google.com/spreadsheets/d/11923uPwbBZFjjGgGUA6NLw09EwE0CqkOc4q9oUmW1yo/edit?usp=sharing"",""เชียงราย!M429"")"),0)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IFERROR(__xludf.DUMMYFUNCTION("IMPORTRANGE(""https://docs.google.com/spreadsheets/d/11923uPwbBZFjjGgGUA6NLw09EwE0CqkOc4q9oUmW1yo/edit?usp=sharing"",""เชียงราย!L430"")"),41150)</f>
        <v>41150</v>
      </c>
      <c r="M535" s="173"/>
      <c r="N535" s="178">
        <f ca="1">IFERROR(__xludf.DUMMYFUNCTION("IMPORTRANGE(""https://docs.google.com/spreadsheets/d/11923uPwbBZFjjGgGUA6NLw09EwE0CqkOc4q9oUmW1yo/edit?usp=sharing"",""เชียงราย!M430"")"),31793)</f>
        <v>31793</v>
      </c>
      <c r="O535" s="178">
        <f t="shared" ca="1" si="118"/>
        <v>77.261239368165249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IFERROR(__xludf.DUMMYFUNCTION("IMPORTRANGE(""https://docs.google.com/spreadsheets/d/11923uPwbBZFjjGgGUA6NLw09EwE0CqkOc4q9oUmW1yo/edit?usp=sharing"",""เชียงราย!L431"")"),0)</f>
        <v>0</v>
      </c>
      <c r="M536" s="178"/>
      <c r="N536" s="178">
        <f ca="1">IFERROR(__xludf.DUMMYFUNCTION("IMPORTRANGE(""https://docs.google.com/spreadsheets/d/11923uPwbBZFjjGgGUA6NLw09EwE0CqkOc4q9oUmW1yo/edit?usp=sharing"",""เชียงราย!M431"")"),0)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IFERROR(__xludf.DUMMYFUNCTION("IMPORTRANGE(""https://docs.google.com/spreadsheets/d/11923uPwbBZFjjGgGUA6NLw09EwE0CqkOc4q9oUmW1yo/edit?usp=sharing"",""เชียงราย!L432"")"),41150)</f>
        <v>41150</v>
      </c>
      <c r="M537" s="178"/>
      <c r="N537" s="178">
        <f ca="1">IFERROR(__xludf.DUMMYFUNCTION("IMPORTRANGE(""https://docs.google.com/spreadsheets/d/11923uPwbBZFjjGgGUA6NLw09EwE0CqkOc4q9oUmW1yo/edit?usp=sharing"",""เชียงราย!M432"")"),31793)</f>
        <v>31793</v>
      </c>
      <c r="O537" s="178">
        <f t="shared" ca="1" si="118"/>
        <v>77.261239368165249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IFERROR(__xludf.DUMMYFUNCTION("IMPORTRANGE(""https://docs.google.com/spreadsheets/d/11923uPwbBZFjjGgGUA6NLw09EwE0CqkOc4q9oUmW1yo/edit?usp=sharing"",""เชียงราย!M433"")"),31793)</f>
        <v>31793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IFERROR(__xludf.DUMMYFUNCTION("IMPORTRANGE(""https://docs.google.com/spreadsheets/d/11923uPwbBZFjjGgGUA6NLw09EwE0CqkOc4q9oUmW1yo/edit?usp=sharing"",""เชียงราย!M434"")"),0)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IFERROR(__xludf.DUMMYFUNCTION("IMPORTRANGE(""https://docs.google.com/spreadsheets/d/11923uPwbBZFjjGgGUA6NLw09EwE0CqkOc4q9oUmW1yo/edit?usp=sharing"",""เชียงราย!M435"")"),0)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IFERROR(__xludf.DUMMYFUNCTION("IMPORTRANGE(""https://docs.google.com/spreadsheets/d/11923uPwbBZFjjGgGUA6NLw09EwE0CqkOc4q9oUmW1yo/edit?usp=sharing"",""เชียงราย!M436"")"),0)</f>
        <v>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IFERROR(__xludf.DUMMYFUNCTION("IMPORTRANGE(""https://docs.google.com/spreadsheets/d/11923uPwbBZFjjGgGUA6NLw09EwE0CqkOc4q9oUmW1yo/edit?usp=sharing"",""เชียงราย!J438"")"),0)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IFERROR(__xludf.DUMMYFUNCTION("IMPORTRANGE(""https://docs.google.com/spreadsheets/d/11923uPwbBZFjjGgGUA6NLw09EwE0CqkOc4q9oUmW1yo/edit?usp=sharing"",""เชียงราย!J439"")"),1)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IFERROR(__xludf.DUMMYFUNCTION("IMPORTRANGE(""https://docs.google.com/spreadsheets/d/11923uPwbBZFjjGgGUA6NLw09EwE0CqkOc4q9oUmW1yo/edit?usp=sharing"",""เชียงราย!J440"")"),1)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IFERROR(__xludf.DUMMYFUNCTION("IMPORTRANGE(""https://docs.google.com/spreadsheets/d/11923uPwbBZFjjGgGUA6NLw09EwE0CqkOc4q9oUmW1yo/edit?usp=sharing"",""เชียงราย!J441"")"),1)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IFERROR(__xludf.DUMMYFUNCTION("IMPORTRANGE(""https://docs.google.com/spreadsheets/d/11923uPwbBZFjjGgGUA6NLw09EwE0CqkOc4q9oUmW1yo/edit?usp=sharing"",""เชียงราย!I442"")"),30)</f>
        <v>30</v>
      </c>
      <c r="J547" s="198">
        <f ca="1">IFERROR(__xludf.DUMMYFUNCTION("IMPORTRANGE(""https://docs.google.com/spreadsheets/d/11923uPwbBZFjjGgGUA6NLw09EwE0CqkOc4q9oUmW1yo/edit?usp=sharing"",""เชียงราย!J442"")"),30)</f>
        <v>30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IFERROR(__xludf.DUMMYFUNCTION("IMPORTRANGE(""https://docs.google.com/spreadsheets/d/11923uPwbBZFjjGgGUA6NLw09EwE0CqkOc4q9oUmW1yo/edit?usp=sharing"",""เชียงราย!J166"")"),0)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IFERROR(__xludf.DUMMYFUNCTION("IMPORTRANGE(""https://docs.google.com/spreadsheets/d/11923uPwbBZFjjGgGUA6NLw09EwE0CqkOc4q9oUmW1yo/edit?usp=sharing"",""เชียงราย!J444"")"),0)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IFERROR(__xludf.DUMMYFUNCTION("IMPORTRANGE(""https://docs.google.com/spreadsheets/d/11923uPwbBZFjjGgGUA6NLw09EwE0CqkOc4q9oUmW1yo/edit?usp=sharing"",""เชียงราย!J445"")"),0)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IFERROR(__xludf.DUMMYFUNCTION("IMPORTRANGE(""https://docs.google.com/spreadsheets/d/11923uPwbBZFjjGgGUA6NLw09EwE0CqkOc4q9oUmW1yo/edit?usp=sharing"",""เชียงราย!I446"")"),0)</f>
        <v>0</v>
      </c>
      <c r="J551" s="418">
        <f ca="1">IFERROR(__xludf.DUMMYFUNCTION("IMPORTRANGE(""https://docs.google.com/spreadsheets/d/11923uPwbBZFjjGgGUA6NLw09EwE0CqkOc4q9oUmW1yo/edit?usp=sharing"",""เชียงราย!J446"")"),0)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IFERROR(__xludf.DUMMYFUNCTION("IMPORTRANGE(""https://docs.google.com/spreadsheets/d/11923uPwbBZFjjGgGUA6NLw09EwE0CqkOc4q9oUmW1yo/edit?usp=sharing"",""เชียงราย!L446"")"),0)</f>
        <v>0</v>
      </c>
      <c r="M551" s="420"/>
      <c r="N551" s="420">
        <f ca="1">IFERROR(__xludf.DUMMYFUNCTION("IMPORTRANGE(""https://docs.google.com/spreadsheets/d/11923uPwbBZFjjGgGUA6NLw09EwE0CqkOc4q9oUmW1yo/edit?usp=sharing"",""เชียงราย!M446"")"),0)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IFERROR(__xludf.DUMMYFUNCTION("IMPORTRANGE(""https://docs.google.com/spreadsheets/d/11923uPwbBZFjjGgGUA6NLw09EwE0CqkOc4q9oUmW1yo/edit?usp=sharing"",""เชียงราย!L447"")"),0)</f>
        <v>0</v>
      </c>
      <c r="M552" s="172"/>
      <c r="N552" s="178">
        <f ca="1">IFERROR(__xludf.DUMMYFUNCTION("IMPORTRANGE(""https://docs.google.com/spreadsheets/d/11923uPwbBZFjjGgGUA6NLw09EwE0CqkOc4q9oUmW1yo/edit?usp=sharing"",""เชียงราย!M447"")"),0)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IFERROR(__xludf.DUMMYFUNCTION("IMPORTRANGE(""https://docs.google.com/spreadsheets/d/11923uPwbBZFjjGgGUA6NLw09EwE0CqkOc4q9oUmW1yo/edit?usp=sharing"",""เชียงราย!L448"")"),0)</f>
        <v>0</v>
      </c>
      <c r="M553" s="173"/>
      <c r="N553" s="178">
        <f ca="1">IFERROR(__xludf.DUMMYFUNCTION("IMPORTRANGE(""https://docs.google.com/spreadsheets/d/11923uPwbBZFjjGgGUA6NLw09EwE0CqkOc4q9oUmW1yo/edit?usp=sharing"",""เชียงราย!M448"")"),0)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IFERROR(__xludf.DUMMYFUNCTION("IMPORTRANGE(""https://docs.google.com/spreadsheets/d/11923uPwbBZFjjGgGUA6NLw09EwE0CqkOc4q9oUmW1yo/edit?usp=sharing"",""เชียงราย!L449"")"),0)</f>
        <v>0</v>
      </c>
      <c r="M554" s="178"/>
      <c r="N554" s="178">
        <f ca="1">IFERROR(__xludf.DUMMYFUNCTION("IMPORTRANGE(""https://docs.google.com/spreadsheets/d/11923uPwbBZFjjGgGUA6NLw09EwE0CqkOc4q9oUmW1yo/edit?usp=sharing"",""เชียงราย!M449"")"),0)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IFERROR(__xludf.DUMMYFUNCTION("IMPORTRANGE(""https://docs.google.com/spreadsheets/d/11923uPwbBZFjjGgGUA6NLw09EwE0CqkOc4q9oUmW1yo/edit?usp=sharing"",""เชียงราย!L450"")"),0)</f>
        <v>0</v>
      </c>
      <c r="M555" s="178"/>
      <c r="N555" s="178">
        <f ca="1">IFERROR(__xludf.DUMMYFUNCTION("IMPORTRANGE(""https://docs.google.com/spreadsheets/d/11923uPwbBZFjjGgGUA6NLw09EwE0CqkOc4q9oUmW1yo/edit?usp=sharing"",""เชียงราย!M450"")"),0)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IFERROR(__xludf.DUMMYFUNCTION("IMPORTRANGE(""https://docs.google.com/spreadsheets/d/11923uPwbBZFjjGgGUA6NLw09EwE0CqkOc4q9oUmW1yo/edit?usp=sharing"",""เชียงราย!M451"")"),0)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IFERROR(__xludf.DUMMYFUNCTION("IMPORTRANGE(""https://docs.google.com/spreadsheets/d/11923uPwbBZFjjGgGUA6NLw09EwE0CqkOc4q9oUmW1yo/edit?usp=sharing"",""เชียงราย!M452"")"),0)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IFERROR(__xludf.DUMMYFUNCTION("IMPORTRANGE(""https://docs.google.com/spreadsheets/d/11923uPwbBZFjjGgGUA6NLw09EwE0CqkOc4q9oUmW1yo/edit?usp=sharing"",""เชียงราย!M453"")"),0)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IFERROR(__xludf.DUMMYFUNCTION("IMPORTRANGE(""https://docs.google.com/spreadsheets/d/11923uPwbBZFjjGgGUA6NLw09EwE0CqkOc4q9oUmW1yo/edit?usp=sharing"",""เชียงราย!M454"")"),0)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IFERROR(__xludf.DUMMYFUNCTION("IMPORTRANGE(""https://docs.google.com/spreadsheets/d/11923uPwbBZFjjGgGUA6NLw09EwE0CqkOc4q9oUmW1yo/edit?usp=sharing"",""เชียงราย!I455"")"),0)</f>
        <v>0</v>
      </c>
      <c r="J560" s="170">
        <f ca="1">IFERROR(__xludf.DUMMYFUNCTION("IMPORTRANGE(""https://docs.google.com/spreadsheets/d/11923uPwbBZFjjGgGUA6NLw09EwE0CqkOc4q9oUmW1yo/edit?usp=sharing"",""เชียงราย!J455"")"),0)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IFERROR(__xludf.DUMMYFUNCTION("IMPORTRANGE(""https://docs.google.com/spreadsheets/d/11923uPwbBZFjjGgGUA6NLw09EwE0CqkOc4q9oUmW1yo/edit?usp=sharing"",""เชียงราย!I456"")"),0)</f>
        <v>0</v>
      </c>
      <c r="J561" s="213">
        <f ca="1">IFERROR(__xludf.DUMMYFUNCTION("IMPORTRANGE(""https://docs.google.com/spreadsheets/d/11923uPwbBZFjjGgGUA6NLw09EwE0CqkOc4q9oUmW1yo/edit?usp=sharing"",""เชียงราย!J456"")"),0)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IFERROR(__xludf.DUMMYFUNCTION("IMPORTRANGE(""https://docs.google.com/spreadsheets/d/11923uPwbBZFjjGgGUA6NLw09EwE0CqkOc4q9oUmW1yo/edit?usp=sharing"",""เชียงราย!I457"")"),"")</f>
        <v/>
      </c>
      <c r="J562" s="213" t="str">
        <f ca="1">IFERROR(__xludf.DUMMYFUNCTION("IMPORTRANGE(""https://docs.google.com/spreadsheets/d/11923uPwbBZFjjGgGUA6NLw09EwE0CqkOc4q9oUmW1yo/edit?usp=sharing"",""เชียงราย!J457"")"),"")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IFERROR(__xludf.DUMMYFUNCTION("IMPORTRANGE(""https://docs.google.com/spreadsheets/d/11923uPwbBZFjjGgGUA6NLw09EwE0CqkOc4q9oUmW1yo/edit?usp=sharing"",""เชียงราย!I458"")"),"")</f>
        <v/>
      </c>
      <c r="J563" s="197" t="str">
        <f ca="1">IFERROR(__xludf.DUMMYFUNCTION("IMPORTRANGE(""https://docs.google.com/spreadsheets/d/11923uPwbBZFjjGgGUA6NLw09EwE0CqkOc4q9oUmW1yo/edit?usp=sharing"",""เชียงราย!J458"")"),"")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IFERROR(__xludf.DUMMYFUNCTION("IMPORTRANGE(""https://docs.google.com/spreadsheets/d/11923uPwbBZFjjGgGUA6NLw09EwE0CqkOc4q9oUmW1yo/edit?usp=sharing"",""เชียงราย!I459"")"),3400)</f>
        <v>3400</v>
      </c>
      <c r="J564" s="379">
        <f ca="1">IFERROR(__xludf.DUMMYFUNCTION("IMPORTRANGE(""https://docs.google.com/spreadsheets/d/11923uPwbBZFjjGgGUA6NLw09EwE0CqkOc4q9oUmW1yo/edit?usp=sharing"",""เชียงราย!J459"")"),2231)</f>
        <v>2231</v>
      </c>
      <c r="K564" s="380">
        <f t="shared" ca="1" si="121"/>
        <v>65.617647058823536</v>
      </c>
      <c r="L564" s="381">
        <f ca="1">IFERROR(__xludf.DUMMYFUNCTION("IMPORTRANGE(""https://docs.google.com/spreadsheets/d/11923uPwbBZFjjGgGUA6NLw09EwE0CqkOc4q9oUmW1yo/edit?usp=sharing"",""เชียงราย!L459"")"),165600)</f>
        <v>165600</v>
      </c>
      <c r="M564" s="381"/>
      <c r="N564" s="381">
        <f ca="1">IFERROR(__xludf.DUMMYFUNCTION("IMPORTRANGE(""https://docs.google.com/spreadsheets/d/11923uPwbBZFjjGgGUA6NLw09EwE0CqkOc4q9oUmW1yo/edit?usp=sharing"",""เชียงราย!M459"")"),31500)</f>
        <v>31500</v>
      </c>
      <c r="O564" s="381">
        <f t="shared" ref="O564:O568" ca="1" si="122">+IF(L564&gt;0,N564*100/L564,0)</f>
        <v>19.021739130434781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IFERROR(__xludf.DUMMYFUNCTION("IMPORTRANGE(""https://docs.google.com/spreadsheets/d/11923uPwbBZFjjGgGUA6NLw09EwE0CqkOc4q9oUmW1yo/edit?usp=sharing"",""เชียงราย!L460"")"),0)</f>
        <v>0</v>
      </c>
      <c r="M565" s="172"/>
      <c r="N565" s="178">
        <f ca="1">IFERROR(__xludf.DUMMYFUNCTION("IMPORTRANGE(""https://docs.google.com/spreadsheets/d/11923uPwbBZFjjGgGUA6NLw09EwE0CqkOc4q9oUmW1yo/edit?usp=sharing"",""เชียงราย!M460"")"),0)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IFERROR(__xludf.DUMMYFUNCTION("IMPORTRANGE(""https://docs.google.com/spreadsheets/d/11923uPwbBZFjjGgGUA6NLw09EwE0CqkOc4q9oUmW1yo/edit?usp=sharing"",""เชียงราย!L461"")"),165600)</f>
        <v>165600</v>
      </c>
      <c r="M566" s="173"/>
      <c r="N566" s="178">
        <f ca="1">IFERROR(__xludf.DUMMYFUNCTION("IMPORTRANGE(""https://docs.google.com/spreadsheets/d/11923uPwbBZFjjGgGUA6NLw09EwE0CqkOc4q9oUmW1yo/edit?usp=sharing"",""เชียงราย!M461"")"),31500)</f>
        <v>31500</v>
      </c>
      <c r="O566" s="178">
        <f t="shared" ca="1" si="122"/>
        <v>19.021739130434781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IFERROR(__xludf.DUMMYFUNCTION("IMPORTRANGE(""https://docs.google.com/spreadsheets/d/11923uPwbBZFjjGgGUA6NLw09EwE0CqkOc4q9oUmW1yo/edit?usp=sharing"",""เชียงราย!L462"")"),0)</f>
        <v>0</v>
      </c>
      <c r="M567" s="178"/>
      <c r="N567" s="178">
        <f ca="1">IFERROR(__xludf.DUMMYFUNCTION("IMPORTRANGE(""https://docs.google.com/spreadsheets/d/11923uPwbBZFjjGgGUA6NLw09EwE0CqkOc4q9oUmW1yo/edit?usp=sharing"",""เชียงราย!M462"")"),0)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IFERROR(__xludf.DUMMYFUNCTION("IMPORTRANGE(""https://docs.google.com/spreadsheets/d/11923uPwbBZFjjGgGUA6NLw09EwE0CqkOc4q9oUmW1yo/edit?usp=sharing"",""เชียงราย!L463"")"),165600)</f>
        <v>165600</v>
      </c>
      <c r="M568" s="178"/>
      <c r="N568" s="178">
        <f ca="1">IFERROR(__xludf.DUMMYFUNCTION("IMPORTRANGE(""https://docs.google.com/spreadsheets/d/11923uPwbBZFjjGgGUA6NLw09EwE0CqkOc4q9oUmW1yo/edit?usp=sharing"",""เชียงราย!M463"")"),31500)</f>
        <v>31500</v>
      </c>
      <c r="O568" s="178">
        <f t="shared" ca="1" si="122"/>
        <v>19.021739130434781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IFERROR(__xludf.DUMMYFUNCTION("IMPORTRANGE(""https://docs.google.com/spreadsheets/d/11923uPwbBZFjjGgGUA6NLw09EwE0CqkOc4q9oUmW1yo/edit?usp=sharing"",""เชียงราย!M464"")"),0)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IFERROR(__xludf.DUMMYFUNCTION("IMPORTRANGE(""https://docs.google.com/spreadsheets/d/11923uPwbBZFjjGgGUA6NLw09EwE0CqkOc4q9oUmW1yo/edit?usp=sharing"",""เชียงราย!M465"")"),0)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IFERROR(__xludf.DUMMYFUNCTION("IMPORTRANGE(""https://docs.google.com/spreadsheets/d/11923uPwbBZFjjGgGUA6NLw09EwE0CqkOc4q9oUmW1yo/edit?usp=sharing"",""เชียงราย!M466"")"),31500)</f>
        <v>31500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IFERROR(__xludf.DUMMYFUNCTION("IMPORTRANGE(""https://docs.google.com/spreadsheets/d/11923uPwbBZFjjGgGUA6NLw09EwE0CqkOc4q9oUmW1yo/edit?usp=sharing"",""เชียงราย!M467"")"),0)</f>
        <v>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IFERROR(__xludf.DUMMYFUNCTION("IMPORTRANGE(""https://docs.google.com/spreadsheets/d/11923uPwbBZFjjGgGUA6NLw09EwE0CqkOc4q9oUmW1yo/edit?usp=sharing"",""เชียงราย!I468"")"),3400)</f>
        <v>3400</v>
      </c>
      <c r="J573" s="428">
        <f ca="1">IFERROR(__xludf.DUMMYFUNCTION("IMPORTRANGE(""https://docs.google.com/spreadsheets/d/11923uPwbBZFjjGgGUA6NLw09EwE0CqkOc4q9oUmW1yo/edit?usp=sharing"",""เชียงราย!J468"")"),2231)</f>
        <v>2231</v>
      </c>
      <c r="K573" s="211">
        <f ca="1">IF(I573&gt;0,J573*100/I573,0)</f>
        <v>65.617647058823536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IFERROR(__xludf.DUMMYFUNCTION("IMPORTRANGE(""https://docs.google.com/spreadsheets/d/11923uPwbBZFjjGgGUA6NLw09EwE0CqkOc4q9oUmW1yo/edit?usp=sharing"",""เชียงราย!I470"")"),0)</f>
        <v>0</v>
      </c>
      <c r="J575" s="207">
        <f ca="1">IFERROR(__xludf.DUMMYFUNCTION("IMPORTRANGE(""https://docs.google.com/spreadsheets/d/11923uPwbBZFjjGgGUA6NLw09EwE0CqkOc4q9oUmW1yo/edit?usp=sharing"",""เชียงราย!J470"")"),2)</f>
        <v>2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IFERROR(__xludf.DUMMYFUNCTION("IMPORTRANGE(""https://docs.google.com/spreadsheets/d/11923uPwbBZFjjGgGUA6NLw09EwE0CqkOc4q9oUmW1yo/edit?usp=sharing"",""เชียงราย!I471"")"),0)</f>
        <v>0</v>
      </c>
      <c r="J576" s="207">
        <f ca="1">IFERROR(__xludf.DUMMYFUNCTION("IMPORTRANGE(""https://docs.google.com/spreadsheets/d/11923uPwbBZFjjGgGUA6NLw09EwE0CqkOc4q9oUmW1yo/edit?usp=sharing"",""เชียงราย!J471"")"),160)</f>
        <v>160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IFERROR(__xludf.DUMMYFUNCTION("IMPORTRANGE(""https://docs.google.com/spreadsheets/d/11923uPwbBZFjjGgGUA6NLw09EwE0CqkOc4q9oUmW1yo/edit?usp=sharing"",""เชียงราย!I472"")"),0)</f>
        <v>0</v>
      </c>
      <c r="J577" s="198">
        <f ca="1">IFERROR(__xludf.DUMMYFUNCTION("IMPORTRANGE(""https://docs.google.com/spreadsheets/d/11923uPwbBZFjjGgGUA6NLw09EwE0CqkOc4q9oUmW1yo/edit?usp=sharing"",""เชียงราย!J472"")"),2052)</f>
        <v>2052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IFERROR(__xludf.DUMMYFUNCTION("IMPORTRANGE(""https://docs.google.com/spreadsheets/d/11923uPwbBZFjjGgGUA6NLw09EwE0CqkOc4q9oUmW1yo/edit?usp=sharing"",""เชียงราย!I473"")"),0)</f>
        <v>0</v>
      </c>
      <c r="J578" s="207">
        <f ca="1">IFERROR(__xludf.DUMMYFUNCTION("IMPORTRANGE(""https://docs.google.com/spreadsheets/d/11923uPwbBZFjjGgGUA6NLw09EwE0CqkOc4q9oUmW1yo/edit?usp=sharing"",""เชียงราย!J473"")"),7)</f>
        <v>7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IFERROR(__xludf.DUMMYFUNCTION("IMPORTRANGE(""https://docs.google.com/spreadsheets/d/11923uPwbBZFjjGgGUA6NLw09EwE0CqkOc4q9oUmW1yo/edit?usp=sharing"",""เชียงราย!I474"")"),0)</f>
        <v>0</v>
      </c>
      <c r="J579" s="207">
        <f ca="1">IFERROR(__xludf.DUMMYFUNCTION("IMPORTRANGE(""https://docs.google.com/spreadsheets/d/11923uPwbBZFjjGgGUA6NLw09EwE0CqkOc4q9oUmW1yo/edit?usp=sharing"",""เชียงราย!J474"")"),12)</f>
        <v>12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IFERROR(__xludf.DUMMYFUNCTION("IMPORTRANGE(""https://docs.google.com/spreadsheets/d/11923uPwbBZFjjGgGUA6NLw09EwE0CqkOc4q9oUmW1yo/edit?usp=sharing"",""เชียงราย!I475"")"),176)</f>
        <v>176</v>
      </c>
      <c r="J580" s="379">
        <f ca="1">IFERROR(__xludf.DUMMYFUNCTION("IMPORTRANGE(""https://docs.google.com/spreadsheets/d/11923uPwbBZFjjGgGUA6NLw09EwE0CqkOc4q9oUmW1yo/edit?usp=sharing"",""เชียงราย!J475"")"),0)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IFERROR(__xludf.DUMMYFUNCTION("IMPORTRANGE(""https://docs.google.com/spreadsheets/d/11923uPwbBZFjjGgGUA6NLw09EwE0CqkOc4q9oUmW1yo/edit?usp=sharing"",""เชียงราย!L475"")"),359076)</f>
        <v>359076</v>
      </c>
      <c r="M580" s="381"/>
      <c r="N580" s="381">
        <f ca="1">IFERROR(__xludf.DUMMYFUNCTION("IMPORTRANGE(""https://docs.google.com/spreadsheets/d/11923uPwbBZFjjGgGUA6NLw09EwE0CqkOc4q9oUmW1yo/edit?usp=sharing"",""เชียงราย!M475"")"),39520)</f>
        <v>39520</v>
      </c>
      <c r="O580" s="381">
        <f t="shared" ref="O580:O584" ca="1" si="124">+IF(L580&gt;0,N580*100/L580,0)</f>
        <v>11.006026579331396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IFERROR(__xludf.DUMMYFUNCTION("IMPORTRANGE(""https://docs.google.com/spreadsheets/d/11923uPwbBZFjjGgGUA6NLw09EwE0CqkOc4q9oUmW1yo/edit?usp=sharing"",""เชียงราย!L476"")"),0)</f>
        <v>0</v>
      </c>
      <c r="M581" s="172"/>
      <c r="N581" s="178">
        <f ca="1">IFERROR(__xludf.DUMMYFUNCTION("IMPORTRANGE(""https://docs.google.com/spreadsheets/d/11923uPwbBZFjjGgGUA6NLw09EwE0CqkOc4q9oUmW1yo/edit?usp=sharing"",""เชียงราย!M476"")"),0)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IFERROR(__xludf.DUMMYFUNCTION("IMPORTRANGE(""https://docs.google.com/spreadsheets/d/11923uPwbBZFjjGgGUA6NLw09EwE0CqkOc4q9oUmW1yo/edit?usp=sharing"",""เชียงราย!L477"")"),359076)</f>
        <v>359076</v>
      </c>
      <c r="M582" s="173"/>
      <c r="N582" s="178">
        <f ca="1">IFERROR(__xludf.DUMMYFUNCTION("IMPORTRANGE(""https://docs.google.com/spreadsheets/d/11923uPwbBZFjjGgGUA6NLw09EwE0CqkOc4q9oUmW1yo/edit?usp=sharing"",""เชียงราย!M477"")"),39520)</f>
        <v>39520</v>
      </c>
      <c r="O582" s="178">
        <f t="shared" ca="1" si="124"/>
        <v>11.006026579331396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IFERROR(__xludf.DUMMYFUNCTION("IMPORTRANGE(""https://docs.google.com/spreadsheets/d/11923uPwbBZFjjGgGUA6NLw09EwE0CqkOc4q9oUmW1yo/edit?usp=sharing"",""เชียงราย!L478"")"),0)</f>
        <v>0</v>
      </c>
      <c r="M583" s="178"/>
      <c r="N583" s="178">
        <f ca="1">IFERROR(__xludf.DUMMYFUNCTION("IMPORTRANGE(""https://docs.google.com/spreadsheets/d/11923uPwbBZFjjGgGUA6NLw09EwE0CqkOc4q9oUmW1yo/edit?usp=sharing"",""เชียงราย!M478"")"),0)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IFERROR(__xludf.DUMMYFUNCTION("IMPORTRANGE(""https://docs.google.com/spreadsheets/d/11923uPwbBZFjjGgGUA6NLw09EwE0CqkOc4q9oUmW1yo/edit?usp=sharing"",""เชียงราย!L479"")"),359076)</f>
        <v>359076</v>
      </c>
      <c r="M584" s="178"/>
      <c r="N584" s="178">
        <f ca="1">IFERROR(__xludf.DUMMYFUNCTION("IMPORTRANGE(""https://docs.google.com/spreadsheets/d/11923uPwbBZFjjGgGUA6NLw09EwE0CqkOc4q9oUmW1yo/edit?usp=sharing"",""เชียงราย!M479"")"),39520)</f>
        <v>39520</v>
      </c>
      <c r="O584" s="178">
        <f t="shared" ca="1" si="124"/>
        <v>11.006026579331396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IFERROR(__xludf.DUMMYFUNCTION("IMPORTRANGE(""https://docs.google.com/spreadsheets/d/11923uPwbBZFjjGgGUA6NLw09EwE0CqkOc4q9oUmW1yo/edit?usp=sharing"",""เชียงราย!M480"")"),0)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IFERROR(__xludf.DUMMYFUNCTION("IMPORTRANGE(""https://docs.google.com/spreadsheets/d/11923uPwbBZFjjGgGUA6NLw09EwE0CqkOc4q9oUmW1yo/edit?usp=sharing"",""เชียงราย!M481"")"),0)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IFERROR(__xludf.DUMMYFUNCTION("IMPORTRANGE(""https://docs.google.com/spreadsheets/d/11923uPwbBZFjjGgGUA6NLw09EwE0CqkOc4q9oUmW1yo/edit?usp=sharing"",""เชียงราย!M482"")"),28500)</f>
        <v>28500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IFERROR(__xludf.DUMMYFUNCTION("IMPORTRANGE(""https://docs.google.com/spreadsheets/d/11923uPwbBZFjjGgGUA6NLw09EwE0CqkOc4q9oUmW1yo/edit?usp=sharing"",""เชียงราย!M483"")"),11020)</f>
        <v>11020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IFERROR(__xludf.DUMMYFUNCTION("IMPORTRANGE(""https://docs.google.com/spreadsheets/d/11923uPwbBZFjjGgGUA6NLw09EwE0CqkOc4q9oUmW1yo/edit?usp=sharing"",""เชียงราย!I484"")"),176)</f>
        <v>176</v>
      </c>
      <c r="J589" s="197">
        <f ca="1">IFERROR(__xludf.DUMMYFUNCTION("IMPORTRANGE(""https://docs.google.com/spreadsheets/d/11923uPwbBZFjjGgGUA6NLw09EwE0CqkOc4q9oUmW1yo/edit?usp=sharing"",""เชียงราย!J484"")"),54)</f>
        <v>54</v>
      </c>
      <c r="K589" s="171">
        <f t="shared" ref="K589:K596" ca="1" si="125">IF(I589&gt;0,J589*100/I589,0)</f>
        <v>30.681818181818183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IFERROR(__xludf.DUMMYFUNCTION("IMPORTRANGE(""https://docs.google.com/spreadsheets/d/11923uPwbBZFjjGgGUA6NLw09EwE0CqkOc4q9oUmW1yo/edit?usp=sharing"",""เชียงราย!I485"")"),0)</f>
        <v>0</v>
      </c>
      <c r="J590" s="197">
        <f ca="1">IFERROR(__xludf.DUMMYFUNCTION("IMPORTRANGE(""https://docs.google.com/spreadsheets/d/11923uPwbBZFjjGgGUA6NLw09EwE0CqkOc4q9oUmW1yo/edit?usp=sharing"",""เชียงราย!J485"")"),32.73)</f>
        <v>32.729999999999997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IFERROR(__xludf.DUMMYFUNCTION("IMPORTRANGE(""https://docs.google.com/spreadsheets/d/11923uPwbBZFjjGgGUA6NLw09EwE0CqkOc4q9oUmW1yo/edit?usp=sharing"",""เชียงราย!I486"")"),176)</f>
        <v>176</v>
      </c>
      <c r="J591" s="197">
        <f ca="1">IFERROR(__xludf.DUMMYFUNCTION("IMPORTRANGE(""https://docs.google.com/spreadsheets/d/11923uPwbBZFjjGgGUA6NLw09EwE0CqkOc4q9oUmW1yo/edit?usp=sharing"",""เชียงราย!J486"")"),0)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IFERROR(__xludf.DUMMYFUNCTION("IMPORTRANGE(""https://docs.google.com/spreadsheets/d/11923uPwbBZFjjGgGUA6NLw09EwE0CqkOc4q9oUmW1yo/edit?usp=sharing"",""เชียงราย!I487"")"),0)</f>
        <v>0</v>
      </c>
      <c r="J592" s="197">
        <f ca="1">IFERROR(__xludf.DUMMYFUNCTION("IMPORTRANGE(""https://docs.google.com/spreadsheets/d/11923uPwbBZFjjGgGUA6NLw09EwE0CqkOc4q9oUmW1yo/edit?usp=sharing"",""เชียงราย!J487"")"),0)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IFERROR(__xludf.DUMMYFUNCTION("IMPORTRANGE(""https://docs.google.com/spreadsheets/d/11923uPwbBZFjjGgGUA6NLw09EwE0CqkOc4q9oUmW1yo/edit?usp=sharing"",""เชียงราย!I488"")"),176)</f>
        <v>176</v>
      </c>
      <c r="J593" s="197">
        <f ca="1">IFERROR(__xludf.DUMMYFUNCTION("IMPORTRANGE(""https://docs.google.com/spreadsheets/d/11923uPwbBZFjjGgGUA6NLw09EwE0CqkOc4q9oUmW1yo/edit?usp=sharing"",""เชียงราย!J488"")"),0)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IFERROR(__xludf.DUMMYFUNCTION("IMPORTRANGE(""https://docs.google.com/spreadsheets/d/11923uPwbBZFjjGgGUA6NLw09EwE0CqkOc4q9oUmW1yo/edit?usp=sharing"",""เชียงราย!I489"")"),0)</f>
        <v>0</v>
      </c>
      <c r="J594" s="197">
        <f ca="1">IFERROR(__xludf.DUMMYFUNCTION("IMPORTRANGE(""https://docs.google.com/spreadsheets/d/11923uPwbBZFjjGgGUA6NLw09EwE0CqkOc4q9oUmW1yo/edit?usp=sharing"",""เชียงราย!J489"")"),0)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IFERROR(__xludf.DUMMYFUNCTION("IMPORTRANGE(""https://docs.google.com/spreadsheets/d/11923uPwbBZFjjGgGUA6NLw09EwE0CqkOc4q9oUmW1yo/edit?usp=sharing"",""เชียงราย!I490"")"),176)</f>
        <v>176</v>
      </c>
      <c r="J595" s="197">
        <f ca="1">IFERROR(__xludf.DUMMYFUNCTION("IMPORTRANGE(""https://docs.google.com/spreadsheets/d/11923uPwbBZFjjGgGUA6NLw09EwE0CqkOc4q9oUmW1yo/edit?usp=sharing"",""เชียงราย!J490"")"),0)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IFERROR(__xludf.DUMMYFUNCTION("IMPORTRANGE(""https://docs.google.com/spreadsheets/d/11923uPwbBZFjjGgGUA6NLw09EwE0CqkOc4q9oUmW1yo/edit?usp=sharing"",""เชียงราย!I491"")"),0)</f>
        <v>0</v>
      </c>
      <c r="J596" s="250">
        <f ca="1">IFERROR(__xludf.DUMMYFUNCTION("IMPORTRANGE(""https://docs.google.com/spreadsheets/d/11923uPwbBZFjjGgGUA6NLw09EwE0CqkOc4q9oUmW1yo/edit?usp=sharing"",""เชียงราย!J491"")"),0)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IFERROR(__xludf.DUMMYFUNCTION("IMPORTRANGE(""https://docs.google.com/spreadsheets/d/11923uPwbBZFjjGgGUA6NLw09EwE0CqkOc4q9oUmW1yo/edit?usp=sharing"",""เชียงราย!I492"")"),220)</f>
        <v>220</v>
      </c>
      <c r="J597" s="495">
        <f ca="1">IFERROR(__xludf.DUMMYFUNCTION("IMPORTRANGE(""https://docs.google.com/spreadsheets/d/11923uPwbBZFjjGgGUA6NLw09EwE0CqkOc4q9oUmW1yo/edit?usp=sharing"",""เชียงราย!J492"")"),0)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IFERROR(__xludf.DUMMYFUNCTION("IMPORTRANGE(""https://docs.google.com/spreadsheets/d/11923uPwbBZFjjGgGUA6NLw09EwE0CqkOc4q9oUmW1yo/edit?usp=sharing"",""เชียงราย!L492"")"),15500)</f>
        <v>15500</v>
      </c>
      <c r="M597" s="420"/>
      <c r="N597" s="420">
        <f ca="1">IFERROR(__xludf.DUMMYFUNCTION("IMPORTRANGE(""https://docs.google.com/spreadsheets/d/11923uPwbBZFjjGgGUA6NLw09EwE0CqkOc4q9oUmW1yo/edit?usp=sharing"",""เชียงราย!M492"")"),0)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IFERROR(__xludf.DUMMYFUNCTION("IMPORTRANGE(""https://docs.google.com/spreadsheets/d/11923uPwbBZFjjGgGUA6NLw09EwE0CqkOc4q9oUmW1yo/edit?usp=sharing"",""เชียงราย!L493"")"),0)</f>
        <v>0</v>
      </c>
      <c r="M598" s="172"/>
      <c r="N598" s="178">
        <f ca="1">IFERROR(__xludf.DUMMYFUNCTION("IMPORTRANGE(""https://docs.google.com/spreadsheets/d/11923uPwbBZFjjGgGUA6NLw09EwE0CqkOc4q9oUmW1yo/edit?usp=sharing"",""เชียงราย!M493"")"),0)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IFERROR(__xludf.DUMMYFUNCTION("IMPORTRANGE(""https://docs.google.com/spreadsheets/d/11923uPwbBZFjjGgGUA6NLw09EwE0CqkOc4q9oUmW1yo/edit?usp=sharing"",""เชียงราย!L494"")"),15500)</f>
        <v>15500</v>
      </c>
      <c r="M599" s="173"/>
      <c r="N599" s="178">
        <f ca="1">IFERROR(__xludf.DUMMYFUNCTION("IMPORTRANGE(""https://docs.google.com/spreadsheets/d/11923uPwbBZFjjGgGUA6NLw09EwE0CqkOc4q9oUmW1yo/edit?usp=sharing"",""เชียงราย!M494"")"),0)</f>
        <v>0</v>
      </c>
      <c r="O599" s="178">
        <f t="shared" ca="1" si="126"/>
        <v>0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IFERROR(__xludf.DUMMYFUNCTION("IMPORTRANGE(""https://docs.google.com/spreadsheets/d/11923uPwbBZFjjGgGUA6NLw09EwE0CqkOc4q9oUmW1yo/edit?usp=sharing"",""เชียงราย!L495"")"),0)</f>
        <v>0</v>
      </c>
      <c r="M600" s="178"/>
      <c r="N600" s="178">
        <f ca="1">IFERROR(__xludf.DUMMYFUNCTION("IMPORTRANGE(""https://docs.google.com/spreadsheets/d/11923uPwbBZFjjGgGUA6NLw09EwE0CqkOc4q9oUmW1yo/edit?usp=sharing"",""เชียงราย!M495"")"),0)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IFERROR(__xludf.DUMMYFUNCTION("IMPORTRANGE(""https://docs.google.com/spreadsheets/d/11923uPwbBZFjjGgGUA6NLw09EwE0CqkOc4q9oUmW1yo/edit?usp=sharing"",""เชียงราย!L496"")"),15500)</f>
        <v>15500</v>
      </c>
      <c r="M601" s="178"/>
      <c r="N601" s="178">
        <f ca="1">IFERROR(__xludf.DUMMYFUNCTION("IMPORTRANGE(""https://docs.google.com/spreadsheets/d/11923uPwbBZFjjGgGUA6NLw09EwE0CqkOc4q9oUmW1yo/edit?usp=sharing"",""เชียงราย!M496"")"),0)</f>
        <v>0</v>
      </c>
      <c r="O601" s="178">
        <f t="shared" ca="1" si="126"/>
        <v>0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IFERROR(__xludf.DUMMYFUNCTION("IMPORTRANGE(""https://docs.google.com/spreadsheets/d/11923uPwbBZFjjGgGUA6NLw09EwE0CqkOc4q9oUmW1yo/edit?usp=sharing"",""เชียงราย!M497"")"),0)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IFERROR(__xludf.DUMMYFUNCTION("IMPORTRANGE(""https://docs.google.com/spreadsheets/d/11923uPwbBZFjjGgGUA6NLw09EwE0CqkOc4q9oUmW1yo/edit?usp=sharing"",""เชียงราย!M498"")"),0)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IFERROR(__xludf.DUMMYFUNCTION("IMPORTRANGE(""https://docs.google.com/spreadsheets/d/11923uPwbBZFjjGgGUA6NLw09EwE0CqkOc4q9oUmW1yo/edit?usp=sharing"",""เชียงราย!M499"")"),0)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IFERROR(__xludf.DUMMYFUNCTION("IMPORTRANGE(""https://docs.google.com/spreadsheets/d/11923uPwbBZFjjGgGUA6NLw09EwE0CqkOc4q9oUmW1yo/edit?usp=sharing"",""เชียงราย!M500"")"),0)</f>
        <v>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IFERROR(__xludf.DUMMYFUNCTION("IMPORTRANGE(""https://docs.google.com/spreadsheets/d/11923uPwbBZFjjGgGUA6NLw09EwE0CqkOc4q9oUmW1yo/edit?usp=sharing"",""เชียงราย!J502"")"),0)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IFERROR(__xludf.DUMMYFUNCTION("IMPORTRANGE(""https://docs.google.com/spreadsheets/d/11923uPwbBZFjjGgGUA6NLw09EwE0CqkOc4q9oUmW1yo/edit?usp=sharing"",""เชียงราย!J503"")"),1)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IFERROR(__xludf.DUMMYFUNCTION("IMPORTRANGE(""https://docs.google.com/spreadsheets/d/11923uPwbBZFjjGgGUA6NLw09EwE0CqkOc4q9oUmW1yo/edit?usp=sharing"",""เชียงราย!J166"")"),0)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IFERROR(__xludf.DUMMYFUNCTION("IMPORTRANGE(""https://docs.google.com/spreadsheets/d/11923uPwbBZFjjGgGUA6NLw09EwE0CqkOc4q9oUmW1yo/edit?usp=sharing"",""เชียงราย!J166"")"),0)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IFERROR(__xludf.DUMMYFUNCTION("IMPORTRANGE(""https://docs.google.com/spreadsheets/d/11923uPwbBZFjjGgGUA6NLw09EwE0CqkOc4q9oUmW1yo/edit?usp=sharing"",""เชียงราย!I506"")"),220)</f>
        <v>220</v>
      </c>
      <c r="J611" s="170">
        <f ca="1">IFERROR(__xludf.DUMMYFUNCTION("IMPORTRANGE(""https://docs.google.com/spreadsheets/d/11923uPwbBZFjjGgGUA6NLw09EwE0CqkOc4q9oUmW1yo/edit?usp=sharing"",""เชียงราย!J506"")"),0)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IFERROR(__xludf.DUMMYFUNCTION("IMPORTRANGE(""https://docs.google.com/spreadsheets/d/11923uPwbBZFjjGgGUA6NLw09EwE0CqkOc4q9oUmW1yo/edit?usp=sharing"",""เชียงราย!I507"")"),0)</f>
        <v>0</v>
      </c>
      <c r="J612" s="207">
        <f ca="1">IFERROR(__xludf.DUMMYFUNCTION("IMPORTRANGE(""https://docs.google.com/spreadsheets/d/11923uPwbBZFjjGgGUA6NLw09EwE0CqkOc4q9oUmW1yo/edit?usp=sharing"",""เชียงราย!J507"")"),0)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IFERROR(__xludf.DUMMYFUNCTION("IMPORTRANGE(""https://docs.google.com/spreadsheets/d/11923uPwbBZFjjGgGUA6NLw09EwE0CqkOc4q9oUmW1yo/edit?usp=sharing"",""เชียงราย!I508"")"),0)</f>
        <v>0</v>
      </c>
      <c r="J613" s="207">
        <f ca="1">IFERROR(__xludf.DUMMYFUNCTION("IMPORTRANGE(""https://docs.google.com/spreadsheets/d/11923uPwbBZFjjGgGUA6NLw09EwE0CqkOc4q9oUmW1yo/edit?usp=sharing"",""เชียงราย!J508"")"),0)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IFERROR(__xludf.DUMMYFUNCTION("IMPORTRANGE(""https://docs.google.com/spreadsheets/d/11923uPwbBZFjjGgGUA6NLw09EwE0CqkOc4q9oUmW1yo/edit?usp=sharing"",""เชียงราย!I509"")"),0)</f>
        <v>0</v>
      </c>
      <c r="J614" s="207">
        <f ca="1">IFERROR(__xludf.DUMMYFUNCTION("IMPORTRANGE(""https://docs.google.com/spreadsheets/d/11923uPwbBZFjjGgGUA6NLw09EwE0CqkOc4q9oUmW1yo/edit?usp=sharing"",""เชียงราย!J509"")"),0)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IFERROR(__xludf.DUMMYFUNCTION("IMPORTRANGE(""https://docs.google.com/spreadsheets/d/11923uPwbBZFjjGgGUA6NLw09EwE0CqkOc4q9oUmW1yo/edit?usp=sharing"",""เชียงราย!I510"")"),0)</f>
        <v>0</v>
      </c>
      <c r="J615" s="207">
        <f ca="1">IFERROR(__xludf.DUMMYFUNCTION("IMPORTRANGE(""https://docs.google.com/spreadsheets/d/11923uPwbBZFjjGgGUA6NLw09EwE0CqkOc4q9oUmW1yo/edit?usp=sharing"",""เชียงราย!J510"")"),0)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IFERROR(__xludf.DUMMYFUNCTION("IMPORTRANGE(""https://docs.google.com/spreadsheets/d/11923uPwbBZFjjGgGUA6NLw09EwE0CqkOc4q9oUmW1yo/edit?usp=sharing"",""เชียงราย!I511"")"),0)</f>
        <v>0</v>
      </c>
      <c r="J616" s="207">
        <f ca="1">IFERROR(__xludf.DUMMYFUNCTION("IMPORTRANGE(""https://docs.google.com/spreadsheets/d/11923uPwbBZFjjGgGUA6NLw09EwE0CqkOc4q9oUmW1yo/edit?usp=sharing"",""เชียงราย!J511"")"),0)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IFERROR(__xludf.DUMMYFUNCTION("IMPORTRANGE(""https://docs.google.com/spreadsheets/d/11923uPwbBZFjjGgGUA6NLw09EwE0CqkOc4q9oUmW1yo/edit?usp=sharing"",""เชียงราย!I512"")"),0)</f>
        <v>0</v>
      </c>
      <c r="J617" s="197">
        <f ca="1">IFERROR(__xludf.DUMMYFUNCTION("IMPORTRANGE(""https://docs.google.com/spreadsheets/d/11923uPwbBZFjjGgGUA6NLw09EwE0CqkOc4q9oUmW1yo/edit?usp=sharing"",""เชียงราย!J512"")"),0)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IFERROR(__xludf.DUMMYFUNCTION("IMPORTRANGE(""https://docs.google.com/spreadsheets/d/11923uPwbBZFjjGgGUA6NLw09EwE0CqkOc4q9oUmW1yo/edit?usp=sharing"",""เชียงราย!I513"")"),0)</f>
        <v>0</v>
      </c>
      <c r="J618" s="198">
        <f ca="1">IFERROR(__xludf.DUMMYFUNCTION("IMPORTRANGE(""https://docs.google.com/spreadsheets/d/11923uPwbBZFjjGgGUA6NLw09EwE0CqkOc4q9oUmW1yo/edit?usp=sharing"",""เชียงราย!J513"")"),0)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IFERROR(__xludf.DUMMYFUNCTION("IMPORTRANGE(""https://docs.google.com/spreadsheets/d/11923uPwbBZFjjGgGUA6NLw09EwE0CqkOc4q9oUmW1yo/edit?usp=sharing"",""เชียงราย!I514"")"),0)</f>
        <v>0</v>
      </c>
      <c r="J619" s="198">
        <f ca="1">IFERROR(__xludf.DUMMYFUNCTION("IMPORTRANGE(""https://docs.google.com/spreadsheets/d/11923uPwbBZFjjGgGUA6NLw09EwE0CqkOc4q9oUmW1yo/edit?usp=sharing"",""เชียงราย!J514"")"),0)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IFERROR(__xludf.DUMMYFUNCTION("IMPORTRANGE(""https://docs.google.com/spreadsheets/d/11923uPwbBZFjjGgGUA6NLw09EwE0CqkOc4q9oUmW1yo/edit?usp=sharing"",""เชียงราย!I515"")"),2288)</f>
        <v>2288</v>
      </c>
      <c r="J620" s="212">
        <f ca="1">IFERROR(__xludf.DUMMYFUNCTION("IMPORTRANGE(""https://docs.google.com/spreadsheets/d/11923uPwbBZFjjGgGUA6NLw09EwE0CqkOc4q9oUmW1yo/edit?usp=sharing"",""เชียงราย!J515"")"),0)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IFERROR(__xludf.DUMMYFUNCTION("IMPORTRANGE(""https://docs.google.com/spreadsheets/d/11923uPwbBZFjjGgGUA6NLw09EwE0CqkOc4q9oUmW1yo/edit?usp=sharing"",""เชียงราย!I516"")"),0)</f>
        <v>0</v>
      </c>
      <c r="J621" s="212">
        <f ca="1">IFERROR(__xludf.DUMMYFUNCTION("IMPORTRANGE(""https://docs.google.com/spreadsheets/d/11923uPwbBZFjjGgGUA6NLw09EwE0CqkOc4q9oUmW1yo/edit?usp=sharing"",""เชียงราย!J516"")"),0)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IFERROR(__xludf.DUMMYFUNCTION("IMPORTRANGE(""https://docs.google.com/spreadsheets/d/11923uPwbBZFjjGgGUA6NLw09EwE0CqkOc4q9oUmW1yo/edit?usp=sharing"",""เชียงราย!I517"")"),0)</f>
        <v>0</v>
      </c>
      <c r="J622" s="198">
        <f ca="1">IFERROR(__xludf.DUMMYFUNCTION("IMPORTRANGE(""https://docs.google.com/spreadsheets/d/11923uPwbBZFjjGgGUA6NLw09EwE0CqkOc4q9oUmW1yo/edit?usp=sharing"",""เชียงราย!J517"")"),0)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IFERROR(__xludf.DUMMYFUNCTION("IMPORTRANGE(""https://docs.google.com/spreadsheets/d/11923uPwbBZFjjGgGUA6NLw09EwE0CqkOc4q9oUmW1yo/edit?usp=sharing"",""เชียงราย!I518"")"),0)</f>
        <v>0</v>
      </c>
      <c r="J623" s="198">
        <f ca="1">IFERROR(__xludf.DUMMYFUNCTION("IMPORTRANGE(""https://docs.google.com/spreadsheets/d/11923uPwbBZFjjGgGUA6NLw09EwE0CqkOc4q9oUmW1yo/edit?usp=sharing"",""เชียงราย!J518"")"),0)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IFERROR(__xludf.DUMMYFUNCTION("IMPORTRANGE(""https://docs.google.com/spreadsheets/d/11923uPwbBZFjjGgGUA6NLw09EwE0CqkOc4q9oUmW1yo/edit?usp=sharing"",""เชียงราย!I519"")"),0)</f>
        <v>0</v>
      </c>
      <c r="J624" s="197">
        <f ca="1">IFERROR(__xludf.DUMMYFUNCTION("IMPORTRANGE(""https://docs.google.com/spreadsheets/d/11923uPwbBZFjjGgGUA6NLw09EwE0CqkOc4q9oUmW1yo/edit?usp=sharing"",""เชียงราย!J519"")"),0)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IFERROR(__xludf.DUMMYFUNCTION("IMPORTRANGE(""https://docs.google.com/spreadsheets/d/11923uPwbBZFjjGgGUA6NLw09EwE0CqkOc4q9oUmW1yo/edit?usp=sharing"",""เชียงราย!I520"")"),0)</f>
        <v>0</v>
      </c>
      <c r="J625" s="198">
        <f ca="1">IFERROR(__xludf.DUMMYFUNCTION("IMPORTRANGE(""https://docs.google.com/spreadsheets/d/11923uPwbBZFjjGgGUA6NLw09EwE0CqkOc4q9oUmW1yo/edit?usp=sharing"",""เชียงราย!J520"")"),0)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IFERROR(__xludf.DUMMYFUNCTION("IMPORTRANGE(""https://docs.google.com/spreadsheets/d/11923uPwbBZFjjGgGUA6NLw09EwE0CqkOc4q9oUmW1yo/edit?usp=sharing"",""เชียงราย!I521"")"),0)</f>
        <v>0</v>
      </c>
      <c r="J626" s="198">
        <f ca="1">IFERROR(__xludf.DUMMYFUNCTION("IMPORTRANGE(""https://docs.google.com/spreadsheets/d/11923uPwbBZFjjGgGUA6NLw09EwE0CqkOc4q9oUmW1yo/edit?usp=sharing"",""เชียงราย!J521"")"),0)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IFERROR(__xludf.DUMMYFUNCTION("IMPORTRANGE(""https://docs.google.com/spreadsheets/d/11923uPwbBZFjjGgGUA6NLw09EwE0CqkOc4q9oUmW1yo/edit?usp=sharing"",""เชียงราย!I523"")"),7774600)</f>
        <v>7774600</v>
      </c>
      <c r="J628" s="349">
        <f ca="1">IFERROR(__xludf.DUMMYFUNCTION("IMPORTRANGE(""https://docs.google.com/spreadsheets/d/11923uPwbBZFjjGgGUA6NLw09EwE0CqkOc4q9oUmW1yo/edit?usp=sharing"",""เชียงราย!J523"")"),50000)</f>
        <v>50000</v>
      </c>
      <c r="K628" s="350">
        <f t="shared" ref="K628:K635" ca="1" si="129">IF(I628&gt;0,J628*100/I628,0)</f>
        <v>0.64311990327476654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IFERROR(__xludf.DUMMYFUNCTION("IMPORTRANGE(""https://docs.google.com/spreadsheets/d/11923uPwbBZFjjGgGUA6NLw09EwE0CqkOc4q9oUmW1yo/edit?usp=sharing"",""เชียงราย!I524"")"),325)</f>
        <v>325</v>
      </c>
      <c r="J629" s="349">
        <f ca="1">IFERROR(__xludf.DUMMYFUNCTION("IMPORTRANGE(""https://docs.google.com/spreadsheets/d/11923uPwbBZFjjGgGUA6NLw09EwE0CqkOc4q9oUmW1yo/edit?usp=sharing"",""เชียงราย!J524"")"),2)</f>
        <v>2</v>
      </c>
      <c r="K629" s="350">
        <f t="shared" ca="1" si="129"/>
        <v>0.61538461538461542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9">
        <f ca="1">IFERROR(__xludf.DUMMYFUNCTION("IMPORTRANGE(""https://docs.google.com/spreadsheets/d/11923uPwbBZFjjGgGUA6NLw09EwE0CqkOc4q9oUmW1yo/edit?usp=sharing"",""เชียงราย!J525"")"),567373.95)</f>
        <v>567373.94999999995</v>
      </c>
      <c r="K630" s="350">
        <f t="shared" ca="1" si="129"/>
        <v>8.869375890592309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IFERROR(__xludf.DUMMYFUNCTION("IMPORTRANGE(""https://docs.google.com/spreadsheets/d/11923uPwbBZFjjGgGUA6NLw09EwE0CqkOc4q9oUmW1yo/edit?usp=sharing"",""เชียงราย!I526"")"),162)</f>
        <v>162</v>
      </c>
      <c r="J631" s="349">
        <f ca="1">IFERROR(__xludf.DUMMYFUNCTION("IMPORTRANGE(""https://docs.google.com/spreadsheets/d/11923uPwbBZFjjGgGUA6NLw09EwE0CqkOc4q9oUmW1yo/edit?usp=sharing"",""เชียงราย!J526"")"),63)</f>
        <v>63</v>
      </c>
      <c r="K631" s="350">
        <f t="shared" ca="1" si="129"/>
        <v>38.888888888888886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IFERROR(__xludf.DUMMYFUNCTION("IMPORTRANGE(""https://docs.google.com/spreadsheets/d/11923uPwbBZFjjGgGUA6NLw09EwE0CqkOc4q9oUmW1yo/edit?usp=sharing"",""เชียงราย!I527"")"),9562206.51)</f>
        <v>9562206.5099999998</v>
      </c>
      <c r="J632" s="349">
        <f ca="1">IFERROR(__xludf.DUMMYFUNCTION("IMPORTRANGE(""https://docs.google.com/spreadsheets/d/11923uPwbBZFjjGgGUA6NLw09EwE0CqkOc4q9oUmW1yo/edit?usp=sharing"",""เชียงราย!J527"")"),0)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IFERROR(__xludf.DUMMYFUNCTION("IMPORTRANGE(""https://docs.google.com/spreadsheets/d/11923uPwbBZFjjGgGUA6NLw09EwE0CqkOc4q9oUmW1yo/edit?usp=sharing"",""เชียงราย!I528"")"),51)</f>
        <v>51</v>
      </c>
      <c r="J633" s="349">
        <f ca="1">IFERROR(__xludf.DUMMYFUNCTION("IMPORTRANGE(""https://docs.google.com/spreadsheets/d/11923uPwbBZFjjGgGUA6NLw09EwE0CqkOc4q9oUmW1yo/edit?usp=sharing"",""เชียงราย!J528"")"),0)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IFERROR(__xludf.DUMMYFUNCTION("IMPORTRANGE(""https://docs.google.com/spreadsheets/d/11923uPwbBZFjjGgGUA6NLw09EwE0CqkOc4q9oUmW1yo/edit?usp=sharing"",""เชียงราย!I529"")"),4000000)</f>
        <v>4000000</v>
      </c>
      <c r="J634" s="349">
        <f ca="1">IFERROR(__xludf.DUMMYFUNCTION("IMPORTRANGE(""https://docs.google.com/spreadsheets/d/11923uPwbBZFjjGgGUA6NLw09EwE0CqkOc4q9oUmW1yo/edit?usp=sharing"",""เชียงราย!J529"")"),0)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IFERROR(__xludf.DUMMYFUNCTION("IMPORTRANGE(""https://docs.google.com/spreadsheets/d/11923uPwbBZFjjGgGUA6NLw09EwE0CqkOc4q9oUmW1yo/edit?usp=sharing"",""เชียงราย!I530"")"),162)</f>
        <v>162</v>
      </c>
      <c r="J635" s="519">
        <f ca="1">IFERROR(__xludf.DUMMYFUNCTION("IMPORTRANGE(""https://docs.google.com/spreadsheets/d/11923uPwbBZFjjGgGUA6NLw09EwE0CqkOc4q9oUmW1yo/edit?usp=sharing"",""เชียงราย!J530"")"),0)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243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7372584</v>
      </c>
      <c r="M8" s="25">
        <f t="shared" ca="1" si="0"/>
        <v>2330715</v>
      </c>
      <c r="N8" s="25">
        <f t="shared" ca="1" si="0"/>
        <v>2008867.56</v>
      </c>
      <c r="O8" s="24">
        <f t="shared" ref="O8:O16" ca="1" si="1">IF(L8&gt;0,N8*100/L8,0)</f>
        <v>27.24780836678158</v>
      </c>
      <c r="P8" s="24">
        <f t="shared" ref="P8:P16" ca="1" si="2">IF(M8&gt;0,N8*100/M8,0)</f>
        <v>86.191042662873841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7372584</v>
      </c>
      <c r="M10" s="32">
        <f t="shared" ca="1" si="4"/>
        <v>2330715</v>
      </c>
      <c r="N10" s="32">
        <f t="shared" ca="1" si="4"/>
        <v>2008867.56</v>
      </c>
      <c r="O10" s="31">
        <f t="shared" ca="1" si="1"/>
        <v>27.24780836678158</v>
      </c>
      <c r="P10" s="31">
        <f t="shared" ca="1" si="2"/>
        <v>86.191042662873841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7055184</v>
      </c>
      <c r="M12" s="40">
        <f t="shared" ca="1" si="6"/>
        <v>2330715</v>
      </c>
      <c r="N12" s="40">
        <f t="shared" ca="1" si="6"/>
        <v>1697467.56</v>
      </c>
      <c r="O12" s="40">
        <f t="shared" ca="1" si="1"/>
        <v>24.059862365035411</v>
      </c>
      <c r="P12" s="40">
        <f t="shared" ca="1" si="2"/>
        <v>72.830335755336876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2412000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4643184</v>
      </c>
      <c r="M14" s="40">
        <f t="shared" si="8"/>
        <v>0</v>
      </c>
      <c r="N14" s="40">
        <f t="shared" ca="1" si="8"/>
        <v>416506.56000000006</v>
      </c>
      <c r="O14" s="43">
        <f t="shared" ca="1" si="1"/>
        <v>8.9702790154342384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317400</v>
      </c>
      <c r="M16" s="40">
        <f t="shared" si="10"/>
        <v>0</v>
      </c>
      <c r="N16" s="40">
        <f t="shared" ca="1" si="10"/>
        <v>311400</v>
      </c>
      <c r="O16" s="52">
        <f t="shared" ca="1" si="1"/>
        <v>98.109640831758028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4742305</v>
      </c>
      <c r="M18" s="25">
        <f t="shared" ca="1" si="11"/>
        <v>2330715</v>
      </c>
      <c r="N18" s="25">
        <f t="shared" ca="1" si="11"/>
        <v>1592361</v>
      </c>
      <c r="O18" s="24">
        <f t="shared" ref="O18:O20" ca="1" si="12">IF(L18&gt;0,N18*100/L18,0)</f>
        <v>33.577785486171805</v>
      </c>
      <c r="P18" s="24">
        <f t="shared" ref="P18:P26" ca="1" si="13">IF(M18&gt;0,N18*100/M18,0)</f>
        <v>68.320708452127349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4742305</v>
      </c>
      <c r="M20" s="32">
        <f t="shared" ca="1" si="15"/>
        <v>2330715</v>
      </c>
      <c r="N20" s="32">
        <f t="shared" ca="1" si="15"/>
        <v>1592361</v>
      </c>
      <c r="O20" s="31">
        <f t="shared" ca="1" si="12"/>
        <v>33.577785486171805</v>
      </c>
      <c r="P20" s="31">
        <f t="shared" ca="1" si="13"/>
        <v>68.320708452127349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4424905</v>
      </c>
      <c r="M22" s="44">
        <f t="shared" ca="1" si="18"/>
        <v>2330715</v>
      </c>
      <c r="N22" s="43">
        <f t="shared" ca="1" si="18"/>
        <v>1280961</v>
      </c>
      <c r="O22" s="43">
        <f t="shared" ca="1" si="17"/>
        <v>28.948892688091608</v>
      </c>
      <c r="P22" s="43">
        <f t="shared" ca="1" si="13"/>
        <v>54.960001544590391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2412000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2012905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317400</v>
      </c>
      <c r="M26" s="52">
        <f t="shared" si="22"/>
        <v>0</v>
      </c>
      <c r="N26" s="52">
        <f t="shared" ca="1" si="22"/>
        <v>311400</v>
      </c>
      <c r="O26" s="52">
        <f t="shared" ca="1" si="17"/>
        <v>98.109640831758028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2630279</v>
      </c>
      <c r="M28" s="25">
        <f t="shared" si="23"/>
        <v>0</v>
      </c>
      <c r="N28" s="25">
        <f t="shared" ca="1" si="23"/>
        <v>416506.56000000006</v>
      </c>
      <c r="O28" s="24">
        <f t="shared" ref="O28:O30" ca="1" si="24">IF(L28&gt;0,N28*100/L28,0)</f>
        <v>15.835071488613949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2630279</v>
      </c>
      <c r="M30" s="32">
        <f t="shared" si="27"/>
        <v>0</v>
      </c>
      <c r="N30" s="32">
        <f t="shared" ca="1" si="27"/>
        <v>416506.56000000006</v>
      </c>
      <c r="O30" s="31">
        <f t="shared" ca="1" si="24"/>
        <v>15.835071488613949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2630279</v>
      </c>
      <c r="M32" s="43">
        <f t="shared" si="30"/>
        <v>0</v>
      </c>
      <c r="N32" s="43">
        <f t="shared" ca="1" si="30"/>
        <v>416506.56000000006</v>
      </c>
      <c r="O32" s="43">
        <f t="shared" ca="1" si="29"/>
        <v>15.835071488613949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2630279</v>
      </c>
      <c r="M34" s="43">
        <f t="shared" si="32"/>
        <v>0</v>
      </c>
      <c r="N34" s="43">
        <f t="shared" ca="1" si="32"/>
        <v>416506.56000000006</v>
      </c>
      <c r="O34" s="43">
        <f t="shared" ca="1" si="29"/>
        <v>15.835071488613949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4742305</v>
      </c>
      <c r="M37" s="57">
        <f t="shared" ca="1" si="33"/>
        <v>2330715</v>
      </c>
      <c r="N37" s="57">
        <f t="shared" ca="1" si="33"/>
        <v>1592361</v>
      </c>
      <c r="O37" s="58">
        <f t="shared" ca="1" si="29"/>
        <v>33.577785486171805</v>
      </c>
      <c r="P37" s="58">
        <f t="shared" ca="1" si="25"/>
        <v>68.320708452127349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891000</v>
      </c>
      <c r="M41" s="81">
        <f t="shared" ca="1" si="34"/>
        <v>354500</v>
      </c>
      <c r="N41" s="81">
        <f t="shared" ca="1" si="34"/>
        <v>451018</v>
      </c>
      <c r="O41" s="80">
        <f t="shared" ref="O41:O43" ca="1" si="35">IF(L41&gt;0,N41*100/L41,0)</f>
        <v>50.619304152637483</v>
      </c>
      <c r="P41" s="80">
        <f t="shared" ref="P41:P43" ca="1" si="36">IF(M41&gt;0,N41*100/M41,0)</f>
        <v>127.2265162200282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891000</v>
      </c>
      <c r="M43" s="81">
        <f t="shared" ca="1" si="38"/>
        <v>354500</v>
      </c>
      <c r="N43" s="81">
        <f t="shared" ca="1" si="38"/>
        <v>451018</v>
      </c>
      <c r="O43" s="80">
        <f t="shared" ca="1" si="35"/>
        <v>50.619304152637483</v>
      </c>
      <c r="P43" s="80">
        <f t="shared" ca="1" si="36"/>
        <v>127.2265162200282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709000</v>
      </c>
      <c r="M45" s="93">
        <f ca="1">IFERROR(__xludf.DUMMYFUNCTION("IMPORTRANGE(""https://docs.google.com/spreadsheets/d/1Yj_ptqi66GCucihVvJfMjLAmec39IyEx_6qawtMGysU/edit?usp=sharing"",""สบก!Q22"")"),354500)</f>
        <v>354500</v>
      </c>
      <c r="N45" s="93">
        <f ca="1">IFERROR(__xludf.DUMMYFUNCTION("IMPORTRANGE(""https://docs.google.com/spreadsheets/d/1Yj_ptqi66GCucihVvJfMjLAmec39IyEx_6qawtMGysU/edit?usp=sharing"",""สบก!R22"")"),275018)</f>
        <v>275018</v>
      </c>
      <c r="O45" s="94">
        <f ca="1">IF(L45&gt;0,N45*100/L45,0)</f>
        <v>38.789562764456981</v>
      </c>
      <c r="P45" s="94">
        <f ca="1">IF(M45&gt;0,N45*100/M45,0)</f>
        <v>77.579125528913963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IFERROR(__xludf.DUMMYFUNCTION("IMPORTRANGE(""https://docs.google.com/spreadsheets/d/1Yj_ptqi66GCucihVvJfMjLAmec39IyEx_6qawtMGysU/edit?usp=sharing"",""สบก!M22"")"),709000)</f>
        <v>709000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IFERROR(__xludf.DUMMYFUNCTION("IMPORTRANGE(""https://docs.google.com/spreadsheets/d/1Yj_ptqi66GCucihVvJfMjLAmec39IyEx_6qawtMGysU/edit?usp=sharing"",""สบก!N22"")"),0)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IFERROR(__xludf.DUMMYFUNCTION("IMPORTRANGE(""https://docs.google.com/spreadsheets/d/1Yj_ptqi66GCucihVvJfMjLAmec39IyEx_6qawtMGysU/edit?usp=sharing"",""สบก!O22"")"),182000)</f>
        <v>182000</v>
      </c>
      <c r="M49" s="103"/>
      <c r="N49" s="93">
        <f ca="1">IFERROR(__xludf.DUMMYFUNCTION("IMPORTRANGE(""https://docs.google.com/spreadsheets/d/1Yj_ptqi66GCucihVvJfMjLAmec39IyEx_6qawtMGysU/edit?usp=sharing"",""สบก!S22"")"),176000)</f>
        <v>176000</v>
      </c>
      <c r="O49" s="103">
        <f ca="1">IF(L49&gt;0,N49*100/L49,0)</f>
        <v>96.703296703296701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900000</v>
      </c>
      <c r="M53" s="127">
        <f t="shared" ca="1" si="39"/>
        <v>454500</v>
      </c>
      <c r="N53" s="127">
        <f t="shared" ca="1" si="39"/>
        <v>298095</v>
      </c>
      <c r="O53" s="126">
        <f t="shared" ref="O53:O55" ca="1" si="40">IF(L53&gt;0,N53*100/L53,0)</f>
        <v>33.12166666666667</v>
      </c>
      <c r="P53" s="126">
        <f t="shared" ref="P53:P55" ca="1" si="41">IF(M53&gt;0,N53*100/M53,0)</f>
        <v>65.587458745874585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900000</v>
      </c>
      <c r="M55" s="127">
        <f t="shared" ca="1" si="43"/>
        <v>454500</v>
      </c>
      <c r="N55" s="127">
        <f t="shared" ca="1" si="43"/>
        <v>298095</v>
      </c>
      <c r="O55" s="126">
        <f t="shared" ca="1" si="40"/>
        <v>33.12166666666667</v>
      </c>
      <c r="P55" s="126">
        <f t="shared" ca="1" si="41"/>
        <v>65.587458745874585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900000</v>
      </c>
      <c r="M57" s="93">
        <f ca="1">IFERROR(__xludf.DUMMYFUNCTION("IMPORTRANGE(""https://docs.google.com/spreadsheets/d/1Yj_ptqi66GCucihVvJfMjLAmec39IyEx_6qawtMGysU/edit?usp=sharing"",""สบก!Z22"")"),454500)</f>
        <v>454500</v>
      </c>
      <c r="N57" s="93">
        <f ca="1">IFERROR(__xludf.DUMMYFUNCTION("IMPORTRANGE(""https://docs.google.com/spreadsheets/d/1Yj_ptqi66GCucihVvJfMjLAmec39IyEx_6qawtMGysU/edit?usp=sharing"",""สบก!AA22"")"),298095)</f>
        <v>298095</v>
      </c>
      <c r="O57" s="94">
        <f ca="1">IF(L57&gt;0,N57*100/L57,0)</f>
        <v>33.12166666666667</v>
      </c>
      <c r="P57" s="94">
        <f ca="1">IF(M57&gt;0,N57*100/M57,0)</f>
        <v>65.587458745874585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IFERROR(__xludf.DUMMYFUNCTION("IMPORTRANGE(""https://docs.google.com/spreadsheets/d/1Yj_ptqi66GCucihVvJfMjLAmec39IyEx_6qawtMGysU/edit?usp=sharing"",""สบก!V22"")"),900000)</f>
        <v>900000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IFERROR(__xludf.DUMMYFUNCTION("IMPORTRANGE(""https://docs.google.com/spreadsheets/d/1Yj_ptqi66GCucihVvJfMjLAmec39IyEx_6qawtMGysU/edit?usp=sharing"",""สบก!W22"")"),0)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IFERROR(__xludf.DUMMYFUNCTION("IMPORTRANGE(""https://docs.google.com/spreadsheets/d/1Yj_ptqi66GCucihVvJfMjLAmec39IyEx_6qawtMGysU/edit?usp=sharing"",""สบก!X22"")"),0)</f>
        <v>0</v>
      </c>
      <c r="M61" s="103"/>
      <c r="N61" s="93">
        <f ca="1">IFERROR(__xludf.DUMMYFUNCTION("IMPORTRANGE(""https://docs.google.com/spreadsheets/d/1Yj_ptqi66GCucihVvJfMjLAmec39IyEx_6qawtMGysU/edit?usp=sharing"",""สบก!AB22"")"),0)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IFERROR(__xludf.DUMMYFUNCTION("IMPORTRANGE(""https://docs.google.com/spreadsheets/d/11923uPwbBZFjjGgGUA6NLw09EwE0CqkOc4q9oUmW1yo/edit?usp=sharing"",""เชียงใหม่!I9"")"),1)</f>
        <v>1</v>
      </c>
      <c r="J64" s="148">
        <f ca="1">IFERROR(__xludf.DUMMYFUNCTION("IMPORTRANGE(""https://docs.google.com/spreadsheets/d/11923uPwbBZFjjGgGUA6NLw09EwE0CqkOc4q9oUmW1yo/edit?usp=sharing"",""เชียงใหม่!J9"")"),1)</f>
        <v>1</v>
      </c>
      <c r="K64" s="149">
        <f t="shared" ref="K64:K65" ca="1" si="44">IF(I64&gt;0,J64*100/I64,0)</f>
        <v>100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IFERROR(__xludf.DUMMYFUNCTION("IMPORTRANGE(""https://docs.google.com/spreadsheets/d/11923uPwbBZFjjGgGUA6NLw09EwE0CqkOc4q9oUmW1yo/edit?usp=sharing"",""เชียงใหม่!I10"")"),50)</f>
        <v>50</v>
      </c>
      <c r="J65" s="148">
        <f ca="1">IFERROR(__xludf.DUMMYFUNCTION("IMPORTRANGE(""https://docs.google.com/spreadsheets/d/11923uPwbBZFjjGgGUA6NLw09EwE0CqkOc4q9oUmW1yo/edit?usp=sharing"",""เชียงใหม่!J10"")"),50)</f>
        <v>50</v>
      </c>
      <c r="K65" s="149">
        <f t="shared" ca="1" si="44"/>
        <v>100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486000</v>
      </c>
      <c r="M66" s="158">
        <f t="shared" ca="1" si="45"/>
        <v>279620</v>
      </c>
      <c r="N66" s="158">
        <f t="shared" ca="1" si="45"/>
        <v>140849</v>
      </c>
      <c r="O66" s="157">
        <f t="shared" ref="O66:O68" ca="1" si="46">IF(L66&gt;0,N66*100/L66,0)</f>
        <v>28.981275720164611</v>
      </c>
      <c r="P66" s="157">
        <f t="shared" ref="P66:P68" ca="1" si="47">IF(M66&gt;0,N66*100/M66,0)</f>
        <v>50.371575709891999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486000</v>
      </c>
      <c r="M68" s="163">
        <f t="shared" ca="1" si="49"/>
        <v>279620</v>
      </c>
      <c r="N68" s="163">
        <f t="shared" ca="1" si="49"/>
        <v>140849</v>
      </c>
      <c r="O68" s="162">
        <f t="shared" ca="1" si="46"/>
        <v>28.981275720164611</v>
      </c>
      <c r="P68" s="162">
        <f t="shared" ca="1" si="47"/>
        <v>50.371575709891999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486000</v>
      </c>
      <c r="M70" s="176">
        <f ca="1">IFERROR(__xludf.DUMMYFUNCTION("IMPORTRANGE(""https://docs.google.com/spreadsheets/d/1Yj_ptqi66GCucihVvJfMjLAmec39IyEx_6qawtMGysU/edit?usp=sharing"",""สบก!AI22"")"),279620)</f>
        <v>279620</v>
      </c>
      <c r="N70" s="177">
        <f ca="1">IFERROR(__xludf.DUMMYFUNCTION("IMPORTRANGE(""https://docs.google.com/spreadsheets/d/1Yj_ptqi66GCucihVvJfMjLAmec39IyEx_6qawtMGysU/edit?usp=sharing"",""สบก!AJ22"")"),140849)</f>
        <v>140849</v>
      </c>
      <c r="O70" s="178">
        <f ca="1">IF(L70&gt;0,N70*100/L70,0)</f>
        <v>28.981275720164611</v>
      </c>
      <c r="P70" s="178">
        <f ca="1">IF(M70&gt;0,N70*100/M70,0)</f>
        <v>50.371575709891999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IFERROR(__xludf.DUMMYFUNCTION("IMPORTRANGE(""https://docs.google.com/spreadsheets/d/1Yj_ptqi66GCucihVvJfMjLAmec39IyEx_6qawtMGysU/edit?usp=sharing"",""สบก!AE22"")"),0)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IFERROR(__xludf.DUMMYFUNCTION("IMPORTRANGE(""https://docs.google.com/spreadsheets/d/1Yj_ptqi66GCucihVvJfMjLAmec39IyEx_6qawtMGysU/edit?usp=sharing"",""สบก!AF22"")"),486000)</f>
        <v>486000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IFERROR(__xludf.DUMMYFUNCTION("IMPORTRANGE(""https://docs.google.com/spreadsheets/d/1Yj_ptqi66GCucihVvJfMjLAmec39IyEx_6qawtMGysU/edit?usp=sharing"",""สบก!AG22"")"),0)</f>
        <v>0</v>
      </c>
      <c r="M74" s="103"/>
      <c r="N74" s="93">
        <f ca="1">IFERROR(__xludf.DUMMYFUNCTION("IMPORTRANGE(""https://docs.google.com/spreadsheets/d/1Yj_ptqi66GCucihVvJfMjLAmec39IyEx_6qawtMGysU/edit?usp=sharing"",""สบก!AK22"")"),0)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IFERROR(__xludf.DUMMYFUNCTION("IMPORTRANGE(""https://docs.google.com/spreadsheets/d/11923uPwbBZFjjGgGUA6NLw09EwE0CqkOc4q9oUmW1yo/edit?usp=sharing"",""เชียงใหม่!J16"")"),0)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IFERROR(__xludf.DUMMYFUNCTION("IMPORTRANGE(""https://docs.google.com/spreadsheets/d/11923uPwbBZFjjGgGUA6NLw09EwE0CqkOc4q9oUmW1yo/edit?usp=sharing"",""เชียงใหม่!J17"")"),1)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IFERROR(__xludf.DUMMYFUNCTION("IMPORTRANGE(""https://docs.google.com/spreadsheets/d/11923uPwbBZFjjGgGUA6NLw09EwE0CqkOc4q9oUmW1yo/edit?usp=sharing"",""เชียงใหม่!J18"")"),1)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IFERROR(__xludf.DUMMYFUNCTION("IMPORTRANGE(""https://docs.google.com/spreadsheets/d/11923uPwbBZFjjGgGUA6NLw09EwE0CqkOc4q9oUmW1yo/edit?usp=sharing"",""เชียงใหม่!J19"")"),1)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IFERROR(__xludf.DUMMYFUNCTION("IMPORTRANGE(""https://docs.google.com/spreadsheets/d/11923uPwbBZFjjGgGUA6NLw09EwE0CqkOc4q9oUmW1yo/edit?usp=sharing"",""เชียงใหม่!I20"")"),1)</f>
        <v>1</v>
      </c>
      <c r="J80" s="210">
        <f ca="1">IFERROR(__xludf.DUMMYFUNCTION("IMPORTRANGE(""https://docs.google.com/spreadsheets/d/11923uPwbBZFjjGgGUA6NLw09EwE0CqkOc4q9oUmW1yo/edit?usp=sharing"",""เชียงใหม่!J20"")"),1)</f>
        <v>1</v>
      </c>
      <c r="K80" s="211">
        <f t="shared" ref="K80:K88" ca="1" si="50">IF(I80&gt;0,J80*100/I80,0)</f>
        <v>100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IFERROR(__xludf.DUMMYFUNCTION("IMPORTRANGE(""https://docs.google.com/spreadsheets/d/11923uPwbBZFjjGgGUA6NLw09EwE0CqkOc4q9oUmW1yo/edit?usp=sharing"",""เชียงใหม่!I21"")"),50)</f>
        <v>50</v>
      </c>
      <c r="J81" s="210">
        <f ca="1">IFERROR(__xludf.DUMMYFUNCTION("IMPORTRANGE(""https://docs.google.com/spreadsheets/d/11923uPwbBZFjjGgGUA6NLw09EwE0CqkOc4q9oUmW1yo/edit?usp=sharing"",""เชียงใหม่!J21"")"),50)</f>
        <v>50</v>
      </c>
      <c r="K81" s="211">
        <f t="shared" ca="1" si="50"/>
        <v>100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IFERROR(__xludf.DUMMYFUNCTION("IMPORTRANGE(""https://docs.google.com/spreadsheets/d/11923uPwbBZFjjGgGUA6NLw09EwE0CqkOc4q9oUmW1yo/edit?usp=sharing"",""เชียงใหม่!I22"")"),0)</f>
        <v>0</v>
      </c>
      <c r="J82" s="213">
        <f ca="1">IFERROR(__xludf.DUMMYFUNCTION("IMPORTRANGE(""https://docs.google.com/spreadsheets/d/11923uPwbBZFjjGgGUA6NLw09EwE0CqkOc4q9oUmW1yo/edit?usp=sharing"",""เชียงใหม่!J22"")"),0)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IFERROR(__xludf.DUMMYFUNCTION("IMPORTRANGE(""https://docs.google.com/spreadsheets/d/11923uPwbBZFjjGgGUA6NLw09EwE0CqkOc4q9oUmW1yo/edit?usp=sharing"",""เชียงใหม่!I23"")"),0)</f>
        <v>0</v>
      </c>
      <c r="J83" s="213">
        <f ca="1">IFERROR(__xludf.DUMMYFUNCTION("IMPORTRANGE(""https://docs.google.com/spreadsheets/d/11923uPwbBZFjjGgGUA6NLw09EwE0CqkOc4q9oUmW1yo/edit?usp=sharing"",""เชียงใหม่!J23"")"),0)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IFERROR(__xludf.DUMMYFUNCTION("IMPORTRANGE(""https://docs.google.com/spreadsheets/d/11923uPwbBZFjjGgGUA6NLw09EwE0CqkOc4q9oUmW1yo/edit?usp=sharing"",""เชียงใหม่!I24"")"),0)</f>
        <v>0</v>
      </c>
      <c r="J84" s="198">
        <f ca="1">IFERROR(__xludf.DUMMYFUNCTION("IMPORTRANGE(""https://docs.google.com/spreadsheets/d/11923uPwbBZFjjGgGUA6NLw09EwE0CqkOc4q9oUmW1yo/edit?usp=sharing"",""เชียงใหม่!J24"")"),0)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IFERROR(__xludf.DUMMYFUNCTION("IMPORTRANGE(""https://docs.google.com/spreadsheets/d/11923uPwbBZFjjGgGUA6NLw09EwE0CqkOc4q9oUmW1yo/edit?usp=sharing"",""เชียงใหม่!I25"")"),0)</f>
        <v>0</v>
      </c>
      <c r="J85" s="198">
        <f ca="1">IFERROR(__xludf.DUMMYFUNCTION("IMPORTRANGE(""https://docs.google.com/spreadsheets/d/11923uPwbBZFjjGgGUA6NLw09EwE0CqkOc4q9oUmW1yo/edit?usp=sharing"",""เชียงใหม่!J25"")"),0)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IFERROR(__xludf.DUMMYFUNCTION("IMPORTRANGE(""https://docs.google.com/spreadsheets/d/11923uPwbBZFjjGgGUA6NLw09EwE0CqkOc4q9oUmW1yo/edit?usp=sharing"",""เชียงใหม่!I26"")"),1)</f>
        <v>1</v>
      </c>
      <c r="J86" s="213">
        <f ca="1">IFERROR(__xludf.DUMMYFUNCTION("IMPORTRANGE(""https://docs.google.com/spreadsheets/d/11923uPwbBZFjjGgGUA6NLw09EwE0CqkOc4q9oUmW1yo/edit?usp=sharing"",""เชียงใหม่!J26"")"),1)</f>
        <v>1</v>
      </c>
      <c r="K86" s="171">
        <f t="shared" ca="1" si="50"/>
        <v>100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IFERROR(__xludf.DUMMYFUNCTION("IMPORTRANGE(""https://docs.google.com/spreadsheets/d/11923uPwbBZFjjGgGUA6NLw09EwE0CqkOc4q9oUmW1yo/edit?usp=sharing"",""เชียงใหม่!I27"")"),50)</f>
        <v>50</v>
      </c>
      <c r="J87" s="213">
        <f ca="1">IFERROR(__xludf.DUMMYFUNCTION("IMPORTRANGE(""https://docs.google.com/spreadsheets/d/11923uPwbBZFjjGgGUA6NLw09EwE0CqkOc4q9oUmW1yo/edit?usp=sharing"",""เชียงใหม่!J27"")"),50)</f>
        <v>50</v>
      </c>
      <c r="K87" s="171">
        <f t="shared" ca="1" si="50"/>
        <v>100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IFERROR(__xludf.DUMMYFUNCTION("IMPORTRANGE(""https://docs.google.com/spreadsheets/d/11923uPwbBZFjjGgGUA6NLw09EwE0CqkOc4q9oUmW1yo/edit?usp=sharing"",""เชียงใหม่!I28"")"),0)</f>
        <v>0</v>
      </c>
      <c r="J88" s="213">
        <f ca="1">IFERROR(__xludf.DUMMYFUNCTION("IMPORTRANGE(""https://docs.google.com/spreadsheets/d/11923uPwbBZFjjGgGUA6NLw09EwE0CqkOc4q9oUmW1yo/edit?usp=sharing"",""เชียงใหม่!J28"")"),0)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IFERROR(__xludf.DUMMYFUNCTION("IMPORTRANGE(""https://docs.google.com/spreadsheets/d/11923uPwbBZFjjGgGUA6NLw09EwE0CqkOc4q9oUmW1yo/edit?usp=sharing"",""เชียงใหม่!J29"")"),0)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IFERROR(__xludf.DUMMYFUNCTION("IMPORTRANGE(""https://docs.google.com/spreadsheets/d/11923uPwbBZFjjGgGUA6NLw09EwE0CqkOc4q9oUmW1yo/edit?usp=sharing"",""เชียงใหม่!J30"")"),0)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IFERROR(__xludf.DUMMYFUNCTION("IMPORTRANGE(""https://docs.google.com/spreadsheets/d/11923uPwbBZFjjGgGUA6NLw09EwE0CqkOc4q9oUmW1yo/edit?usp=sharing"",""เชียงใหม่!I32"")"),4)</f>
        <v>4</v>
      </c>
      <c r="J92" s="148">
        <f ca="1">IFERROR(__xludf.DUMMYFUNCTION("IMPORTRANGE(""https://docs.google.com/spreadsheets/d/11923uPwbBZFjjGgGUA6NLw09EwE0CqkOc4q9oUmW1yo/edit?usp=sharing"",""เชียงใหม่!J32"")"),4)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IFERROR(__xludf.DUMMYFUNCTION("IMPORTRANGE(""https://docs.google.com/spreadsheets/d/11923uPwbBZFjjGgGUA6NLw09EwE0CqkOc4q9oUmW1yo/edit?usp=sharing"",""เชียงใหม่!I33"")"),1)</f>
        <v>1</v>
      </c>
      <c r="J93" s="148">
        <f ca="1">IFERROR(__xludf.DUMMYFUNCTION("IMPORTRANGE(""https://docs.google.com/spreadsheets/d/11923uPwbBZFjjGgGUA6NLw09EwE0CqkOc4q9oUmW1yo/edit?usp=sharing"",""เชียงใหม่!J33"")"),0)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117560</v>
      </c>
      <c r="O94" s="157">
        <f t="shared" ref="O94:O96" ca="1" si="53">IF(L94&gt;0,N94*100/L94,0)</f>
        <v>54.806526806526804</v>
      </c>
      <c r="P94" s="157">
        <f t="shared" ref="P94:P96" ca="1" si="54">IF(M94&gt;0,N94*100/M94,0)</f>
        <v>171.04612250836607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117560</v>
      </c>
      <c r="O96" s="162">
        <f t="shared" ca="1" si="53"/>
        <v>54.806526806526804</v>
      </c>
      <c r="P96" s="162">
        <f t="shared" ca="1" si="54"/>
        <v>171.04612250836607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IFERROR(__xludf.DUMMYFUNCTION("IMPORTRANGE(""https://docs.google.com/spreadsheets/d/1Yj_ptqi66GCucihVvJfMjLAmec39IyEx_6qawtMGysU/edit?usp=sharing"",""สบก!AR22"")"),68730)</f>
        <v>68730</v>
      </c>
      <c r="N98" s="177">
        <f ca="1">IFERROR(__xludf.DUMMYFUNCTION("IMPORTRANGE(""https://docs.google.com/spreadsheets/d/1Yj_ptqi66GCucihVvJfMjLAmec39IyEx_6qawtMGysU/edit?usp=sharing"",""สบก!AS22"")"),25160)</f>
        <v>25160</v>
      </c>
      <c r="O98" s="178">
        <f ca="1">IF(L98&gt;0,N98*100/L98,0)</f>
        <v>20.606060606060606</v>
      </c>
      <c r="P98" s="178">
        <f ca="1">IF(M98&gt;0,N98*100/M98,0)</f>
        <v>36.607012949221591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IFERROR(__xludf.DUMMYFUNCTION("IMPORTRANGE(""https://docs.google.com/spreadsheets/d/1Yj_ptqi66GCucihVvJfMjLAmec39IyEx_6qawtMGysU/edit?usp=sharing"",""สบก!AN22"")"),0)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IFERROR(__xludf.DUMMYFUNCTION("IMPORTRANGE(""https://docs.google.com/spreadsheets/d/1Yj_ptqi66GCucihVvJfMjLAmec39IyEx_6qawtMGysU/edit?usp=sharing"",""สบก!AO22"")"),122100)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IFERROR(__xludf.DUMMYFUNCTION("IMPORTRANGE(""https://docs.google.com/spreadsheets/d/1Yj_ptqi66GCucihVvJfMjLAmec39IyEx_6qawtMGysU/edit?usp=sharing"",""สบก!AP22"")"),92400)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IFERROR(__xludf.DUMMYFUNCTION("IMPORTRANGE(""https://docs.google.com/spreadsheets/d/1Yj_ptqi66GCucihVvJfMjLAmec39IyEx_6qawtMGysU/edit?usp=sharing"",""สบก!AT22"")"),92400)</f>
        <v>92400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IFERROR(__xludf.DUMMYFUNCTION("IMPORTRANGE(""https://docs.google.com/spreadsheets/d/11923uPwbBZFjjGgGUA6NLw09EwE0CqkOc4q9oUmW1yo/edit?usp=sharing"",""เชียงใหม่!J39"")"),0)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IFERROR(__xludf.DUMMYFUNCTION("IMPORTRANGE(""https://docs.google.com/spreadsheets/d/11923uPwbBZFjjGgGUA6NLw09EwE0CqkOc4q9oUmW1yo/edit?usp=sharing"",""เชียงใหม่!J40"")"),1)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IFERROR(__xludf.DUMMYFUNCTION("IMPORTRANGE(""https://docs.google.com/spreadsheets/d/11923uPwbBZFjjGgGUA6NLw09EwE0CqkOc4q9oUmW1yo/edit?usp=sharing"",""เชียงใหม่!J41"")"),1)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IFERROR(__xludf.DUMMYFUNCTION("IMPORTRANGE(""https://docs.google.com/spreadsheets/d/11923uPwbBZFjjGgGUA6NLw09EwE0CqkOc4q9oUmW1yo/edit?usp=sharing"",""เชียงใหม่!J42"")"),1)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IFERROR(__xludf.DUMMYFUNCTION("IMPORTRANGE(""https://docs.google.com/spreadsheets/d/11923uPwbBZFjjGgGUA6NLw09EwE0CqkOc4q9oUmW1yo/edit?usp=sharing"",""เชียงใหม่!I43"")"),1)</f>
        <v>1</v>
      </c>
      <c r="J108" s="213">
        <f ca="1">IFERROR(__xludf.DUMMYFUNCTION("IMPORTRANGE(""https://docs.google.com/spreadsheets/d/11923uPwbBZFjjGgGUA6NLw09EwE0CqkOc4q9oUmW1yo/edit?usp=sharing"",""เชียงใหม่!J43"")"),1)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IFERROR(__xludf.DUMMYFUNCTION("IMPORTRANGE(""https://docs.google.com/spreadsheets/d/11923uPwbBZFjjGgGUA6NLw09EwE0CqkOc4q9oUmW1yo/edit?usp=sharing"",""เชียงใหม่!I44"")"),4)</f>
        <v>4</v>
      </c>
      <c r="J109" s="213">
        <f ca="1">IFERROR(__xludf.DUMMYFUNCTION("IMPORTRANGE(""https://docs.google.com/spreadsheets/d/11923uPwbBZFjjGgGUA6NLw09EwE0CqkOc4q9oUmW1yo/edit?usp=sharing"",""เชียงใหม่!J44"")"),4)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IFERROR(__xludf.DUMMYFUNCTION("IMPORTRANGE(""https://docs.google.com/spreadsheets/d/11923uPwbBZFjjGgGUA6NLw09EwE0CqkOc4q9oUmW1yo/edit?usp=sharing"",""เชียงใหม่!I45"")"),4)</f>
        <v>4</v>
      </c>
      <c r="J110" s="213">
        <f ca="1">IFERROR(__xludf.DUMMYFUNCTION("IMPORTRANGE(""https://docs.google.com/spreadsheets/d/11923uPwbBZFjjGgGUA6NLw09EwE0CqkOc4q9oUmW1yo/edit?usp=sharing"",""เชียงใหม่!J45"")"),4)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IFERROR(__xludf.DUMMYFUNCTION("IMPORTRANGE(""https://docs.google.com/spreadsheets/d/11923uPwbBZFjjGgGUA6NLw09EwE0CqkOc4q9oUmW1yo/edit?usp=sharing"",""เชียงใหม่!I46"")"),4)</f>
        <v>4</v>
      </c>
      <c r="J111" s="213">
        <f ca="1">IFERROR(__xludf.DUMMYFUNCTION("IMPORTRANGE(""https://docs.google.com/spreadsheets/d/11923uPwbBZFjjGgGUA6NLw09EwE0CqkOc4q9oUmW1yo/edit?usp=sharing"",""เชียงใหม่!J46"")"),4)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IFERROR(__xludf.DUMMYFUNCTION("IMPORTRANGE(""https://docs.google.com/spreadsheets/d/11923uPwbBZFjjGgGUA6NLw09EwE0CqkOc4q9oUmW1yo/edit?usp=sharing"",""เชียงใหม่!I47"")"),4)</f>
        <v>4</v>
      </c>
      <c r="J112" s="213">
        <f ca="1">IFERROR(__xludf.DUMMYFUNCTION("IMPORTRANGE(""https://docs.google.com/spreadsheets/d/11923uPwbBZFjjGgGUA6NLw09EwE0CqkOc4q9oUmW1yo/edit?usp=sharing"",""เชียงใหม่!J47"")"),0)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IFERROR(__xludf.DUMMYFUNCTION("IMPORTRANGE(""https://docs.google.com/spreadsheets/d/11923uPwbBZFjjGgGUA6NLw09EwE0CqkOc4q9oUmW1yo/edit?usp=sharing"",""เชียงใหม่!I48"")"),1)</f>
        <v>1</v>
      </c>
      <c r="J113" s="213">
        <f ca="1">IFERROR(__xludf.DUMMYFUNCTION("IMPORTRANGE(""https://docs.google.com/spreadsheets/d/11923uPwbBZFjjGgGUA6NLw09EwE0CqkOc4q9oUmW1yo/edit?usp=sharing"",""เชียงใหม่!J48"")"),0)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IFERROR(__xludf.DUMMYFUNCTION("IMPORTRANGE(""https://docs.google.com/spreadsheets/d/11923uPwbBZFjjGgGUA6NLw09EwE0CqkOc4q9oUmW1yo/edit?usp=sharing"",""เชียงใหม่!J49"")"),0)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IFERROR(__xludf.DUMMYFUNCTION("IMPORTRANGE(""https://docs.google.com/spreadsheets/d/11923uPwbBZFjjGgGUA6NLw09EwE0CqkOc4q9oUmW1yo/edit?usp=sharing"",""เชียงใหม่!J50"")"),0)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IFERROR(__xludf.DUMMYFUNCTION("IMPORTRANGE(""https://docs.google.com/spreadsheets/d/11923uPwbBZFjjGgGUA6NLw09EwE0CqkOc4q9oUmW1yo/edit?usp=sharing"",""เชียงใหม่!I52"")"),0)</f>
        <v>0</v>
      </c>
      <c r="J117" s="148">
        <f ca="1">IFERROR(__xludf.DUMMYFUNCTION("IMPORTRANGE(""https://docs.google.com/spreadsheets/d/11923uPwbBZFjjGgGUA6NLw09EwE0CqkOc4q9oUmW1yo/edit?usp=sharing"",""เชียงใหม่!J52"")"),0)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IFERROR(__xludf.DUMMYFUNCTION("IMPORTRANGE(""https://docs.google.com/spreadsheets/d/1Yj_ptqi66GCucihVvJfMjLAmec39IyEx_6qawtMGysU/edit?usp=sharing"",""สบก!BA22"")"),0)</f>
        <v>0</v>
      </c>
      <c r="N122" s="177">
        <f ca="1">IFERROR(__xludf.DUMMYFUNCTION("IMPORTRANGE(""https://docs.google.com/spreadsheets/d/1Yj_ptqi66GCucihVvJfMjLAmec39IyEx_6qawtMGysU/edit?usp=sharing"",""สบก!BB22"")"),0)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IFERROR(__xludf.DUMMYFUNCTION("IMPORTRANGE(""https://docs.google.com/spreadsheets/d/1Yj_ptqi66GCucihVvJfMjLAmec39IyEx_6qawtMGysU/edit?usp=sharing"",""สบก!AW22"")"),0)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IFERROR(__xludf.DUMMYFUNCTION("IMPORTRANGE(""https://docs.google.com/spreadsheets/d/1Yj_ptqi66GCucihVvJfMjLAmec39IyEx_6qawtMGysU/edit?usp=sharing"",""สบก!AX22"")"),0)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IFERROR(__xludf.DUMMYFUNCTION("IMPORTRANGE(""https://docs.google.com/spreadsheets/d/1Yj_ptqi66GCucihVvJfMjLAmec39IyEx_6qawtMGysU/edit?usp=sharing"",""สบก!AY22"")"),0)</f>
        <v>0</v>
      </c>
      <c r="M126" s="103"/>
      <c r="N126" s="93">
        <f ca="1">IFERROR(__xludf.DUMMYFUNCTION("IMPORTRANGE(""https://docs.google.com/spreadsheets/d/1Yj_ptqi66GCucihVvJfMjLAmec39IyEx_6qawtMGysU/edit?usp=sharing"",""สบก!BC22"")"),0)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244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IFERROR(__xludf.DUMMYFUNCTION("IMPORTRANGE(""https://docs.google.com/spreadsheets/d/11923uPwbBZFjjGgGUA6NLw09EwE0CqkOc4q9oUmW1yo/edit?usp=sharing"",""เชียงใหม่!J58"")"),0)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IFERROR(__xludf.DUMMYFUNCTION("IMPORTRANGE(""https://docs.google.com/spreadsheets/d/11923uPwbBZFjjGgGUA6NLw09EwE0CqkOc4q9oUmW1yo/edit?usp=sharing"",""เชียงใหม่!J59"")"),0)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IFERROR(__xludf.DUMMYFUNCTION("IMPORTRANGE(""https://docs.google.com/spreadsheets/d/11923uPwbBZFjjGgGUA6NLw09EwE0CqkOc4q9oUmW1yo/edit?usp=sharing"",""เชียงใหม่!J60"")"),0)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IFERROR(__xludf.DUMMYFUNCTION("IMPORTRANGE(""https://docs.google.com/spreadsheets/d/11923uPwbBZFjjGgGUA6NLw09EwE0CqkOc4q9oUmW1yo/edit?usp=sharing"",""เชียงใหม่!J61"")"),0)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IFERROR(__xludf.DUMMYFUNCTION("IMPORTRANGE(""https://docs.google.com/spreadsheets/d/11923uPwbBZFjjGgGUA6NLw09EwE0CqkOc4q9oUmW1yo/edit?usp=sharing"",""เชียงใหม่!I62"")"),0)</f>
        <v>0</v>
      </c>
      <c r="J132" s="213">
        <f ca="1">IFERROR(__xludf.DUMMYFUNCTION("IMPORTRANGE(""https://docs.google.com/spreadsheets/d/11923uPwbBZFjjGgGUA6NLw09EwE0CqkOc4q9oUmW1yo/edit?usp=sharing"",""เชียงใหม่!J62"")"),0)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IFERROR(__xludf.DUMMYFUNCTION("IMPORTRANGE(""https://docs.google.com/spreadsheets/d/11923uPwbBZFjjGgGUA6NLw09EwE0CqkOc4q9oUmW1yo/edit?usp=sharing"",""เชียงใหม่!I63"")"),0)</f>
        <v>0</v>
      </c>
      <c r="J133" s="213">
        <f ca="1">IFERROR(__xludf.DUMMYFUNCTION("IMPORTRANGE(""https://docs.google.com/spreadsheets/d/11923uPwbBZFjjGgGUA6NLw09EwE0CqkOc4q9oUmW1yo/edit?usp=sharing"",""เชียงใหม่!J63"")"),0)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IFERROR(__xludf.DUMMYFUNCTION("IMPORTRANGE(""https://docs.google.com/spreadsheets/d/11923uPwbBZFjjGgGUA6NLw09EwE0CqkOc4q9oUmW1yo/edit?usp=sharing"",""เชียงใหม่!J64"")"),0)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IFERROR(__xludf.DUMMYFUNCTION("IMPORTRANGE(""https://docs.google.com/spreadsheets/d/11923uPwbBZFjjGgGUA6NLw09EwE0CqkOc4q9oUmW1yo/edit?usp=sharing"",""เชียงใหม่!J65"")"),0)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IFERROR(__xludf.DUMMYFUNCTION("IMPORTRANGE(""https://docs.google.com/spreadsheets/d/11923uPwbBZFjjGgGUA6NLw09EwE0CqkOc4q9oUmW1yo/edit?usp=sharing"",""เชียงใหม่!I68"")"),100)</f>
        <v>100</v>
      </c>
      <c r="J138" s="276">
        <f ca="1">IFERROR(__xludf.DUMMYFUNCTION("IMPORTRANGE(""https://docs.google.com/spreadsheets/d/11923uPwbBZFjjGgGUA6NLw09EwE0CqkOc4q9oUmW1yo/edit?usp=sharing"",""เชียงใหม่!J68"")"),100)</f>
        <v>100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891700</v>
      </c>
      <c r="M140" s="158">
        <f t="shared" ca="1" si="64"/>
        <v>455150</v>
      </c>
      <c r="N140" s="158">
        <f t="shared" ca="1" si="64"/>
        <v>219749</v>
      </c>
      <c r="O140" s="157">
        <f t="shared" ref="O140:O142" ca="1" si="65">IF(L140&gt;0,N140*100/L140,0)</f>
        <v>24.643826399013122</v>
      </c>
      <c r="P140" s="157">
        <f t="shared" ref="P140:P142" ca="1" si="66">IF(M140&gt;0,N140*100/M140,0)</f>
        <v>48.280566846094693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891700</v>
      </c>
      <c r="M142" s="163">
        <f t="shared" ca="1" si="68"/>
        <v>455150</v>
      </c>
      <c r="N142" s="163">
        <f t="shared" ca="1" si="68"/>
        <v>219749</v>
      </c>
      <c r="O142" s="162">
        <f t="shared" ca="1" si="65"/>
        <v>24.643826399013122</v>
      </c>
      <c r="P142" s="162">
        <f t="shared" ca="1" si="66"/>
        <v>48.280566846094693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891700</v>
      </c>
      <c r="M144" s="176">
        <f ca="1">IFERROR(__xludf.DUMMYFUNCTION("IMPORTRANGE(""https://docs.google.com/spreadsheets/d/1Yj_ptqi66GCucihVvJfMjLAmec39IyEx_6qawtMGysU/edit?usp=sharing"",""สบก!BJ22"")"),455150)</f>
        <v>455150</v>
      </c>
      <c r="N144" s="177">
        <f ca="1">IFERROR(__xludf.DUMMYFUNCTION("IMPORTRANGE(""https://docs.google.com/spreadsheets/d/1Yj_ptqi66GCucihVvJfMjLAmec39IyEx_6qawtMGysU/edit?usp=sharing"",""สบก!BK22"")"),219749)</f>
        <v>219749</v>
      </c>
      <c r="O144" s="178">
        <f ca="1">IF(L144&gt;0,N144*100/L144,0)</f>
        <v>24.643826399013122</v>
      </c>
      <c r="P144" s="178">
        <f ca="1">IF(M144&gt;0,N144*100/M144,0)</f>
        <v>48.280566846094693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IFERROR(__xludf.DUMMYFUNCTION("IMPORTRANGE(""https://docs.google.com/spreadsheets/d/1Yj_ptqi66GCucihVvJfMjLAmec39IyEx_6qawtMGysU/edit?usp=sharing"",""สบก!BF22"")"),331400)</f>
        <v>331400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IFERROR(__xludf.DUMMYFUNCTION("IMPORTRANGE(""https://docs.google.com/spreadsheets/d/1Yj_ptqi66GCucihVvJfMjLAmec39IyEx_6qawtMGysU/edit?usp=sharing"",""สบก!BG22"")"),560300)</f>
        <v>560300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IFERROR(__xludf.DUMMYFUNCTION("IMPORTRANGE(""https://docs.google.com/spreadsheets/d/1Yj_ptqi66GCucihVvJfMjLAmec39IyEx_6qawtMGysU/edit?usp=sharing"",""สบก!BH22"")"),0)</f>
        <v>0</v>
      </c>
      <c r="M148" s="103"/>
      <c r="N148" s="93">
        <f ca="1">IFERROR(__xludf.DUMMYFUNCTION("IMPORTRANGE(""https://docs.google.com/spreadsheets/d/1Yj_ptqi66GCucihVvJfMjLAmec39IyEx_6qawtMGysU/edit?usp=sharing"",""สบก!BL22"")"),0)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IFERROR(__xludf.DUMMYFUNCTION("IMPORTRANGE(""https://docs.google.com/spreadsheets/d/11923uPwbBZFjjGgGUA6NLw09EwE0CqkOc4q9oUmW1yo/edit?usp=sharing"",""เชียงใหม่!I74"")"),4)</f>
        <v>4</v>
      </c>
      <c r="J149" s="284">
        <f ca="1">IFERROR(__xludf.DUMMYFUNCTION("IMPORTRANGE(""https://docs.google.com/spreadsheets/d/11923uPwbBZFjjGgGUA6NLw09EwE0CqkOc4q9oUmW1yo/edit?usp=sharing"",""เชียงใหม่!J74"")"),1)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IFERROR(__xludf.DUMMYFUNCTION("IMPORTRANGE(""https://docs.google.com/spreadsheets/d/11923uPwbBZFjjGgGUA6NLw09EwE0CqkOc4q9oUmW1yo/edit?usp=sharing"",""เชียงใหม่!J79"")"),0)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IFERROR(__xludf.DUMMYFUNCTION("IMPORTRANGE(""https://docs.google.com/spreadsheets/d/11923uPwbBZFjjGgGUA6NLw09EwE0CqkOc4q9oUmW1yo/edit?usp=sharing"",""เชียงใหม่!J80"")"),1)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IFERROR(__xludf.DUMMYFUNCTION("IMPORTRANGE(""https://docs.google.com/spreadsheets/d/11923uPwbBZFjjGgGUA6NLw09EwE0CqkOc4q9oUmW1yo/edit?usp=sharing"",""เชียงใหม่!J81"")"),1)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IFERROR(__xludf.DUMMYFUNCTION("IMPORTRANGE(""https://docs.google.com/spreadsheets/d/11923uPwbBZFjjGgGUA6NLw09EwE0CqkOc4q9oUmW1yo/edit?usp=sharing"",""เชียงใหม่!J82"")"),1)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IFERROR(__xludf.DUMMYFUNCTION("IMPORTRANGE(""https://docs.google.com/spreadsheets/d/11923uPwbBZFjjGgGUA6NLw09EwE0CqkOc4q9oUmW1yo/edit?usp=sharing"",""เชียงใหม่!I83"")"),4)</f>
        <v>4</v>
      </c>
      <c r="J158" s="198">
        <f ca="1">IFERROR(__xludf.DUMMYFUNCTION("IMPORTRANGE(""https://docs.google.com/spreadsheets/d/11923uPwbBZFjjGgGUA6NLw09EwE0CqkOc4q9oUmW1yo/edit?usp=sharing"",""เชียงใหม่!J83"")"),1)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IFERROR(__xludf.DUMMYFUNCTION("IMPORTRANGE(""https://docs.google.com/spreadsheets/d/11923uPwbBZFjjGgGUA6NLw09EwE0CqkOc4q9oUmW1yo/edit?usp=sharing"",""เชียงใหม่!J84"")"),19)</f>
        <v>19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IFERROR(__xludf.DUMMYFUNCTION("IMPORTRANGE(""https://docs.google.com/spreadsheets/d/11923uPwbBZFjjGgGUA6NLw09EwE0CqkOc4q9oUmW1yo/edit?usp=sharing"",""เชียงใหม่!J85"")"),19)</f>
        <v>19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IFERROR(__xludf.DUMMYFUNCTION("IMPORTRANGE(""https://docs.google.com/spreadsheets/d/11923uPwbBZFjjGgGUA6NLw09EwE0CqkOc4q9oUmW1yo/edit?usp=sharing"",""เชียงใหม่!J86"")"),0)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IFERROR(__xludf.DUMMYFUNCTION("IMPORTRANGE(""https://docs.google.com/spreadsheets/d/11923uPwbBZFjjGgGUA6NLw09EwE0CqkOc4q9oUmW1yo/edit?usp=sharing"",""เชียงใหม่!J87"")"),0)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IFERROR(__xludf.DUMMYFUNCTION("IMPORTRANGE(""https://docs.google.com/spreadsheets/d/11923uPwbBZFjjGgGUA6NLw09EwE0CqkOc4q9oUmW1yo/edit?usp=sharing"",""เชียงใหม่!J88"")"),0)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IFERROR(__xludf.DUMMYFUNCTION("IMPORTRANGE(""https://docs.google.com/spreadsheets/d/11923uPwbBZFjjGgGUA6NLw09EwE0CqkOc4q9oUmW1yo/edit?usp=sharing"",""เชียงใหม่!I89"")"),2)</f>
        <v>2</v>
      </c>
      <c r="J164" s="292">
        <f ca="1">IFERROR(__xludf.DUMMYFUNCTION("IMPORTRANGE(""https://docs.google.com/spreadsheets/d/11923uPwbBZFjjGgGUA6NLw09EwE0CqkOc4q9oUmW1yo/edit?usp=sharing"",""เชียงใหม่!J89"")"),0)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IFERROR(__xludf.DUMMYFUNCTION("IMPORTRANGE(""https://docs.google.com/spreadsheets/d/11923uPwbBZFjjGgGUA6NLw09EwE0CqkOc4q9oUmW1yo/edit?usp=sharing"",""เชียงใหม่!J94"")"),0)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IFERROR(__xludf.DUMMYFUNCTION("IMPORTRANGE(""https://docs.google.com/spreadsheets/d/11923uPwbBZFjjGgGUA6NLw09EwE0CqkOc4q9oUmW1yo/edit?usp=sharing"",""เชียงใหม่!J95"")"),1)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IFERROR(__xludf.DUMMYFUNCTION("IMPORTRANGE(""https://docs.google.com/spreadsheets/d/11923uPwbBZFjjGgGUA6NLw09EwE0CqkOc4q9oUmW1yo/edit?usp=sharing"",""เชียงใหม่!J96"")"),1)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IFERROR(__xludf.DUMMYFUNCTION("IMPORTRANGE(""https://docs.google.com/spreadsheets/d/11923uPwbBZFjjGgGUA6NLw09EwE0CqkOc4q9oUmW1yo/edit?usp=sharing"",""เชียงใหม่!J97"")"),1)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IFERROR(__xludf.DUMMYFUNCTION("IMPORTRANGE(""https://docs.google.com/spreadsheets/d/11923uPwbBZFjjGgGUA6NLw09EwE0CqkOc4q9oUmW1yo/edit?usp=sharing"",""เชียงใหม่!I98"")"),2)</f>
        <v>2</v>
      </c>
      <c r="J173" s="198">
        <f ca="1">IFERROR(__xludf.DUMMYFUNCTION("IMPORTRANGE(""https://docs.google.com/spreadsheets/d/11923uPwbBZFjjGgGUA6NLw09EwE0CqkOc4q9oUmW1yo/edit?usp=sharing"",""เชียงใหม่!J98"")"),0)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IFERROR(__xludf.DUMMYFUNCTION("IMPORTRANGE(""https://docs.google.com/spreadsheets/d/11923uPwbBZFjjGgGUA6NLw09EwE0CqkOc4q9oUmW1yo/edit?usp=sharing"",""เชียงใหม่!J99"")"),0)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IFERROR(__xludf.DUMMYFUNCTION("IMPORTRANGE(""https://docs.google.com/spreadsheets/d/11923uPwbBZFjjGgGUA6NLw09EwE0CqkOc4q9oUmW1yo/edit?usp=sharing"",""เชียงใหม่!J100"")"),0)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IFERROR(__xludf.DUMMYFUNCTION("IMPORTRANGE(""https://docs.google.com/spreadsheets/d/11923uPwbBZFjjGgGUA6NLw09EwE0CqkOc4q9oUmW1yo/edit?usp=sharing"",""เชียงใหม่!I101"")"),1)</f>
        <v>1</v>
      </c>
      <c r="J176" s="292">
        <f ca="1">IFERROR(__xludf.DUMMYFUNCTION("IMPORTRANGE(""https://docs.google.com/spreadsheets/d/11923uPwbBZFjjGgGUA6NLw09EwE0CqkOc4q9oUmW1yo/edit?usp=sharing"",""เชียงใหม่!J101"")"),1)</f>
        <v>1</v>
      </c>
      <c r="K176" s="293">
        <f ca="1">IF(I176&gt;0,J176*100/I176,0)</f>
        <v>100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IFERROR(__xludf.DUMMYFUNCTION("IMPORTRANGE(""https://docs.google.com/spreadsheets/d/11923uPwbBZFjjGgGUA6NLw09EwE0CqkOc4q9oUmW1yo/edit?usp=sharing"",""เชียงใหม่!J106"")"),0)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IFERROR(__xludf.DUMMYFUNCTION("IMPORTRANGE(""https://docs.google.com/spreadsheets/d/11923uPwbBZFjjGgGUA6NLw09EwE0CqkOc4q9oUmW1yo/edit?usp=sharing"",""เชียงใหม่!J107"")"),1)</f>
        <v>1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IFERROR(__xludf.DUMMYFUNCTION("IMPORTRANGE(""https://docs.google.com/spreadsheets/d/11923uPwbBZFjjGgGUA6NLw09EwE0CqkOc4q9oUmW1yo/edit?usp=sharing"",""เชียงใหม่!J108"")"),1)</f>
        <v>1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IFERROR(__xludf.DUMMYFUNCTION("IMPORTRANGE(""https://docs.google.com/spreadsheets/d/11923uPwbBZFjjGgGUA6NLw09EwE0CqkOc4q9oUmW1yo/edit?usp=sharing"",""เชียงใหม่!J109"")"),1)</f>
        <v>1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IFERROR(__xludf.DUMMYFUNCTION("IMPORTRANGE(""https://docs.google.com/spreadsheets/d/11923uPwbBZFjjGgGUA6NLw09EwE0CqkOc4q9oUmW1yo/edit?usp=sharing"",""เชียงใหม่!I110"")"),1)</f>
        <v>1</v>
      </c>
      <c r="J185" s="213">
        <f ca="1">IFERROR(__xludf.DUMMYFUNCTION("IMPORTRANGE(""https://docs.google.com/spreadsheets/d/11923uPwbBZFjjGgGUA6NLw09EwE0CqkOc4q9oUmW1yo/edit?usp=sharing"",""เชียงใหม่!J110"")"),0)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IFERROR(__xludf.DUMMYFUNCTION("IMPORTRANGE(""https://docs.google.com/spreadsheets/d/11923uPwbBZFjjGgGUA6NLw09EwE0CqkOc4q9oUmW1yo/edit?usp=sharing"",""เชียงใหม่!I111"")"),1)</f>
        <v>1</v>
      </c>
      <c r="J186" s="213">
        <f ca="1">IFERROR(__xludf.DUMMYFUNCTION("IMPORTRANGE(""https://docs.google.com/spreadsheets/d/11923uPwbBZFjjGgGUA6NLw09EwE0CqkOc4q9oUmW1yo/edit?usp=sharing"",""เชียงใหม่!J111"")"),1)</f>
        <v>1</v>
      </c>
      <c r="K186" s="233">
        <f t="shared" ca="1" si="69"/>
        <v>100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IFERROR(__xludf.DUMMYFUNCTION("IMPORTRANGE(""https://docs.google.com/spreadsheets/d/11923uPwbBZFjjGgGUA6NLw09EwE0CqkOc4q9oUmW1yo/edit?usp=sharing"",""เชียงใหม่!J112"")"),0)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IFERROR(__xludf.DUMMYFUNCTION("IMPORTRANGE(""https://docs.google.com/spreadsheets/d/11923uPwbBZFjjGgGUA6NLw09EwE0CqkOc4q9oUmW1yo/edit?usp=sharing"",""เชียงใหม่!J113"")"),0)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IFERROR(__xludf.DUMMYFUNCTION("IMPORTRANGE(""https://docs.google.com/spreadsheets/d/11923uPwbBZFjjGgGUA6NLw09EwE0CqkOc4q9oUmW1yo/edit?usp=sharing"",""เชียงใหม่!I114"")"),16000)</f>
        <v>16000</v>
      </c>
      <c r="J189" s="292">
        <f ca="1">IFERROR(__xludf.DUMMYFUNCTION("IMPORTRANGE(""https://docs.google.com/spreadsheets/d/11923uPwbBZFjjGgGUA6NLw09EwE0CqkOc4q9oUmW1yo/edit?usp=sharing"",""เชียงใหม่!J114"")"),0)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IFERROR(__xludf.DUMMYFUNCTION("IMPORTRANGE(""https://docs.google.com/spreadsheets/d/11923uPwbBZFjjGgGUA6NLw09EwE0CqkOc4q9oUmW1yo/edit?usp=sharing"",""เชียงใหม่!J119"")"),0)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IFERROR(__xludf.DUMMYFUNCTION("IMPORTRANGE(""https://docs.google.com/spreadsheets/d/11923uPwbBZFjjGgGUA6NLw09EwE0CqkOc4q9oUmW1yo/edit?usp=sharing"",""เชียงใหม่!J120"")"),1)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IFERROR(__xludf.DUMMYFUNCTION("IMPORTRANGE(""https://docs.google.com/spreadsheets/d/11923uPwbBZFjjGgGUA6NLw09EwE0CqkOc4q9oUmW1yo/edit?usp=sharing"",""เชียงใหม่!J121"")"),1)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IFERROR(__xludf.DUMMYFUNCTION("IMPORTRANGE(""https://docs.google.com/spreadsheets/d/11923uPwbBZFjjGgGUA6NLw09EwE0CqkOc4q9oUmW1yo/edit?usp=sharing"",""เชียงใหม่!J122"")"),1)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IFERROR(__xludf.DUMMYFUNCTION("IMPORTRANGE(""https://docs.google.com/spreadsheets/d/11923uPwbBZFjjGgGUA6NLw09EwE0CqkOc4q9oUmW1yo/edit?usp=sharing"",""เชียงใหม่!I124"")"),16000)</f>
        <v>16000</v>
      </c>
      <c r="J199" s="198">
        <f ca="1">IFERROR(__xludf.DUMMYFUNCTION("IMPORTRANGE(""https://docs.google.com/spreadsheets/d/11923uPwbBZFjjGgGUA6NLw09EwE0CqkOc4q9oUmW1yo/edit?usp=sharing"",""เชียงใหม่!J124"")"),16000)</f>
        <v>16000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IFERROR(__xludf.DUMMYFUNCTION("IMPORTRANGE(""https://docs.google.com/spreadsheets/d/11923uPwbBZFjjGgGUA6NLw09EwE0CqkOc4q9oUmW1yo/edit?usp=sharing"",""เชียงใหม่!I125"")"),16000)</f>
        <v>16000</v>
      </c>
      <c r="J200" s="198">
        <f ca="1">IFERROR(__xludf.DUMMYFUNCTION("IMPORTRANGE(""https://docs.google.com/spreadsheets/d/11923uPwbBZFjjGgGUA6NLw09EwE0CqkOc4q9oUmW1yo/edit?usp=sharing"",""เชียงใหม่!J125"")"),0)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IFERROR(__xludf.DUMMYFUNCTION("IMPORTRANGE(""https://docs.google.com/spreadsheets/d/11923uPwbBZFjjGgGUA6NLw09EwE0CqkOc4q9oUmW1yo/edit?usp=sharing"",""เชียงใหม่!I126"")"),0)</f>
        <v>0</v>
      </c>
      <c r="J201" s="198">
        <f ca="1">IFERROR(__xludf.DUMMYFUNCTION("IMPORTRANGE(""https://docs.google.com/spreadsheets/d/11923uPwbBZFjjGgGUA6NLw09EwE0CqkOc4q9oUmW1yo/edit?usp=sharing"",""เชียงใหม่!J126"")"),0)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IFERROR(__xludf.DUMMYFUNCTION("IMPORTRANGE(""https://docs.google.com/spreadsheets/d/11923uPwbBZFjjGgGUA6NLw09EwE0CqkOc4q9oUmW1yo/edit?usp=sharing"",""เชียงใหม่!J127"")"),0)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IFERROR(__xludf.DUMMYFUNCTION("IMPORTRANGE(""https://docs.google.com/spreadsheets/d/11923uPwbBZFjjGgGUA6NLw09EwE0CqkOc4q9oUmW1yo/edit?usp=sharing"",""เชียงใหม่!J128"")"),0)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IFERROR(__xludf.DUMMYFUNCTION("IMPORTRANGE(""https://docs.google.com/spreadsheets/d/11923uPwbBZFjjGgGUA6NLw09EwE0CqkOc4q9oUmW1yo/edit?usp=sharing"",""เชียงใหม่!I129"")"),100)</f>
        <v>100</v>
      </c>
      <c r="J204" s="292">
        <f ca="1">IFERROR(__xludf.DUMMYFUNCTION("IMPORTRANGE(""https://docs.google.com/spreadsheets/d/11923uPwbBZFjjGgGUA6NLw09EwE0CqkOc4q9oUmW1yo/edit?usp=sharing"",""เชียงใหม่!J129"")"),100)</f>
        <v>100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IFERROR(__xludf.DUMMYFUNCTION("IMPORTRANGE(""https://docs.google.com/spreadsheets/d/11923uPwbBZFjjGgGUA6NLw09EwE0CqkOc4q9oUmW1yo/edit?usp=sharing"",""เชียงใหม่!J134"")"),0)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IFERROR(__xludf.DUMMYFUNCTION("IMPORTRANGE(""https://docs.google.com/spreadsheets/d/11923uPwbBZFjjGgGUA6NLw09EwE0CqkOc4q9oUmW1yo/edit?usp=sharing"",""เชียงใหม่!J135"")"),1)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IFERROR(__xludf.DUMMYFUNCTION("IMPORTRANGE(""https://docs.google.com/spreadsheets/d/11923uPwbBZFjjGgGUA6NLw09EwE0CqkOc4q9oUmW1yo/edit?usp=sharing"",""เชียงใหม่!J136"")"),1)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IFERROR(__xludf.DUMMYFUNCTION("IMPORTRANGE(""https://docs.google.com/spreadsheets/d/11923uPwbBZFjjGgGUA6NLw09EwE0CqkOc4q9oUmW1yo/edit?usp=sharing"",""เชียงใหม่!J137"")"),1)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IFERROR(__xludf.DUMMYFUNCTION("IMPORTRANGE(""https://docs.google.com/spreadsheets/d/11923uPwbBZFjjGgGUA6NLw09EwE0CqkOc4q9oUmW1yo/edit?usp=sharing"",""เชียงใหม่!I138"")"),100)</f>
        <v>100</v>
      </c>
      <c r="J213" s="213">
        <f ca="1">IFERROR(__xludf.DUMMYFUNCTION("IMPORTRANGE(""https://docs.google.com/spreadsheets/d/11923uPwbBZFjjGgGUA6NLw09EwE0CqkOc4q9oUmW1yo/edit?usp=sharing"",""เชียงใหม่!J138"")"),100)</f>
        <v>100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IFERROR(__xludf.DUMMYFUNCTION("IMPORTRANGE(""https://docs.google.com/spreadsheets/d/11923uPwbBZFjjGgGUA6NLw09EwE0CqkOc4q9oUmW1yo/edit?usp=sharing"",""เชียงใหม่!I140"")"),0)</f>
        <v>0</v>
      </c>
      <c r="J215" s="213">
        <f ca="1">IFERROR(__xludf.DUMMYFUNCTION("IMPORTRANGE(""https://docs.google.com/spreadsheets/d/11923uPwbBZFjjGgGUA6NLw09EwE0CqkOc4q9oUmW1yo/edit?usp=sharing"",""เชียงใหม่!J140"")"),0)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IFERROR(__xludf.DUMMYFUNCTION("IMPORTRANGE(""https://docs.google.com/spreadsheets/d/11923uPwbBZFjjGgGUA6NLw09EwE0CqkOc4q9oUmW1yo/edit?usp=sharing"",""เชียงใหม่!I141"")"),3)</f>
        <v>3</v>
      </c>
      <c r="J216" s="213">
        <f ca="1">IFERROR(__xludf.DUMMYFUNCTION("IMPORTRANGE(""https://docs.google.com/spreadsheets/d/11923uPwbBZFjjGgGUA6NLw09EwE0CqkOc4q9oUmW1yo/edit?usp=sharing"",""เชียงใหม่!J141"")"),0)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IFERROR(__xludf.DUMMYFUNCTION("IMPORTRANGE(""https://docs.google.com/spreadsheets/d/11923uPwbBZFjjGgGUA6NLw09EwE0CqkOc4q9oUmW1yo/edit?usp=sharing"",""เชียงใหม่!J142"")"),0)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IFERROR(__xludf.DUMMYFUNCTION("IMPORTRANGE(""https://docs.google.com/spreadsheets/d/11923uPwbBZFjjGgGUA6NLw09EwE0CqkOc4q9oUmW1yo/edit?usp=sharing"",""เชียงใหม่!J143"")"),0)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IFERROR(__xludf.DUMMYFUNCTION("IMPORTRANGE(""https://docs.google.com/spreadsheets/d/11923uPwbBZFjjGgGUA6NLw09EwE0CqkOc4q9oUmW1yo/edit?usp=sharing"",""เชียงใหม่!I144"")"),15)</f>
        <v>15</v>
      </c>
      <c r="J219" s="276">
        <f ca="1">IFERROR(__xludf.DUMMYFUNCTION("IMPORTRANGE(""https://docs.google.com/spreadsheets/d/11923uPwbBZFjjGgGUA6NLw09EwE0CqkOc4q9oUmW1yo/edit?usp=sharing"",""เชียงใหม่!J144"")"),15)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20125</v>
      </c>
      <c r="O220" s="157">
        <f t="shared" ref="O220:O222" ca="1" si="73">IF(L220&gt;0,N220*100/L220,0)</f>
        <v>95.26627218934911</v>
      </c>
      <c r="P220" s="157">
        <f t="shared" ref="P220:P222" ca="1" si="74">IF(M220&gt;0,N220*100/M220,0)</f>
        <v>95.26627218934911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20125</v>
      </c>
      <c r="O222" s="162">
        <f t="shared" ca="1" si="73"/>
        <v>95.26627218934911</v>
      </c>
      <c r="P222" s="162">
        <f t="shared" ca="1" si="74"/>
        <v>95.26627218934911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IFERROR(__xludf.DUMMYFUNCTION("IMPORTRANGE(""https://docs.google.com/spreadsheets/d/1Yj_ptqi66GCucihVvJfMjLAmec39IyEx_6qawtMGysU/edit?usp=sharing"",""สบก!BS22"")"),21125)</f>
        <v>21125</v>
      </c>
      <c r="N224" s="177">
        <f ca="1">IFERROR(__xludf.DUMMYFUNCTION("IMPORTRANGE(""https://docs.google.com/spreadsheets/d/1Yj_ptqi66GCucihVvJfMjLAmec39IyEx_6qawtMGysU/edit?usp=sharing"",""สบก!BT22"")"),20125)</f>
        <v>20125</v>
      </c>
      <c r="O224" s="178">
        <f ca="1">IF(L224&gt;0,N224*100/L224,0)</f>
        <v>95.26627218934911</v>
      </c>
      <c r="P224" s="178">
        <f ca="1">IF(M224&gt;0,N224*100/M224,0)</f>
        <v>95.26627218934911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IFERROR(__xludf.DUMMYFUNCTION("IMPORTRANGE(""https://docs.google.com/spreadsheets/d/1Yj_ptqi66GCucihVvJfMjLAmec39IyEx_6qawtMGysU/edit?usp=sharing"",""สบก!BO22"")"),0)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IFERROR(__xludf.DUMMYFUNCTION("IMPORTRANGE(""https://docs.google.com/spreadsheets/d/1Yj_ptqi66GCucihVvJfMjLAmec39IyEx_6qawtMGysU/edit?usp=sharing"",""สบก!BP22"")"),21125)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IFERROR(__xludf.DUMMYFUNCTION("IMPORTRANGE(""https://docs.google.com/spreadsheets/d/1Yj_ptqi66GCucihVvJfMjLAmec39IyEx_6qawtMGysU/edit?usp=sharing"",""สบก!BQ22"")"),0)</f>
        <v>0</v>
      </c>
      <c r="M228" s="103"/>
      <c r="N228" s="93">
        <f ca="1">IFERROR(__xludf.DUMMYFUNCTION("IMPORTRANGE(""https://docs.google.com/spreadsheets/d/1Yj_ptqi66GCucihVvJfMjLAmec39IyEx_6qawtMGysU/edit?usp=sharing"",""สบก!BU22"")"),0)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IFERROR(__xludf.DUMMYFUNCTION("IMPORTRANGE(""https://docs.google.com/spreadsheets/d/11923uPwbBZFjjGgGUA6NLw09EwE0CqkOc4q9oUmW1yo/edit?usp=sharing"",""เชียงใหม่!I149"")"),15)</f>
        <v>15</v>
      </c>
      <c r="J229" s="276">
        <f ca="1">IFERROR(__xludf.DUMMYFUNCTION("IMPORTRANGE(""https://docs.google.com/spreadsheets/d/11923uPwbBZFjjGgGUA6NLw09EwE0CqkOc4q9oUmW1yo/edit?usp=sharing"",""เชียงใหม่!J149"")"),15)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IFERROR(__xludf.DUMMYFUNCTION("IMPORTRANGE(""https://docs.google.com/spreadsheets/d/11923uPwbBZFjjGgGUA6NLw09EwE0CqkOc4q9oUmW1yo/edit?usp=sharing"",""เชียงใหม่!J151"")"),0)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IFERROR(__xludf.DUMMYFUNCTION("IMPORTRANGE(""https://docs.google.com/spreadsheets/d/11923uPwbBZFjjGgGUA6NLw09EwE0CqkOc4q9oUmW1yo/edit?usp=sharing"",""เชียงใหม่!J152"")"),1)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IFERROR(__xludf.DUMMYFUNCTION("IMPORTRANGE(""https://docs.google.com/spreadsheets/d/11923uPwbBZFjjGgGUA6NLw09EwE0CqkOc4q9oUmW1yo/edit?usp=sharing"",""เชียงใหม่!J153"")"),1)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IFERROR(__xludf.DUMMYFUNCTION("IMPORTRANGE(""https://docs.google.com/spreadsheets/d/11923uPwbBZFjjGgGUA6NLw09EwE0CqkOc4q9oUmW1yo/edit?usp=sharing"",""เชียงใหม่!J154"")"),1)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IFERROR(__xludf.DUMMYFUNCTION("IMPORTRANGE(""https://docs.google.com/spreadsheets/d/11923uPwbBZFjjGgGUA6NLw09EwE0CqkOc4q9oUmW1yo/edit?usp=sharing"",""เชียงใหม่!I155"")"),15)</f>
        <v>15</v>
      </c>
      <c r="J235" s="198">
        <f ca="1">IFERROR(__xludf.DUMMYFUNCTION("IMPORTRANGE(""https://docs.google.com/spreadsheets/d/11923uPwbBZFjjGgGUA6NLw09EwE0CqkOc4q9oUmW1yo/edit?usp=sharing"",""เชียงใหม่!J155"")"),15)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IFERROR(__xludf.DUMMYFUNCTION("IMPORTRANGE(""https://docs.google.com/spreadsheets/d/11923uPwbBZFjjGgGUA6NLw09EwE0CqkOc4q9oUmW1yo/edit?usp=sharing"",""เชียงใหม่!J156"")"),0)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IFERROR(__xludf.DUMMYFUNCTION("IMPORTRANGE(""https://docs.google.com/spreadsheets/d/11923uPwbBZFjjGgGUA6NLw09EwE0CqkOc4q9oUmW1yo/edit?usp=sharing"",""เชียงใหม่!J157"")"),0)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IFERROR(__xludf.DUMMYFUNCTION("IMPORTRANGE(""https://docs.google.com/spreadsheets/d/11923uPwbBZFjjGgGUA6NLw09EwE0CqkOc4q9oUmW1yo/edit?usp=sharing"",""เชียงใหม่!I158"")"),0)</f>
        <v>0</v>
      </c>
      <c r="J238" s="276">
        <f ca="1">IFERROR(__xludf.DUMMYFUNCTION("IMPORTRANGE(""https://docs.google.com/spreadsheets/d/11923uPwbBZFjjGgGUA6NLw09EwE0CqkOc4q9oUmW1yo/edit?usp=sharing"",""เชียงใหม่!J158"")"),0)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IFERROR(__xludf.DUMMYFUNCTION("IMPORTRANGE(""https://docs.google.com/spreadsheets/d/11923uPwbBZFjjGgGUA6NLw09EwE0CqkOc4q9oUmW1yo/edit?usp=sharing"",""เชียงใหม่!J159"")"),"")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IFERROR(__xludf.DUMMYFUNCTION("IMPORTRANGE(""https://docs.google.com/spreadsheets/d/11923uPwbBZFjjGgGUA6NLw09EwE0CqkOc4q9oUmW1yo/edit?usp=sharing"",""เชียงใหม่!J161"")"),0)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IFERROR(__xludf.DUMMYFUNCTION("IMPORTRANGE(""https://docs.google.com/spreadsheets/d/11923uPwbBZFjjGgGUA6NLw09EwE0CqkOc4q9oUmW1yo/edit?usp=sharing"",""เชียงใหม่!J162"")"),0)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IFERROR(__xludf.DUMMYFUNCTION("IMPORTRANGE(""https://docs.google.com/spreadsheets/d/11923uPwbBZFjjGgGUA6NLw09EwE0CqkOc4q9oUmW1yo/edit?usp=sharing"",""เชียงใหม่!J163"")"),0)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IFERROR(__xludf.DUMMYFUNCTION("IMPORTRANGE(""https://docs.google.com/spreadsheets/d/11923uPwbBZFjjGgGUA6NLw09EwE0CqkOc4q9oUmW1yo/edit?usp=sharing"",""เชียงใหม่!I164"")"),0)</f>
        <v>0</v>
      </c>
      <c r="J244" s="197">
        <f ca="1">IFERROR(__xludf.DUMMYFUNCTION("IMPORTRANGE(""https://docs.google.com/spreadsheets/d/11923uPwbBZFjjGgGUA6NLw09EwE0CqkOc4q9oUmW1yo/edit?usp=sharing"",""เชียงใหม่!J164"")"),0)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IFERROR(__xludf.DUMMYFUNCTION("IMPORTRANGE(""https://docs.google.com/spreadsheets/d/11923uPwbBZFjjGgGUA6NLw09EwE0CqkOc4q9oUmW1yo/edit?usp=sharing"",""เชียงใหม่!J165"")"),0)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IFERROR(__xludf.DUMMYFUNCTION("IMPORTRANGE(""https://docs.google.com/spreadsheets/d/11923uPwbBZFjjGgGUA6NLw09EwE0CqkOc4q9oUmW1yo/edit?usp=sharing"",""เชียงใหม่!J166"")"),0)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IFERROR(__xludf.DUMMYFUNCTION("IMPORTRANGE(""https://docs.google.com/spreadsheets/d/11923uPwbBZFjjGgGUA6NLw09EwE0CqkOc4q9oUmW1yo/edit?usp=sharing"",""เชียงใหม่!I169"")"),20)</f>
        <v>20</v>
      </c>
      <c r="J249" s="324">
        <f ca="1">IFERROR(__xludf.DUMMYFUNCTION("IMPORTRANGE(""https://docs.google.com/spreadsheets/d/11923uPwbBZFjjGgGUA6NLw09EwE0CqkOc4q9oUmW1yo/edit?usp=sharing"",""เชียงใหม่!J169"")"),20)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33442</v>
      </c>
      <c r="O250" s="157">
        <f t="shared" ref="O250:O252" ca="1" si="78">IF(L250&gt;0,N250*100/L250,0)</f>
        <v>46.837535014005603</v>
      </c>
      <c r="P250" s="157">
        <f t="shared" ref="P250:P252" ca="1" si="79">IF(M250&gt;0,N250*100/M250,0)</f>
        <v>90.383783783783784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33442</v>
      </c>
      <c r="O252" s="162">
        <f t="shared" ca="1" si="78"/>
        <v>46.837535014005603</v>
      </c>
      <c r="P252" s="162">
        <f t="shared" ca="1" si="79"/>
        <v>90.383783783783784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IFERROR(__xludf.DUMMYFUNCTION("IMPORTRANGE(""https://docs.google.com/spreadsheets/d/1Yj_ptqi66GCucihVvJfMjLAmec39IyEx_6qawtMGysU/edit?usp=sharing"",""สบก!CB22"")"),37000)</f>
        <v>37000</v>
      </c>
      <c r="N254" s="177">
        <f ca="1">IFERROR(__xludf.DUMMYFUNCTION("IMPORTRANGE(""https://docs.google.com/spreadsheets/d/1Yj_ptqi66GCucihVvJfMjLAmec39IyEx_6qawtMGysU/edit?usp=sharing"",""สบก!CC22"")"),33442)</f>
        <v>33442</v>
      </c>
      <c r="O254" s="178">
        <f ca="1">IF(L254&gt;0,N254*100/L254,0)</f>
        <v>46.837535014005603</v>
      </c>
      <c r="P254" s="178">
        <f ca="1">IF(M254&gt;0,N254*100/M254,0)</f>
        <v>90.383783783783784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IFERROR(__xludf.DUMMYFUNCTION("IMPORTRANGE(""https://docs.google.com/spreadsheets/d/1Yj_ptqi66GCucihVvJfMjLAmec39IyEx_6qawtMGysU/edit?usp=sharing"",""สบก!BX22"")"),0)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IFERROR(__xludf.DUMMYFUNCTION("IMPORTRANGE(""https://docs.google.com/spreadsheets/d/1Yj_ptqi66GCucihVvJfMjLAmec39IyEx_6qawtMGysU/edit?usp=sharing"",""สบก!BY22"")"),71400)</f>
        <v>71400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IFERROR(__xludf.DUMMYFUNCTION("IMPORTRANGE(""https://docs.google.com/spreadsheets/d/1Yj_ptqi66GCucihVvJfMjLAmec39IyEx_6qawtMGysU/edit?usp=sharing"",""สบก!BZ22"")"),0)</f>
        <v>0</v>
      </c>
      <c r="M258" s="103"/>
      <c r="N258" s="93">
        <f ca="1">IFERROR(__xludf.DUMMYFUNCTION("IMPORTRANGE(""https://docs.google.com/spreadsheets/d/1Yj_ptqi66GCucihVvJfMjLAmec39IyEx_6qawtMGysU/edit?usp=sharing"",""สบก!CD22"")"),0)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IFERROR(__xludf.DUMMYFUNCTION("IMPORTRANGE(""https://docs.google.com/spreadsheets/d/11923uPwbBZFjjGgGUA6NLw09EwE0CqkOc4q9oUmW1yo/edit?usp=sharing"",""เชียงใหม่!J175"")"),0)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IFERROR(__xludf.DUMMYFUNCTION("IMPORTRANGE(""https://docs.google.com/spreadsheets/d/11923uPwbBZFjjGgGUA6NLw09EwE0CqkOc4q9oUmW1yo/edit?usp=sharing"",""เชียงใหม่!J176"")"),1)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IFERROR(__xludf.DUMMYFUNCTION("IMPORTRANGE(""https://docs.google.com/spreadsheets/d/11923uPwbBZFjjGgGUA6NLw09EwE0CqkOc4q9oUmW1yo/edit?usp=sharing"",""เชียงใหม่!J177"")"),1)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IFERROR(__xludf.DUMMYFUNCTION("IMPORTRANGE(""https://docs.google.com/spreadsheets/d/11923uPwbBZFjjGgGUA6NLw09EwE0CqkOc4q9oUmW1yo/edit?usp=sharing"",""เชียงใหม่!J178"")"),1)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IFERROR(__xludf.DUMMYFUNCTION("IMPORTRANGE(""https://docs.google.com/spreadsheets/d/11923uPwbBZFjjGgGUA6NLw09EwE0CqkOc4q9oUmW1yo/edit?usp=sharing"",""เชียงใหม่!I179"")"),1)</f>
        <v>1</v>
      </c>
      <c r="J264" s="198">
        <f ca="1">IFERROR(__xludf.DUMMYFUNCTION("IMPORTRANGE(""https://docs.google.com/spreadsheets/d/11923uPwbBZFjjGgGUA6NLw09EwE0CqkOc4q9oUmW1yo/edit?usp=sharing"",""เชียงใหม่!J179"")"),1)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IFERROR(__xludf.DUMMYFUNCTION("IMPORTRANGE(""https://docs.google.com/spreadsheets/d/11923uPwbBZFjjGgGUA6NLw09EwE0CqkOc4q9oUmW1yo/edit?usp=sharing"",""เชียงใหม่!I180"")"),20)</f>
        <v>20</v>
      </c>
      <c r="J265" s="198">
        <f ca="1">IFERROR(__xludf.DUMMYFUNCTION("IMPORTRANGE(""https://docs.google.com/spreadsheets/d/11923uPwbBZFjjGgGUA6NLw09EwE0CqkOc4q9oUmW1yo/edit?usp=sharing"",""เชียงใหม่!J180"")"),20)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IFERROR(__xludf.DUMMYFUNCTION("IMPORTRANGE(""https://docs.google.com/spreadsheets/d/11923uPwbBZFjjGgGUA6NLw09EwE0CqkOc4q9oUmW1yo/edit?usp=sharing"",""เชียงใหม่!I181"")"),20)</f>
        <v>20</v>
      </c>
      <c r="J266" s="198">
        <f ca="1">IFERROR(__xludf.DUMMYFUNCTION("IMPORTRANGE(""https://docs.google.com/spreadsheets/d/11923uPwbBZFjjGgGUA6NLw09EwE0CqkOc4q9oUmW1yo/edit?usp=sharing"",""เชียงใหม่!J181"")"),0)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IFERROR(__xludf.DUMMYFUNCTION("IMPORTRANGE(""https://docs.google.com/spreadsheets/d/11923uPwbBZFjjGgGUA6NLw09EwE0CqkOc4q9oUmW1yo/edit?usp=sharing"",""เชียงใหม่!I182"")"),1)</f>
        <v>1</v>
      </c>
      <c r="J267" s="198">
        <f ca="1">IFERROR(__xludf.DUMMYFUNCTION("IMPORTRANGE(""https://docs.google.com/spreadsheets/d/11923uPwbBZFjjGgGUA6NLw09EwE0CqkOc4q9oUmW1yo/edit?usp=sharing"",""เชียงใหม่!J182"")"),0)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IFERROR(__xludf.DUMMYFUNCTION("IMPORTRANGE(""https://docs.google.com/spreadsheets/d/11923uPwbBZFjjGgGUA6NLw09EwE0CqkOc4q9oUmW1yo/edit?usp=sharing"",""เชียงใหม่!J183"")"),0)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IFERROR(__xludf.DUMMYFUNCTION("IMPORTRANGE(""https://docs.google.com/spreadsheets/d/11923uPwbBZFjjGgGUA6NLw09EwE0CqkOc4q9oUmW1yo/edit?usp=sharing"",""เชียงใหม่!J184"")"),0)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IFERROR(__xludf.DUMMYFUNCTION("IMPORTRANGE(""https://docs.google.com/spreadsheets/d/11923uPwbBZFjjGgGUA6NLw09EwE0CqkOc4q9oUmW1yo/edit?usp=sharing"",""เชียงใหม่!I185"")"),15)</f>
        <v>15</v>
      </c>
      <c r="J270" s="324">
        <f ca="1">IFERROR(__xludf.DUMMYFUNCTION("IMPORTRANGE(""https://docs.google.com/spreadsheets/d/11923uPwbBZFjjGgGUA6NLw09EwE0CqkOc4q9oUmW1yo/edit?usp=sharing"",""เชียงใหม่!J185"")"),15)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105700</v>
      </c>
      <c r="M271" s="158">
        <f t="shared" ca="1" si="83"/>
        <v>80000</v>
      </c>
      <c r="N271" s="158">
        <f t="shared" ca="1" si="83"/>
        <v>28600</v>
      </c>
      <c r="O271" s="157">
        <f t="shared" ref="O271:O273" ca="1" si="84">IF(L271&gt;0,N271*100/L271,0)</f>
        <v>27.057710501419109</v>
      </c>
      <c r="P271" s="157">
        <f t="shared" ref="P271:P273" ca="1" si="85">IF(M271&gt;0,N271*100/M271,0)</f>
        <v>35.75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105700</v>
      </c>
      <c r="M273" s="163">
        <f t="shared" ca="1" si="87"/>
        <v>80000</v>
      </c>
      <c r="N273" s="163">
        <f t="shared" ca="1" si="87"/>
        <v>28600</v>
      </c>
      <c r="O273" s="162">
        <f t="shared" ca="1" si="84"/>
        <v>27.057710501419109</v>
      </c>
      <c r="P273" s="162">
        <f t="shared" ca="1" si="85"/>
        <v>35.75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105700</v>
      </c>
      <c r="M275" s="176">
        <f ca="1">IFERROR(__xludf.DUMMYFUNCTION("IMPORTRANGE(""https://docs.google.com/spreadsheets/d/1Yj_ptqi66GCucihVvJfMjLAmec39IyEx_6qawtMGysU/edit?usp=sharing"",""สบก!CK22"")"),80000)</f>
        <v>80000</v>
      </c>
      <c r="N275" s="177">
        <f ca="1">IFERROR(__xludf.DUMMYFUNCTION("IMPORTRANGE(""https://docs.google.com/spreadsheets/d/1Yj_ptqi66GCucihVvJfMjLAmec39IyEx_6qawtMGysU/edit?usp=sharing"",""สบก!CL22"")"),28600)</f>
        <v>28600</v>
      </c>
      <c r="O275" s="178">
        <f ca="1">IF(L275&gt;0,N275*100/L275,0)</f>
        <v>27.057710501419109</v>
      </c>
      <c r="P275" s="178">
        <f ca="1">IF(M275&gt;0,N275*100/M275,0)</f>
        <v>35.75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IFERROR(__xludf.DUMMYFUNCTION("IMPORTRANGE(""https://docs.google.com/spreadsheets/d/1Yj_ptqi66GCucihVvJfMjLAmec39IyEx_6qawtMGysU/edit?usp=sharing"",""สบก!CG22"")"),0)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IFERROR(__xludf.DUMMYFUNCTION("IMPORTRANGE(""https://docs.google.com/spreadsheets/d/1Yj_ptqi66GCucihVvJfMjLAmec39IyEx_6qawtMGysU/edit?usp=sharing"",""สบก!CH22"")"),105700)</f>
        <v>105700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IFERROR(__xludf.DUMMYFUNCTION("IMPORTRANGE(""https://docs.google.com/spreadsheets/d/1Yj_ptqi66GCucihVvJfMjLAmec39IyEx_6qawtMGysU/edit?usp=sharing"",""สบก!CI22"")"),0)</f>
        <v>0</v>
      </c>
      <c r="M279" s="103"/>
      <c r="N279" s="93">
        <f ca="1">IFERROR(__xludf.DUMMYFUNCTION("IMPORTRANGE(""https://docs.google.com/spreadsheets/d/1Yj_ptqi66GCucihVvJfMjLAmec39IyEx_6qawtMGysU/edit?usp=sharing"",""สบก!CM22"")"),0)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IFERROR(__xludf.DUMMYFUNCTION("IMPORTRANGE(""https://docs.google.com/spreadsheets/d/11923uPwbBZFjjGgGUA6NLw09EwE0CqkOc4q9oUmW1yo/edit?usp=sharing"",""เชียงใหม่!J191"")"),0)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IFERROR(__xludf.DUMMYFUNCTION("IMPORTRANGE(""https://docs.google.com/spreadsheets/d/11923uPwbBZFjjGgGUA6NLw09EwE0CqkOc4q9oUmW1yo/edit?usp=sharing"",""เชียงใหม่!J192"")"),1)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IFERROR(__xludf.DUMMYFUNCTION("IMPORTRANGE(""https://docs.google.com/spreadsheets/d/11923uPwbBZFjjGgGUA6NLw09EwE0CqkOc4q9oUmW1yo/edit?usp=sharing"",""เชียงใหม่!J193"")"),1)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IFERROR(__xludf.DUMMYFUNCTION("IMPORTRANGE(""https://docs.google.com/spreadsheets/d/11923uPwbBZFjjGgGUA6NLw09EwE0CqkOc4q9oUmW1yo/edit?usp=sharing"",""เชียงใหม่!J194"")"),1)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IFERROR(__xludf.DUMMYFUNCTION("IMPORTRANGE(""https://docs.google.com/spreadsheets/d/11923uPwbBZFjjGgGUA6NLw09EwE0CqkOc4q9oUmW1yo/edit?usp=sharing"",""เชียงใหม่!I195"")"),15)</f>
        <v>15</v>
      </c>
      <c r="J285" s="198">
        <f ca="1">IFERROR(__xludf.DUMMYFUNCTION("IMPORTRANGE(""https://docs.google.com/spreadsheets/d/11923uPwbBZFjjGgGUA6NLw09EwE0CqkOc4q9oUmW1yo/edit?usp=sharing"",""เชียงใหม่!J195"")"),15)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IFERROR(__xludf.DUMMYFUNCTION("IMPORTRANGE(""https://docs.google.com/spreadsheets/d/11923uPwbBZFjjGgGUA6NLw09EwE0CqkOc4q9oUmW1yo/edit?usp=sharing"",""เชียงใหม่!J196"")"),0)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IFERROR(__xludf.DUMMYFUNCTION("IMPORTRANGE(""https://docs.google.com/spreadsheets/d/11923uPwbBZFjjGgGUA6NLw09EwE0CqkOc4q9oUmW1yo/edit?usp=sharing"",""เชียงใหม่!J197"")"),0)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IFERROR(__xludf.DUMMYFUNCTION("IMPORTRANGE(""https://docs.google.com/spreadsheets/d/11923uPwbBZFjjGgGUA6NLw09EwE0CqkOc4q9oUmW1yo/edit?usp=sharing"",""เชียงใหม่!I199"")"),0)</f>
        <v>0</v>
      </c>
      <c r="J289" s="324">
        <f ca="1">IFERROR(__xludf.DUMMYFUNCTION("IMPORTRANGE(""https://docs.google.com/spreadsheets/d/11923uPwbBZFjjGgGUA6NLw09EwE0CqkOc4q9oUmW1yo/edit?usp=sharing"",""เชียงใหม่!J199"")"),0)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IFERROR(__xludf.DUMMYFUNCTION("IMPORTRANGE(""https://docs.google.com/spreadsheets/d/1Yj_ptqi66GCucihVvJfMjLAmec39IyEx_6qawtMGysU/edit?usp=sharing"",""สบก!CT22"")"),0)</f>
        <v>0</v>
      </c>
      <c r="N294" s="177">
        <f ca="1">IFERROR(__xludf.DUMMYFUNCTION("IMPORTRANGE(""https://docs.google.com/spreadsheets/d/1Yj_ptqi66GCucihVvJfMjLAmec39IyEx_6qawtMGysU/edit?usp=sharing"",""สบก!CU22"")"),0)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IFERROR(__xludf.DUMMYFUNCTION("IMPORTRANGE(""https://docs.google.com/spreadsheets/d/1Yj_ptqi66GCucihVvJfMjLAmec39IyEx_6qawtMGysU/edit?usp=sharing"",""สบก!CP22"")"),0)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IFERROR(__xludf.DUMMYFUNCTION("IMPORTRANGE(""https://docs.google.com/spreadsheets/d/1Yj_ptqi66GCucihVvJfMjLAmec39IyEx_6qawtMGysU/edit?usp=sharing"",""สบก!CQ22"")"),0)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IFERROR(__xludf.DUMMYFUNCTION("IMPORTRANGE(""https://docs.google.com/spreadsheets/d/1Yj_ptqi66GCucihVvJfMjLAmec39IyEx_6qawtMGysU/edit?usp=sharing"",""สบก!CR22"")"),0)</f>
        <v>0</v>
      </c>
      <c r="M298" s="103"/>
      <c r="N298" s="93">
        <f ca="1">IFERROR(__xludf.DUMMYFUNCTION("IMPORTRANGE(""https://docs.google.com/spreadsheets/d/1Yj_ptqi66GCucihVvJfMjLAmec39IyEx_6qawtMGysU/edit?usp=sharing"",""สบก!CV22"")"),0)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IFERROR(__xludf.DUMMYFUNCTION("IMPORTRANGE(""https://docs.google.com/spreadsheets/d/11923uPwbBZFjjGgGUA6NLw09EwE0CqkOc4q9oUmW1yo/edit?usp=sharing"",""เชียงใหม่!J205"")"),0)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IFERROR(__xludf.DUMMYFUNCTION("IMPORTRANGE(""https://docs.google.com/spreadsheets/d/11923uPwbBZFjjGgGUA6NLw09EwE0CqkOc4q9oUmW1yo/edit?usp=sharing"",""เชียงใหม่!J206"")"),0)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IFERROR(__xludf.DUMMYFUNCTION("IMPORTRANGE(""https://docs.google.com/spreadsheets/d/11923uPwbBZFjjGgGUA6NLw09EwE0CqkOc4q9oUmW1yo/edit?usp=sharing"",""เชียงใหม่!J207"")"),0)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IFERROR(__xludf.DUMMYFUNCTION("IMPORTRANGE(""https://docs.google.com/spreadsheets/d/11923uPwbBZFjjGgGUA6NLw09EwE0CqkOc4q9oUmW1yo/edit?usp=sharing"",""เชียงใหม่!J208"")"),0)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IFERROR(__xludf.DUMMYFUNCTION("IMPORTRANGE(""https://docs.google.com/spreadsheets/d/11923uPwbBZFjjGgGUA6NLw09EwE0CqkOc4q9oUmW1yo/edit?usp=sharing"",""เชียงใหม่!I209"")"),0)</f>
        <v>0</v>
      </c>
      <c r="J304" s="213">
        <f ca="1">IFERROR(__xludf.DUMMYFUNCTION("IMPORTRANGE(""https://docs.google.com/spreadsheets/d/11923uPwbBZFjjGgGUA6NLw09EwE0CqkOc4q9oUmW1yo/edit?usp=sharing"",""เชียงใหม่!J209"")"),0)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IFERROR(__xludf.DUMMYFUNCTION("IMPORTRANGE(""https://docs.google.com/spreadsheets/d/11923uPwbBZFjjGgGUA6NLw09EwE0CqkOc4q9oUmW1yo/edit?usp=sharing"",""เชียงใหม่!I211"")"),0)</f>
        <v>0</v>
      </c>
      <c r="J306" s="213">
        <f ca="1">IFERROR(__xludf.DUMMYFUNCTION("IMPORTRANGE(""https://docs.google.com/spreadsheets/d/11923uPwbBZFjjGgGUA6NLw09EwE0CqkOc4q9oUmW1yo/edit?usp=sharing"",""เชียงใหม่!J211"")"),0)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IFERROR(__xludf.DUMMYFUNCTION("IMPORTRANGE(""https://docs.google.com/spreadsheets/d/11923uPwbBZFjjGgGUA6NLw09EwE0CqkOc4q9oUmW1yo/edit?usp=sharing"",""เชียงใหม่!J212"")"),0)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IFERROR(__xludf.DUMMYFUNCTION("IMPORTRANGE(""https://docs.google.com/spreadsheets/d/11923uPwbBZFjjGgGUA6NLw09EwE0CqkOc4q9oUmW1yo/edit?usp=sharing"",""เชียงใหม่!J213"")"),0)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IFERROR(__xludf.DUMMYFUNCTION("IMPORTRANGE(""https://docs.google.com/spreadsheets/d/11923uPwbBZFjjGgGUA6NLw09EwE0CqkOc4q9oUmW1yo/edit?usp=sharing"",""เชียงใหม่!I214"")"),6)</f>
        <v>6</v>
      </c>
      <c r="J309" s="341">
        <f ca="1">IFERROR(__xludf.DUMMYFUNCTION("IMPORTRANGE(""https://docs.google.com/spreadsheets/d/11923uPwbBZFjjGgGUA6NLw09EwE0CqkOc4q9oUmW1yo/edit?usp=sharing"",""เชียงใหม่!J214"")"),2)</f>
        <v>2</v>
      </c>
      <c r="K309" s="342">
        <f ca="1">IF(I309&gt;0,J309*100/I309,0)</f>
        <v>33.333333333333336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315600</v>
      </c>
      <c r="M310" s="158">
        <f t="shared" ca="1" si="93"/>
        <v>157800</v>
      </c>
      <c r="N310" s="158">
        <f t="shared" ca="1" si="93"/>
        <v>53101</v>
      </c>
      <c r="O310" s="157">
        <f t="shared" ref="O310:O312" ca="1" si="94">IF(L310&gt;0,N310*100/L310,0)</f>
        <v>16.825411913814957</v>
      </c>
      <c r="P310" s="157">
        <f t="shared" ref="P310:P312" ca="1" si="95">IF(M310&gt;0,N310*100/M310,0)</f>
        <v>33.650823827629914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315600</v>
      </c>
      <c r="M312" s="163">
        <f t="shared" ca="1" si="97"/>
        <v>157800</v>
      </c>
      <c r="N312" s="163">
        <f t="shared" ca="1" si="97"/>
        <v>53101</v>
      </c>
      <c r="O312" s="162">
        <f t="shared" ca="1" si="94"/>
        <v>16.825411913814957</v>
      </c>
      <c r="P312" s="162">
        <f t="shared" ca="1" si="95"/>
        <v>33.650823827629914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315600</v>
      </c>
      <c r="M314" s="176">
        <f ca="1">IFERROR(__xludf.DUMMYFUNCTION("IMPORTRANGE(""https://docs.google.com/spreadsheets/d/1Yj_ptqi66GCucihVvJfMjLAmec39IyEx_6qawtMGysU/edit?usp=sharing"",""สบก!DC22"")"),157800)</f>
        <v>157800</v>
      </c>
      <c r="N314" s="177">
        <f ca="1">IFERROR(__xludf.DUMMYFUNCTION("IMPORTRANGE(""https://docs.google.com/spreadsheets/d/1Yj_ptqi66GCucihVvJfMjLAmec39IyEx_6qawtMGysU/edit?usp=sharing"",""สบก!DD22"")"),53101)</f>
        <v>53101</v>
      </c>
      <c r="O314" s="178">
        <f ca="1">IF(L314&gt;0,N314*100/L314,0)</f>
        <v>16.825411913814957</v>
      </c>
      <c r="P314" s="178">
        <f ca="1">IF(M314&gt;0,N314*100/M314,0)</f>
        <v>33.650823827629914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IFERROR(__xludf.DUMMYFUNCTION("IMPORTRANGE(""https://docs.google.com/spreadsheets/d/1Yj_ptqi66GCucihVvJfMjLAmec39IyEx_6qawtMGysU/edit?usp=sharing"",""สบก!CY22"")"),0)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IFERROR(__xludf.DUMMYFUNCTION("IMPORTRANGE(""https://docs.google.com/spreadsheets/d/1Yj_ptqi66GCucihVvJfMjLAmec39IyEx_6qawtMGysU/edit?usp=sharing"",""สบก!CZ22"")"),315600)</f>
        <v>315600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IFERROR(__xludf.DUMMYFUNCTION("IMPORTRANGE(""https://docs.google.com/spreadsheets/d/1Yj_ptqi66GCucihVvJfMjLAmec39IyEx_6qawtMGysU/edit?usp=sharing"",""สบก!DA22"")"),0)</f>
        <v>0</v>
      </c>
      <c r="M318" s="103"/>
      <c r="N318" s="93">
        <f ca="1">IFERROR(__xludf.DUMMYFUNCTION("IMPORTRANGE(""https://docs.google.com/spreadsheets/d/1Yj_ptqi66GCucihVvJfMjLAmec39IyEx_6qawtMGysU/edit?usp=sharing"",""สบก!DE22"")"),0)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IFERROR(__xludf.DUMMYFUNCTION("IMPORTRANGE(""https://docs.google.com/spreadsheets/d/11923uPwbBZFjjGgGUA6NLw09EwE0CqkOc4q9oUmW1yo/edit?usp=sharing"",""เชียงใหม่!J220"")"),0)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IFERROR(__xludf.DUMMYFUNCTION("IMPORTRANGE(""https://docs.google.com/spreadsheets/d/11923uPwbBZFjjGgGUA6NLw09EwE0CqkOc4q9oUmW1yo/edit?usp=sharing"",""เชียงใหม่!J221"")"),1)</f>
        <v>1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IFERROR(__xludf.DUMMYFUNCTION("IMPORTRANGE(""https://docs.google.com/spreadsheets/d/11923uPwbBZFjjGgGUA6NLw09EwE0CqkOc4q9oUmW1yo/edit?usp=sharing"",""เชียงใหม่!J222"")"),1)</f>
        <v>1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IFERROR(__xludf.DUMMYFUNCTION("IMPORTRANGE(""https://docs.google.com/spreadsheets/d/11923uPwbBZFjjGgGUA6NLw09EwE0CqkOc4q9oUmW1yo/edit?usp=sharing"",""เชียงใหม่!J223"")"),1)</f>
        <v>1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IFERROR(__xludf.DUMMYFUNCTION("IMPORTRANGE(""https://docs.google.com/spreadsheets/d/11923uPwbBZFjjGgGUA6NLw09EwE0CqkOc4q9oUmW1yo/edit?usp=sharing"",""เชียงใหม่!I224"")"),6)</f>
        <v>6</v>
      </c>
      <c r="J324" s="213">
        <f ca="1">IFERROR(__xludf.DUMMYFUNCTION("IMPORTRANGE(""https://docs.google.com/spreadsheets/d/11923uPwbBZFjjGgGUA6NLw09EwE0CqkOc4q9oUmW1yo/edit?usp=sharing"",""เชียงใหม่!J224"")"),2)</f>
        <v>2</v>
      </c>
      <c r="K324" s="233">
        <f ca="1">IF(I324&gt;0,J324*100/I324,0)</f>
        <v>33.333333333333336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IFERROR(__xludf.DUMMYFUNCTION("IMPORTRANGE(""https://docs.google.com/spreadsheets/d/11923uPwbBZFjjGgGUA6NLw09EwE0CqkOc4q9oUmW1yo/edit?usp=sharing"",""เชียงใหม่!J225"")"),0)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IFERROR(__xludf.DUMMYFUNCTION("IMPORTRANGE(""https://docs.google.com/spreadsheets/d/11923uPwbBZFjjGgGUA6NLw09EwE0CqkOc4q9oUmW1yo/edit?usp=sharing"",""เชียงใหม่!J226"")"),0)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IFERROR(__xludf.DUMMYFUNCTION("IMPORTRANGE(""https://docs.google.com/spreadsheets/d/11923uPwbBZFjjGgGUA6NLw09EwE0CqkOc4q9oUmW1yo/edit?usp=sharing"",""เชียงใหม่!I228"")"),315)</f>
        <v>315</v>
      </c>
      <c r="J328" s="347">
        <f ca="1">IFERROR(__xludf.DUMMYFUNCTION("IMPORTRANGE(""https://docs.google.com/spreadsheets/d/11923uPwbBZFjjGgGUA6NLw09EwE0CqkOc4q9oUmW1yo/edit?usp=sharing"",""เชียงใหม่!J228"")"),33)</f>
        <v>33</v>
      </c>
      <c r="K328" s="325">
        <f ca="1">IF(I328&gt;0,J328*100/I328,0)</f>
        <v>10.476190476190476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845280</v>
      </c>
      <c r="M329" s="158">
        <f t="shared" ca="1" si="98"/>
        <v>422290</v>
      </c>
      <c r="N329" s="158">
        <f t="shared" ca="1" si="98"/>
        <v>229822</v>
      </c>
      <c r="O329" s="157">
        <f t="shared" ref="O329:O331" ca="1" si="99">IF(L329&gt;0,N329*100/L329,0)</f>
        <v>27.188860495930342</v>
      </c>
      <c r="P329" s="157">
        <f t="shared" ref="P329:P331" ca="1" si="100">IF(M329&gt;0,N329*100/M329,0)</f>
        <v>54.422790025811643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845280</v>
      </c>
      <c r="M331" s="163">
        <f t="shared" ca="1" si="102"/>
        <v>422290</v>
      </c>
      <c r="N331" s="163">
        <f t="shared" ca="1" si="102"/>
        <v>229822</v>
      </c>
      <c r="O331" s="162">
        <f t="shared" ca="1" si="99"/>
        <v>27.188860495930342</v>
      </c>
      <c r="P331" s="162">
        <f t="shared" ca="1" si="100"/>
        <v>54.422790025811643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802280</v>
      </c>
      <c r="M333" s="176">
        <f ca="1">IFERROR(__xludf.DUMMYFUNCTION("IMPORTRANGE(""https://docs.google.com/spreadsheets/d/1Yj_ptqi66GCucihVvJfMjLAmec39IyEx_6qawtMGysU/edit?usp=sharing"",""สบก!DL22"")"),422290)</f>
        <v>422290</v>
      </c>
      <c r="N333" s="177">
        <f ca="1">IFERROR(__xludf.DUMMYFUNCTION("IMPORTRANGE(""https://docs.google.com/spreadsheets/d/1Yj_ptqi66GCucihVvJfMjLAmec39IyEx_6qawtMGysU/edit?usp=sharing"",""สบก!DM22"")"),186822)</f>
        <v>186822</v>
      </c>
      <c r="O333" s="178">
        <f ca="1">IF(L333&gt;0,N333*100/L333,0)</f>
        <v>23.286383806152465</v>
      </c>
      <c r="P333" s="178">
        <f ca="1">IF(M333&gt;0,N333*100/M333,0)</f>
        <v>44.240214070899142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IFERROR(__xludf.DUMMYFUNCTION("IMPORTRANGE(""https://docs.google.com/spreadsheets/d/1Yj_ptqi66GCucihVvJfMjLAmec39IyEx_6qawtMGysU/edit?usp=sharing"",""สบก!DH22"")"),471600)</f>
        <v>471600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IFERROR(__xludf.DUMMYFUNCTION("IMPORTRANGE(""https://docs.google.com/spreadsheets/d/1Yj_ptqi66GCucihVvJfMjLAmec39IyEx_6qawtMGysU/edit?usp=sharing"",""สบก!DI22"")"),330680)</f>
        <v>330680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IFERROR(__xludf.DUMMYFUNCTION("IMPORTRANGE(""https://docs.google.com/spreadsheets/d/1Yj_ptqi66GCucihVvJfMjLAmec39IyEx_6qawtMGysU/edit?usp=sharing"",""สบก!DJ22"")"),43000)</f>
        <v>43000</v>
      </c>
      <c r="M337" s="103"/>
      <c r="N337" s="93">
        <f ca="1">IFERROR(__xludf.DUMMYFUNCTION("IMPORTRANGE(""https://docs.google.com/spreadsheets/d/1Yj_ptqi66GCucihVvJfMjLAmec39IyEx_6qawtMGysU/edit?usp=sharing"",""สบก!DN22"")"),43000)</f>
        <v>43000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IFERROR(__xludf.DUMMYFUNCTION("IMPORTRANGE(""https://docs.google.com/spreadsheets/d/11923uPwbBZFjjGgGUA6NLw09EwE0CqkOc4q9oUmW1yo/edit?usp=sharing"",""เชียงใหม่!I234"")"),0)</f>
        <v>0</v>
      </c>
      <c r="J339" s="197">
        <f ca="1">IFERROR(__xludf.DUMMYFUNCTION("IMPORTRANGE(""https://docs.google.com/spreadsheets/d/11923uPwbBZFjjGgGUA6NLw09EwE0CqkOc4q9oUmW1yo/edit?usp=sharing"",""เชียงใหม่!J234"")"),45)</f>
        <v>45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IFERROR(__xludf.DUMMYFUNCTION("IMPORTRANGE(""https://docs.google.com/spreadsheets/d/11923uPwbBZFjjGgGUA6NLw09EwE0CqkOc4q9oUmW1yo/edit?usp=sharing"",""เชียงใหม่!I235"")"),1060)</f>
        <v>1060</v>
      </c>
      <c r="J340" s="197">
        <f ca="1">IFERROR(__xludf.DUMMYFUNCTION("IMPORTRANGE(""https://docs.google.com/spreadsheets/d/11923uPwbBZFjjGgGUA6NLw09EwE0CqkOc4q9oUmW1yo/edit?usp=sharing"",""เชียงใหม่!J235"")"),102.25)</f>
        <v>102.25</v>
      </c>
      <c r="K340" s="350">
        <f t="shared" ca="1" si="103"/>
        <v>9.6462264150943398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IFERROR(__xludf.DUMMYFUNCTION("IMPORTRANGE(""https://docs.google.com/spreadsheets/d/11923uPwbBZFjjGgGUA6NLw09EwE0CqkOc4q9oUmW1yo/edit?usp=sharing"",""เชียงใหม่!I236"")"),315)</f>
        <v>315</v>
      </c>
      <c r="J341" s="197">
        <f ca="1">IFERROR(__xludf.DUMMYFUNCTION("IMPORTRANGE(""https://docs.google.com/spreadsheets/d/11923uPwbBZFjjGgGUA6NLw09EwE0CqkOc4q9oUmW1yo/edit?usp=sharing"",""เชียงใหม่!J236"")"),83)</f>
        <v>83</v>
      </c>
      <c r="K341" s="350">
        <f t="shared" ca="1" si="103"/>
        <v>26.349206349206348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IFERROR(__xludf.DUMMYFUNCTION("IMPORTRANGE(""https://docs.google.com/spreadsheets/d/11923uPwbBZFjjGgGUA6NLw09EwE0CqkOc4q9oUmW1yo/edit?usp=sharing"",""เชียงใหม่!I237"")"),0)</f>
        <v>0</v>
      </c>
      <c r="J342" s="197">
        <f ca="1">IFERROR(__xludf.DUMMYFUNCTION("IMPORTRANGE(""https://docs.google.com/spreadsheets/d/11923uPwbBZFjjGgGUA6NLw09EwE0CqkOc4q9oUmW1yo/edit?usp=sharing"",""เชียงใหม่!J237"")"),352.94)</f>
        <v>352.94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IFERROR(__xludf.DUMMYFUNCTION("IMPORTRANGE(""https://docs.google.com/spreadsheets/d/11923uPwbBZFjjGgGUA6NLw09EwE0CqkOc4q9oUmW1yo/edit?usp=sharing"",""เชียงใหม่!I238"")"),315)</f>
        <v>315</v>
      </c>
      <c r="J343" s="197">
        <f ca="1">IFERROR(__xludf.DUMMYFUNCTION("IMPORTRANGE(""https://docs.google.com/spreadsheets/d/11923uPwbBZFjjGgGUA6NLw09EwE0CqkOc4q9oUmW1yo/edit?usp=sharing"",""เชียงใหม่!J238"")"),0)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IFERROR(__xludf.DUMMYFUNCTION("IMPORTRANGE(""https://docs.google.com/spreadsheets/d/11923uPwbBZFjjGgGUA6NLw09EwE0CqkOc4q9oUmW1yo/edit?usp=sharing"",""เชียงใหม่!I239"")"),0)</f>
        <v>0</v>
      </c>
      <c r="J344" s="197">
        <f ca="1">IFERROR(__xludf.DUMMYFUNCTION("IMPORTRANGE(""https://docs.google.com/spreadsheets/d/11923uPwbBZFjjGgGUA6NLw09EwE0CqkOc4q9oUmW1yo/edit?usp=sharing"",""เชียงใหม่!J239"")"),0)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IFERROR(__xludf.DUMMYFUNCTION("IMPORTRANGE(""https://docs.google.com/spreadsheets/d/11923uPwbBZFjjGgGUA6NLw09EwE0CqkOc4q9oUmW1yo/edit?usp=sharing"",""เชียงใหม่!I240"")"),315)</f>
        <v>315</v>
      </c>
      <c r="J345" s="197">
        <f ca="1">IFERROR(__xludf.DUMMYFUNCTION("IMPORTRANGE(""https://docs.google.com/spreadsheets/d/11923uPwbBZFjjGgGUA6NLw09EwE0CqkOc4q9oUmW1yo/edit?usp=sharing"",""เชียงใหม่!J240"")"),33)</f>
        <v>33</v>
      </c>
      <c r="K345" s="350">
        <f t="shared" ca="1" si="103"/>
        <v>10.476190476190476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IFERROR(__xludf.DUMMYFUNCTION("IMPORTRANGE(""https://docs.google.com/spreadsheets/d/11923uPwbBZFjjGgGUA6NLw09EwE0CqkOc4q9oUmW1yo/edit?usp=sharing"",""เชียงใหม่!I241"")"),0)</f>
        <v>0</v>
      </c>
      <c r="J346" s="197">
        <f ca="1">IFERROR(__xludf.DUMMYFUNCTION("IMPORTRANGE(""https://docs.google.com/spreadsheets/d/11923uPwbBZFjjGgGUA6NLw09EwE0CqkOc4q9oUmW1yo/edit?usp=sharing"",""เชียงใหม่!J241"")"),190.03)</f>
        <v>190.03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IFERROR(__xludf.DUMMYFUNCTION("IMPORTRANGE(""https://docs.google.com/spreadsheets/d/11923uPwbBZFjjGgGUA6NLw09EwE0CqkOc4q9oUmW1yo/edit?usp=sharing"",""เชียงใหม่!L242"")"),2630279)</f>
        <v>2630279</v>
      </c>
      <c r="M347" s="366"/>
      <c r="N347" s="366">
        <f ca="1">IFERROR(__xludf.DUMMYFUNCTION("IMPORTRANGE(""https://docs.google.com/spreadsheets/d/11923uPwbBZFjjGgGUA6NLw09EwE0CqkOc4q9oUmW1yo/edit?usp=sharing"",""เชียงใหม่!M242"")"),416506.56)</f>
        <v>416506.56</v>
      </c>
      <c r="O347" s="366">
        <f ca="1">+IF(L347&gt;0,N347*100/L347,0)</f>
        <v>15.835071488613945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IFERROR(__xludf.DUMMYFUNCTION("IMPORTRANGE(""https://docs.google.com/spreadsheets/d/11923uPwbBZFjjGgGUA6NLw09EwE0CqkOc4q9oUmW1yo/edit?usp=sharing"",""เชียงใหม่!I244"")"),100)</f>
        <v>100</v>
      </c>
      <c r="J349" s="379">
        <f ca="1">IFERROR(__xludf.DUMMYFUNCTION("IMPORTRANGE(""https://docs.google.com/spreadsheets/d/11923uPwbBZFjjGgGUA6NLw09EwE0CqkOc4q9oUmW1yo/edit?usp=sharing"",""เชียงใหม่!J244"")"),0)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IFERROR(__xludf.DUMMYFUNCTION("IMPORTRANGE(""https://docs.google.com/spreadsheets/d/11923uPwbBZFjjGgGUA6NLw09EwE0CqkOc4q9oUmW1yo/edit?usp=sharing"",""เชียงใหม่!L244"")"),317760)</f>
        <v>317760</v>
      </c>
      <c r="M349" s="381"/>
      <c r="N349" s="381">
        <f ca="1">IFERROR(__xludf.DUMMYFUNCTION("IMPORTRANGE(""https://docs.google.com/spreadsheets/d/11923uPwbBZFjjGgGUA6NLw09EwE0CqkOc4q9oUmW1yo/edit?usp=sharing"",""เชียงใหม่!M244"")"),97972.58)</f>
        <v>97972.58</v>
      </c>
      <c r="O349" s="381">
        <f ca="1">+IF(L349&gt;0,N349*100/L349,0)</f>
        <v>30.832257049345419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IFERROR(__xludf.DUMMYFUNCTION("IMPORTRANGE(""https://docs.google.com/spreadsheets/d/11923uPwbBZFjjGgGUA6NLw09EwE0CqkOc4q9oUmW1yo/edit?usp=sharing"",""เชียงใหม่!I245"")"),40)</f>
        <v>40</v>
      </c>
      <c r="J350" s="379">
        <f ca="1">IFERROR(__xludf.DUMMYFUNCTION("IMPORTRANGE(""https://docs.google.com/spreadsheets/d/11923uPwbBZFjjGgGUA6NLw09EwE0CqkOc4q9oUmW1yo/edit?usp=sharing"",""เชียงใหม่!J245"")"),40)</f>
        <v>40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IFERROR(__xludf.DUMMYFUNCTION("IMPORTRANGE(""https://docs.google.com/spreadsheets/d/11923uPwbBZFjjGgGUA6NLw09EwE0CqkOc4q9oUmW1yo/edit?usp=sharing"",""เชียงใหม่!L246"")"),0)</f>
        <v>0</v>
      </c>
      <c r="M351" s="172"/>
      <c r="N351" s="172">
        <f ca="1">IFERROR(__xludf.DUMMYFUNCTION("IMPORTRANGE(""https://docs.google.com/spreadsheets/d/11923uPwbBZFjjGgGUA6NLw09EwE0CqkOc4q9oUmW1yo/edit?usp=sharing"",""เชียงใหม่!M246"")"),0)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IFERROR(__xludf.DUMMYFUNCTION("IMPORTRANGE(""https://docs.google.com/spreadsheets/d/11923uPwbBZFjjGgGUA6NLw09EwE0CqkOc4q9oUmW1yo/edit?usp=sharing"",""เชียงใหม่!L247"")"),317760)</f>
        <v>317760</v>
      </c>
      <c r="M352" s="173"/>
      <c r="N352" s="172">
        <f ca="1">IFERROR(__xludf.DUMMYFUNCTION("IMPORTRANGE(""https://docs.google.com/spreadsheets/d/11923uPwbBZFjjGgGUA6NLw09EwE0CqkOc4q9oUmW1yo/edit?usp=sharing"",""เชียงใหม่!M247"")"),97972.58)</f>
        <v>97972.58</v>
      </c>
      <c r="O352" s="173">
        <f t="shared" ca="1" si="105"/>
        <v>30.832257049345419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IFERROR(__xludf.DUMMYFUNCTION("IMPORTRANGE(""https://docs.google.com/spreadsheets/d/11923uPwbBZFjjGgGUA6NLw09EwE0CqkOc4q9oUmW1yo/edit?usp=sharing"",""เชียงใหม่!L248"")"),0)</f>
        <v>0</v>
      </c>
      <c r="M353" s="178"/>
      <c r="N353" s="178">
        <f ca="1">IFERROR(__xludf.DUMMYFUNCTION("IMPORTRANGE(""https://docs.google.com/spreadsheets/d/11923uPwbBZFjjGgGUA6NLw09EwE0CqkOc4q9oUmW1yo/edit?usp=sharing"",""เชียงใหม่!M248"")"),0)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IFERROR(__xludf.DUMMYFUNCTION("IMPORTRANGE(""https://docs.google.com/spreadsheets/d/11923uPwbBZFjjGgGUA6NLw09EwE0CqkOc4q9oUmW1yo/edit?usp=sharing"",""เชียงใหม่!L249"")"),317760)</f>
        <v>317760</v>
      </c>
      <c r="M354" s="178"/>
      <c r="N354" s="175">
        <f ca="1">IFERROR(__xludf.DUMMYFUNCTION("IMPORTRANGE(""https://docs.google.com/spreadsheets/d/11923uPwbBZFjjGgGUA6NLw09EwE0CqkOc4q9oUmW1yo/edit?usp=sharing"",""เชียงใหม่!M249"")"),97972.58)</f>
        <v>97972.58</v>
      </c>
      <c r="O354" s="178">
        <f t="shared" ca="1" si="105"/>
        <v>30.832257049345419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IFERROR(__xludf.DUMMYFUNCTION("IMPORTRANGE(""https://docs.google.com/spreadsheets/d/11923uPwbBZFjjGgGUA6NLw09EwE0CqkOc4q9oUmW1yo/edit?usp=sharing"",""เชียงใหม่!M250"")"),50400)</f>
        <v>50400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IFERROR(__xludf.DUMMYFUNCTION("IMPORTRANGE(""https://docs.google.com/spreadsheets/d/11923uPwbBZFjjGgGUA6NLw09EwE0CqkOc4q9oUmW1yo/edit?usp=sharing"",""เชียงใหม่!M251"")"),0)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IFERROR(__xludf.DUMMYFUNCTION("IMPORTRANGE(""https://docs.google.com/spreadsheets/d/11923uPwbBZFjjGgGUA6NLw09EwE0CqkOc4q9oUmW1yo/edit?usp=sharing"",""เชียงใหม่!M252"")"),42225.58)</f>
        <v>42225.58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IFERROR(__xludf.DUMMYFUNCTION("IMPORTRANGE(""https://docs.google.com/spreadsheets/d/11923uPwbBZFjjGgGUA6NLw09EwE0CqkOc4q9oUmW1yo/edit?usp=sharing"",""เชียงใหม่!M253"")"),5347)</f>
        <v>5347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IFERROR(__xludf.DUMMYFUNCTION("IMPORTRANGE(""https://docs.google.com/spreadsheets/d/11923uPwbBZFjjGgGUA6NLw09EwE0CqkOc4q9oUmW1yo/edit?usp=sharing"",""เชียงใหม่!J255"")"),0)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IFERROR(__xludf.DUMMYFUNCTION("IMPORTRANGE(""https://docs.google.com/spreadsheets/d/11923uPwbBZFjjGgGUA6NLw09EwE0CqkOc4q9oUmW1yo/edit?usp=sharing"",""เชียงใหม่!J256"")"),1)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IFERROR(__xludf.DUMMYFUNCTION("IMPORTRANGE(""https://docs.google.com/spreadsheets/d/11923uPwbBZFjjGgGUA6NLw09EwE0CqkOc4q9oUmW1yo/edit?usp=sharing"",""เชียงใหม่!J257"")"),1)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IFERROR(__xludf.DUMMYFUNCTION("IMPORTRANGE(""https://docs.google.com/spreadsheets/d/11923uPwbBZFjjGgGUA6NLw09EwE0CqkOc4q9oUmW1yo/edit?usp=sharing"",""เชียงใหม่!J258"")"),1)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IFERROR(__xludf.DUMMYFUNCTION("IMPORTRANGE(""https://docs.google.com/spreadsheets/d/11923uPwbBZFjjGgGUA6NLw09EwE0CqkOc4q9oUmW1yo/edit?usp=sharing"",""เชียงใหม่!J166"")"),0)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IFERROR(__xludf.DUMMYFUNCTION("IMPORTRANGE(""https://docs.google.com/spreadsheets/d/11923uPwbBZFjjGgGUA6NLw09EwE0CqkOc4q9oUmW1yo/edit?usp=sharing"",""เชียงใหม่!J166"")"),0)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IFERROR(__xludf.DUMMYFUNCTION("IMPORTRANGE(""https://docs.google.com/spreadsheets/d/11923uPwbBZFjjGgGUA6NLw09EwE0CqkOc4q9oUmW1yo/edit?usp=sharing"",""เชียงใหม่!J166"")"),0)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IFERROR(__xludf.DUMMYFUNCTION("IMPORTRANGE(""https://docs.google.com/spreadsheets/d/11923uPwbBZFjjGgGUA6NLw09EwE0CqkOc4q9oUmW1yo/edit?usp=sharing"",""เชียงใหม่!J166"")"),0)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IFERROR(__xludf.DUMMYFUNCTION("IMPORTRANGE(""https://docs.google.com/spreadsheets/d/11923uPwbBZFjjGgGUA6NLw09EwE0CqkOc4q9oUmW1yo/edit?usp=sharing"",""เชียงใหม่!I263"")"),40)</f>
        <v>40</v>
      </c>
      <c r="J368" s="197">
        <f ca="1">IFERROR(__xludf.DUMMYFUNCTION("IMPORTRANGE(""https://docs.google.com/spreadsheets/d/11923uPwbBZFjjGgGUA6NLw09EwE0CqkOc4q9oUmW1yo/edit?usp=sharing"",""เชียงใหม่!J263"")"),40)</f>
        <v>40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IFERROR(__xludf.DUMMYFUNCTION("IMPORTRANGE(""https://docs.google.com/spreadsheets/d/11923uPwbBZFjjGgGUA6NLw09EwE0CqkOc4q9oUmW1yo/edit?usp=sharing"",""เชียงใหม่!I164"")"),0)</f>
        <v>0</v>
      </c>
      <c r="J369" s="213">
        <f ca="1">IFERROR(__xludf.DUMMYFUNCTION("IMPORTRANGE(""https://docs.google.com/spreadsheets/d/11923uPwbBZFjjGgGUA6NLw09EwE0CqkOc4q9oUmW1yo/edit?usp=sharing"",""เชียงใหม่!J164"")"),0)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IFERROR(__xludf.DUMMYFUNCTION("IMPORTRANGE(""https://docs.google.com/spreadsheets/d/11923uPwbBZFjjGgGUA6NLw09EwE0CqkOc4q9oUmW1yo/edit?usp=sharing"",""เชียงใหม่!I265"")"),40)</f>
        <v>40</v>
      </c>
      <c r="J370" s="213">
        <f ca="1">IFERROR(__xludf.DUMMYFUNCTION("IMPORTRANGE(""https://docs.google.com/spreadsheets/d/11923uPwbBZFjjGgGUA6NLw09EwE0CqkOc4q9oUmW1yo/edit?usp=sharing"",""เชียงใหม่!J265"")"),40)</f>
        <v>40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IFERROR(__xludf.DUMMYFUNCTION("IMPORTRANGE(""https://docs.google.com/spreadsheets/d/11923uPwbBZFjjGgGUA6NLw09EwE0CqkOc4q9oUmW1yo/edit?usp=sharing"",""เชียงใหม่!I164"")"),0)</f>
        <v>0</v>
      </c>
      <c r="J371" s="198">
        <f ca="1">IFERROR(__xludf.DUMMYFUNCTION("IMPORTRANGE(""https://docs.google.com/spreadsheets/d/11923uPwbBZFjjGgGUA6NLw09EwE0CqkOc4q9oUmW1yo/edit?usp=sharing"",""เชียงใหม่!J164"")"),0)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IFERROR(__xludf.DUMMYFUNCTION("IMPORTRANGE(""https://docs.google.com/spreadsheets/d/11923uPwbBZFjjGgGUA6NLw09EwE0CqkOc4q9oUmW1yo/edit?usp=sharing"",""เชียงใหม่!I267"")"),40)</f>
        <v>40</v>
      </c>
      <c r="J372" s="198">
        <f ca="1">IFERROR(__xludf.DUMMYFUNCTION("IMPORTRANGE(""https://docs.google.com/spreadsheets/d/11923uPwbBZFjjGgGUA6NLw09EwE0CqkOc4q9oUmW1yo/edit?usp=sharing"",""เชียงใหม่!J267"")"),40)</f>
        <v>40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IFERROR(__xludf.DUMMYFUNCTION("IMPORTRANGE(""https://docs.google.com/spreadsheets/d/11923uPwbBZFjjGgGUA6NLw09EwE0CqkOc4q9oUmW1yo/edit?usp=sharing"",""เชียงใหม่!I164"")"),0)</f>
        <v>0</v>
      </c>
      <c r="J373" s="213">
        <f ca="1">IFERROR(__xludf.DUMMYFUNCTION("IMPORTRANGE(""https://docs.google.com/spreadsheets/d/11923uPwbBZFjjGgGUA6NLw09EwE0CqkOc4q9oUmW1yo/edit?usp=sharing"",""เชียงใหม่!J164"")"),0)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IFERROR(__xludf.DUMMYFUNCTION("IMPORTRANGE(""https://docs.google.com/spreadsheets/d/11923uPwbBZFjjGgGUA6NLw09EwE0CqkOc4q9oUmW1yo/edit?usp=sharing"",""เชียงใหม่!I164"")"),0)</f>
        <v>0</v>
      </c>
      <c r="J374" s="197">
        <f ca="1">IFERROR(__xludf.DUMMYFUNCTION("IMPORTRANGE(""https://docs.google.com/spreadsheets/d/11923uPwbBZFjjGgGUA6NLw09EwE0CqkOc4q9oUmW1yo/edit?usp=sharing"",""เชียงใหม่!J164"")"),0)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IFERROR(__xludf.DUMMYFUNCTION("IMPORTRANGE(""https://docs.google.com/spreadsheets/d/11923uPwbBZFjjGgGUA6NLw09EwE0CqkOc4q9oUmW1yo/edit?usp=sharing"",""เชียงใหม่!I270"")"),100)</f>
        <v>100</v>
      </c>
      <c r="J375" s="197">
        <f ca="1">IFERROR(__xludf.DUMMYFUNCTION("IMPORTRANGE(""https://docs.google.com/spreadsheets/d/11923uPwbBZFjjGgGUA6NLw09EwE0CqkOc4q9oUmW1yo/edit?usp=sharing"",""เชียงใหม่!J270"")"),0)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IFERROR(__xludf.DUMMYFUNCTION("IMPORTRANGE(""https://docs.google.com/spreadsheets/d/11923uPwbBZFjjGgGUA6NLw09EwE0CqkOc4q9oUmW1yo/edit?usp=sharing"",""เชียงใหม่!I271"")"),32)</f>
        <v>32</v>
      </c>
      <c r="J376" s="198">
        <f ca="1">IFERROR(__xludf.DUMMYFUNCTION("IMPORTRANGE(""https://docs.google.com/spreadsheets/d/11923uPwbBZFjjGgGUA6NLw09EwE0CqkOc4q9oUmW1yo/edit?usp=sharing"",""เชียงใหม่!J271"")"),0)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IFERROR(__xludf.DUMMYFUNCTION("IMPORTRANGE(""https://docs.google.com/spreadsheets/d/11923uPwbBZFjjGgGUA6NLw09EwE0CqkOc4q9oUmW1yo/edit?usp=sharing"",""เชียงใหม่!I272"")"),68)</f>
        <v>68</v>
      </c>
      <c r="J377" s="213">
        <f ca="1">IFERROR(__xludf.DUMMYFUNCTION("IMPORTRANGE(""https://docs.google.com/spreadsheets/d/11923uPwbBZFjjGgGUA6NLw09EwE0CqkOc4q9oUmW1yo/edit?usp=sharing"",""เชียงใหม่!J272"")"),0)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IFERROR(__xludf.DUMMYFUNCTION("IMPORTRANGE(""https://docs.google.com/spreadsheets/d/11923uPwbBZFjjGgGUA6NLw09EwE0CqkOc4q9oUmW1yo/edit?usp=sharing"",""เชียงใหม่!J273"")"),0)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IFERROR(__xludf.DUMMYFUNCTION("IMPORTRANGE(""https://docs.google.com/spreadsheets/d/11923uPwbBZFjjGgGUA6NLw09EwE0CqkOc4q9oUmW1yo/edit?usp=sharing"",""เชียงใหม่!J274"")"),0)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IFERROR(__xludf.DUMMYFUNCTION("IMPORTRANGE(""https://docs.google.com/spreadsheets/d/11923uPwbBZFjjGgGUA6NLw09EwE0CqkOc4q9oUmW1yo/edit?usp=sharing"",""เชียงใหม่!I275"")"),1000)</f>
        <v>1000</v>
      </c>
      <c r="J380" s="379">
        <f ca="1">IFERROR(__xludf.DUMMYFUNCTION("IMPORTRANGE(""https://docs.google.com/spreadsheets/d/11923uPwbBZFjjGgGUA6NLw09EwE0CqkOc4q9oUmW1yo/edit?usp=sharing"",""เชียงใหม่!J275"")"),0)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IFERROR(__xludf.DUMMYFUNCTION("IMPORTRANGE(""https://docs.google.com/spreadsheets/d/11923uPwbBZFjjGgGUA6NLw09EwE0CqkOc4q9oUmW1yo/edit?usp=sharing"",""เชียงใหม่!L275"")"),1028520)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IFERROR(__xludf.DUMMYFUNCTION("IMPORTRANGE(""https://docs.google.com/spreadsheets/d/11923uPwbBZFjjGgGUA6NLw09EwE0CqkOc4q9oUmW1yo/edit?usp=sharing"",""เชียงใหม่!M275"")"),91135.58)</f>
        <v>91135.58</v>
      </c>
      <c r="O380" s="381">
        <f ca="1">+IF(L380&gt;0,N380*100/L380,0)</f>
        <v>8.8608466534437831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IFERROR(__xludf.DUMMYFUNCTION("IMPORTRANGE(""https://docs.google.com/spreadsheets/d/11923uPwbBZFjjGgGUA6NLw09EwE0CqkOc4q9oUmW1yo/edit?usp=sharing"",""เชียงใหม่!I276"")"),100)</f>
        <v>100</v>
      </c>
      <c r="J381" s="379">
        <f ca="1">IFERROR(__xludf.DUMMYFUNCTION("IMPORTRANGE(""https://docs.google.com/spreadsheets/d/11923uPwbBZFjjGgGUA6NLw09EwE0CqkOc4q9oUmW1yo/edit?usp=sharing"",""เชียงใหม่!J276"")"),100)</f>
        <v>100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IFERROR(__xludf.DUMMYFUNCTION("IMPORTRANGE(""https://docs.google.com/spreadsheets/d/11923uPwbBZFjjGgGUA6NLw09EwE0CqkOc4q9oUmW1yo/edit?usp=sharing"",""เชียงใหม่!L277"")"),0)</f>
        <v>0</v>
      </c>
      <c r="M382" s="172"/>
      <c r="N382" s="172">
        <f ca="1">IFERROR(__xludf.DUMMYFUNCTION("IMPORTRANGE(""https://docs.google.com/spreadsheets/d/11923uPwbBZFjjGgGUA6NLw09EwE0CqkOc4q9oUmW1yo/edit?usp=sharing"",""เชียงใหม่!M277"")"),0)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IFERROR(__xludf.DUMMYFUNCTION("IMPORTRANGE(""https://docs.google.com/spreadsheets/d/11923uPwbBZFjjGgGUA6NLw09EwE0CqkOc4q9oUmW1yo/edit?usp=sharing"",""เชียงใหม่!L278"")"),1028520)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IFERROR(__xludf.DUMMYFUNCTION("IMPORTRANGE(""https://docs.google.com/spreadsheets/d/11923uPwbBZFjjGgGUA6NLw09EwE0CqkOc4q9oUmW1yo/edit?usp=sharing"",""เชียงใหม่!M278"")"),91135.58)</f>
        <v>91135.58</v>
      </c>
      <c r="O383" s="173">
        <f t="shared" ca="1" si="109"/>
        <v>8.8608466534437831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IFERROR(__xludf.DUMMYFUNCTION("IMPORTRANGE(""https://docs.google.com/spreadsheets/d/11923uPwbBZFjjGgGUA6NLw09EwE0CqkOc4q9oUmW1yo/edit?usp=sharing"",""เชียงใหม่!L279"")"),0)</f>
        <v>0</v>
      </c>
      <c r="M384" s="178"/>
      <c r="N384" s="178">
        <f ca="1">IFERROR(__xludf.DUMMYFUNCTION("IMPORTRANGE(""https://docs.google.com/spreadsheets/d/11923uPwbBZFjjGgGUA6NLw09EwE0CqkOc4q9oUmW1yo/edit?usp=sharing"",""เชียงใหม่!M279"")"),0)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IFERROR(__xludf.DUMMYFUNCTION("IMPORTRANGE(""https://docs.google.com/spreadsheets/d/11923uPwbBZFjjGgGUA6NLw09EwE0CqkOc4q9oUmW1yo/edit?usp=sharing"",""เชียงใหม่!L280"")"),1028520)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IFERROR(__xludf.DUMMYFUNCTION("IMPORTRANGE(""https://docs.google.com/spreadsheets/d/11923uPwbBZFjjGgGUA6NLw09EwE0CqkOc4q9oUmW1yo/edit?usp=sharing"",""เชียงใหม่!M280"")"),91135.58)</f>
        <v>91135.58</v>
      </c>
      <c r="O385" s="178">
        <f t="shared" ca="1" si="109"/>
        <v>8.8608466534437831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IFERROR(__xludf.DUMMYFUNCTION("IMPORTRANGE(""https://docs.google.com/spreadsheets/d/11923uPwbBZFjjGgGUA6NLw09EwE0CqkOc4q9oUmW1yo/edit?usp=sharing"",""เชียงใหม่!M281"")"),45350)</f>
        <v>45350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IFERROR(__xludf.DUMMYFUNCTION("IMPORTRANGE(""https://docs.google.com/spreadsheets/d/11923uPwbBZFjjGgGUA6NLw09EwE0CqkOc4q9oUmW1yo/edit?usp=sharing"",""เชียงใหม่!M282"")"),0)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IFERROR(__xludf.DUMMYFUNCTION("IMPORTRANGE(""https://docs.google.com/spreadsheets/d/11923uPwbBZFjjGgGUA6NLw09EwE0CqkOc4q9oUmW1yo/edit?usp=sharing"",""เชียงใหม่!M283"")"),42225.58)</f>
        <v>42225.58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IFERROR(__xludf.DUMMYFUNCTION("IMPORTRANGE(""https://docs.google.com/spreadsheets/d/11923uPwbBZFjjGgGUA6NLw09EwE0CqkOc4q9oUmW1yo/edit?usp=sharing"",""เชียงใหม่!M284"")"),3560)</f>
        <v>3560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IFERROR(__xludf.DUMMYFUNCTION("IMPORTRANGE(""https://docs.google.com/spreadsheets/d/11923uPwbBZFjjGgGUA6NLw09EwE0CqkOc4q9oUmW1yo/edit?usp=sharing"",""เชียงใหม่!J286"")"),0)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IFERROR(__xludf.DUMMYFUNCTION("IMPORTRANGE(""https://docs.google.com/spreadsheets/d/11923uPwbBZFjjGgGUA6NLw09EwE0CqkOc4q9oUmW1yo/edit?usp=sharing"",""เชียงใหม่!J287"")"),1)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IFERROR(__xludf.DUMMYFUNCTION("IMPORTRANGE(""https://docs.google.com/spreadsheets/d/11923uPwbBZFjjGgGUA6NLw09EwE0CqkOc4q9oUmW1yo/edit?usp=sharing"",""เชียงใหม่!J288"")"),1)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IFERROR(__xludf.DUMMYFUNCTION("IMPORTRANGE(""https://docs.google.com/spreadsheets/d/11923uPwbBZFjjGgGUA6NLw09EwE0CqkOc4q9oUmW1yo/edit?usp=sharing"",""เชียงใหม่!J289"")"),1)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IFERROR(__xludf.DUMMYFUNCTION("IMPORTRANGE(""https://docs.google.com/spreadsheets/d/11923uPwbBZFjjGgGUA6NLw09EwE0CqkOc4q9oUmW1yo/edit?usp=sharing"",""เชียงใหม่!I291"")"),100)</f>
        <v>100</v>
      </c>
      <c r="J396" s="207">
        <f ca="1">IFERROR(__xludf.DUMMYFUNCTION("IMPORTRANGE(""https://docs.google.com/spreadsheets/d/11923uPwbBZFjjGgGUA6NLw09EwE0CqkOc4q9oUmW1yo/edit?usp=sharing"",""เชียงใหม่!J291"")"),100)</f>
        <v>100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IFERROR(__xludf.DUMMYFUNCTION("IMPORTRANGE(""https://docs.google.com/spreadsheets/d/11923uPwbBZFjjGgGUA6NLw09EwE0CqkOc4q9oUmW1yo/edit?usp=sharing"",""เชียงใหม่!I292"")"),1000)</f>
        <v>1000</v>
      </c>
      <c r="J397" s="207">
        <f ca="1">IFERROR(__xludf.DUMMYFUNCTION("IMPORTRANGE(""https://docs.google.com/spreadsheets/d/11923uPwbBZFjjGgGUA6NLw09EwE0CqkOc4q9oUmW1yo/edit?usp=sharing"",""เชียงใหม่!J292"")"),0)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IFERROR(__xludf.DUMMYFUNCTION("IMPORTRANGE(""https://docs.google.com/spreadsheets/d/11923uPwbBZFjjGgGUA6NLw09EwE0CqkOc4q9oUmW1yo/edit?usp=sharing"",""เชียงใหม่!I293"")"),100)</f>
        <v>100</v>
      </c>
      <c r="J398" s="207">
        <f ca="1">IFERROR(__xludf.DUMMYFUNCTION("IMPORTRANGE(""https://docs.google.com/spreadsheets/d/11923uPwbBZFjjGgGUA6NLw09EwE0CqkOc4q9oUmW1yo/edit?usp=sharing"",""เชียงใหม่!J293"")"),0)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IFERROR(__xludf.DUMMYFUNCTION("IMPORTRANGE(""https://docs.google.com/spreadsheets/d/11923uPwbBZFjjGgGUA6NLw09EwE0CqkOc4q9oUmW1yo/edit?usp=sharing"",""เชียงใหม่!J294"")"),0)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IFERROR(__xludf.DUMMYFUNCTION("IMPORTRANGE(""https://docs.google.com/spreadsheets/d/11923uPwbBZFjjGgGUA6NLw09EwE0CqkOc4q9oUmW1yo/edit?usp=sharing"",""เชียงใหม่!J295"")"),0)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IFERROR(__xludf.DUMMYFUNCTION("IMPORTRANGE(""https://docs.google.com/spreadsheets/d/11923uPwbBZFjjGgGUA6NLw09EwE0CqkOc4q9oUmW1yo/edit?usp=sharing"",""เชียงใหม่!I296"")"),105)</f>
        <v>105</v>
      </c>
      <c r="J401" s="379">
        <f ca="1">IFERROR(__xludf.DUMMYFUNCTION("IMPORTRANGE(""https://docs.google.com/spreadsheets/d/11923uPwbBZFjjGgGUA6NLw09EwE0CqkOc4q9oUmW1yo/edit?usp=sharing"",""เชียงใหม่!J296"")"),60)</f>
        <v>60</v>
      </c>
      <c r="K401" s="380">
        <f t="shared" ref="K401:K402" ca="1" si="111">IF(I401&gt;0,J401*100/I401,0)</f>
        <v>57.142857142857146</v>
      </c>
      <c r="L401" s="381">
        <f ca="1">IFERROR(__xludf.DUMMYFUNCTION("IMPORTRANGE(""https://docs.google.com/spreadsheets/d/11923uPwbBZFjjGgGUA6NLw09EwE0CqkOc4q9oUmW1yo/edit?usp=sharing"",""เชียงใหม่!L296"")"),131710)</f>
        <v>131710</v>
      </c>
      <c r="M401" s="381"/>
      <c r="N401" s="381">
        <f ca="1">IFERROR(__xludf.DUMMYFUNCTION("IMPORTRANGE(""https://docs.google.com/spreadsheets/d/11923uPwbBZFjjGgGUA6NLw09EwE0CqkOc4q9oUmW1yo/edit?usp=sharing"",""เชียงใหม่!M296"")"),49470)</f>
        <v>49470</v>
      </c>
      <c r="O401" s="381">
        <f ca="1">+IF(L401&gt;0,N401*100/L401,0)</f>
        <v>37.55979044871308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IFERROR(__xludf.DUMMYFUNCTION("IMPORTRANGE(""https://docs.google.com/spreadsheets/d/11923uPwbBZFjjGgGUA6NLw09EwE0CqkOc4q9oUmW1yo/edit?usp=sharing"",""เชียงใหม่!I297"")"),35)</f>
        <v>35</v>
      </c>
      <c r="J402" s="379">
        <f ca="1">IFERROR(__xludf.DUMMYFUNCTION("IMPORTRANGE(""https://docs.google.com/spreadsheets/d/11923uPwbBZFjjGgGUA6NLw09EwE0CqkOc4q9oUmW1yo/edit?usp=sharing"",""เชียงใหม่!J297"")"),20)</f>
        <v>20</v>
      </c>
      <c r="K402" s="380">
        <f t="shared" ca="1" si="111"/>
        <v>57.142857142857146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IFERROR(__xludf.DUMMYFUNCTION("IMPORTRANGE(""https://docs.google.com/spreadsheets/d/11923uPwbBZFjjGgGUA6NLw09EwE0CqkOc4q9oUmW1yo/edit?usp=sharing"",""เชียงใหม่!L298"")"),0)</f>
        <v>0</v>
      </c>
      <c r="M403" s="172"/>
      <c r="N403" s="178">
        <f ca="1">IFERROR(__xludf.DUMMYFUNCTION("IMPORTRANGE(""https://docs.google.com/spreadsheets/d/11923uPwbBZFjjGgGUA6NLw09EwE0CqkOc4q9oUmW1yo/edit?usp=sharing"",""เชียงใหม่!M298"")"),0)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IFERROR(__xludf.DUMMYFUNCTION("IMPORTRANGE(""https://docs.google.com/spreadsheets/d/11923uPwbBZFjjGgGUA6NLw09EwE0CqkOc4q9oUmW1yo/edit?usp=sharing"",""เชียงใหม่!L299"")"),131710)</f>
        <v>131710</v>
      </c>
      <c r="M404" s="173"/>
      <c r="N404" s="178">
        <f ca="1">IFERROR(__xludf.DUMMYFUNCTION("IMPORTRANGE(""https://docs.google.com/spreadsheets/d/11923uPwbBZFjjGgGUA6NLw09EwE0CqkOc4q9oUmW1yo/edit?usp=sharing"",""เชียงใหม่!M299"")"),49470)</f>
        <v>49470</v>
      </c>
      <c r="O404" s="178">
        <f t="shared" ca="1" si="112"/>
        <v>37.55979044871308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IFERROR(__xludf.DUMMYFUNCTION("IMPORTRANGE(""https://docs.google.com/spreadsheets/d/11923uPwbBZFjjGgGUA6NLw09EwE0CqkOc4q9oUmW1yo/edit?usp=sharing"",""เชียงใหม่!L300"")"),0)</f>
        <v>0</v>
      </c>
      <c r="M405" s="178"/>
      <c r="N405" s="178">
        <f ca="1">IFERROR(__xludf.DUMMYFUNCTION("IMPORTRANGE(""https://docs.google.com/spreadsheets/d/11923uPwbBZFjjGgGUA6NLw09EwE0CqkOc4q9oUmW1yo/edit?usp=sharing"",""เชียงใหม่!M300"")"),0)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IFERROR(__xludf.DUMMYFUNCTION("IMPORTRANGE(""https://docs.google.com/spreadsheets/d/11923uPwbBZFjjGgGUA6NLw09EwE0CqkOc4q9oUmW1yo/edit?usp=sharing"",""เชียงใหม่!L301"")"),131710)</f>
        <v>131710</v>
      </c>
      <c r="M406" s="178"/>
      <c r="N406" s="178">
        <f ca="1">IFERROR(__xludf.DUMMYFUNCTION("IMPORTRANGE(""https://docs.google.com/spreadsheets/d/11923uPwbBZFjjGgGUA6NLw09EwE0CqkOc4q9oUmW1yo/edit?usp=sharing"",""เชียงใหม่!M301"")"),49470)</f>
        <v>49470</v>
      </c>
      <c r="O406" s="178">
        <f t="shared" ca="1" si="112"/>
        <v>37.55979044871308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IFERROR(__xludf.DUMMYFUNCTION("IMPORTRANGE(""https://docs.google.com/spreadsheets/d/11923uPwbBZFjjGgGUA6NLw09EwE0CqkOc4q9oUmW1yo/edit?usp=sharing"",""เชียงใหม่!M302"")"),36480)</f>
        <v>36480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IFERROR(__xludf.DUMMYFUNCTION("IMPORTRANGE(""https://docs.google.com/spreadsheets/d/11923uPwbBZFjjGgGUA6NLw09EwE0CqkOc4q9oUmW1yo/edit?usp=sharing"",""เชียงใหม่!M303"")"),0)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IFERROR(__xludf.DUMMYFUNCTION("IMPORTRANGE(""https://docs.google.com/spreadsheets/d/11923uPwbBZFjjGgGUA6NLw09EwE0CqkOc4q9oUmW1yo/edit?usp=sharing"",""เชียงใหม่!M304"")"),0)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IFERROR(__xludf.DUMMYFUNCTION("IMPORTRANGE(""https://docs.google.com/spreadsheets/d/11923uPwbBZFjjGgGUA6NLw09EwE0CqkOc4q9oUmW1yo/edit?usp=sharing"",""เชียงใหม่!M305"")"),12990)</f>
        <v>12990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IFERROR(__xludf.DUMMYFUNCTION("IMPORTRANGE(""https://docs.google.com/spreadsheets/d/11923uPwbBZFjjGgGUA6NLw09EwE0CqkOc4q9oUmW1yo/edit?usp=sharing"",""เชียงใหม่!J307"")"),0)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IFERROR(__xludf.DUMMYFUNCTION("IMPORTRANGE(""https://docs.google.com/spreadsheets/d/11923uPwbBZFjjGgGUA6NLw09EwE0CqkOc4q9oUmW1yo/edit?usp=sharing"",""เชียงใหม่!J308"")"),1)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IFERROR(__xludf.DUMMYFUNCTION("IMPORTRANGE(""https://docs.google.com/spreadsheets/d/11923uPwbBZFjjGgGUA6NLw09EwE0CqkOc4q9oUmW1yo/edit?usp=sharing"",""เชียงใหม่!J309"")"),1)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IFERROR(__xludf.DUMMYFUNCTION("IMPORTRANGE(""https://docs.google.com/spreadsheets/d/11923uPwbBZFjjGgGUA6NLw09EwE0CqkOc4q9oUmW1yo/edit?usp=sharing"",""เชียงใหม่!J310"")"),1)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IFERROR(__xludf.DUMMYFUNCTION("IMPORTRANGE(""https://docs.google.com/spreadsheets/d/11923uPwbBZFjjGgGUA6NLw09EwE0CqkOc4q9oUmW1yo/edit?usp=sharing"",""เชียงใหม่!I311"")"),35)</f>
        <v>35</v>
      </c>
      <c r="J416" s="210">
        <f ca="1">IFERROR(__xludf.DUMMYFUNCTION("IMPORTRANGE(""https://docs.google.com/spreadsheets/d/11923uPwbBZFjjGgGUA6NLw09EwE0CqkOc4q9oUmW1yo/edit?usp=sharing"",""เชียงใหม่!J311"")"),20)</f>
        <v>20</v>
      </c>
      <c r="K416" s="211">
        <f t="shared" ref="K416:K432" ca="1" si="113">IF(I416&gt;0,J416*100/I416,0)</f>
        <v>57.142857142857146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IFERROR(__xludf.DUMMYFUNCTION("IMPORTRANGE(""https://docs.google.com/spreadsheets/d/11923uPwbBZFjjGgGUA6NLw09EwE0CqkOc4q9oUmW1yo/edit?usp=sharing"",""เชียงใหม่!I312"")"),10)</f>
        <v>10</v>
      </c>
      <c r="J417" s="400">
        <f ca="1">IFERROR(__xludf.DUMMYFUNCTION("IMPORTRANGE(""https://docs.google.com/spreadsheets/d/11923uPwbBZFjjGgGUA6NLw09EwE0CqkOc4q9oUmW1yo/edit?usp=sharing"",""เชียงใหม่!J312"")"),10)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IFERROR(__xludf.DUMMYFUNCTION("IMPORTRANGE(""https://docs.google.com/spreadsheets/d/11923uPwbBZFjjGgGUA6NLw09EwE0CqkOc4q9oUmW1yo/edit?usp=sharing"",""เชียงใหม่!I313"")"),30)</f>
        <v>30</v>
      </c>
      <c r="J418" s="401">
        <f ca="1">IFERROR(__xludf.DUMMYFUNCTION("IMPORTRANGE(""https://docs.google.com/spreadsheets/d/11923uPwbBZFjjGgGUA6NLw09EwE0CqkOc4q9oUmW1yo/edit?usp=sharing"",""เชียงใหม่!J313"")"),30)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IFERROR(__xludf.DUMMYFUNCTION("IMPORTRANGE(""https://docs.google.com/spreadsheets/d/11923uPwbBZFjjGgGUA6NLw09EwE0CqkOc4q9oUmW1yo/edit?usp=sharing"",""เชียงใหม่!I314"")"),10)</f>
        <v>10</v>
      </c>
      <c r="J419" s="402">
        <f ca="1">IFERROR(__xludf.DUMMYFUNCTION("IMPORTRANGE(""https://docs.google.com/spreadsheets/d/11923uPwbBZFjjGgGUA6NLw09EwE0CqkOc4q9oUmW1yo/edit?usp=sharing"",""เชียงใหม่!J314"")"),10)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IFERROR(__xludf.DUMMYFUNCTION("IMPORTRANGE(""https://docs.google.com/spreadsheets/d/11923uPwbBZFjjGgGUA6NLw09EwE0CqkOc4q9oUmW1yo/edit?usp=sharing"",""เชียงใหม่!I315"")"),10)</f>
        <v>10</v>
      </c>
      <c r="J420" s="402">
        <f ca="1">IFERROR(__xludf.DUMMYFUNCTION("IMPORTRANGE(""https://docs.google.com/spreadsheets/d/11923uPwbBZFjjGgGUA6NLw09EwE0CqkOc4q9oUmW1yo/edit?usp=sharing"",""เชียงใหม่!J315"")"),10)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IFERROR(__xludf.DUMMYFUNCTION("IMPORTRANGE(""https://docs.google.com/spreadsheets/d/11923uPwbBZFjjGgGUA6NLw09EwE0CqkOc4q9oUmW1yo/edit?usp=sharing"",""เชียงใหม่!I316"")"),15)</f>
        <v>15</v>
      </c>
      <c r="J421" s="400">
        <f ca="1">IFERROR(__xludf.DUMMYFUNCTION("IMPORTRANGE(""https://docs.google.com/spreadsheets/d/11923uPwbBZFjjGgGUA6NLw09EwE0CqkOc4q9oUmW1yo/edit?usp=sharing"",""เชียงใหม่!J316"")"),0)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IFERROR(__xludf.DUMMYFUNCTION("IMPORTRANGE(""https://docs.google.com/spreadsheets/d/11923uPwbBZFjjGgGUA6NLw09EwE0CqkOc4q9oUmW1yo/edit?usp=sharing"",""เชียงใหม่!I317"")"),45)</f>
        <v>45</v>
      </c>
      <c r="J422" s="401">
        <f ca="1">IFERROR(__xludf.DUMMYFUNCTION("IMPORTRANGE(""https://docs.google.com/spreadsheets/d/11923uPwbBZFjjGgGUA6NLw09EwE0CqkOc4q9oUmW1yo/edit?usp=sharing"",""เชียงใหม่!J317"")"),0)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IFERROR(__xludf.DUMMYFUNCTION("IMPORTRANGE(""https://docs.google.com/spreadsheets/d/11923uPwbBZFjjGgGUA6NLw09EwE0CqkOc4q9oUmW1yo/edit?usp=sharing"",""เชียงใหม่!I318"")"),15)</f>
        <v>15</v>
      </c>
      <c r="J423" s="402">
        <f ca="1">IFERROR(__xludf.DUMMYFUNCTION("IMPORTRANGE(""https://docs.google.com/spreadsheets/d/11923uPwbBZFjjGgGUA6NLw09EwE0CqkOc4q9oUmW1yo/edit?usp=sharing"",""เชียงใหม่!J318"")"),0)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IFERROR(__xludf.DUMMYFUNCTION("IMPORTRANGE(""https://docs.google.com/spreadsheets/d/11923uPwbBZFjjGgGUA6NLw09EwE0CqkOc4q9oUmW1yo/edit?usp=sharing"",""เชียงใหม่!I319"")"),15)</f>
        <v>15</v>
      </c>
      <c r="J424" s="402">
        <f ca="1">IFERROR(__xludf.DUMMYFUNCTION("IMPORTRANGE(""https://docs.google.com/spreadsheets/d/11923uPwbBZFjjGgGUA6NLw09EwE0CqkOc4q9oUmW1yo/edit?usp=sharing"",""เชียงใหม่!J319"")"),0)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IFERROR(__xludf.DUMMYFUNCTION("IMPORTRANGE(""https://docs.google.com/spreadsheets/d/11923uPwbBZFjjGgGUA6NLw09EwE0CqkOc4q9oUmW1yo/edit?usp=sharing"",""เชียงใหม่!I320"")"),15)</f>
        <v>15</v>
      </c>
      <c r="J425" s="402">
        <f ca="1">IFERROR(__xludf.DUMMYFUNCTION("IMPORTRANGE(""https://docs.google.com/spreadsheets/d/11923uPwbBZFjjGgGUA6NLw09EwE0CqkOc4q9oUmW1yo/edit?usp=sharing"",""เชียงใหม่!J320"")"),0)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IFERROR(__xludf.DUMMYFUNCTION("IMPORTRANGE(""https://docs.google.com/spreadsheets/d/11923uPwbBZFjjGgGUA6NLw09EwE0CqkOc4q9oUmW1yo/edit?usp=sharing"",""เชียงใหม่!I321"")"),10)</f>
        <v>10</v>
      </c>
      <c r="J426" s="400">
        <f ca="1">IFERROR(__xludf.DUMMYFUNCTION("IMPORTRANGE(""https://docs.google.com/spreadsheets/d/11923uPwbBZFjjGgGUA6NLw09EwE0CqkOc4q9oUmW1yo/edit?usp=sharing"",""เชียงใหม่!J321"")"),10)</f>
        <v>10</v>
      </c>
      <c r="K426" s="211">
        <f t="shared" ca="1" si="113"/>
        <v>100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IFERROR(__xludf.DUMMYFUNCTION("IMPORTRANGE(""https://docs.google.com/spreadsheets/d/11923uPwbBZFjjGgGUA6NLw09EwE0CqkOc4q9oUmW1yo/edit?usp=sharing"",""เชียงใหม่!I322"")"),30)</f>
        <v>30</v>
      </c>
      <c r="J427" s="401">
        <f ca="1">IFERROR(__xludf.DUMMYFUNCTION("IMPORTRANGE(""https://docs.google.com/spreadsheets/d/11923uPwbBZFjjGgGUA6NLw09EwE0CqkOc4q9oUmW1yo/edit?usp=sharing"",""เชียงใหม่!J322"")"),30)</f>
        <v>30</v>
      </c>
      <c r="K427" s="211">
        <f t="shared" ca="1" si="113"/>
        <v>100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IFERROR(__xludf.DUMMYFUNCTION("IMPORTRANGE(""https://docs.google.com/spreadsheets/d/11923uPwbBZFjjGgGUA6NLw09EwE0CqkOc4q9oUmW1yo/edit?usp=sharing"",""เชียงใหม่!I323"")"),10)</f>
        <v>10</v>
      </c>
      <c r="J428" s="402">
        <f ca="1">IFERROR(__xludf.DUMMYFUNCTION("IMPORTRANGE(""https://docs.google.com/spreadsheets/d/11923uPwbBZFjjGgGUA6NLw09EwE0CqkOc4q9oUmW1yo/edit?usp=sharing"",""เชียงใหม่!J323"")"),10)</f>
        <v>10</v>
      </c>
      <c r="K428" s="171">
        <f t="shared" ca="1" si="113"/>
        <v>100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IFERROR(__xludf.DUMMYFUNCTION("IMPORTRANGE(""https://docs.google.com/spreadsheets/d/11923uPwbBZFjjGgGUA6NLw09EwE0CqkOc4q9oUmW1yo/edit?usp=sharing"",""เชียงใหม่!I324"")"),10)</f>
        <v>10</v>
      </c>
      <c r="J429" s="402">
        <f ca="1">IFERROR(__xludf.DUMMYFUNCTION("IMPORTRANGE(""https://docs.google.com/spreadsheets/d/11923uPwbBZFjjGgGUA6NLw09EwE0CqkOc4q9oUmW1yo/edit?usp=sharing"",""เชียงใหม่!J324"")"),10)</f>
        <v>10</v>
      </c>
      <c r="K429" s="171">
        <f t="shared" ca="1" si="113"/>
        <v>100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IFERROR(__xludf.DUMMYFUNCTION("IMPORTRANGE(""https://docs.google.com/spreadsheets/d/11923uPwbBZFjjGgGUA6NLw09EwE0CqkOc4q9oUmW1yo/edit?usp=sharing"",""เชียงใหม่!I325"")"),25)</f>
        <v>25</v>
      </c>
      <c r="J430" s="400">
        <f ca="1">IFERROR(__xludf.DUMMYFUNCTION("IMPORTRANGE(""https://docs.google.com/spreadsheets/d/11923uPwbBZFjjGgGUA6NLw09EwE0CqkOc4q9oUmW1yo/edit?usp=sharing"",""เชียงใหม่!J325"")"),0)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IFERROR(__xludf.DUMMYFUNCTION("IMPORTRANGE(""https://docs.google.com/spreadsheets/d/11923uPwbBZFjjGgGUA6NLw09EwE0CqkOc4q9oUmW1yo/edit?usp=sharing"",""เชียงใหม่!I326"")"),10)</f>
        <v>10</v>
      </c>
      <c r="J431" s="402">
        <f ca="1">IFERROR(__xludf.DUMMYFUNCTION("IMPORTRANGE(""https://docs.google.com/spreadsheets/d/11923uPwbBZFjjGgGUA6NLw09EwE0CqkOc4q9oUmW1yo/edit?usp=sharing"",""เชียงใหม่!J326"")"),0)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IFERROR(__xludf.DUMMYFUNCTION("IMPORTRANGE(""https://docs.google.com/spreadsheets/d/11923uPwbBZFjjGgGUA6NLw09EwE0CqkOc4q9oUmW1yo/edit?usp=sharing"",""เชียงใหม่!I327"")"),15)</f>
        <v>15</v>
      </c>
      <c r="J432" s="402">
        <f ca="1">IFERROR(__xludf.DUMMYFUNCTION("IMPORTRANGE(""https://docs.google.com/spreadsheets/d/11923uPwbBZFjjGgGUA6NLw09EwE0CqkOc4q9oUmW1yo/edit?usp=sharing"",""เชียงใหม่!J327"")"),0)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IFERROR(__xludf.DUMMYFUNCTION("IMPORTRANGE(""https://docs.google.com/spreadsheets/d/11923uPwbBZFjjGgGUA6NLw09EwE0CqkOc4q9oUmW1yo/edit?usp=sharing"",""เชียงใหม่!J328"")"),0)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IFERROR(__xludf.DUMMYFUNCTION("IMPORTRANGE(""https://docs.google.com/spreadsheets/d/11923uPwbBZFjjGgGUA6NLw09EwE0CqkOc4q9oUmW1yo/edit?usp=sharing"",""เชียงใหม่!J329"")"),0)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IFERROR(__xludf.DUMMYFUNCTION("IMPORTRANGE(""https://docs.google.com/spreadsheets/d/11923uPwbBZFjjGgGUA6NLw09EwE0CqkOc4q9oUmW1yo/edit?usp=sharing"",""เชียงใหม่!I330"")"),20)</f>
        <v>20</v>
      </c>
      <c r="J435" s="418">
        <f ca="1">IFERROR(__xludf.DUMMYFUNCTION("IMPORTRANGE(""https://docs.google.com/spreadsheets/d/11923uPwbBZFjjGgGUA6NLw09EwE0CqkOc4q9oUmW1yo/edit?usp=sharing"",""เชียงใหม่!J330"")"),20)</f>
        <v>20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IFERROR(__xludf.DUMMYFUNCTION("IMPORTRANGE(""https://docs.google.com/spreadsheets/d/11923uPwbBZFjjGgGUA6NLw09EwE0CqkOc4q9oUmW1yo/edit?usp=sharing"",""เชียงใหม่!L330"")"),95000)</f>
        <v>95000</v>
      </c>
      <c r="M435" s="420"/>
      <c r="N435" s="420">
        <f ca="1">IFERROR(__xludf.DUMMYFUNCTION("IMPORTRANGE(""https://docs.google.com/spreadsheets/d/11923uPwbBZFjjGgGUA6NLw09EwE0CqkOc4q9oUmW1yo/edit?usp=sharing"",""เชียงใหม่!M330"")"),25610)</f>
        <v>25610</v>
      </c>
      <c r="O435" s="420">
        <f t="shared" ref="O435:O439" ca="1" si="114">+IF(L435&gt;0,N435*100/L435,0)</f>
        <v>26.957894736842107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IFERROR(__xludf.DUMMYFUNCTION("IMPORTRANGE(""https://docs.google.com/spreadsheets/d/11923uPwbBZFjjGgGUA6NLw09EwE0CqkOc4q9oUmW1yo/edit?usp=sharing"",""เชียงใหม่!L331"")"),0)</f>
        <v>0</v>
      </c>
      <c r="M436" s="172"/>
      <c r="N436" s="178">
        <f ca="1">IFERROR(__xludf.DUMMYFUNCTION("IMPORTRANGE(""https://docs.google.com/spreadsheets/d/11923uPwbBZFjjGgGUA6NLw09EwE0CqkOc4q9oUmW1yo/edit?usp=sharing"",""เชียงใหม่!M331"")"),0)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IFERROR(__xludf.DUMMYFUNCTION("IMPORTRANGE(""https://docs.google.com/spreadsheets/d/11923uPwbBZFjjGgGUA6NLw09EwE0CqkOc4q9oUmW1yo/edit?usp=sharing"",""เชียงใหม่!L332"")"),95000)</f>
        <v>95000</v>
      </c>
      <c r="M437" s="173"/>
      <c r="N437" s="178">
        <f ca="1">IFERROR(__xludf.DUMMYFUNCTION("IMPORTRANGE(""https://docs.google.com/spreadsheets/d/11923uPwbBZFjjGgGUA6NLw09EwE0CqkOc4q9oUmW1yo/edit?usp=sharing"",""เชียงใหม่!M332"")"),25610)</f>
        <v>25610</v>
      </c>
      <c r="O437" s="178">
        <f t="shared" ca="1" si="114"/>
        <v>26.957894736842107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IFERROR(__xludf.DUMMYFUNCTION("IMPORTRANGE(""https://docs.google.com/spreadsheets/d/11923uPwbBZFjjGgGUA6NLw09EwE0CqkOc4q9oUmW1yo/edit?usp=sharing"",""เชียงใหม่!L333"")"),0)</f>
        <v>0</v>
      </c>
      <c r="M438" s="178"/>
      <c r="N438" s="178">
        <f ca="1">IFERROR(__xludf.DUMMYFUNCTION("IMPORTRANGE(""https://docs.google.com/spreadsheets/d/11923uPwbBZFjjGgGUA6NLw09EwE0CqkOc4q9oUmW1yo/edit?usp=sharing"",""เชียงใหม่!M333"")"),0)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IFERROR(__xludf.DUMMYFUNCTION("IMPORTRANGE(""https://docs.google.com/spreadsheets/d/11923uPwbBZFjjGgGUA6NLw09EwE0CqkOc4q9oUmW1yo/edit?usp=sharing"",""เชียงใหม่!L334"")"),95000)</f>
        <v>95000</v>
      </c>
      <c r="M439" s="178"/>
      <c r="N439" s="178">
        <f ca="1">IFERROR(__xludf.DUMMYFUNCTION("IMPORTRANGE(""https://docs.google.com/spreadsheets/d/11923uPwbBZFjjGgGUA6NLw09EwE0CqkOc4q9oUmW1yo/edit?usp=sharing"",""เชียงใหม่!M334"")"),25610)</f>
        <v>25610</v>
      </c>
      <c r="O439" s="178">
        <f t="shared" ca="1" si="114"/>
        <v>26.957894736842107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IFERROR(__xludf.DUMMYFUNCTION("IMPORTRANGE(""https://docs.google.com/spreadsheets/d/11923uPwbBZFjjGgGUA6NLw09EwE0CqkOc4q9oUmW1yo/edit?usp=sharing"",""เชียงใหม่!M335"")"),17580)</f>
        <v>17580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IFERROR(__xludf.DUMMYFUNCTION("IMPORTRANGE(""https://docs.google.com/spreadsheets/d/11923uPwbBZFjjGgGUA6NLw09EwE0CqkOc4q9oUmW1yo/edit?usp=sharing"",""เชียงใหม่!M336"")"),0)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IFERROR(__xludf.DUMMYFUNCTION("IMPORTRANGE(""https://docs.google.com/spreadsheets/d/11923uPwbBZFjjGgGUA6NLw09EwE0CqkOc4q9oUmW1yo/edit?usp=sharing"",""เชียงใหม่!M337"")"),0)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IFERROR(__xludf.DUMMYFUNCTION("IMPORTRANGE(""https://docs.google.com/spreadsheets/d/11923uPwbBZFjjGgGUA6NLw09EwE0CqkOc4q9oUmW1yo/edit?usp=sharing"",""เชียงใหม่!M338"")"),8030)</f>
        <v>8030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IFERROR(__xludf.DUMMYFUNCTION("IMPORTRANGE(""https://docs.google.com/spreadsheets/d/11923uPwbBZFjjGgGUA6NLw09EwE0CqkOc4q9oUmW1yo/edit?usp=sharing"",""เชียงใหม่!J340"")"),0)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IFERROR(__xludf.DUMMYFUNCTION("IMPORTRANGE(""https://docs.google.com/spreadsheets/d/11923uPwbBZFjjGgGUA6NLw09EwE0CqkOc4q9oUmW1yo/edit?usp=sharing"",""เชียงใหม่!J341"")"),1)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IFERROR(__xludf.DUMMYFUNCTION("IMPORTRANGE(""https://docs.google.com/spreadsheets/d/11923uPwbBZFjjGgGUA6NLw09EwE0CqkOc4q9oUmW1yo/edit?usp=sharing"",""เชียงใหม่!J342"")"),1)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IFERROR(__xludf.DUMMYFUNCTION("IMPORTRANGE(""https://docs.google.com/spreadsheets/d/11923uPwbBZFjjGgGUA6NLw09EwE0CqkOc4q9oUmW1yo/edit?usp=sharing"",""เชียงใหม่!J343"")"),1)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IFERROR(__xludf.DUMMYFUNCTION("IMPORTRANGE(""https://docs.google.com/spreadsheets/d/11923uPwbBZFjjGgGUA6NLw09EwE0CqkOc4q9oUmW1yo/edit?usp=sharing"",""เชียงใหม่!I344"")"),20)</f>
        <v>20</v>
      </c>
      <c r="J449" s="210">
        <f ca="1">IFERROR(__xludf.DUMMYFUNCTION("IMPORTRANGE(""https://docs.google.com/spreadsheets/d/11923uPwbBZFjjGgGUA6NLw09EwE0CqkOc4q9oUmW1yo/edit?usp=sharing"",""เชียงใหม่!J344"")"),20)</f>
        <v>20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IFERROR(__xludf.DUMMYFUNCTION("IMPORTRANGE(""https://docs.google.com/spreadsheets/d/11923uPwbBZFjjGgGUA6NLw09EwE0CqkOc4q9oUmW1yo/edit?usp=sharing"",""เชียงใหม่!I345"")"),20)</f>
        <v>20</v>
      </c>
      <c r="J450" s="198">
        <f ca="1">IFERROR(__xludf.DUMMYFUNCTION("IMPORTRANGE(""https://docs.google.com/spreadsheets/d/11923uPwbBZFjjGgGUA6NLw09EwE0CqkOc4q9oUmW1yo/edit?usp=sharing"",""เชียงใหม่!J345"")"),20)</f>
        <v>20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IFERROR(__xludf.DUMMYFUNCTION("IMPORTRANGE(""https://docs.google.com/spreadsheets/d/11923uPwbBZFjjGgGUA6NLw09EwE0CqkOc4q9oUmW1yo/edit?usp=sharing"",""เชียงใหม่!I346"")"),0)</f>
        <v>0</v>
      </c>
      <c r="J451" s="197">
        <f ca="1">IFERROR(__xludf.DUMMYFUNCTION("IMPORTRANGE(""https://docs.google.com/spreadsheets/d/11923uPwbBZFjjGgGUA6NLw09EwE0CqkOc4q9oUmW1yo/edit?usp=sharing"",""เชียงใหม่!J346"")"),0)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IFERROR(__xludf.DUMMYFUNCTION("IMPORTRANGE(""https://docs.google.com/spreadsheets/d/11923uPwbBZFjjGgGUA6NLw09EwE0CqkOc4q9oUmW1yo/edit?usp=sharing"",""เชียงใหม่!I347"")"),0)</f>
        <v>0</v>
      </c>
      <c r="J452" s="197">
        <f ca="1">IFERROR(__xludf.DUMMYFUNCTION("IMPORTRANGE(""https://docs.google.com/spreadsheets/d/11923uPwbBZFjjGgGUA6NLw09EwE0CqkOc4q9oUmW1yo/edit?usp=sharing"",""เชียงใหม่!J347"")"),0)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IFERROR(__xludf.DUMMYFUNCTION("IMPORTRANGE(""https://docs.google.com/spreadsheets/d/11923uPwbBZFjjGgGUA6NLw09EwE0CqkOc4q9oUmW1yo/edit?usp=sharing"",""เชียงใหม่!J348"")"),0)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IFERROR(__xludf.DUMMYFUNCTION("IMPORTRANGE(""https://docs.google.com/spreadsheets/d/11923uPwbBZFjjGgGUA6NLw09EwE0CqkOc4q9oUmW1yo/edit?usp=sharing"",""เชียงใหม่!J349"")"),0)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IFERROR(__xludf.DUMMYFUNCTION("IMPORTRANGE(""https://docs.google.com/spreadsheets/d/11923uPwbBZFjjGgGUA6NLw09EwE0CqkOc4q9oUmW1yo/edit?usp=sharing"",""เชียงใหม่!I350"")"),18110)</f>
        <v>18110</v>
      </c>
      <c r="J455" s="379">
        <f ca="1">IFERROR(__xludf.DUMMYFUNCTION("IMPORTRANGE(""https://docs.google.com/spreadsheets/d/11923uPwbBZFjjGgGUA6NLw09EwE0CqkOc4q9oUmW1yo/edit?usp=sharing"",""เชียงใหม่!J350"")"),0)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IFERROR(__xludf.DUMMYFUNCTION("IMPORTRANGE(""https://docs.google.com/spreadsheets/d/11923uPwbBZFjjGgGUA6NLw09EwE0CqkOc4q9oUmW1yo/edit?usp=sharing"",""เชียงใหม่!L350"")"),536539)</f>
        <v>536539</v>
      </c>
      <c r="M455" s="381"/>
      <c r="N455" s="381">
        <f ca="1">IFERROR(__xludf.DUMMYFUNCTION("IMPORTRANGE(""https://docs.google.com/spreadsheets/d/11923uPwbBZFjjGgGUA6NLw09EwE0CqkOc4q9oUmW1yo/edit?usp=sharing"",""เชียงใหม่!M350"")"),87595.58)</f>
        <v>87595.58</v>
      </c>
      <c r="O455" s="381">
        <f t="shared" ref="O455:O459" ca="1" si="116">+IF(L455&gt;0,N455*100/L455,0)</f>
        <v>16.326041536589138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IFERROR(__xludf.DUMMYFUNCTION("IMPORTRANGE(""https://docs.google.com/spreadsheets/d/11923uPwbBZFjjGgGUA6NLw09EwE0CqkOc4q9oUmW1yo/edit?usp=sharing"",""เชียงใหม่!L351"")"),0)</f>
        <v>0</v>
      </c>
      <c r="M456" s="172"/>
      <c r="N456" s="178">
        <f ca="1">IFERROR(__xludf.DUMMYFUNCTION("IMPORTRANGE(""https://docs.google.com/spreadsheets/d/11923uPwbBZFjjGgGUA6NLw09EwE0CqkOc4q9oUmW1yo/edit?usp=sharing"",""เชียงใหม่!M351"")"),0)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IFERROR(__xludf.DUMMYFUNCTION("IMPORTRANGE(""https://docs.google.com/spreadsheets/d/11923uPwbBZFjjGgGUA6NLw09EwE0CqkOc4q9oUmW1yo/edit?usp=sharing"",""เชียงใหม่!L352"")"),536539)</f>
        <v>536539</v>
      </c>
      <c r="M457" s="173"/>
      <c r="N457" s="178">
        <f ca="1">IFERROR(__xludf.DUMMYFUNCTION("IMPORTRANGE(""https://docs.google.com/spreadsheets/d/11923uPwbBZFjjGgGUA6NLw09EwE0CqkOc4q9oUmW1yo/edit?usp=sharing"",""เชียงใหม่!M352"")"),87595.58)</f>
        <v>87595.58</v>
      </c>
      <c r="O457" s="178">
        <f t="shared" ca="1" si="116"/>
        <v>16.326041536589138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IFERROR(__xludf.DUMMYFUNCTION("IMPORTRANGE(""https://docs.google.com/spreadsheets/d/11923uPwbBZFjjGgGUA6NLw09EwE0CqkOc4q9oUmW1yo/edit?usp=sharing"",""เชียงใหม่!L353"")"),0)</f>
        <v>0</v>
      </c>
      <c r="M458" s="178"/>
      <c r="N458" s="178">
        <f ca="1">IFERROR(__xludf.DUMMYFUNCTION("IMPORTRANGE(""https://docs.google.com/spreadsheets/d/11923uPwbBZFjjGgGUA6NLw09EwE0CqkOc4q9oUmW1yo/edit?usp=sharing"",""เชียงใหม่!M353"")"),0)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IFERROR(__xludf.DUMMYFUNCTION("IMPORTRANGE(""https://docs.google.com/spreadsheets/d/11923uPwbBZFjjGgGUA6NLw09EwE0CqkOc4q9oUmW1yo/edit?usp=sharing"",""เชียงใหม่!L354"")"),536539)</f>
        <v>536539</v>
      </c>
      <c r="M459" s="178"/>
      <c r="N459" s="178">
        <f ca="1">IFERROR(__xludf.DUMMYFUNCTION("IMPORTRANGE(""https://docs.google.com/spreadsheets/d/11923uPwbBZFjjGgGUA6NLw09EwE0CqkOc4q9oUmW1yo/edit?usp=sharing"",""เชียงใหม่!M354"")"),87595.58)</f>
        <v>87595.58</v>
      </c>
      <c r="O459" s="178">
        <f t="shared" ca="1" si="116"/>
        <v>16.326041536589138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IFERROR(__xludf.DUMMYFUNCTION("IMPORTRANGE(""https://docs.google.com/spreadsheets/d/11923uPwbBZFjjGgGUA6NLw09EwE0CqkOc4q9oUmW1yo/edit?usp=sharing"",""เชียงใหม่!M355"")"),0)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IFERROR(__xludf.DUMMYFUNCTION("IMPORTRANGE(""https://docs.google.com/spreadsheets/d/11923uPwbBZFjjGgGUA6NLw09EwE0CqkOc4q9oUmW1yo/edit?usp=sharing"",""เชียงใหม่!M356"")"),0)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IFERROR(__xludf.DUMMYFUNCTION("IMPORTRANGE(""https://docs.google.com/spreadsheets/d/11923uPwbBZFjjGgGUA6NLw09EwE0CqkOc4q9oUmW1yo/edit?usp=sharing"",""เชียงใหม่!M357"")"),42225.58)</f>
        <v>42225.58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IFERROR(__xludf.DUMMYFUNCTION("IMPORTRANGE(""https://docs.google.com/spreadsheets/d/11923uPwbBZFjjGgGUA6NLw09EwE0CqkOc4q9oUmW1yo/edit?usp=sharing"",""เชียงใหม่!M358"")"),45370)</f>
        <v>45370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IFERROR(__xludf.DUMMYFUNCTION("IMPORTRANGE(""https://docs.google.com/spreadsheets/d/11923uPwbBZFjjGgGUA6NLw09EwE0CqkOc4q9oUmW1yo/edit?usp=sharing"",""เชียงใหม่!I359"")"),18110)</f>
        <v>18110</v>
      </c>
      <c r="J464" s="276">
        <f ca="1">IFERROR(__xludf.DUMMYFUNCTION("IMPORTRANGE(""https://docs.google.com/spreadsheets/d/11923uPwbBZFjjGgGUA6NLw09EwE0CqkOc4q9oUmW1yo/edit?usp=sharing"",""เชียงใหม่!J359"")"),0)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IFERROR(__xludf.DUMMYFUNCTION("IMPORTRANGE(""https://docs.google.com/spreadsheets/d/11923uPwbBZFjjGgGUA6NLw09EwE0CqkOc4q9oUmW1yo/edit?usp=sharing"",""เชียงใหม่!I360"")"),18110)</f>
        <v>18110</v>
      </c>
      <c r="J465" s="428">
        <f ca="1">IFERROR(__xludf.DUMMYFUNCTION("IMPORTRANGE(""https://docs.google.com/spreadsheets/d/11923uPwbBZFjjGgGUA6NLw09EwE0CqkOc4q9oUmW1yo/edit?usp=sharing"",""เชียงใหม่!J360"")"),19466.7399999999)</f>
        <v>19466.7399999999</v>
      </c>
      <c r="K465" s="211">
        <f t="shared" ca="1" si="117"/>
        <v>107.49166206515682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IFERROR(__xludf.DUMMYFUNCTION("IMPORTRANGE(""https://docs.google.com/spreadsheets/d/11923uPwbBZFjjGgGUA6NLw09EwE0CqkOc4q9oUmW1yo/edit?usp=sharing"",""เชียงใหม่!I361"")"),4394)</f>
        <v>4394</v>
      </c>
      <c r="J466" s="428">
        <f ca="1">IFERROR(__xludf.DUMMYFUNCTION("IMPORTRANGE(""https://docs.google.com/spreadsheets/d/11923uPwbBZFjjGgGUA6NLw09EwE0CqkOc4q9oUmW1yo/edit?usp=sharing"",""เชียงใหม่!J361"")"),4394)</f>
        <v>4394</v>
      </c>
      <c r="K466" s="211">
        <f t="shared" ca="1" si="117"/>
        <v>100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IFERROR(__xludf.DUMMYFUNCTION("IMPORTRANGE(""https://docs.google.com/spreadsheets/d/11923uPwbBZFjjGgGUA6NLw09EwE0CqkOc4q9oUmW1yo/edit?usp=sharing"",""เชียงใหม่!I362"")"),0)</f>
        <v>0</v>
      </c>
      <c r="J467" s="198">
        <f ca="1">IFERROR(__xludf.DUMMYFUNCTION("IMPORTRANGE(""https://docs.google.com/spreadsheets/d/11923uPwbBZFjjGgGUA6NLw09EwE0CqkOc4q9oUmW1yo/edit?usp=sharing"",""เชียงใหม่!J362"")"),9245.41)</f>
        <v>9245.41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IFERROR(__xludf.DUMMYFUNCTION("IMPORTRANGE(""https://docs.google.com/spreadsheets/d/11923uPwbBZFjjGgGUA6NLw09EwE0CqkOc4q9oUmW1yo/edit?usp=sharing"",""เชียงใหม่!I363"")"),0)</f>
        <v>0</v>
      </c>
      <c r="J468" s="198">
        <f ca="1">IFERROR(__xludf.DUMMYFUNCTION("IMPORTRANGE(""https://docs.google.com/spreadsheets/d/11923uPwbBZFjjGgGUA6NLw09EwE0CqkOc4q9oUmW1yo/edit?usp=sharing"",""เชียงใหม่!J363"")"),2380)</f>
        <v>2380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IFERROR(__xludf.DUMMYFUNCTION("IMPORTRANGE(""https://docs.google.com/spreadsheets/d/11923uPwbBZFjjGgGUA6NLw09EwE0CqkOc4q9oUmW1yo/edit?usp=sharing"",""เชียงใหม่!I364"")"),0)</f>
        <v>0</v>
      </c>
      <c r="J469" s="19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IFERROR(__xludf.DUMMYFUNCTION("IMPORTRANGE(""https://docs.google.com/spreadsheets/d/11923uPwbBZFjjGgGUA6NLw09EwE0CqkOc4q9oUmW1yo/edit?usp=sharing"",""เชียงใหม่!I365"")"),0)</f>
        <v>0</v>
      </c>
      <c r="J470" s="198">
        <f ca="1">IFERROR(__xludf.DUMMYFUNCTION("IMPORTRANGE(""https://docs.google.com/spreadsheets/d/11923uPwbBZFjjGgGUA6NLw09EwE0CqkOc4q9oUmW1yo/edit?usp=sharing"",""เชียงใหม่!J365"")"),1953)</f>
        <v>1953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IFERROR(__xludf.DUMMYFUNCTION("IMPORTRANGE(""https://docs.google.com/spreadsheets/d/11923uPwbBZFjjGgGUA6NLw09EwE0CqkOc4q9oUmW1yo/edit?usp=sharing"",""เชียงใหม่!I366"")"),0)</f>
        <v>0</v>
      </c>
      <c r="J471" s="198">
        <f ca="1">IFERROR(__xludf.DUMMYFUNCTION("IMPORTRANGE(""https://docs.google.com/spreadsheets/d/11923uPwbBZFjjGgGUA6NLw09EwE0CqkOc4q9oUmW1yo/edit?usp=sharing"",""เชียงใหม่!J366"")"),201)</f>
        <v>201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IFERROR(__xludf.DUMMYFUNCTION("IMPORTRANGE(""https://docs.google.com/spreadsheets/d/11923uPwbBZFjjGgGUA6NLw09EwE0CqkOc4q9oUmW1yo/edit?usp=sharing"",""เชียงใหม่!I367"")"),0)</f>
        <v>0</v>
      </c>
      <c r="J472" s="198">
        <f ca="1">IFERROR(__xludf.DUMMYFUNCTION("IMPORTRANGE(""https://docs.google.com/spreadsheets/d/11923uPwbBZFjjGgGUA6NLw09EwE0CqkOc4q9oUmW1yo/edit?usp=sharing"",""เชียงใหม่!J367"")"),61)</f>
        <v>61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IFERROR(__xludf.DUMMYFUNCTION("IMPORTRANGE(""https://docs.google.com/spreadsheets/d/11923uPwbBZFjjGgGUA6NLw09EwE0CqkOc4q9oUmW1yo/edit?usp=sharing"",""เชียงใหม่!I368"")"),18110)</f>
        <v>18110</v>
      </c>
      <c r="J473" s="428">
        <f ca="1">IFERROR(__xludf.DUMMYFUNCTION("IMPORTRANGE(""https://docs.google.com/spreadsheets/d/11923uPwbBZFjjGgGUA6NLw09EwE0CqkOc4q9oUmW1yo/edit?usp=sharing"",""เชียงใหม่!J368"")"),0)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IFERROR(__xludf.DUMMYFUNCTION("IMPORTRANGE(""https://docs.google.com/spreadsheets/d/11923uPwbBZFjjGgGUA6NLw09EwE0CqkOc4q9oUmW1yo/edit?usp=sharing"",""เชียงใหม่!I369"")"),4394)</f>
        <v>4394</v>
      </c>
      <c r="J474" s="428">
        <f ca="1">IFERROR(__xludf.DUMMYFUNCTION("IMPORTRANGE(""https://docs.google.com/spreadsheets/d/11923uPwbBZFjjGgGUA6NLw09EwE0CqkOc4q9oUmW1yo/edit?usp=sharing"",""เชียงใหม่!J369"")"),0)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IFERROR(__xludf.DUMMYFUNCTION("IMPORTRANGE(""https://docs.google.com/spreadsheets/d/11923uPwbBZFjjGgGUA6NLw09EwE0CqkOc4q9oUmW1yo/edit?usp=sharing"",""เชียงใหม่!I370"")"),0)</f>
        <v>0</v>
      </c>
      <c r="J475" s="198">
        <f ca="1">IFERROR(__xludf.DUMMYFUNCTION("IMPORTRANGE(""https://docs.google.com/spreadsheets/d/11923uPwbBZFjjGgGUA6NLw09EwE0CqkOc4q9oUmW1yo/edit?usp=sharing"",""เชียงใหม่!J370"")"),0)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IFERROR(__xludf.DUMMYFUNCTION("IMPORTRANGE(""https://docs.google.com/spreadsheets/d/11923uPwbBZFjjGgGUA6NLw09EwE0CqkOc4q9oUmW1yo/edit?usp=sharing"",""เชียงใหม่!I371"")"),0)</f>
        <v>0</v>
      </c>
      <c r="J476" s="198">
        <f ca="1">IFERROR(__xludf.DUMMYFUNCTION("IMPORTRANGE(""https://docs.google.com/spreadsheets/d/11923uPwbBZFjjGgGUA6NLw09EwE0CqkOc4q9oUmW1yo/edit?usp=sharing"",""เชียงใหม่!J371"")"),0)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IFERROR(__xludf.DUMMYFUNCTION("IMPORTRANGE(""https://docs.google.com/spreadsheets/d/11923uPwbBZFjjGgGUA6NLw09EwE0CqkOc4q9oUmW1yo/edit?usp=sharing"",""เชียงใหม่!I372"")"),0)</f>
        <v>0</v>
      </c>
      <c r="J477" s="198">
        <f ca="1">IFERROR(__xludf.DUMMYFUNCTION("IMPORTRANGE(""https://docs.google.com/spreadsheets/d/11923uPwbBZFjjGgGUA6NLw09EwE0CqkOc4q9oUmW1yo/edit?usp=sharing"",""เชียงใหม่!J372"")"),0)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IFERROR(__xludf.DUMMYFUNCTION("IMPORTRANGE(""https://docs.google.com/spreadsheets/d/11923uPwbBZFjjGgGUA6NLw09EwE0CqkOc4q9oUmW1yo/edit?usp=sharing"",""เชียงใหม่!I373"")"),0)</f>
        <v>0</v>
      </c>
      <c r="J478" s="198">
        <f ca="1">IFERROR(__xludf.DUMMYFUNCTION("IMPORTRANGE(""https://docs.google.com/spreadsheets/d/11923uPwbBZFjjGgGUA6NLw09EwE0CqkOc4q9oUmW1yo/edit?usp=sharing"",""เชียงใหม่!J373"")"),0)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IFERROR(__xludf.DUMMYFUNCTION("IMPORTRANGE(""https://docs.google.com/spreadsheets/d/11923uPwbBZFjjGgGUA6NLw09EwE0CqkOc4q9oUmW1yo/edit?usp=sharing"",""เชียงใหม่!I374"")"),0)</f>
        <v>0</v>
      </c>
      <c r="J479" s="198">
        <f ca="1">IFERROR(__xludf.DUMMYFUNCTION("IMPORTRANGE(""https://docs.google.com/spreadsheets/d/11923uPwbBZFjjGgGUA6NLw09EwE0CqkOc4q9oUmW1yo/edit?usp=sharing"",""เชียงใหม่!J374"")"),0)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IFERROR(__xludf.DUMMYFUNCTION("IMPORTRANGE(""https://docs.google.com/spreadsheets/d/11923uPwbBZFjjGgGUA6NLw09EwE0CqkOc4q9oUmW1yo/edit?usp=sharing"",""เชียงใหม่!I375"")"),0)</f>
        <v>0</v>
      </c>
      <c r="J480" s="198">
        <f ca="1">IFERROR(__xludf.DUMMYFUNCTION("IMPORTRANGE(""https://docs.google.com/spreadsheets/d/11923uPwbBZFjjGgGUA6NLw09EwE0CqkOc4q9oUmW1yo/edit?usp=sharing"",""เชียงใหม่!J375"")"),0)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IFERROR(__xludf.DUMMYFUNCTION("IMPORTRANGE(""https://docs.google.com/spreadsheets/d/11923uPwbBZFjjGgGUA6NLw09EwE0CqkOc4q9oUmW1yo/edit?usp=sharing"",""เชียงใหม่!I376"")"),18110)</f>
        <v>18110</v>
      </c>
      <c r="J481" s="428">
        <f ca="1">IFERROR(__xludf.DUMMYFUNCTION("IMPORTRANGE(""https://docs.google.com/spreadsheets/d/11923uPwbBZFjjGgGUA6NLw09EwE0CqkOc4q9oUmW1yo/edit?usp=sharing"",""เชียงใหม่!J376"")"),0)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IFERROR(__xludf.DUMMYFUNCTION("IMPORTRANGE(""https://docs.google.com/spreadsheets/d/11923uPwbBZFjjGgGUA6NLw09EwE0CqkOc4q9oUmW1yo/edit?usp=sharing"",""เชียงใหม่!I377"")"),4394)</f>
        <v>4394</v>
      </c>
      <c r="J482" s="428">
        <f ca="1">IFERROR(__xludf.DUMMYFUNCTION("IMPORTRANGE(""https://docs.google.com/spreadsheets/d/11923uPwbBZFjjGgGUA6NLw09EwE0CqkOc4q9oUmW1yo/edit?usp=sharing"",""เชียงใหม่!J377"")"),0)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IFERROR(__xludf.DUMMYFUNCTION("IMPORTRANGE(""https://docs.google.com/spreadsheets/d/11923uPwbBZFjjGgGUA6NLw09EwE0CqkOc4q9oUmW1yo/edit?usp=sharing"",""เชียงใหม่!I378"")"),0)</f>
        <v>0</v>
      </c>
      <c r="J483" s="198">
        <f ca="1">IFERROR(__xludf.DUMMYFUNCTION("IMPORTRANGE(""https://docs.google.com/spreadsheets/d/11923uPwbBZFjjGgGUA6NLw09EwE0CqkOc4q9oUmW1yo/edit?usp=sharing"",""เชียงใหม่!J378"")"),0)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IFERROR(__xludf.DUMMYFUNCTION("IMPORTRANGE(""https://docs.google.com/spreadsheets/d/11923uPwbBZFjjGgGUA6NLw09EwE0CqkOc4q9oUmW1yo/edit?usp=sharing"",""เชียงใหม่!I379"")"),0)</f>
        <v>0</v>
      </c>
      <c r="J484" s="198">
        <f ca="1">IFERROR(__xludf.DUMMYFUNCTION("IMPORTRANGE(""https://docs.google.com/spreadsheets/d/11923uPwbBZFjjGgGUA6NLw09EwE0CqkOc4q9oUmW1yo/edit?usp=sharing"",""เชียงใหม่!J379"")"),0)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IFERROR(__xludf.DUMMYFUNCTION("IMPORTRANGE(""https://docs.google.com/spreadsheets/d/11923uPwbBZFjjGgGUA6NLw09EwE0CqkOc4q9oUmW1yo/edit?usp=sharing"",""เชียงใหม่!I380"")"),0)</f>
        <v>0</v>
      </c>
      <c r="J485" s="198">
        <f ca="1">IFERROR(__xludf.DUMMYFUNCTION("IMPORTRANGE(""https://docs.google.com/spreadsheets/d/11923uPwbBZFjjGgGUA6NLw09EwE0CqkOc4q9oUmW1yo/edit?usp=sharing"",""เชียงใหม่!J380"")"),0)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IFERROR(__xludf.DUMMYFUNCTION("IMPORTRANGE(""https://docs.google.com/spreadsheets/d/11923uPwbBZFjjGgGUA6NLw09EwE0CqkOc4q9oUmW1yo/edit?usp=sharing"",""เชียงใหม่!I381"")"),0)</f>
        <v>0</v>
      </c>
      <c r="J486" s="198">
        <f ca="1">IFERROR(__xludf.DUMMYFUNCTION("IMPORTRANGE(""https://docs.google.com/spreadsheets/d/11923uPwbBZFjjGgGUA6NLw09EwE0CqkOc4q9oUmW1yo/edit?usp=sharing"",""เชียงใหม่!J381"")"),0)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IFERROR(__xludf.DUMMYFUNCTION("IMPORTRANGE(""https://docs.google.com/spreadsheets/d/11923uPwbBZFjjGgGUA6NLw09EwE0CqkOc4q9oUmW1yo/edit?usp=sharing"",""เชียงใหม่!I382"")"),0)</f>
        <v>0</v>
      </c>
      <c r="J487" s="428">
        <f ca="1">IFERROR(__xludf.DUMMYFUNCTION("IMPORTRANGE(""https://docs.google.com/spreadsheets/d/11923uPwbBZFjjGgGUA6NLw09EwE0CqkOc4q9oUmW1yo/edit?usp=sharing"",""เชียงใหม่!J382"")"),0)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IFERROR(__xludf.DUMMYFUNCTION("IMPORTRANGE(""https://docs.google.com/spreadsheets/d/11923uPwbBZFjjGgGUA6NLw09EwE0CqkOc4q9oUmW1yo/edit?usp=sharing"",""เชียงใหม่!I383"")"),0)</f>
        <v>0</v>
      </c>
      <c r="J488" s="428">
        <f ca="1">IFERROR(__xludf.DUMMYFUNCTION("IMPORTRANGE(""https://docs.google.com/spreadsheets/d/11923uPwbBZFjjGgGUA6NLw09EwE0CqkOc4q9oUmW1yo/edit?usp=sharing"",""เชียงใหม่!J383"")"),0)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IFERROR(__xludf.DUMMYFUNCTION("IMPORTRANGE(""https://docs.google.com/spreadsheets/d/11923uPwbBZFjjGgGUA6NLw09EwE0CqkOc4q9oUmW1yo/edit?usp=sharing"",""เชียงใหม่!I384"")"),0)</f>
        <v>0</v>
      </c>
      <c r="J489" s="198">
        <f ca="1">IFERROR(__xludf.DUMMYFUNCTION("IMPORTRANGE(""https://docs.google.com/spreadsheets/d/11923uPwbBZFjjGgGUA6NLw09EwE0CqkOc4q9oUmW1yo/edit?usp=sharing"",""เชียงใหม่!J384"")"),0)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IFERROR(__xludf.DUMMYFUNCTION("IMPORTRANGE(""https://docs.google.com/spreadsheets/d/11923uPwbBZFjjGgGUA6NLw09EwE0CqkOc4q9oUmW1yo/edit?usp=sharing"",""เชียงใหม่!I385"")"),0)</f>
        <v>0</v>
      </c>
      <c r="J490" s="198">
        <f ca="1">IFERROR(__xludf.DUMMYFUNCTION("IMPORTRANGE(""https://docs.google.com/spreadsheets/d/11923uPwbBZFjjGgGUA6NLw09EwE0CqkOc4q9oUmW1yo/edit?usp=sharing"",""เชียงใหม่!J385"")"),0)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IFERROR(__xludf.DUMMYFUNCTION("IMPORTRANGE(""https://docs.google.com/spreadsheets/d/11923uPwbBZFjjGgGUA6NLw09EwE0CqkOc4q9oUmW1yo/edit?usp=sharing"",""เชียงใหม่!I386"")"),0)</f>
        <v>0</v>
      </c>
      <c r="J491" s="198">
        <f ca="1">IFERROR(__xludf.DUMMYFUNCTION("IMPORTRANGE(""https://docs.google.com/spreadsheets/d/11923uPwbBZFjjGgGUA6NLw09EwE0CqkOc4q9oUmW1yo/edit?usp=sharing"",""เชียงใหม่!J386"")"),0)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IFERROR(__xludf.DUMMYFUNCTION("IMPORTRANGE(""https://docs.google.com/spreadsheets/d/11923uPwbBZFjjGgGUA6NLw09EwE0CqkOc4q9oUmW1yo/edit?usp=sharing"",""เชียงใหม่!I387"")"),0)</f>
        <v>0</v>
      </c>
      <c r="J492" s="198">
        <f ca="1">IFERROR(__xludf.DUMMYFUNCTION("IMPORTRANGE(""https://docs.google.com/spreadsheets/d/11923uPwbBZFjjGgGUA6NLw09EwE0CqkOc4q9oUmW1yo/edit?usp=sharing"",""เชียงใหม่!J387"")"),0)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IFERROR(__xludf.DUMMYFUNCTION("IMPORTRANGE(""https://docs.google.com/spreadsheets/d/11923uPwbBZFjjGgGUA6NLw09EwE0CqkOc4q9oUmW1yo/edit?usp=sharing"",""เชียงใหม่!I388"")"),0)</f>
        <v>0</v>
      </c>
      <c r="J493" s="198">
        <f ca="1">IFERROR(__xludf.DUMMYFUNCTION("IMPORTRANGE(""https://docs.google.com/spreadsheets/d/11923uPwbBZFjjGgGUA6NLw09EwE0CqkOc4q9oUmW1yo/edit?usp=sharing"",""เชียงใหม่!J388"")"),0)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IFERROR(__xludf.DUMMYFUNCTION("IMPORTRANGE(""https://docs.google.com/spreadsheets/d/11923uPwbBZFjjGgGUA6NLw09EwE0CqkOc4q9oUmW1yo/edit?usp=sharing"",""เชียงใหม่!I389"")"),0)</f>
        <v>0</v>
      </c>
      <c r="J494" s="444">
        <f ca="1">IFERROR(__xludf.DUMMYFUNCTION("IMPORTRANGE(""https://docs.google.com/spreadsheets/d/11923uPwbBZFjjGgGUA6NLw09EwE0CqkOc4q9oUmW1yo/edit?usp=sharing"",""เชียงใหม่!J389"")"),0)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IFERROR(__xludf.DUMMYFUNCTION("IMPORTRANGE(""https://docs.google.com/spreadsheets/d/11923uPwbBZFjjGgGUA6NLw09EwE0CqkOc4q9oUmW1yo/edit?usp=sharing"",""เชียงใหม่!I390"")"),0)</f>
        <v>0</v>
      </c>
      <c r="J495" s="444">
        <f ca="1">IFERROR(__xludf.DUMMYFUNCTION("IMPORTRANGE(""https://docs.google.com/spreadsheets/d/11923uPwbBZFjjGgGUA6NLw09EwE0CqkOc4q9oUmW1yo/edit?usp=sharing"",""เชียงใหม่!J390"")"),0)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IFERROR(__xludf.DUMMYFUNCTION("IMPORTRANGE(""https://docs.google.com/spreadsheets/d/11923uPwbBZFjjGgGUA6NLw09EwE0CqkOc4q9oUmW1yo/edit?usp=sharing"",""เชียงใหม่!I391"")"),0)</f>
        <v>0</v>
      </c>
      <c r="J496" s="444">
        <f ca="1">IFERROR(__xludf.DUMMYFUNCTION("IMPORTRANGE(""https://docs.google.com/spreadsheets/d/11923uPwbBZFjjGgGUA6NLw09EwE0CqkOc4q9oUmW1yo/edit?usp=sharing"",""เชียงใหม่!J391"")"),0)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IFERROR(__xludf.DUMMYFUNCTION("IMPORTRANGE(""https://docs.google.com/spreadsheets/d/11923uPwbBZFjjGgGUA6NLw09EwE0CqkOc4q9oUmW1yo/edit?usp=sharing"",""เชียงใหม่!I392"")"),5581)</f>
        <v>5581</v>
      </c>
      <c r="J497" s="451">
        <f ca="1">IFERROR(__xludf.DUMMYFUNCTION("IMPORTRANGE(""https://docs.google.com/spreadsheets/d/11923uPwbBZFjjGgGUA6NLw09EwE0CqkOc4q9oUmW1yo/edit?usp=sharing"",""เชียงใหม่!J392"")"),1642.1)</f>
        <v>1642.1</v>
      </c>
      <c r="K497" s="452">
        <f t="shared" ca="1" si="117"/>
        <v>29.423042465507972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IFERROR(__xludf.DUMMYFUNCTION("IMPORTRANGE(""https://docs.google.com/spreadsheets/d/11923uPwbBZFjjGgGUA6NLw09EwE0CqkOc4q9oUmW1yo/edit?usp=sharing"",""เชียงใหม่!I393"")"),5581)</f>
        <v>5581</v>
      </c>
      <c r="J498" s="428">
        <f ca="1">IFERROR(__xludf.DUMMYFUNCTION("IMPORTRANGE(""https://docs.google.com/spreadsheets/d/11923uPwbBZFjjGgGUA6NLw09EwE0CqkOc4q9oUmW1yo/edit?usp=sharing"",""เชียงใหม่!J393"")"),1642.1)</f>
        <v>1642.1</v>
      </c>
      <c r="K498" s="171">
        <f t="shared" ca="1" si="117"/>
        <v>29.423042465507972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IFERROR(__xludf.DUMMYFUNCTION("IMPORTRANGE(""https://docs.google.com/spreadsheets/d/11923uPwbBZFjjGgGUA6NLw09EwE0CqkOc4q9oUmW1yo/edit?usp=sharing"",""เชียงใหม่!I394"")"),697)</f>
        <v>697</v>
      </c>
      <c r="J499" s="428">
        <f ca="1">IFERROR(__xludf.DUMMYFUNCTION("IMPORTRANGE(""https://docs.google.com/spreadsheets/d/11923uPwbBZFjjGgGUA6NLw09EwE0CqkOc4q9oUmW1yo/edit?usp=sharing"",""เชียงใหม่!J394"")"),196)</f>
        <v>196</v>
      </c>
      <c r="K499" s="211">
        <f t="shared" ca="1" si="117"/>
        <v>28.12051649928264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IFERROR(__xludf.DUMMYFUNCTION("IMPORTRANGE(""https://docs.google.com/spreadsheets/d/11923uPwbBZFjjGgGUA6NLw09EwE0CqkOc4q9oUmW1yo/edit?usp=sharing"",""เชียงใหม่!I395"")"),0)</f>
        <v>0</v>
      </c>
      <c r="J500" s="170">
        <f ca="1">IFERROR(__xludf.DUMMYFUNCTION("IMPORTRANGE(""https://docs.google.com/spreadsheets/d/11923uPwbBZFjjGgGUA6NLw09EwE0CqkOc4q9oUmW1yo/edit?usp=sharing"",""เชียงใหม่!J395"")"),1381)</f>
        <v>1381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IFERROR(__xludf.DUMMYFUNCTION("IMPORTRANGE(""https://docs.google.com/spreadsheets/d/11923uPwbBZFjjGgGUA6NLw09EwE0CqkOc4q9oUmW1yo/edit?usp=sharing"",""เชียงใหม่!I396"")"),0)</f>
        <v>0</v>
      </c>
      <c r="J501" s="170">
        <f ca="1">IFERROR(__xludf.DUMMYFUNCTION("IMPORTRANGE(""https://docs.google.com/spreadsheets/d/11923uPwbBZFjjGgGUA6NLw09EwE0CqkOc4q9oUmW1yo/edit?usp=sharing"",""เชียงใหม่!J396"")"),168)</f>
        <v>168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IFERROR(__xludf.DUMMYFUNCTION("IMPORTRANGE(""https://docs.google.com/spreadsheets/d/11923uPwbBZFjjGgGUA6NLw09EwE0CqkOc4q9oUmW1yo/edit?usp=sharing"",""เชียงใหม่!I397"")"),0)</f>
        <v>0</v>
      </c>
      <c r="J502" s="198">
        <f ca="1">IFERROR(__xludf.DUMMYFUNCTION("IMPORTRANGE(""https://docs.google.com/spreadsheets/d/11923uPwbBZFjjGgGUA6NLw09EwE0CqkOc4q9oUmW1yo/edit?usp=sharing"",""เชียงใหม่!J397"")"),482)</f>
        <v>482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IFERROR(__xludf.DUMMYFUNCTION("IMPORTRANGE(""https://docs.google.com/spreadsheets/d/11923uPwbBZFjjGgGUA6NLw09EwE0CqkOc4q9oUmW1yo/edit?usp=sharing"",""เชียงใหม่!I398"")"),0)</f>
        <v>0</v>
      </c>
      <c r="J503" s="207">
        <f ca="1">IFERROR(__xludf.DUMMYFUNCTION("IMPORTRANGE(""https://docs.google.com/spreadsheets/d/11923uPwbBZFjjGgGUA6NLw09EwE0CqkOc4q9oUmW1yo/edit?usp=sharing"",""เชียงใหม่!J398"")"),40)</f>
        <v>40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IFERROR(__xludf.DUMMYFUNCTION("IMPORTRANGE(""https://docs.google.com/spreadsheets/d/11923uPwbBZFjjGgGUA6NLw09EwE0CqkOc4q9oUmW1yo/edit?usp=sharing"",""เชียงใหม่!I399"")"),0)</f>
        <v>0</v>
      </c>
      <c r="J504" s="198">
        <f ca="1">IFERROR(__xludf.DUMMYFUNCTION("IMPORTRANGE(""https://docs.google.com/spreadsheets/d/11923uPwbBZFjjGgGUA6NLw09EwE0CqkOc4q9oUmW1yo/edit?usp=sharing"",""เชียงใหม่!J399"")"),899)</f>
        <v>899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IFERROR(__xludf.DUMMYFUNCTION("IMPORTRANGE(""https://docs.google.com/spreadsheets/d/11923uPwbBZFjjGgGUA6NLw09EwE0CqkOc4q9oUmW1yo/edit?usp=sharing"",""เชียงใหม่!I400"")"),0)</f>
        <v>0</v>
      </c>
      <c r="J505" s="207">
        <f ca="1">IFERROR(__xludf.DUMMYFUNCTION("IMPORTRANGE(""https://docs.google.com/spreadsheets/d/11923uPwbBZFjjGgGUA6NLw09EwE0CqkOc4q9oUmW1yo/edit?usp=sharing"",""เชียงใหม่!J400"")"),128)</f>
        <v>128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IFERROR(__xludf.DUMMYFUNCTION("IMPORTRANGE(""https://docs.google.com/spreadsheets/d/11923uPwbBZFjjGgGUA6NLw09EwE0CqkOc4q9oUmW1yo/edit?usp=sharing"",""เชียงใหม่!I401"")"),0)</f>
        <v>0</v>
      </c>
      <c r="J506" s="198">
        <f ca="1">IFERROR(__xludf.DUMMYFUNCTION("IMPORTRANGE(""https://docs.google.com/spreadsheets/d/11923uPwbBZFjjGgGUA6NLw09EwE0CqkOc4q9oUmW1yo/edit?usp=sharing"",""เชียงใหม่!J401"")"),0)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IFERROR(__xludf.DUMMYFUNCTION("IMPORTRANGE(""https://docs.google.com/spreadsheets/d/11923uPwbBZFjjGgGUA6NLw09EwE0CqkOc4q9oUmW1yo/edit?usp=sharing"",""เชียงใหม่!I402"")"),0)</f>
        <v>0</v>
      </c>
      <c r="J507" s="207">
        <f ca="1">IFERROR(__xludf.DUMMYFUNCTION("IMPORTRANGE(""https://docs.google.com/spreadsheets/d/11923uPwbBZFjjGgGUA6NLw09EwE0CqkOc4q9oUmW1yo/edit?usp=sharing"",""เชียงใหม่!J402"")"),0)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IFERROR(__xludf.DUMMYFUNCTION("IMPORTRANGE(""https://docs.google.com/spreadsheets/d/11923uPwbBZFjjGgGUA6NLw09EwE0CqkOc4q9oUmW1yo/edit?usp=sharing"",""เชียงใหม่!I403"")"),0)</f>
        <v>0</v>
      </c>
      <c r="J508" s="170">
        <f ca="1">IFERROR(__xludf.DUMMYFUNCTION("IMPORTRANGE(""https://docs.google.com/spreadsheets/d/11923uPwbBZFjjGgGUA6NLw09EwE0CqkOc4q9oUmW1yo/edit?usp=sharing"",""เชียงใหม่!J403"")"),13.1)</f>
        <v>13.1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IFERROR(__xludf.DUMMYFUNCTION("IMPORTRANGE(""https://docs.google.com/spreadsheets/d/11923uPwbBZFjjGgGUA6NLw09EwE0CqkOc4q9oUmW1yo/edit?usp=sharing"",""เชียงใหม่!I404"")"),0)</f>
        <v>0</v>
      </c>
      <c r="J509" s="170">
        <f ca="1">IFERROR(__xludf.DUMMYFUNCTION("IMPORTRANGE(""https://docs.google.com/spreadsheets/d/11923uPwbBZFjjGgGUA6NLw09EwE0CqkOc4q9oUmW1yo/edit?usp=sharing"",""เชียงใหม่!J404"")"),6)</f>
        <v>6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IFERROR(__xludf.DUMMYFUNCTION("IMPORTRANGE(""https://docs.google.com/spreadsheets/d/11923uPwbBZFjjGgGUA6NLw09EwE0CqkOc4q9oUmW1yo/edit?usp=sharing"",""เชียงใหม่!I405"")"),0)</f>
        <v>0</v>
      </c>
      <c r="J510" s="207">
        <f ca="1">IFERROR(__xludf.DUMMYFUNCTION("IMPORTRANGE(""https://docs.google.com/spreadsheets/d/11923uPwbBZFjjGgGUA6NLw09EwE0CqkOc4q9oUmW1yo/edit?usp=sharing"",""เชียงใหม่!J405"")"),0.1)</f>
        <v>0.1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IFERROR(__xludf.DUMMYFUNCTION("IMPORTRANGE(""https://docs.google.com/spreadsheets/d/11923uPwbBZFjjGgGUA6NLw09EwE0CqkOc4q9oUmW1yo/edit?usp=sharing"",""เชียงใหม่!I406"")"),0)</f>
        <v>0</v>
      </c>
      <c r="J511" s="207">
        <f ca="1">IFERROR(__xludf.DUMMYFUNCTION("IMPORTRANGE(""https://docs.google.com/spreadsheets/d/11923uPwbBZFjjGgGUA6NLw09EwE0CqkOc4q9oUmW1yo/edit?usp=sharing"",""เชียงใหม่!J406"")"),1)</f>
        <v>1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IFERROR(__xludf.DUMMYFUNCTION("IMPORTRANGE(""https://docs.google.com/spreadsheets/d/11923uPwbBZFjjGgGUA6NLw09EwE0CqkOc4q9oUmW1yo/edit?usp=sharing"",""เชียงใหม่!I407"")"),0)</f>
        <v>0</v>
      </c>
      <c r="J512" s="207">
        <f ca="1">IFERROR(__xludf.DUMMYFUNCTION("IMPORTRANGE(""https://docs.google.com/spreadsheets/d/11923uPwbBZFjjGgGUA6NLw09EwE0CqkOc4q9oUmW1yo/edit?usp=sharing"",""เชียงใหม่!J407"")"),13)</f>
        <v>13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IFERROR(__xludf.DUMMYFUNCTION("IMPORTRANGE(""https://docs.google.com/spreadsheets/d/11923uPwbBZFjjGgGUA6NLw09EwE0CqkOc4q9oUmW1yo/edit?usp=sharing"",""เชียงใหม่!I408"")"),0)</f>
        <v>0</v>
      </c>
      <c r="J513" s="207">
        <f ca="1">IFERROR(__xludf.DUMMYFUNCTION("IMPORTRANGE(""https://docs.google.com/spreadsheets/d/11923uPwbBZFjjGgGUA6NLw09EwE0CqkOc4q9oUmW1yo/edit?usp=sharing"",""เชียงใหม่!J408"")"),5)</f>
        <v>5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IFERROR(__xludf.DUMMYFUNCTION("IMPORTRANGE(""https://docs.google.com/spreadsheets/d/11923uPwbBZFjjGgGUA6NLw09EwE0CqkOc4q9oUmW1yo/edit?usp=sharing"",""เชียงใหม่!I409"")"),0)</f>
        <v>0</v>
      </c>
      <c r="J514" s="207">
        <f ca="1">IFERROR(__xludf.DUMMYFUNCTION("IMPORTRANGE(""https://docs.google.com/spreadsheets/d/11923uPwbBZFjjGgGUA6NLw09EwE0CqkOc4q9oUmW1yo/edit?usp=sharing"",""เชียงใหม่!J409"")"),248)</f>
        <v>248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IFERROR(__xludf.DUMMYFUNCTION("IMPORTRANGE(""https://docs.google.com/spreadsheets/d/11923uPwbBZFjjGgGUA6NLw09EwE0CqkOc4q9oUmW1yo/edit?usp=sharing"",""เชียงใหม่!I410"")"),0)</f>
        <v>0</v>
      </c>
      <c r="J515" s="207">
        <f ca="1">IFERROR(__xludf.DUMMYFUNCTION("IMPORTRANGE(""https://docs.google.com/spreadsheets/d/11923uPwbBZFjjGgGUA6NLw09EwE0CqkOc4q9oUmW1yo/edit?usp=sharing"",""เชียงใหม่!J410"")"),22)</f>
        <v>22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IFERROR(__xludf.DUMMYFUNCTION("IMPORTRANGE(""https://docs.google.com/spreadsheets/d/11923uPwbBZFjjGgGUA6NLw09EwE0CqkOc4q9oUmW1yo/edit?usp=sharing"",""เชียงใหม่!I411"")"),0)</f>
        <v>0</v>
      </c>
      <c r="J516" s="276">
        <f ca="1">IFERROR(__xludf.DUMMYFUNCTION("IMPORTRANGE(""https://docs.google.com/spreadsheets/d/11923uPwbBZFjjGgGUA6NLw09EwE0CqkOc4q9oUmW1yo/edit?usp=sharing"",""เชียงใหม่!J411"")"),0)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IFERROR(__xludf.DUMMYFUNCTION("IMPORTRANGE(""https://docs.google.com/spreadsheets/d/11923uPwbBZFjjGgGUA6NLw09EwE0CqkOc4q9oUmW1yo/edit?usp=sharing"",""เชียงใหม่!I412"")"),0)</f>
        <v>0</v>
      </c>
      <c r="J517" s="292">
        <f ca="1">IFERROR(__xludf.DUMMYFUNCTION("IMPORTRANGE(""https://docs.google.com/spreadsheets/d/11923uPwbBZFjjGgGUA6NLw09EwE0CqkOc4q9oUmW1yo/edit?usp=sharing"",""เชียงใหม่!J412"")"),0)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IFERROR(__xludf.DUMMYFUNCTION("IMPORTRANGE(""https://docs.google.com/spreadsheets/d/11923uPwbBZFjjGgGUA6NLw09EwE0CqkOc4q9oUmW1yo/edit?usp=sharing"",""เชียงใหม่!I413"")"),0)</f>
        <v>0</v>
      </c>
      <c r="J518" s="292">
        <f ca="1">IFERROR(__xludf.DUMMYFUNCTION("IMPORTRANGE(""https://docs.google.com/spreadsheets/d/11923uPwbBZFjjGgGUA6NLw09EwE0CqkOc4q9oUmW1yo/edit?usp=sharing"",""เชียงใหม่!J413"")"),0)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IFERROR(__xludf.DUMMYFUNCTION("IMPORTRANGE(""https://docs.google.com/spreadsheets/d/11923uPwbBZFjjGgGUA6NLw09EwE0CqkOc4q9oUmW1yo/edit?usp=sharing"",""เชียงใหม่!I414"")"),0)</f>
        <v>0</v>
      </c>
      <c r="J519" s="197">
        <f ca="1">IFERROR(__xludf.DUMMYFUNCTION("IMPORTRANGE(""https://docs.google.com/spreadsheets/d/11923uPwbBZFjjGgGUA6NLw09EwE0CqkOc4q9oUmW1yo/edit?usp=sharing"",""เชียงใหม่!J414"")"),0)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IFERROR(__xludf.DUMMYFUNCTION("IMPORTRANGE(""https://docs.google.com/spreadsheets/d/11923uPwbBZFjjGgGUA6NLw09EwE0CqkOc4q9oUmW1yo/edit?usp=sharing"",""เชียงใหม่!I415"")"),0)</f>
        <v>0</v>
      </c>
      <c r="J520" s="197">
        <f ca="1">IFERROR(__xludf.DUMMYFUNCTION("IMPORTRANGE(""https://docs.google.com/spreadsheets/d/11923uPwbBZFjjGgGUA6NLw09EwE0CqkOc4q9oUmW1yo/edit?usp=sharing"",""เชียงใหม่!J415"")"),0)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IFERROR(__xludf.DUMMYFUNCTION("IMPORTRANGE(""https://docs.google.com/spreadsheets/d/11923uPwbBZFjjGgGUA6NLw09EwE0CqkOc4q9oUmW1yo/edit?usp=sharing"",""เชียงใหม่!I416"")"),0)</f>
        <v>0</v>
      </c>
      <c r="J521" s="197">
        <f ca="1">IFERROR(__xludf.DUMMYFUNCTION("IMPORTRANGE(""https://docs.google.com/spreadsheets/d/11923uPwbBZFjjGgGUA6NLw09EwE0CqkOc4q9oUmW1yo/edit?usp=sharing"",""เชียงใหม่!J416"")"),0)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IFERROR(__xludf.DUMMYFUNCTION("IMPORTRANGE(""https://docs.google.com/spreadsheets/d/11923uPwbBZFjjGgGUA6NLw09EwE0CqkOc4q9oUmW1yo/edit?usp=sharing"",""เชียงใหม่!I417"")"),0)</f>
        <v>0</v>
      </c>
      <c r="J522" s="197">
        <f ca="1">IFERROR(__xludf.DUMMYFUNCTION("IMPORTRANGE(""https://docs.google.com/spreadsheets/d/11923uPwbBZFjjGgGUA6NLw09EwE0CqkOc4q9oUmW1yo/edit?usp=sharing"",""เชียงใหม่!J417"")"),0)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IFERROR(__xludf.DUMMYFUNCTION("IMPORTRANGE(""https://docs.google.com/spreadsheets/d/11923uPwbBZFjjGgGUA6NLw09EwE0CqkOc4q9oUmW1yo/edit?usp=sharing"",""เชียงใหม่!I418"")"),0)</f>
        <v>0</v>
      </c>
      <c r="J523" s="197">
        <f ca="1">IFERROR(__xludf.DUMMYFUNCTION("IMPORTRANGE(""https://docs.google.com/spreadsheets/d/11923uPwbBZFjjGgGUA6NLw09EwE0CqkOc4q9oUmW1yo/edit?usp=sharing"",""เชียงใหม่!J418"")"),0)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IFERROR(__xludf.DUMMYFUNCTION("IMPORTRANGE(""https://docs.google.com/spreadsheets/d/11923uPwbBZFjjGgGUA6NLw09EwE0CqkOc4q9oUmW1yo/edit?usp=sharing"",""เชียงใหม่!I419"")"),0)</f>
        <v>0</v>
      </c>
      <c r="J524" s="197">
        <f ca="1">IFERROR(__xludf.DUMMYFUNCTION("IMPORTRANGE(""https://docs.google.com/spreadsheets/d/11923uPwbBZFjjGgGUA6NLw09EwE0CqkOc4q9oUmW1yo/edit?usp=sharing"",""เชียงใหม่!J419"")"),0)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IFERROR(__xludf.DUMMYFUNCTION("IMPORTRANGE(""https://docs.google.com/spreadsheets/d/11923uPwbBZFjjGgGUA6NLw09EwE0CqkOc4q9oUmW1yo/edit?usp=sharing"",""เชียงใหม่!I420"")"),0)</f>
        <v>0</v>
      </c>
      <c r="J525" s="292">
        <f ca="1">IFERROR(__xludf.DUMMYFUNCTION("IMPORTRANGE(""https://docs.google.com/spreadsheets/d/11923uPwbBZFjjGgGUA6NLw09EwE0CqkOc4q9oUmW1yo/edit?usp=sharing"",""เชียงใหม่!J420"")"),0)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IFERROR(__xludf.DUMMYFUNCTION("IMPORTRANGE(""https://docs.google.com/spreadsheets/d/11923uPwbBZFjjGgGUA6NLw09EwE0CqkOc4q9oUmW1yo/edit?usp=sharing"",""เชียงใหม่!I421"")"),0)</f>
        <v>0</v>
      </c>
      <c r="J526" s="292">
        <f ca="1">IFERROR(__xludf.DUMMYFUNCTION("IMPORTRANGE(""https://docs.google.com/spreadsheets/d/11923uPwbBZFjjGgGUA6NLw09EwE0CqkOc4q9oUmW1yo/edit?usp=sharing"",""เชียงใหม่!J421"")"),0)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IFERROR(__xludf.DUMMYFUNCTION("IMPORTRANGE(""https://docs.google.com/spreadsheets/d/11923uPwbBZFjjGgGUA6NLw09EwE0CqkOc4q9oUmW1yo/edit?usp=sharing"",""เชียงใหม่!I422"")"),0)</f>
        <v>0</v>
      </c>
      <c r="J527" s="207">
        <f ca="1">IFERROR(__xludf.DUMMYFUNCTION("IMPORTRANGE(""https://docs.google.com/spreadsheets/d/11923uPwbBZFjjGgGUA6NLw09EwE0CqkOc4q9oUmW1yo/edit?usp=sharing"",""เชียงใหม่!J422"")"),0)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IFERROR(__xludf.DUMMYFUNCTION("IMPORTRANGE(""https://docs.google.com/spreadsheets/d/11923uPwbBZFjjGgGUA6NLw09EwE0CqkOc4q9oUmW1yo/edit?usp=sharing"",""เชียงใหม่!I423"")"),0)</f>
        <v>0</v>
      </c>
      <c r="J528" s="207">
        <f ca="1">IFERROR(__xludf.DUMMYFUNCTION("IMPORTRANGE(""https://docs.google.com/spreadsheets/d/11923uPwbBZFjjGgGUA6NLw09EwE0CqkOc4q9oUmW1yo/edit?usp=sharing"",""เชียงใหม่!J423"")"),0)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IFERROR(__xludf.DUMMYFUNCTION("IMPORTRANGE(""https://docs.google.com/spreadsheets/d/11923uPwbBZFjjGgGUA6NLw09EwE0CqkOc4q9oUmW1yo/edit?usp=sharing"",""เชียงใหม่!I424"")"),0)</f>
        <v>0</v>
      </c>
      <c r="J529" s="207">
        <f ca="1">IFERROR(__xludf.DUMMYFUNCTION("IMPORTRANGE(""https://docs.google.com/spreadsheets/d/11923uPwbBZFjjGgGUA6NLw09EwE0CqkOc4q9oUmW1yo/edit?usp=sharing"",""เชียงใหม่!J424"")"),0)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IFERROR(__xludf.DUMMYFUNCTION("IMPORTRANGE(""https://docs.google.com/spreadsheets/d/11923uPwbBZFjjGgGUA6NLw09EwE0CqkOc4q9oUmW1yo/edit?usp=sharing"",""เชียงใหม่!I425"")"),0)</f>
        <v>0</v>
      </c>
      <c r="J530" s="207">
        <f ca="1">IFERROR(__xludf.DUMMYFUNCTION("IMPORTRANGE(""https://docs.google.com/spreadsheets/d/11923uPwbBZFjjGgGUA6NLw09EwE0CqkOc4q9oUmW1yo/edit?usp=sharing"",""เชียงใหม่!J425"")"),0)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IFERROR(__xludf.DUMMYFUNCTION("IMPORTRANGE(""https://docs.google.com/spreadsheets/d/11923uPwbBZFjjGgGUA6NLw09EwE0CqkOc4q9oUmW1yo/edit?usp=sharing"",""เชียงใหม่!I426"")"),0)</f>
        <v>0</v>
      </c>
      <c r="J531" s="207">
        <f ca="1">IFERROR(__xludf.DUMMYFUNCTION("IMPORTRANGE(""https://docs.google.com/spreadsheets/d/11923uPwbBZFjjGgGUA6NLw09EwE0CqkOc4q9oUmW1yo/edit?usp=sharing"",""เชียงใหม่!J426"")"),0)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IFERROR(__xludf.DUMMYFUNCTION("IMPORTRANGE(""https://docs.google.com/spreadsheets/d/11923uPwbBZFjjGgGUA6NLw09EwE0CqkOc4q9oUmW1yo/edit?usp=sharing"",""เชียงใหม่!I427"")"),0)</f>
        <v>0</v>
      </c>
      <c r="J532" s="474">
        <f ca="1">IFERROR(__xludf.DUMMYFUNCTION("IMPORTRANGE(""https://docs.google.com/spreadsheets/d/11923uPwbBZFjjGgGUA6NLw09EwE0CqkOc4q9oUmW1yo/edit?usp=sharing"",""เชียงใหม่!J427"")"),0)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IFERROR(__xludf.DUMMYFUNCTION("IMPORTRANGE(""https://docs.google.com/spreadsheets/d/11923uPwbBZFjjGgGUA6NLw09EwE0CqkOc4q9oUmW1yo/edit?usp=sharing"",""เชียงใหม่!I428"")"),26)</f>
        <v>26</v>
      </c>
      <c r="J533" s="418">
        <f ca="1">IFERROR(__xludf.DUMMYFUNCTION("IMPORTRANGE(""https://docs.google.com/spreadsheets/d/11923uPwbBZFjjGgGUA6NLw09EwE0CqkOc4q9oUmW1yo/edit?usp=sharing"",""เชียงใหม่!J428"")"),26)</f>
        <v>26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IFERROR(__xludf.DUMMYFUNCTION("IMPORTRANGE(""https://docs.google.com/spreadsheets/d/11923uPwbBZFjjGgGUA6NLw09EwE0CqkOc4q9oUmW1yo/edit?usp=sharing"",""เชียงใหม่!L428"")"),37740)</f>
        <v>37740</v>
      </c>
      <c r="M533" s="420"/>
      <c r="N533" s="420">
        <f ca="1">IFERROR(__xludf.DUMMYFUNCTION("IMPORTRANGE(""https://docs.google.com/spreadsheets/d/11923uPwbBZFjjGgGUA6NLw09EwE0CqkOc4q9oUmW1yo/edit?usp=sharing"",""เชียงใหม่!M428"")"),26444)</f>
        <v>26444</v>
      </c>
      <c r="O533" s="420">
        <f t="shared" ref="O533:O537" ca="1" si="118">+IF(L533&gt;0,N533*100/L533,0)</f>
        <v>70.068892421833596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IFERROR(__xludf.DUMMYFUNCTION("IMPORTRANGE(""https://docs.google.com/spreadsheets/d/11923uPwbBZFjjGgGUA6NLw09EwE0CqkOc4q9oUmW1yo/edit?usp=sharing"",""เชียงใหม่!L429"")"),0)</f>
        <v>0</v>
      </c>
      <c r="M534" s="172"/>
      <c r="N534" s="178">
        <f ca="1">IFERROR(__xludf.DUMMYFUNCTION("IMPORTRANGE(""https://docs.google.com/spreadsheets/d/11923uPwbBZFjjGgGUA6NLw09EwE0CqkOc4q9oUmW1yo/edit?usp=sharing"",""เชียงใหม่!M429"")"),0)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IFERROR(__xludf.DUMMYFUNCTION("IMPORTRANGE(""https://docs.google.com/spreadsheets/d/11923uPwbBZFjjGgGUA6NLw09EwE0CqkOc4q9oUmW1yo/edit?usp=sharing"",""เชียงใหม่!L430"")"),37740)</f>
        <v>37740</v>
      </c>
      <c r="M535" s="173"/>
      <c r="N535" s="178">
        <f ca="1">IFERROR(__xludf.DUMMYFUNCTION("IMPORTRANGE(""https://docs.google.com/spreadsheets/d/11923uPwbBZFjjGgGUA6NLw09EwE0CqkOc4q9oUmW1yo/edit?usp=sharing"",""เชียงใหม่!M430"")"),26444)</f>
        <v>26444</v>
      </c>
      <c r="O535" s="178">
        <f t="shared" ca="1" si="118"/>
        <v>70.068892421833596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IFERROR(__xludf.DUMMYFUNCTION("IMPORTRANGE(""https://docs.google.com/spreadsheets/d/11923uPwbBZFjjGgGUA6NLw09EwE0CqkOc4q9oUmW1yo/edit?usp=sharing"",""เชียงใหม่!L431"")"),0)</f>
        <v>0</v>
      </c>
      <c r="M536" s="178"/>
      <c r="N536" s="178">
        <f ca="1">IFERROR(__xludf.DUMMYFUNCTION("IMPORTRANGE(""https://docs.google.com/spreadsheets/d/11923uPwbBZFjjGgGUA6NLw09EwE0CqkOc4q9oUmW1yo/edit?usp=sharing"",""เชียงใหม่!M431"")"),0)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IFERROR(__xludf.DUMMYFUNCTION("IMPORTRANGE(""https://docs.google.com/spreadsheets/d/11923uPwbBZFjjGgGUA6NLw09EwE0CqkOc4q9oUmW1yo/edit?usp=sharing"",""เชียงใหม่!L432"")"),37740)</f>
        <v>37740</v>
      </c>
      <c r="M537" s="178"/>
      <c r="N537" s="178">
        <f ca="1">IFERROR(__xludf.DUMMYFUNCTION("IMPORTRANGE(""https://docs.google.com/spreadsheets/d/11923uPwbBZFjjGgGUA6NLw09EwE0CqkOc4q9oUmW1yo/edit?usp=sharing"",""เชียงใหม่!M432"")"),26444)</f>
        <v>26444</v>
      </c>
      <c r="O537" s="178">
        <f t="shared" ca="1" si="118"/>
        <v>70.068892421833596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IFERROR(__xludf.DUMMYFUNCTION("IMPORTRANGE(""https://docs.google.com/spreadsheets/d/11923uPwbBZFjjGgGUA6NLw09EwE0CqkOc4q9oUmW1yo/edit?usp=sharing"",""เชียงใหม่!M433"")"),20904)</f>
        <v>20904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IFERROR(__xludf.DUMMYFUNCTION("IMPORTRANGE(""https://docs.google.com/spreadsheets/d/11923uPwbBZFjjGgGUA6NLw09EwE0CqkOc4q9oUmW1yo/edit?usp=sharing"",""เชียงใหม่!M434"")"),0)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IFERROR(__xludf.DUMMYFUNCTION("IMPORTRANGE(""https://docs.google.com/spreadsheets/d/11923uPwbBZFjjGgGUA6NLw09EwE0CqkOc4q9oUmW1yo/edit?usp=sharing"",""เชียงใหม่!M435"")"),0)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IFERROR(__xludf.DUMMYFUNCTION("IMPORTRANGE(""https://docs.google.com/spreadsheets/d/11923uPwbBZFjjGgGUA6NLw09EwE0CqkOc4q9oUmW1yo/edit?usp=sharing"",""เชียงใหม่!M436"")"),5540)</f>
        <v>5540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IFERROR(__xludf.DUMMYFUNCTION("IMPORTRANGE(""https://docs.google.com/spreadsheets/d/11923uPwbBZFjjGgGUA6NLw09EwE0CqkOc4q9oUmW1yo/edit?usp=sharing"",""เชียงใหม่!J438"")"),0)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IFERROR(__xludf.DUMMYFUNCTION("IMPORTRANGE(""https://docs.google.com/spreadsheets/d/11923uPwbBZFjjGgGUA6NLw09EwE0CqkOc4q9oUmW1yo/edit?usp=sharing"",""เชียงใหม่!J439"")"),1)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IFERROR(__xludf.DUMMYFUNCTION("IMPORTRANGE(""https://docs.google.com/spreadsheets/d/11923uPwbBZFjjGgGUA6NLw09EwE0CqkOc4q9oUmW1yo/edit?usp=sharing"",""เชียงใหม่!J440"")"),1)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IFERROR(__xludf.DUMMYFUNCTION("IMPORTRANGE(""https://docs.google.com/spreadsheets/d/11923uPwbBZFjjGgGUA6NLw09EwE0CqkOc4q9oUmW1yo/edit?usp=sharing"",""เชียงใหม่!J441"")"),1)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IFERROR(__xludf.DUMMYFUNCTION("IMPORTRANGE(""https://docs.google.com/spreadsheets/d/11923uPwbBZFjjGgGUA6NLw09EwE0CqkOc4q9oUmW1yo/edit?usp=sharing"",""เชียงใหม่!I442"")"),26)</f>
        <v>26</v>
      </c>
      <c r="J547" s="198">
        <f ca="1">IFERROR(__xludf.DUMMYFUNCTION("IMPORTRANGE(""https://docs.google.com/spreadsheets/d/11923uPwbBZFjjGgGUA6NLw09EwE0CqkOc4q9oUmW1yo/edit?usp=sharing"",""เชียงใหม่!J442"")"),26)</f>
        <v>26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IFERROR(__xludf.DUMMYFUNCTION("IMPORTRANGE(""https://docs.google.com/spreadsheets/d/11923uPwbBZFjjGgGUA6NLw09EwE0CqkOc4q9oUmW1yo/edit?usp=sharing"",""เชียงใหม่!J166"")"),0)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IFERROR(__xludf.DUMMYFUNCTION("IMPORTRANGE(""https://docs.google.com/spreadsheets/d/11923uPwbBZFjjGgGUA6NLw09EwE0CqkOc4q9oUmW1yo/edit?usp=sharing"",""เชียงใหม่!J444"")"),0)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IFERROR(__xludf.DUMMYFUNCTION("IMPORTRANGE(""https://docs.google.com/spreadsheets/d/11923uPwbBZFjjGgGUA6NLw09EwE0CqkOc4q9oUmW1yo/edit?usp=sharing"",""เชียงใหม่!J445"")"),0)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IFERROR(__xludf.DUMMYFUNCTION("IMPORTRANGE(""https://docs.google.com/spreadsheets/d/11923uPwbBZFjjGgGUA6NLw09EwE0CqkOc4q9oUmW1yo/edit?usp=sharing"",""เชียงใหม่!I446"")"),3000)</f>
        <v>3000</v>
      </c>
      <c r="J551" s="418">
        <f ca="1">IFERROR(__xludf.DUMMYFUNCTION("IMPORTRANGE(""https://docs.google.com/spreadsheets/d/11923uPwbBZFjjGgGUA6NLw09EwE0CqkOc4q9oUmW1yo/edit?usp=sharing"",""เชียงใหม่!J446"")"),181)</f>
        <v>181</v>
      </c>
      <c r="K551" s="419">
        <f ca="1">IF(I551&gt;0,J551*100/I551,0)</f>
        <v>6.0333333333333332</v>
      </c>
      <c r="L551" s="420">
        <f ca="1">IFERROR(__xludf.DUMMYFUNCTION("IMPORTRANGE(""https://docs.google.com/spreadsheets/d/11923uPwbBZFjjGgGUA6NLw09EwE0CqkOc4q9oUmW1yo/edit?usp=sharing"",""เชียงใหม่!L446"")"),188000)</f>
        <v>188000</v>
      </c>
      <c r="M551" s="420"/>
      <c r="N551" s="420">
        <f ca="1">IFERROR(__xludf.DUMMYFUNCTION("IMPORTRANGE(""https://docs.google.com/spreadsheets/d/11923uPwbBZFjjGgGUA6NLw09EwE0CqkOc4q9oUmW1yo/edit?usp=sharing"",""เชียงใหม่!M446"")"),14203.58)</f>
        <v>14203.58</v>
      </c>
      <c r="O551" s="420">
        <f t="shared" ref="O551:O555" ca="1" si="120">+IF(L551&gt;0,N551*100/L551,0)</f>
        <v>7.5550957446808509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IFERROR(__xludf.DUMMYFUNCTION("IMPORTRANGE(""https://docs.google.com/spreadsheets/d/11923uPwbBZFjjGgGUA6NLw09EwE0CqkOc4q9oUmW1yo/edit?usp=sharing"",""เชียงใหม่!L447"")"),0)</f>
        <v>0</v>
      </c>
      <c r="M552" s="172"/>
      <c r="N552" s="178">
        <f ca="1">IFERROR(__xludf.DUMMYFUNCTION("IMPORTRANGE(""https://docs.google.com/spreadsheets/d/11923uPwbBZFjjGgGUA6NLw09EwE0CqkOc4q9oUmW1yo/edit?usp=sharing"",""เชียงใหม่!M447"")"),0)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IFERROR(__xludf.DUMMYFUNCTION("IMPORTRANGE(""https://docs.google.com/spreadsheets/d/11923uPwbBZFjjGgGUA6NLw09EwE0CqkOc4q9oUmW1yo/edit?usp=sharing"",""เชียงใหม่!L448"")"),188000)</f>
        <v>188000</v>
      </c>
      <c r="M553" s="173"/>
      <c r="N553" s="178">
        <f ca="1">IFERROR(__xludf.DUMMYFUNCTION("IMPORTRANGE(""https://docs.google.com/spreadsheets/d/11923uPwbBZFjjGgGUA6NLw09EwE0CqkOc4q9oUmW1yo/edit?usp=sharing"",""เชียงใหม่!M448"")"),14203.58)</f>
        <v>14203.58</v>
      </c>
      <c r="O553" s="178">
        <f t="shared" ca="1" si="120"/>
        <v>7.5550957446808509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IFERROR(__xludf.DUMMYFUNCTION("IMPORTRANGE(""https://docs.google.com/spreadsheets/d/11923uPwbBZFjjGgGUA6NLw09EwE0CqkOc4q9oUmW1yo/edit?usp=sharing"",""เชียงใหม่!L449"")"),0)</f>
        <v>0</v>
      </c>
      <c r="M554" s="178"/>
      <c r="N554" s="178">
        <f ca="1">IFERROR(__xludf.DUMMYFUNCTION("IMPORTRANGE(""https://docs.google.com/spreadsheets/d/11923uPwbBZFjjGgGUA6NLw09EwE0CqkOc4q9oUmW1yo/edit?usp=sharing"",""เชียงใหม่!M449"")"),0)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IFERROR(__xludf.DUMMYFUNCTION("IMPORTRANGE(""https://docs.google.com/spreadsheets/d/11923uPwbBZFjjGgGUA6NLw09EwE0CqkOc4q9oUmW1yo/edit?usp=sharing"",""เชียงใหม่!L450"")"),188000)</f>
        <v>188000</v>
      </c>
      <c r="M555" s="178"/>
      <c r="N555" s="178">
        <f ca="1">IFERROR(__xludf.DUMMYFUNCTION("IMPORTRANGE(""https://docs.google.com/spreadsheets/d/11923uPwbBZFjjGgGUA6NLw09EwE0CqkOc4q9oUmW1yo/edit?usp=sharing"",""เชียงใหม่!M450"")"),14203.58)</f>
        <v>14203.58</v>
      </c>
      <c r="O555" s="178">
        <f t="shared" ca="1" si="120"/>
        <v>7.5550957446808509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IFERROR(__xludf.DUMMYFUNCTION("IMPORTRANGE(""https://docs.google.com/spreadsheets/d/11923uPwbBZFjjGgGUA6NLw09EwE0CqkOc4q9oUmW1yo/edit?usp=sharing"",""เชียงใหม่!M451"")"),0)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IFERROR(__xludf.DUMMYFUNCTION("IMPORTRANGE(""https://docs.google.com/spreadsheets/d/11923uPwbBZFjjGgGUA6NLw09EwE0CqkOc4q9oUmW1yo/edit?usp=sharing"",""เชียงใหม่!M452"")"),0)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IFERROR(__xludf.DUMMYFUNCTION("IMPORTRANGE(""https://docs.google.com/spreadsheets/d/11923uPwbBZFjjGgGUA6NLw09EwE0CqkOc4q9oUmW1yo/edit?usp=sharing"",""เชียงใหม่!M453"")"),0)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IFERROR(__xludf.DUMMYFUNCTION("IMPORTRANGE(""https://docs.google.com/spreadsheets/d/11923uPwbBZFjjGgGUA6NLw09EwE0CqkOc4q9oUmW1yo/edit?usp=sharing"",""เชียงใหม่!M454"")"),14203.58)</f>
        <v>14203.58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IFERROR(__xludf.DUMMYFUNCTION("IMPORTRANGE(""https://docs.google.com/spreadsheets/d/11923uPwbBZFjjGgGUA6NLw09EwE0CqkOc4q9oUmW1yo/edit?usp=sharing"",""เชียงใหม่!I455"")"),3000)</f>
        <v>3000</v>
      </c>
      <c r="J560" s="170">
        <f ca="1">IFERROR(__xludf.DUMMYFUNCTION("IMPORTRANGE(""https://docs.google.com/spreadsheets/d/11923uPwbBZFjjGgGUA6NLw09EwE0CqkOc4q9oUmW1yo/edit?usp=sharing"",""เชียงใหม่!J455"")"),181)</f>
        <v>181</v>
      </c>
      <c r="K560" s="233">
        <f t="shared" ref="K560:K564" ca="1" si="121">IF(I560&gt;0,J560*100/I560,0)</f>
        <v>6.0333333333333332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IFERROR(__xludf.DUMMYFUNCTION("IMPORTRANGE(""https://docs.google.com/spreadsheets/d/11923uPwbBZFjjGgGUA6NLw09EwE0CqkOc4q9oUmW1yo/edit?usp=sharing"",""เชียงใหม่!I456"")"),0)</f>
        <v>0</v>
      </c>
      <c r="J561" s="213">
        <f ca="1">IFERROR(__xludf.DUMMYFUNCTION("IMPORTRANGE(""https://docs.google.com/spreadsheets/d/11923uPwbBZFjjGgGUA6NLw09EwE0CqkOc4q9oUmW1yo/edit?usp=sharing"",""เชียงใหม่!J456"")"),46)</f>
        <v>46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IFERROR(__xludf.DUMMYFUNCTION("IMPORTRANGE(""https://docs.google.com/spreadsheets/d/11923uPwbBZFjjGgGUA6NLw09EwE0CqkOc4q9oUmW1yo/edit?usp=sharing"",""เชียงใหม่!I457"")"),"")</f>
        <v/>
      </c>
      <c r="J562" s="213" t="str">
        <f ca="1">IFERROR(__xludf.DUMMYFUNCTION("IMPORTRANGE(""https://docs.google.com/spreadsheets/d/11923uPwbBZFjjGgGUA6NLw09EwE0CqkOc4q9oUmW1yo/edit?usp=sharing"",""เชียงใหม่!J457"")"),"")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IFERROR(__xludf.DUMMYFUNCTION("IMPORTRANGE(""https://docs.google.com/spreadsheets/d/11923uPwbBZFjjGgGUA6NLw09EwE0CqkOc4q9oUmW1yo/edit?usp=sharing"",""เชียงใหม่!I458"")"),"")</f>
        <v/>
      </c>
      <c r="J563" s="197" t="str">
        <f ca="1">IFERROR(__xludf.DUMMYFUNCTION("IMPORTRANGE(""https://docs.google.com/spreadsheets/d/11923uPwbBZFjjGgGUA6NLw09EwE0CqkOc4q9oUmW1yo/edit?usp=sharing"",""เชียงใหม่!J458"")"),"")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IFERROR(__xludf.DUMMYFUNCTION("IMPORTRANGE(""https://docs.google.com/spreadsheets/d/11923uPwbBZFjjGgGUA6NLw09EwE0CqkOc4q9oUmW1yo/edit?usp=sharing"",""เชียงใหม่!I459"")"),1000)</f>
        <v>1000</v>
      </c>
      <c r="J564" s="379">
        <f ca="1">IFERROR(__xludf.DUMMYFUNCTION("IMPORTRANGE(""https://docs.google.com/spreadsheets/d/11923uPwbBZFjjGgGUA6NLw09EwE0CqkOc4q9oUmW1yo/edit?usp=sharing"",""เชียงใหม่!J459"")"),442)</f>
        <v>442</v>
      </c>
      <c r="K564" s="380">
        <f t="shared" ca="1" si="121"/>
        <v>44.2</v>
      </c>
      <c r="L564" s="381">
        <f ca="1">IFERROR(__xludf.DUMMYFUNCTION("IMPORTRANGE(""https://docs.google.com/spreadsheets/d/11923uPwbBZFjjGgGUA6NLw09EwE0CqkOc4q9oUmW1yo/edit?usp=sharing"",""เชียงใหม่!L459"")"),130880)</f>
        <v>130880</v>
      </c>
      <c r="M564" s="381"/>
      <c r="N564" s="381">
        <f ca="1">IFERROR(__xludf.DUMMYFUNCTION("IMPORTRANGE(""https://docs.google.com/spreadsheets/d/11923uPwbBZFjjGgGUA6NLw09EwE0CqkOc4q9oUmW1yo/edit?usp=sharing"",""เชียงใหม่!M459"")"),10775.24)</f>
        <v>10775.24</v>
      </c>
      <c r="O564" s="381">
        <f t="shared" ref="O564:O568" ca="1" si="122">+IF(L564&gt;0,N564*100/L564,0)</f>
        <v>8.2329156479217609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IFERROR(__xludf.DUMMYFUNCTION("IMPORTRANGE(""https://docs.google.com/spreadsheets/d/11923uPwbBZFjjGgGUA6NLw09EwE0CqkOc4q9oUmW1yo/edit?usp=sharing"",""เชียงใหม่!L460"")"),0)</f>
        <v>0</v>
      </c>
      <c r="M565" s="172"/>
      <c r="N565" s="178">
        <f ca="1">IFERROR(__xludf.DUMMYFUNCTION("IMPORTRANGE(""https://docs.google.com/spreadsheets/d/11923uPwbBZFjjGgGUA6NLw09EwE0CqkOc4q9oUmW1yo/edit?usp=sharing"",""เชียงใหม่!M460"")"),0)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IFERROR(__xludf.DUMMYFUNCTION("IMPORTRANGE(""https://docs.google.com/spreadsheets/d/11923uPwbBZFjjGgGUA6NLw09EwE0CqkOc4q9oUmW1yo/edit?usp=sharing"",""เชียงใหม่!L461"")"),130880)</f>
        <v>130880</v>
      </c>
      <c r="M566" s="173"/>
      <c r="N566" s="178">
        <f ca="1">IFERROR(__xludf.DUMMYFUNCTION("IMPORTRANGE(""https://docs.google.com/spreadsheets/d/11923uPwbBZFjjGgGUA6NLw09EwE0CqkOc4q9oUmW1yo/edit?usp=sharing"",""เชียงใหม่!M461"")"),10775.24)</f>
        <v>10775.24</v>
      </c>
      <c r="O566" s="178">
        <f t="shared" ca="1" si="122"/>
        <v>8.2329156479217609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IFERROR(__xludf.DUMMYFUNCTION("IMPORTRANGE(""https://docs.google.com/spreadsheets/d/11923uPwbBZFjjGgGUA6NLw09EwE0CqkOc4q9oUmW1yo/edit?usp=sharing"",""เชียงใหม่!L462"")"),0)</f>
        <v>0</v>
      </c>
      <c r="M567" s="178"/>
      <c r="N567" s="178">
        <f ca="1">IFERROR(__xludf.DUMMYFUNCTION("IMPORTRANGE(""https://docs.google.com/spreadsheets/d/11923uPwbBZFjjGgGUA6NLw09EwE0CqkOc4q9oUmW1yo/edit?usp=sharing"",""เชียงใหม่!M462"")"),0)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IFERROR(__xludf.DUMMYFUNCTION("IMPORTRANGE(""https://docs.google.com/spreadsheets/d/11923uPwbBZFjjGgGUA6NLw09EwE0CqkOc4q9oUmW1yo/edit?usp=sharing"",""เชียงใหม่!L463"")"),130880)</f>
        <v>130880</v>
      </c>
      <c r="M568" s="178"/>
      <c r="N568" s="178">
        <f ca="1">IFERROR(__xludf.DUMMYFUNCTION("IMPORTRANGE(""https://docs.google.com/spreadsheets/d/11923uPwbBZFjjGgGUA6NLw09EwE0CqkOc4q9oUmW1yo/edit?usp=sharing"",""เชียงใหม่!M463"")"),10775.24)</f>
        <v>10775.24</v>
      </c>
      <c r="O568" s="178">
        <f t="shared" ca="1" si="122"/>
        <v>8.2329156479217609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IFERROR(__xludf.DUMMYFUNCTION("IMPORTRANGE(""https://docs.google.com/spreadsheets/d/11923uPwbBZFjjGgGUA6NLw09EwE0CqkOc4q9oUmW1yo/edit?usp=sharing"",""เชียงใหม่!M464"")"),0)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IFERROR(__xludf.DUMMYFUNCTION("IMPORTRANGE(""https://docs.google.com/spreadsheets/d/11923uPwbBZFjjGgGUA6NLw09EwE0CqkOc4q9oUmW1yo/edit?usp=sharing"",""เชียงใหม่!M465"")"),0)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IFERROR(__xludf.DUMMYFUNCTION("IMPORTRANGE(""https://docs.google.com/spreadsheets/d/11923uPwbBZFjjGgGUA6NLw09EwE0CqkOc4q9oUmW1yo/edit?usp=sharing"",""เชียงใหม่!M466"")"),9935.24)</f>
        <v>9935.24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IFERROR(__xludf.DUMMYFUNCTION("IMPORTRANGE(""https://docs.google.com/spreadsheets/d/11923uPwbBZFjjGgGUA6NLw09EwE0CqkOc4q9oUmW1yo/edit?usp=sharing"",""เชียงใหม่!M467"")"),840)</f>
        <v>840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IFERROR(__xludf.DUMMYFUNCTION("IMPORTRANGE(""https://docs.google.com/spreadsheets/d/11923uPwbBZFjjGgGUA6NLw09EwE0CqkOc4q9oUmW1yo/edit?usp=sharing"",""เชียงใหม่!I468"")"),1000)</f>
        <v>1000</v>
      </c>
      <c r="J573" s="428">
        <f ca="1">IFERROR(__xludf.DUMMYFUNCTION("IMPORTRANGE(""https://docs.google.com/spreadsheets/d/11923uPwbBZFjjGgGUA6NLw09EwE0CqkOc4q9oUmW1yo/edit?usp=sharing"",""เชียงใหม่!J468"")"),442)</f>
        <v>442</v>
      </c>
      <c r="K573" s="211">
        <f ca="1">IF(I573&gt;0,J573*100/I573,0)</f>
        <v>44.2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IFERROR(__xludf.DUMMYFUNCTION("IMPORTRANGE(""https://docs.google.com/spreadsheets/d/11923uPwbBZFjjGgGUA6NLw09EwE0CqkOc4q9oUmW1yo/edit?usp=sharing"",""เชียงใหม่!I470"")"),0)</f>
        <v>0</v>
      </c>
      <c r="J575" s="207">
        <f ca="1">IFERROR(__xludf.DUMMYFUNCTION("IMPORTRANGE(""https://docs.google.com/spreadsheets/d/11923uPwbBZFjjGgGUA6NLw09EwE0CqkOc4q9oUmW1yo/edit?usp=sharing"",""เชียงใหม่!J470"")"),1)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IFERROR(__xludf.DUMMYFUNCTION("IMPORTRANGE(""https://docs.google.com/spreadsheets/d/11923uPwbBZFjjGgGUA6NLw09EwE0CqkOc4q9oUmW1yo/edit?usp=sharing"",""เชียงใหม่!I471"")"),0)</f>
        <v>0</v>
      </c>
      <c r="J576" s="207">
        <f ca="1">IFERROR(__xludf.DUMMYFUNCTION("IMPORTRANGE(""https://docs.google.com/spreadsheets/d/11923uPwbBZFjjGgGUA6NLw09EwE0CqkOc4q9oUmW1yo/edit?usp=sharing"",""เชียงใหม่!J471"")"),35)</f>
        <v>35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IFERROR(__xludf.DUMMYFUNCTION("IMPORTRANGE(""https://docs.google.com/spreadsheets/d/11923uPwbBZFjjGgGUA6NLw09EwE0CqkOc4q9oUmW1yo/edit?usp=sharing"",""เชียงใหม่!I472"")"),0)</f>
        <v>0</v>
      </c>
      <c r="J577" s="198">
        <f ca="1">IFERROR(__xludf.DUMMYFUNCTION("IMPORTRANGE(""https://docs.google.com/spreadsheets/d/11923uPwbBZFjjGgGUA6NLw09EwE0CqkOc4q9oUmW1yo/edit?usp=sharing"",""เชียงใหม่!J472"")"),389)</f>
        <v>389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IFERROR(__xludf.DUMMYFUNCTION("IMPORTRANGE(""https://docs.google.com/spreadsheets/d/11923uPwbBZFjjGgGUA6NLw09EwE0CqkOc4q9oUmW1yo/edit?usp=sharing"",""เชียงใหม่!I473"")"),0)</f>
        <v>0</v>
      </c>
      <c r="J578" s="207">
        <f ca="1">IFERROR(__xludf.DUMMYFUNCTION("IMPORTRANGE(""https://docs.google.com/spreadsheets/d/11923uPwbBZFjjGgGUA6NLw09EwE0CqkOc4q9oUmW1yo/edit?usp=sharing"",""เชียงใหม่!J473"")"),1)</f>
        <v>1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IFERROR(__xludf.DUMMYFUNCTION("IMPORTRANGE(""https://docs.google.com/spreadsheets/d/11923uPwbBZFjjGgGUA6NLw09EwE0CqkOc4q9oUmW1yo/edit?usp=sharing"",""เชียงใหม่!I474"")"),0)</f>
        <v>0</v>
      </c>
      <c r="J579" s="207">
        <f ca="1">IFERROR(__xludf.DUMMYFUNCTION("IMPORTRANGE(""https://docs.google.com/spreadsheets/d/11923uPwbBZFjjGgGUA6NLw09EwE0CqkOc4q9oUmW1yo/edit?usp=sharing"",""เชียงใหม่!J474"")"),17)</f>
        <v>17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IFERROR(__xludf.DUMMYFUNCTION("IMPORTRANGE(""https://docs.google.com/spreadsheets/d/11923uPwbBZFjjGgGUA6NLw09EwE0CqkOc4q9oUmW1yo/edit?usp=sharing"",""เชียงใหม่!I475"")"),30)</f>
        <v>30</v>
      </c>
      <c r="J580" s="379">
        <f ca="1">IFERROR(__xludf.DUMMYFUNCTION("IMPORTRANGE(""https://docs.google.com/spreadsheets/d/11923uPwbBZFjjGgGUA6NLw09EwE0CqkOc4q9oUmW1yo/edit?usp=sharing"",""เชียงใหม่!J475"")"),0)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IFERROR(__xludf.DUMMYFUNCTION("IMPORTRANGE(""https://docs.google.com/spreadsheets/d/11923uPwbBZFjjGgGUA6NLw09EwE0CqkOc4q9oUmW1yo/edit?usp=sharing"",""เชียงใหม่!L475"")"),153230)</f>
        <v>153230</v>
      </c>
      <c r="M580" s="381"/>
      <c r="N580" s="381">
        <f ca="1">IFERROR(__xludf.DUMMYFUNCTION("IMPORTRANGE(""https://docs.google.com/spreadsheets/d/11923uPwbBZFjjGgGUA6NLw09EwE0CqkOc4q9oUmW1yo/edit?usp=sharing"",""เชียงใหม่!M475"")"),10920)</f>
        <v>10920</v>
      </c>
      <c r="O580" s="381">
        <f t="shared" ref="O580:O584" ca="1" si="124">+IF(L580&gt;0,N580*100/L580,0)</f>
        <v>7.126541799908634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IFERROR(__xludf.DUMMYFUNCTION("IMPORTRANGE(""https://docs.google.com/spreadsheets/d/11923uPwbBZFjjGgGUA6NLw09EwE0CqkOc4q9oUmW1yo/edit?usp=sharing"",""เชียงใหม่!L476"")"),0)</f>
        <v>0</v>
      </c>
      <c r="M581" s="172"/>
      <c r="N581" s="178">
        <f ca="1">IFERROR(__xludf.DUMMYFUNCTION("IMPORTRANGE(""https://docs.google.com/spreadsheets/d/11923uPwbBZFjjGgGUA6NLw09EwE0CqkOc4q9oUmW1yo/edit?usp=sharing"",""เชียงใหม่!M476"")"),0)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IFERROR(__xludf.DUMMYFUNCTION("IMPORTRANGE(""https://docs.google.com/spreadsheets/d/11923uPwbBZFjjGgGUA6NLw09EwE0CqkOc4q9oUmW1yo/edit?usp=sharing"",""เชียงใหม่!L477"")"),153230)</f>
        <v>153230</v>
      </c>
      <c r="M582" s="173"/>
      <c r="N582" s="178">
        <f ca="1">IFERROR(__xludf.DUMMYFUNCTION("IMPORTRANGE(""https://docs.google.com/spreadsheets/d/11923uPwbBZFjjGgGUA6NLw09EwE0CqkOc4q9oUmW1yo/edit?usp=sharing"",""เชียงใหม่!M477"")"),10920)</f>
        <v>10920</v>
      </c>
      <c r="O582" s="178">
        <f t="shared" ca="1" si="124"/>
        <v>7.126541799908634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IFERROR(__xludf.DUMMYFUNCTION("IMPORTRANGE(""https://docs.google.com/spreadsheets/d/11923uPwbBZFjjGgGUA6NLw09EwE0CqkOc4q9oUmW1yo/edit?usp=sharing"",""เชียงใหม่!L478"")"),0)</f>
        <v>0</v>
      </c>
      <c r="M583" s="178"/>
      <c r="N583" s="178">
        <f ca="1">IFERROR(__xludf.DUMMYFUNCTION("IMPORTRANGE(""https://docs.google.com/spreadsheets/d/11923uPwbBZFjjGgGUA6NLw09EwE0CqkOc4q9oUmW1yo/edit?usp=sharing"",""เชียงใหม่!M478"")"),0)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IFERROR(__xludf.DUMMYFUNCTION("IMPORTRANGE(""https://docs.google.com/spreadsheets/d/11923uPwbBZFjjGgGUA6NLw09EwE0CqkOc4q9oUmW1yo/edit?usp=sharing"",""เชียงใหม่!L479"")"),153230)</f>
        <v>153230</v>
      </c>
      <c r="M584" s="178"/>
      <c r="N584" s="178">
        <f ca="1">IFERROR(__xludf.DUMMYFUNCTION("IMPORTRANGE(""https://docs.google.com/spreadsheets/d/11923uPwbBZFjjGgGUA6NLw09EwE0CqkOc4q9oUmW1yo/edit?usp=sharing"",""เชียงใหม่!M479"")"),10920)</f>
        <v>10920</v>
      </c>
      <c r="O584" s="178">
        <f t="shared" ca="1" si="124"/>
        <v>7.126541799908634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IFERROR(__xludf.DUMMYFUNCTION("IMPORTRANGE(""https://docs.google.com/spreadsheets/d/11923uPwbBZFjjGgGUA6NLw09EwE0CqkOc4q9oUmW1yo/edit?usp=sharing"",""เชียงใหม่!M480"")"),0)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IFERROR(__xludf.DUMMYFUNCTION("IMPORTRANGE(""https://docs.google.com/spreadsheets/d/11923uPwbBZFjjGgGUA6NLw09EwE0CqkOc4q9oUmW1yo/edit?usp=sharing"",""เชียงใหม่!M481"")"),0)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IFERROR(__xludf.DUMMYFUNCTION("IMPORTRANGE(""https://docs.google.com/spreadsheets/d/11923uPwbBZFjjGgGUA6NLw09EwE0CqkOc4q9oUmW1yo/edit?usp=sharing"",""เชียงใหม่!M482"")"),0)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IFERROR(__xludf.DUMMYFUNCTION("IMPORTRANGE(""https://docs.google.com/spreadsheets/d/11923uPwbBZFjjGgGUA6NLw09EwE0CqkOc4q9oUmW1yo/edit?usp=sharing"",""เชียงใหม่!M483"")"),10920)</f>
        <v>10920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IFERROR(__xludf.DUMMYFUNCTION("IMPORTRANGE(""https://docs.google.com/spreadsheets/d/11923uPwbBZFjjGgGUA6NLw09EwE0CqkOc4q9oUmW1yo/edit?usp=sharing"",""เชียงใหม่!I484"")"),30)</f>
        <v>30</v>
      </c>
      <c r="J589" s="197">
        <f ca="1">IFERROR(__xludf.DUMMYFUNCTION("IMPORTRANGE(""https://docs.google.com/spreadsheets/d/11923uPwbBZFjjGgGUA6NLw09EwE0CqkOc4q9oUmW1yo/edit?usp=sharing"",""เชียงใหม่!J484"")"),14)</f>
        <v>14</v>
      </c>
      <c r="K589" s="171">
        <f t="shared" ref="K589:K596" ca="1" si="125">IF(I589&gt;0,J589*100/I589,0)</f>
        <v>46.666666666666664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IFERROR(__xludf.DUMMYFUNCTION("IMPORTRANGE(""https://docs.google.com/spreadsheets/d/11923uPwbBZFjjGgGUA6NLw09EwE0CqkOc4q9oUmW1yo/edit?usp=sharing"",""เชียงใหม่!I485"")"),0)</f>
        <v>0</v>
      </c>
      <c r="J590" s="197">
        <f ca="1">IFERROR(__xludf.DUMMYFUNCTION("IMPORTRANGE(""https://docs.google.com/spreadsheets/d/11923uPwbBZFjjGgGUA6NLw09EwE0CqkOc4q9oUmW1yo/edit?usp=sharing"",""เชียงใหม่!J485"")"),4.83)</f>
        <v>4.83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IFERROR(__xludf.DUMMYFUNCTION("IMPORTRANGE(""https://docs.google.com/spreadsheets/d/11923uPwbBZFjjGgGUA6NLw09EwE0CqkOc4q9oUmW1yo/edit?usp=sharing"",""เชียงใหม่!I486"")"),30)</f>
        <v>30</v>
      </c>
      <c r="J591" s="197">
        <f ca="1">IFERROR(__xludf.DUMMYFUNCTION("IMPORTRANGE(""https://docs.google.com/spreadsheets/d/11923uPwbBZFjjGgGUA6NLw09EwE0CqkOc4q9oUmW1yo/edit?usp=sharing"",""เชียงใหม่!J486"")"),14)</f>
        <v>14</v>
      </c>
      <c r="K591" s="171">
        <f t="shared" ca="1" si="125"/>
        <v>46.666666666666664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IFERROR(__xludf.DUMMYFUNCTION("IMPORTRANGE(""https://docs.google.com/spreadsheets/d/11923uPwbBZFjjGgGUA6NLw09EwE0CqkOc4q9oUmW1yo/edit?usp=sharing"",""เชียงใหม่!I487"")"),0)</f>
        <v>0</v>
      </c>
      <c r="J592" s="197">
        <f ca="1">IFERROR(__xludf.DUMMYFUNCTION("IMPORTRANGE(""https://docs.google.com/spreadsheets/d/11923uPwbBZFjjGgGUA6NLw09EwE0CqkOc4q9oUmW1yo/edit?usp=sharing"",""เชียงใหม่!J487"")"),4.83)</f>
        <v>4.83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IFERROR(__xludf.DUMMYFUNCTION("IMPORTRANGE(""https://docs.google.com/spreadsheets/d/11923uPwbBZFjjGgGUA6NLw09EwE0CqkOc4q9oUmW1yo/edit?usp=sharing"",""เชียงใหม่!I488"")"),30)</f>
        <v>30</v>
      </c>
      <c r="J593" s="197">
        <f ca="1">IFERROR(__xludf.DUMMYFUNCTION("IMPORTRANGE(""https://docs.google.com/spreadsheets/d/11923uPwbBZFjjGgGUA6NLw09EwE0CqkOc4q9oUmW1yo/edit?usp=sharing"",""เชียงใหม่!J488"")"),0)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IFERROR(__xludf.DUMMYFUNCTION("IMPORTRANGE(""https://docs.google.com/spreadsheets/d/11923uPwbBZFjjGgGUA6NLw09EwE0CqkOc4q9oUmW1yo/edit?usp=sharing"",""เชียงใหม่!I489"")"),0)</f>
        <v>0</v>
      </c>
      <c r="J594" s="197">
        <f ca="1">IFERROR(__xludf.DUMMYFUNCTION("IMPORTRANGE(""https://docs.google.com/spreadsheets/d/11923uPwbBZFjjGgGUA6NLw09EwE0CqkOc4q9oUmW1yo/edit?usp=sharing"",""เชียงใหม่!J489"")"),0)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IFERROR(__xludf.DUMMYFUNCTION("IMPORTRANGE(""https://docs.google.com/spreadsheets/d/11923uPwbBZFjjGgGUA6NLw09EwE0CqkOc4q9oUmW1yo/edit?usp=sharing"",""เชียงใหม่!I490"")"),30)</f>
        <v>30</v>
      </c>
      <c r="J595" s="197">
        <f ca="1">IFERROR(__xludf.DUMMYFUNCTION("IMPORTRANGE(""https://docs.google.com/spreadsheets/d/11923uPwbBZFjjGgGUA6NLw09EwE0CqkOc4q9oUmW1yo/edit?usp=sharing"",""เชียงใหม่!J490"")"),0)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IFERROR(__xludf.DUMMYFUNCTION("IMPORTRANGE(""https://docs.google.com/spreadsheets/d/11923uPwbBZFjjGgGUA6NLw09EwE0CqkOc4q9oUmW1yo/edit?usp=sharing"",""เชียงใหม่!I491"")"),0)</f>
        <v>0</v>
      </c>
      <c r="J596" s="250">
        <f ca="1">IFERROR(__xludf.DUMMYFUNCTION("IMPORTRANGE(""https://docs.google.com/spreadsheets/d/11923uPwbBZFjjGgGUA6NLw09EwE0CqkOc4q9oUmW1yo/edit?usp=sharing"",""เชียงใหม่!J491"")"),0)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IFERROR(__xludf.DUMMYFUNCTION("IMPORTRANGE(""https://docs.google.com/spreadsheets/d/11923uPwbBZFjjGgGUA6NLw09EwE0CqkOc4q9oUmW1yo/edit?usp=sharing"",""เชียงใหม่!I492"")"),100)</f>
        <v>100</v>
      </c>
      <c r="J597" s="495">
        <f ca="1">IFERROR(__xludf.DUMMYFUNCTION("IMPORTRANGE(""https://docs.google.com/spreadsheets/d/11923uPwbBZFjjGgGUA6NLw09EwE0CqkOc4q9oUmW1yo/edit?usp=sharing"",""เชียงใหม่!J492"")"),0)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IFERROR(__xludf.DUMMYFUNCTION("IMPORTRANGE(""https://docs.google.com/spreadsheets/d/11923uPwbBZFjjGgGUA6NLw09EwE0CqkOc4q9oUmW1yo/edit?usp=sharing"",""เชียงใหม่!L492"")"),10900)</f>
        <v>10900</v>
      </c>
      <c r="M597" s="420"/>
      <c r="N597" s="420">
        <f ca="1">IFERROR(__xludf.DUMMYFUNCTION("IMPORTRANGE(""https://docs.google.com/spreadsheets/d/11923uPwbBZFjjGgGUA6NLw09EwE0CqkOc4q9oUmW1yo/edit?usp=sharing"",""เชียงใหม่!M492"")"),2380)</f>
        <v>2380</v>
      </c>
      <c r="O597" s="420">
        <f t="shared" ref="O597:O601" ca="1" si="126">+IF(L597&gt;0,N597*100/L597,0)</f>
        <v>21.834862385321102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IFERROR(__xludf.DUMMYFUNCTION("IMPORTRANGE(""https://docs.google.com/spreadsheets/d/11923uPwbBZFjjGgGUA6NLw09EwE0CqkOc4q9oUmW1yo/edit?usp=sharing"",""เชียงใหม่!L493"")"),0)</f>
        <v>0</v>
      </c>
      <c r="M598" s="172"/>
      <c r="N598" s="178">
        <f ca="1">IFERROR(__xludf.DUMMYFUNCTION("IMPORTRANGE(""https://docs.google.com/spreadsheets/d/11923uPwbBZFjjGgGUA6NLw09EwE0CqkOc4q9oUmW1yo/edit?usp=sharing"",""เชียงใหม่!M493"")"),0)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IFERROR(__xludf.DUMMYFUNCTION("IMPORTRANGE(""https://docs.google.com/spreadsheets/d/11923uPwbBZFjjGgGUA6NLw09EwE0CqkOc4q9oUmW1yo/edit?usp=sharing"",""เชียงใหม่!L494"")"),10900)</f>
        <v>10900</v>
      </c>
      <c r="M599" s="173"/>
      <c r="N599" s="178">
        <f ca="1">IFERROR(__xludf.DUMMYFUNCTION("IMPORTRANGE(""https://docs.google.com/spreadsheets/d/11923uPwbBZFjjGgGUA6NLw09EwE0CqkOc4q9oUmW1yo/edit?usp=sharing"",""เชียงใหม่!M494"")"),2380)</f>
        <v>2380</v>
      </c>
      <c r="O599" s="178">
        <f t="shared" ca="1" si="126"/>
        <v>21.834862385321102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IFERROR(__xludf.DUMMYFUNCTION("IMPORTRANGE(""https://docs.google.com/spreadsheets/d/11923uPwbBZFjjGgGUA6NLw09EwE0CqkOc4q9oUmW1yo/edit?usp=sharing"",""เชียงใหม่!L495"")"),0)</f>
        <v>0</v>
      </c>
      <c r="M600" s="178"/>
      <c r="N600" s="178">
        <f ca="1">IFERROR(__xludf.DUMMYFUNCTION("IMPORTRANGE(""https://docs.google.com/spreadsheets/d/11923uPwbBZFjjGgGUA6NLw09EwE0CqkOc4q9oUmW1yo/edit?usp=sharing"",""เชียงใหม่!M495"")"),0)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IFERROR(__xludf.DUMMYFUNCTION("IMPORTRANGE(""https://docs.google.com/spreadsheets/d/11923uPwbBZFjjGgGUA6NLw09EwE0CqkOc4q9oUmW1yo/edit?usp=sharing"",""เชียงใหม่!L496"")"),10900)</f>
        <v>10900</v>
      </c>
      <c r="M601" s="178"/>
      <c r="N601" s="178">
        <f ca="1">IFERROR(__xludf.DUMMYFUNCTION("IMPORTRANGE(""https://docs.google.com/spreadsheets/d/11923uPwbBZFjjGgGUA6NLw09EwE0CqkOc4q9oUmW1yo/edit?usp=sharing"",""เชียงใหม่!M496"")"),2380)</f>
        <v>2380</v>
      </c>
      <c r="O601" s="178">
        <f t="shared" ca="1" si="126"/>
        <v>21.834862385321102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IFERROR(__xludf.DUMMYFUNCTION("IMPORTRANGE(""https://docs.google.com/spreadsheets/d/11923uPwbBZFjjGgGUA6NLw09EwE0CqkOc4q9oUmW1yo/edit?usp=sharing"",""เชียงใหม่!M497"")"),0)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IFERROR(__xludf.DUMMYFUNCTION("IMPORTRANGE(""https://docs.google.com/spreadsheets/d/11923uPwbBZFjjGgGUA6NLw09EwE0CqkOc4q9oUmW1yo/edit?usp=sharing"",""เชียงใหม่!M498"")"),0)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IFERROR(__xludf.DUMMYFUNCTION("IMPORTRANGE(""https://docs.google.com/spreadsheets/d/11923uPwbBZFjjGgGUA6NLw09EwE0CqkOc4q9oUmW1yo/edit?usp=sharing"",""เชียงใหม่!M499"")"),0)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IFERROR(__xludf.DUMMYFUNCTION("IMPORTRANGE(""https://docs.google.com/spreadsheets/d/11923uPwbBZFjjGgGUA6NLw09EwE0CqkOc4q9oUmW1yo/edit?usp=sharing"",""เชียงใหม่!M500"")"),2380)</f>
        <v>2380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IFERROR(__xludf.DUMMYFUNCTION("IMPORTRANGE(""https://docs.google.com/spreadsheets/d/11923uPwbBZFjjGgGUA6NLw09EwE0CqkOc4q9oUmW1yo/edit?usp=sharing"",""เชียงใหม่!J502"")"),0)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IFERROR(__xludf.DUMMYFUNCTION("IMPORTRANGE(""https://docs.google.com/spreadsheets/d/11923uPwbBZFjjGgGUA6NLw09EwE0CqkOc4q9oUmW1yo/edit?usp=sharing"",""เชียงใหม่!J503"")"),1)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IFERROR(__xludf.DUMMYFUNCTION("IMPORTRANGE(""https://docs.google.com/spreadsheets/d/11923uPwbBZFjjGgGUA6NLw09EwE0CqkOc4q9oUmW1yo/edit?usp=sharing"",""เชียงใหม่!J166"")"),0)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IFERROR(__xludf.DUMMYFUNCTION("IMPORTRANGE(""https://docs.google.com/spreadsheets/d/11923uPwbBZFjjGgGUA6NLw09EwE0CqkOc4q9oUmW1yo/edit?usp=sharing"",""เชียงใหม่!J166"")"),0)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IFERROR(__xludf.DUMMYFUNCTION("IMPORTRANGE(""https://docs.google.com/spreadsheets/d/11923uPwbBZFjjGgGUA6NLw09EwE0CqkOc4q9oUmW1yo/edit?usp=sharing"",""เชียงใหม่!I506"")"),100)</f>
        <v>100</v>
      </c>
      <c r="J611" s="170">
        <f ca="1">IFERROR(__xludf.DUMMYFUNCTION("IMPORTRANGE(""https://docs.google.com/spreadsheets/d/11923uPwbBZFjjGgGUA6NLw09EwE0CqkOc4q9oUmW1yo/edit?usp=sharing"",""เชียงใหม่!J506"")"),0)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IFERROR(__xludf.DUMMYFUNCTION("IMPORTRANGE(""https://docs.google.com/spreadsheets/d/11923uPwbBZFjjGgGUA6NLw09EwE0CqkOc4q9oUmW1yo/edit?usp=sharing"",""เชียงใหม่!I507"")"),0)</f>
        <v>0</v>
      </c>
      <c r="J612" s="207">
        <f ca="1">IFERROR(__xludf.DUMMYFUNCTION("IMPORTRANGE(""https://docs.google.com/spreadsheets/d/11923uPwbBZFjjGgGUA6NLw09EwE0CqkOc4q9oUmW1yo/edit?usp=sharing"",""เชียงใหม่!J507"")"),110.75)</f>
        <v>110.75</v>
      </c>
      <c r="K612" s="171">
        <f t="shared" ca="1" si="127"/>
        <v>110.75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IFERROR(__xludf.DUMMYFUNCTION("IMPORTRANGE(""https://docs.google.com/spreadsheets/d/11923uPwbBZFjjGgGUA6NLw09EwE0CqkOc4q9oUmW1yo/edit?usp=sharing"",""เชียงใหม่!I508"")"),0)</f>
        <v>0</v>
      </c>
      <c r="J613" s="207">
        <f ca="1">IFERROR(__xludf.DUMMYFUNCTION("IMPORTRANGE(""https://docs.google.com/spreadsheets/d/11923uPwbBZFjjGgGUA6NLw09EwE0CqkOc4q9oUmW1yo/edit?usp=sharing"",""เชียงใหม่!J508"")"),0)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IFERROR(__xludf.DUMMYFUNCTION("IMPORTRANGE(""https://docs.google.com/spreadsheets/d/11923uPwbBZFjjGgGUA6NLw09EwE0CqkOc4q9oUmW1yo/edit?usp=sharing"",""เชียงใหม่!I509"")"),0)</f>
        <v>0</v>
      </c>
      <c r="J614" s="207">
        <f ca="1">IFERROR(__xludf.DUMMYFUNCTION("IMPORTRANGE(""https://docs.google.com/spreadsheets/d/11923uPwbBZFjjGgGUA6NLw09EwE0CqkOc4q9oUmW1yo/edit?usp=sharing"",""เชียงใหม่!J509"")"),0)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IFERROR(__xludf.DUMMYFUNCTION("IMPORTRANGE(""https://docs.google.com/spreadsheets/d/11923uPwbBZFjjGgGUA6NLw09EwE0CqkOc4q9oUmW1yo/edit?usp=sharing"",""เชียงใหม่!I510"")"),0)</f>
        <v>0</v>
      </c>
      <c r="J615" s="207">
        <f ca="1">IFERROR(__xludf.DUMMYFUNCTION("IMPORTRANGE(""https://docs.google.com/spreadsheets/d/11923uPwbBZFjjGgGUA6NLw09EwE0CqkOc4q9oUmW1yo/edit?usp=sharing"",""เชียงใหม่!J510"")"),0)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IFERROR(__xludf.DUMMYFUNCTION("IMPORTRANGE(""https://docs.google.com/spreadsheets/d/11923uPwbBZFjjGgGUA6NLw09EwE0CqkOc4q9oUmW1yo/edit?usp=sharing"",""เชียงใหม่!I511"")"),0)</f>
        <v>0</v>
      </c>
      <c r="J616" s="207">
        <f ca="1">IFERROR(__xludf.DUMMYFUNCTION("IMPORTRANGE(""https://docs.google.com/spreadsheets/d/11923uPwbBZFjjGgGUA6NLw09EwE0CqkOc4q9oUmW1yo/edit?usp=sharing"",""เชียงใหม่!J511"")"),0)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IFERROR(__xludf.DUMMYFUNCTION("IMPORTRANGE(""https://docs.google.com/spreadsheets/d/11923uPwbBZFjjGgGUA6NLw09EwE0CqkOc4q9oUmW1yo/edit?usp=sharing"",""เชียงใหม่!I512"")"),0)</f>
        <v>0</v>
      </c>
      <c r="J617" s="197">
        <f ca="1">IFERROR(__xludf.DUMMYFUNCTION("IMPORTRANGE(""https://docs.google.com/spreadsheets/d/11923uPwbBZFjjGgGUA6NLw09EwE0CqkOc4q9oUmW1yo/edit?usp=sharing"",""เชียงใหม่!J512"")"),0)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IFERROR(__xludf.DUMMYFUNCTION("IMPORTRANGE(""https://docs.google.com/spreadsheets/d/11923uPwbBZFjjGgGUA6NLw09EwE0CqkOc4q9oUmW1yo/edit?usp=sharing"",""เชียงใหม่!I513"")"),0)</f>
        <v>0</v>
      </c>
      <c r="J618" s="198">
        <f ca="1">IFERROR(__xludf.DUMMYFUNCTION("IMPORTRANGE(""https://docs.google.com/spreadsheets/d/11923uPwbBZFjjGgGUA6NLw09EwE0CqkOc4q9oUmW1yo/edit?usp=sharing"",""เชียงใหม่!J513"")"),0)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IFERROR(__xludf.DUMMYFUNCTION("IMPORTRANGE(""https://docs.google.com/spreadsheets/d/11923uPwbBZFjjGgGUA6NLw09EwE0CqkOc4q9oUmW1yo/edit?usp=sharing"",""เชียงใหม่!I514"")"),0)</f>
        <v>0</v>
      </c>
      <c r="J619" s="198">
        <f ca="1">IFERROR(__xludf.DUMMYFUNCTION("IMPORTRANGE(""https://docs.google.com/spreadsheets/d/11923uPwbBZFjjGgGUA6NLw09EwE0CqkOc4q9oUmW1yo/edit?usp=sharing"",""เชียงใหม่!J514"")"),0)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IFERROR(__xludf.DUMMYFUNCTION("IMPORTRANGE(""https://docs.google.com/spreadsheets/d/11923uPwbBZFjjGgGUA6NLw09EwE0CqkOc4q9oUmW1yo/edit?usp=sharing"",""เชียงใหม่!I515"")"),100)</f>
        <v>100</v>
      </c>
      <c r="J620" s="212">
        <f ca="1">IFERROR(__xludf.DUMMYFUNCTION("IMPORTRANGE(""https://docs.google.com/spreadsheets/d/11923uPwbBZFjjGgGUA6NLw09EwE0CqkOc4q9oUmW1yo/edit?usp=sharing"",""เชียงใหม่!J515"")"),0)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IFERROR(__xludf.DUMMYFUNCTION("IMPORTRANGE(""https://docs.google.com/spreadsheets/d/11923uPwbBZFjjGgGUA6NLw09EwE0CqkOc4q9oUmW1yo/edit?usp=sharing"",""เชียงใหม่!I516"")"),0)</f>
        <v>0</v>
      </c>
      <c r="J621" s="212">
        <f ca="1">IFERROR(__xludf.DUMMYFUNCTION("IMPORTRANGE(""https://docs.google.com/spreadsheets/d/11923uPwbBZFjjGgGUA6NLw09EwE0CqkOc4q9oUmW1yo/edit?usp=sharing"",""เชียงใหม่!J516"")"),0)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IFERROR(__xludf.DUMMYFUNCTION("IMPORTRANGE(""https://docs.google.com/spreadsheets/d/11923uPwbBZFjjGgGUA6NLw09EwE0CqkOc4q9oUmW1yo/edit?usp=sharing"",""เชียงใหม่!I517"")"),0)</f>
        <v>0</v>
      </c>
      <c r="J622" s="198">
        <f ca="1">IFERROR(__xludf.DUMMYFUNCTION("IMPORTRANGE(""https://docs.google.com/spreadsheets/d/11923uPwbBZFjjGgGUA6NLw09EwE0CqkOc4q9oUmW1yo/edit?usp=sharing"",""เชียงใหม่!J517"")"),0)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IFERROR(__xludf.DUMMYFUNCTION("IMPORTRANGE(""https://docs.google.com/spreadsheets/d/11923uPwbBZFjjGgGUA6NLw09EwE0CqkOc4q9oUmW1yo/edit?usp=sharing"",""เชียงใหม่!I518"")"),0)</f>
        <v>0</v>
      </c>
      <c r="J623" s="198">
        <f ca="1">IFERROR(__xludf.DUMMYFUNCTION("IMPORTRANGE(""https://docs.google.com/spreadsheets/d/11923uPwbBZFjjGgGUA6NLw09EwE0CqkOc4q9oUmW1yo/edit?usp=sharing"",""เชียงใหม่!J518"")"),0)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IFERROR(__xludf.DUMMYFUNCTION("IMPORTRANGE(""https://docs.google.com/spreadsheets/d/11923uPwbBZFjjGgGUA6NLw09EwE0CqkOc4q9oUmW1yo/edit?usp=sharing"",""เชียงใหม่!I519"")"),0)</f>
        <v>0</v>
      </c>
      <c r="J624" s="197">
        <f ca="1">IFERROR(__xludf.DUMMYFUNCTION("IMPORTRANGE(""https://docs.google.com/spreadsheets/d/11923uPwbBZFjjGgGUA6NLw09EwE0CqkOc4q9oUmW1yo/edit?usp=sharing"",""เชียงใหม่!J519"")"),100)</f>
        <v>100</v>
      </c>
      <c r="K624" s="171">
        <f t="shared" ca="1" si="128"/>
        <v>100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IFERROR(__xludf.DUMMYFUNCTION("IMPORTRANGE(""https://docs.google.com/spreadsheets/d/11923uPwbBZFjjGgGUA6NLw09EwE0CqkOc4q9oUmW1yo/edit?usp=sharing"",""เชียงใหม่!I520"")"),0)</f>
        <v>0</v>
      </c>
      <c r="J625" s="198">
        <f ca="1">IFERROR(__xludf.DUMMYFUNCTION("IMPORTRANGE(""https://docs.google.com/spreadsheets/d/11923uPwbBZFjjGgGUA6NLw09EwE0CqkOc4q9oUmW1yo/edit?usp=sharing"",""เชียงใหม่!J520"")"),0)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IFERROR(__xludf.DUMMYFUNCTION("IMPORTRANGE(""https://docs.google.com/spreadsheets/d/11923uPwbBZFjjGgGUA6NLw09EwE0CqkOc4q9oUmW1yo/edit?usp=sharing"",""เชียงใหม่!I521"")"),0)</f>
        <v>0</v>
      </c>
      <c r="J626" s="198">
        <f ca="1">IFERROR(__xludf.DUMMYFUNCTION("IMPORTRANGE(""https://docs.google.com/spreadsheets/d/11923uPwbBZFjjGgGUA6NLw09EwE0CqkOc4q9oUmW1yo/edit?usp=sharing"",""เชียงใหม่!J521"")"),100)</f>
        <v>100</v>
      </c>
      <c r="K626" s="171">
        <f t="shared" ca="1" si="128"/>
        <v>100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IFERROR(__xludf.DUMMYFUNCTION("IMPORTRANGE(""https://docs.google.com/spreadsheets/d/11923uPwbBZFjjGgGUA6NLw09EwE0CqkOc4q9oUmW1yo/edit?usp=sharing"",""เชียงใหม่!I523"")"),2948302.07)</f>
        <v>2948302.07</v>
      </c>
      <c r="J628" s="349">
        <f ca="1">IFERROR(__xludf.DUMMYFUNCTION("IMPORTRANGE(""https://docs.google.com/spreadsheets/d/11923uPwbBZFjjGgGUA6NLw09EwE0CqkOc4q9oUmW1yo/edit?usp=sharing"",""เชียงใหม่!J523"")"),666000)</f>
        <v>666000</v>
      </c>
      <c r="K628" s="350">
        <f t="shared" ref="K628:K635" ca="1" si="129">IF(I628&gt;0,J628*100/I628,0)</f>
        <v>22.589272882747732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IFERROR(__xludf.DUMMYFUNCTION("IMPORTRANGE(""https://docs.google.com/spreadsheets/d/11923uPwbBZFjjGgGUA6NLw09EwE0CqkOc4q9oUmW1yo/edit?usp=sharing"",""เชียงใหม่!I524"")"),159)</f>
        <v>159</v>
      </c>
      <c r="J629" s="349">
        <f ca="1">IFERROR(__xludf.DUMMYFUNCTION("IMPORTRANGE(""https://docs.google.com/spreadsheets/d/11923uPwbBZFjjGgGUA6NLw09EwE0CqkOc4q9oUmW1yo/edit?usp=sharing"",""เชียงใหม่!J524"")"),34)</f>
        <v>34</v>
      </c>
      <c r="K629" s="350">
        <f t="shared" ca="1" si="129"/>
        <v>21.383647798742139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9">
        <f ca="1">IFERROR(__xludf.DUMMYFUNCTION("IMPORTRANGE(""https://docs.google.com/spreadsheets/d/11923uPwbBZFjjGgGUA6NLw09EwE0CqkOc4q9oUmW1yo/edit?usp=sharing"",""เชียงใหม่!J525"")"),14297.04)</f>
        <v>14297.04</v>
      </c>
      <c r="K630" s="350">
        <f t="shared" ca="1" si="129"/>
        <v>2.2450952845326433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IFERROR(__xludf.DUMMYFUNCTION("IMPORTRANGE(""https://docs.google.com/spreadsheets/d/11923uPwbBZFjjGgGUA6NLw09EwE0CqkOc4q9oUmW1yo/edit?usp=sharing"",""เชียงใหม่!I526"")"),41)</f>
        <v>41</v>
      </c>
      <c r="J631" s="349">
        <f ca="1">IFERROR(__xludf.DUMMYFUNCTION("IMPORTRANGE(""https://docs.google.com/spreadsheets/d/11923uPwbBZFjjGgGUA6NLw09EwE0CqkOc4q9oUmW1yo/edit?usp=sharing"",""เชียงใหม่!J526"")"),8)</f>
        <v>8</v>
      </c>
      <c r="K631" s="350">
        <f t="shared" ca="1" si="129"/>
        <v>19.512195121951219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9">
        <f ca="1">IFERROR(__xludf.DUMMYFUNCTION("IMPORTRANGE(""https://docs.google.com/spreadsheets/d/11923uPwbBZFjjGgGUA6NLw09EwE0CqkOc4q9oUmW1yo/edit?usp=sharing"",""เชียงใหม่!J527"")"),4172.1)</f>
        <v>4172.1000000000004</v>
      </c>
      <c r="K632" s="350">
        <f t="shared" ca="1" si="129"/>
        <v>4.1365307989658531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IFERROR(__xludf.DUMMYFUNCTION("IMPORTRANGE(""https://docs.google.com/spreadsheets/d/11923uPwbBZFjjGgGUA6NLw09EwE0CqkOc4q9oUmW1yo/edit?usp=sharing"",""เชียงใหม่!I528"")"),23)</f>
        <v>23</v>
      </c>
      <c r="J633" s="349">
        <f ca="1">IFERROR(__xludf.DUMMYFUNCTION("IMPORTRANGE(""https://docs.google.com/spreadsheets/d/11923uPwbBZFjjGgGUA6NLw09EwE0CqkOc4q9oUmW1yo/edit?usp=sharing"",""เชียงใหม่!J528"")"),4)</f>
        <v>4</v>
      </c>
      <c r="K633" s="350">
        <f t="shared" ca="1" si="129"/>
        <v>17.391304347826086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IFERROR(__xludf.DUMMYFUNCTION("IMPORTRANGE(""https://docs.google.com/spreadsheets/d/11923uPwbBZFjjGgGUA6NLw09EwE0CqkOc4q9oUmW1yo/edit?usp=sharing"",""เชียงใหม่!I529"")"),1890000)</f>
        <v>1890000</v>
      </c>
      <c r="J634" s="349">
        <f ca="1">IFERROR(__xludf.DUMMYFUNCTION("IMPORTRANGE(""https://docs.google.com/spreadsheets/d/11923uPwbBZFjjGgGUA6NLw09EwE0CqkOc4q9oUmW1yo/edit?usp=sharing"",""เชียงใหม่!J529"")"),210000)</f>
        <v>210000</v>
      </c>
      <c r="K634" s="350">
        <f t="shared" ca="1" si="129"/>
        <v>11.111111111111111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IFERROR(__xludf.DUMMYFUNCTION("IMPORTRANGE(""https://docs.google.com/spreadsheets/d/11923uPwbBZFjjGgGUA6NLw09EwE0CqkOc4q9oUmW1yo/edit?usp=sharing"",""เชียงใหม่!I530"")"),63)</f>
        <v>63</v>
      </c>
      <c r="J635" s="519">
        <f ca="1">IFERROR(__xludf.DUMMYFUNCTION("IMPORTRANGE(""https://docs.google.com/spreadsheets/d/11923uPwbBZFjjGgGUA6NLw09EwE0CqkOc4q9oUmW1yo/edit?usp=sharing"",""เชียงใหม่!J530"")"),8)</f>
        <v>8</v>
      </c>
      <c r="K635" s="494">
        <f t="shared" ca="1" si="129"/>
        <v>12.698412698412698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245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4713928</v>
      </c>
      <c r="M8" s="25">
        <f t="shared" ca="1" si="0"/>
        <v>1452360</v>
      </c>
      <c r="N8" s="25">
        <f t="shared" ca="1" si="0"/>
        <v>1350820</v>
      </c>
      <c r="O8" s="24">
        <f t="shared" ref="O8:O16" ca="1" si="1">IF(L8&gt;0,N8*100/L8,0)</f>
        <v>28.655931953139717</v>
      </c>
      <c r="P8" s="24">
        <f t="shared" ref="P8:P16" ca="1" si="2">IF(M8&gt;0,N8*100/M8,0)</f>
        <v>93.008620452229479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4713928</v>
      </c>
      <c r="M10" s="32">
        <f t="shared" ca="1" si="4"/>
        <v>1452360</v>
      </c>
      <c r="N10" s="32">
        <f t="shared" ca="1" si="4"/>
        <v>1350820</v>
      </c>
      <c r="O10" s="31">
        <f t="shared" ca="1" si="1"/>
        <v>28.655931953139717</v>
      </c>
      <c r="P10" s="31">
        <f t="shared" ca="1" si="2"/>
        <v>93.008620452229479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4453328</v>
      </c>
      <c r="M12" s="40">
        <f t="shared" ca="1" si="6"/>
        <v>1452360</v>
      </c>
      <c r="N12" s="40">
        <f t="shared" ca="1" si="6"/>
        <v>1120200</v>
      </c>
      <c r="O12" s="40">
        <f t="shared" ca="1" si="1"/>
        <v>25.154221741582923</v>
      </c>
      <c r="P12" s="40">
        <f t="shared" ca="1" si="2"/>
        <v>77.129637280013213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1854900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2598428</v>
      </c>
      <c r="M14" s="40">
        <f t="shared" si="8"/>
        <v>0</v>
      </c>
      <c r="N14" s="40">
        <f t="shared" ca="1" si="8"/>
        <v>276429</v>
      </c>
      <c r="O14" s="43">
        <f t="shared" ca="1" si="1"/>
        <v>10.63831670533107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260600</v>
      </c>
      <c r="M16" s="40">
        <f t="shared" si="10"/>
        <v>0</v>
      </c>
      <c r="N16" s="40">
        <f t="shared" ca="1" si="10"/>
        <v>230620</v>
      </c>
      <c r="O16" s="52">
        <f t="shared" ca="1" si="1"/>
        <v>88.495778971603997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2925700</v>
      </c>
      <c r="M18" s="25">
        <f t="shared" ca="1" si="11"/>
        <v>1452360</v>
      </c>
      <c r="N18" s="25">
        <f t="shared" ca="1" si="11"/>
        <v>1074391</v>
      </c>
      <c r="O18" s="24">
        <f t="shared" ref="O18:O20" ca="1" si="12">IF(L18&gt;0,N18*100/L18,0)</f>
        <v>36.722527942030965</v>
      </c>
      <c r="P18" s="24">
        <f t="shared" ref="P18:P26" ca="1" si="13">IF(M18&gt;0,N18*100/M18,0)</f>
        <v>73.975529483048277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2925700</v>
      </c>
      <c r="M20" s="32">
        <f t="shared" ca="1" si="15"/>
        <v>1452360</v>
      </c>
      <c r="N20" s="32">
        <f t="shared" ca="1" si="15"/>
        <v>1074391</v>
      </c>
      <c r="O20" s="31">
        <f t="shared" ca="1" si="12"/>
        <v>36.722527942030965</v>
      </c>
      <c r="P20" s="31">
        <f t="shared" ca="1" si="13"/>
        <v>73.975529483048277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2665100</v>
      </c>
      <c r="M22" s="44">
        <f t="shared" ca="1" si="18"/>
        <v>1452360</v>
      </c>
      <c r="N22" s="43">
        <f t="shared" ca="1" si="18"/>
        <v>843771</v>
      </c>
      <c r="O22" s="43">
        <f t="shared" ca="1" si="17"/>
        <v>31.660012757495029</v>
      </c>
      <c r="P22" s="43">
        <f t="shared" ca="1" si="13"/>
        <v>58.096546310832025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1854900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810200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260600</v>
      </c>
      <c r="M26" s="52">
        <f t="shared" si="22"/>
        <v>0</v>
      </c>
      <c r="N26" s="52">
        <f t="shared" ca="1" si="22"/>
        <v>230620</v>
      </c>
      <c r="O26" s="52">
        <f t="shared" ca="1" si="17"/>
        <v>88.495778971603997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1788228</v>
      </c>
      <c r="M28" s="25">
        <f t="shared" si="23"/>
        <v>0</v>
      </c>
      <c r="N28" s="25">
        <f t="shared" ca="1" si="23"/>
        <v>276429</v>
      </c>
      <c r="O28" s="24">
        <f t="shared" ref="O28:O30" ca="1" si="24">IF(L28&gt;0,N28*100/L28,0)</f>
        <v>15.458263711338823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1788228</v>
      </c>
      <c r="M30" s="32">
        <f t="shared" si="27"/>
        <v>0</v>
      </c>
      <c r="N30" s="32">
        <f t="shared" ca="1" si="27"/>
        <v>276429</v>
      </c>
      <c r="O30" s="31">
        <f t="shared" ca="1" si="24"/>
        <v>15.458263711338823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1788228</v>
      </c>
      <c r="M32" s="43">
        <f t="shared" si="30"/>
        <v>0</v>
      </c>
      <c r="N32" s="43">
        <f t="shared" ca="1" si="30"/>
        <v>276429</v>
      </c>
      <c r="O32" s="43">
        <f t="shared" ca="1" si="29"/>
        <v>15.458263711338823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1788228</v>
      </c>
      <c r="M34" s="43">
        <f t="shared" si="32"/>
        <v>0</v>
      </c>
      <c r="N34" s="43">
        <f t="shared" ca="1" si="32"/>
        <v>276429</v>
      </c>
      <c r="O34" s="43">
        <f t="shared" ca="1" si="29"/>
        <v>15.458263711338823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2925700</v>
      </c>
      <c r="M37" s="57">
        <f t="shared" ca="1" si="33"/>
        <v>1452360</v>
      </c>
      <c r="N37" s="57">
        <f t="shared" ca="1" si="33"/>
        <v>1074391</v>
      </c>
      <c r="O37" s="58">
        <f t="shared" ca="1" si="29"/>
        <v>36.722527942030965</v>
      </c>
      <c r="P37" s="58">
        <f t="shared" ca="1" si="25"/>
        <v>73.975529483048277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694100</v>
      </c>
      <c r="M41" s="81">
        <f t="shared" ca="1" si="34"/>
        <v>347100</v>
      </c>
      <c r="N41" s="81">
        <f t="shared" ca="1" si="34"/>
        <v>201176</v>
      </c>
      <c r="O41" s="80">
        <f t="shared" ref="O41:O43" ca="1" si="35">IF(L41&gt;0,N41*100/L41,0)</f>
        <v>28.983719925082841</v>
      </c>
      <c r="P41" s="80">
        <f t="shared" ref="P41:P43" ca="1" si="36">IF(M41&gt;0,N41*100/M41,0)</f>
        <v>57.959089599539041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694100</v>
      </c>
      <c r="M43" s="81">
        <f t="shared" ca="1" si="38"/>
        <v>347100</v>
      </c>
      <c r="N43" s="81">
        <f t="shared" ca="1" si="38"/>
        <v>201176</v>
      </c>
      <c r="O43" s="80">
        <f t="shared" ca="1" si="35"/>
        <v>28.983719925082841</v>
      </c>
      <c r="P43" s="80">
        <f t="shared" ca="1" si="36"/>
        <v>57.959089599539041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694100</v>
      </c>
      <c r="M45" s="93">
        <f ca="1">IFERROR(__xludf.DUMMYFUNCTION("IMPORTRANGE(""https://docs.google.com/spreadsheets/d/1Yj_ptqi66GCucihVvJfMjLAmec39IyEx_6qawtMGysU/edit?usp=sharing"",""สบก!Q23"")"),347100)</f>
        <v>347100</v>
      </c>
      <c r="N45" s="93">
        <f ca="1">IFERROR(__xludf.DUMMYFUNCTION("IMPORTRANGE(""https://docs.google.com/spreadsheets/d/1Yj_ptqi66GCucihVvJfMjLAmec39IyEx_6qawtMGysU/edit?usp=sharing"",""สบก!R23"")"),201176)</f>
        <v>201176</v>
      </c>
      <c r="O45" s="94">
        <f ca="1">IF(L45&gt;0,N45*100/L45,0)</f>
        <v>28.983719925082841</v>
      </c>
      <c r="P45" s="94">
        <f ca="1">IF(M45&gt;0,N45*100/M45,0)</f>
        <v>57.959089599539041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IFERROR(__xludf.DUMMYFUNCTION("IMPORTRANGE(""https://docs.google.com/spreadsheets/d/1Yj_ptqi66GCucihVvJfMjLAmec39IyEx_6qawtMGysU/edit?usp=sharing"",""สบก!M23"")"),694100)</f>
        <v>694100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IFERROR(__xludf.DUMMYFUNCTION("IMPORTRANGE(""https://docs.google.com/spreadsheets/d/1Yj_ptqi66GCucihVvJfMjLAmec39IyEx_6qawtMGysU/edit?usp=sharing"",""สบก!N23"")"),0)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IFERROR(__xludf.DUMMYFUNCTION("IMPORTRANGE(""https://docs.google.com/spreadsheets/d/1Yj_ptqi66GCucihVvJfMjLAmec39IyEx_6qawtMGysU/edit?usp=sharing"",""สบก!O23"")"),0)</f>
        <v>0</v>
      </c>
      <c r="M49" s="103"/>
      <c r="N49" s="93">
        <f ca="1">IFERROR(__xludf.DUMMYFUNCTION("IMPORTRANGE(""https://docs.google.com/spreadsheets/d/1Yj_ptqi66GCucihVvJfMjLAmec39IyEx_6qawtMGysU/edit?usp=sharing"",""สบก!S23"")"),0)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218000</v>
      </c>
      <c r="N53" s="127">
        <f t="shared" ca="1" si="39"/>
        <v>144210</v>
      </c>
      <c r="O53" s="126">
        <f t="shared" ref="O53:O55" ca="1" si="40">IF(L53&gt;0,N53*100/L53,0)</f>
        <v>36.052500000000002</v>
      </c>
      <c r="P53" s="126">
        <f t="shared" ref="P53:P55" ca="1" si="41">IF(M53&gt;0,N53*100/M53,0)</f>
        <v>66.151376146788991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218000</v>
      </c>
      <c r="N55" s="127">
        <f t="shared" ca="1" si="43"/>
        <v>144210</v>
      </c>
      <c r="O55" s="126">
        <f t="shared" ca="1" si="40"/>
        <v>36.052500000000002</v>
      </c>
      <c r="P55" s="126">
        <f t="shared" ca="1" si="41"/>
        <v>66.151376146788991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IFERROR(__xludf.DUMMYFUNCTION("IMPORTRANGE(""https://docs.google.com/spreadsheets/d/1Yj_ptqi66GCucihVvJfMjLAmec39IyEx_6qawtMGysU/edit?usp=sharing"",""สบก!Z23"")"),218000)</f>
        <v>218000</v>
      </c>
      <c r="N57" s="93">
        <f ca="1">IFERROR(__xludf.DUMMYFUNCTION("IMPORTRANGE(""https://docs.google.com/spreadsheets/d/1Yj_ptqi66GCucihVvJfMjLAmec39IyEx_6qawtMGysU/edit?usp=sharing"",""สบก!AA23"")"),144210)</f>
        <v>144210</v>
      </c>
      <c r="O57" s="94">
        <f ca="1">IF(L57&gt;0,N57*100/L57,0)</f>
        <v>36.052500000000002</v>
      </c>
      <c r="P57" s="94">
        <f ca="1">IF(M57&gt;0,N57*100/M57,0)</f>
        <v>66.151376146788991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IFERROR(__xludf.DUMMYFUNCTION("IMPORTRANGE(""https://docs.google.com/spreadsheets/d/1Yj_ptqi66GCucihVvJfMjLAmec39IyEx_6qawtMGysU/edit?usp=sharing"",""สบก!V23"")"),400000)</f>
        <v>400000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IFERROR(__xludf.DUMMYFUNCTION("IMPORTRANGE(""https://docs.google.com/spreadsheets/d/1Yj_ptqi66GCucihVvJfMjLAmec39IyEx_6qawtMGysU/edit?usp=sharing"",""สบก!W23"")"),0)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IFERROR(__xludf.DUMMYFUNCTION("IMPORTRANGE(""https://docs.google.com/spreadsheets/d/1Yj_ptqi66GCucihVvJfMjLAmec39IyEx_6qawtMGysU/edit?usp=sharing"",""สบก!X23"")"),0)</f>
        <v>0</v>
      </c>
      <c r="M61" s="103"/>
      <c r="N61" s="93">
        <f ca="1">IFERROR(__xludf.DUMMYFUNCTION("IMPORTRANGE(""https://docs.google.com/spreadsheets/d/1Yj_ptqi66GCucihVvJfMjLAmec39IyEx_6qawtMGysU/edit?usp=sharing"",""สบก!AB23"")"),0)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IFERROR(__xludf.DUMMYFUNCTION("IMPORTRANGE(""https://docs.google.com/spreadsheets/d/11923uPwbBZFjjGgGUA6NLw09EwE0CqkOc4q9oUmW1yo/edit?usp=sharing"",""ตาก!I9"")"),0)</f>
        <v>0</v>
      </c>
      <c r="J64" s="148">
        <f ca="1">IFERROR(__xludf.DUMMYFUNCTION("IMPORTRANGE(""https://docs.google.com/spreadsheets/d/11923uPwbBZFjjGgGUA6NLw09EwE0CqkOc4q9oUmW1yo/edit?usp=sharing"",""ตาก!J9"")"),0)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IFERROR(__xludf.DUMMYFUNCTION("IMPORTRANGE(""https://docs.google.com/spreadsheets/d/11923uPwbBZFjjGgGUA6NLw09EwE0CqkOc4q9oUmW1yo/edit?usp=sharing"",""ตาก!I10"")"),0)</f>
        <v>0</v>
      </c>
      <c r="J65" s="148">
        <f ca="1">IFERROR(__xludf.DUMMYFUNCTION("IMPORTRANGE(""https://docs.google.com/spreadsheets/d/11923uPwbBZFjjGgGUA6NLw09EwE0CqkOc4q9oUmW1yo/edit?usp=sharing"",""ตาก!J10"")"),0)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IFERROR(__xludf.DUMMYFUNCTION("IMPORTRANGE(""https://docs.google.com/spreadsheets/d/1Yj_ptqi66GCucihVvJfMjLAmec39IyEx_6qawtMGysU/edit?usp=sharing"",""สบก!AI23"")"),0)</f>
        <v>0</v>
      </c>
      <c r="N70" s="177">
        <f ca="1">IFERROR(__xludf.DUMMYFUNCTION("IMPORTRANGE(""https://docs.google.com/spreadsheets/d/1Yj_ptqi66GCucihVvJfMjLAmec39IyEx_6qawtMGysU/edit?usp=sharing"",""สบก!AJ23"")"),0)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IFERROR(__xludf.DUMMYFUNCTION("IMPORTRANGE(""https://docs.google.com/spreadsheets/d/1Yj_ptqi66GCucihVvJfMjLAmec39IyEx_6qawtMGysU/edit?usp=sharing"",""สบก!AE23"")"),0)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IFERROR(__xludf.DUMMYFUNCTION("IMPORTRANGE(""https://docs.google.com/spreadsheets/d/1Yj_ptqi66GCucihVvJfMjLAmec39IyEx_6qawtMGysU/edit?usp=sharing"",""สบก!AF23"")"),0)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IFERROR(__xludf.DUMMYFUNCTION("IMPORTRANGE(""https://docs.google.com/spreadsheets/d/1Yj_ptqi66GCucihVvJfMjLAmec39IyEx_6qawtMGysU/edit?usp=sharing"",""สบก!AG23"")"),0)</f>
        <v>0</v>
      </c>
      <c r="M74" s="103"/>
      <c r="N74" s="93">
        <f ca="1">IFERROR(__xludf.DUMMYFUNCTION("IMPORTRANGE(""https://docs.google.com/spreadsheets/d/1Yj_ptqi66GCucihVvJfMjLAmec39IyEx_6qawtMGysU/edit?usp=sharing"",""สบก!AK23"")"),0)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IFERROR(__xludf.DUMMYFUNCTION("IMPORTRANGE(""https://docs.google.com/spreadsheets/d/11923uPwbBZFjjGgGUA6NLw09EwE0CqkOc4q9oUmW1yo/edit?usp=sharing"",""ตาก!J16"")"),0)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IFERROR(__xludf.DUMMYFUNCTION("IMPORTRANGE(""https://docs.google.com/spreadsheets/d/11923uPwbBZFjjGgGUA6NLw09EwE0CqkOc4q9oUmW1yo/edit?usp=sharing"",""ตาก!J17"")"),0)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IFERROR(__xludf.DUMMYFUNCTION("IMPORTRANGE(""https://docs.google.com/spreadsheets/d/11923uPwbBZFjjGgGUA6NLw09EwE0CqkOc4q9oUmW1yo/edit?usp=sharing"",""ตาก!J18"")"),0)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IFERROR(__xludf.DUMMYFUNCTION("IMPORTRANGE(""https://docs.google.com/spreadsheets/d/11923uPwbBZFjjGgGUA6NLw09EwE0CqkOc4q9oUmW1yo/edit?usp=sharing"",""ตาก!J19"")"),0)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IFERROR(__xludf.DUMMYFUNCTION("IMPORTRANGE(""https://docs.google.com/spreadsheets/d/11923uPwbBZFjjGgGUA6NLw09EwE0CqkOc4q9oUmW1yo/edit?usp=sharing"",""ตาก!I20"")"),0)</f>
        <v>0</v>
      </c>
      <c r="J80" s="210">
        <f ca="1">IFERROR(__xludf.DUMMYFUNCTION("IMPORTRANGE(""https://docs.google.com/spreadsheets/d/11923uPwbBZFjjGgGUA6NLw09EwE0CqkOc4q9oUmW1yo/edit?usp=sharing"",""ตาก!J20"")"),0)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IFERROR(__xludf.DUMMYFUNCTION("IMPORTRANGE(""https://docs.google.com/spreadsheets/d/11923uPwbBZFjjGgGUA6NLw09EwE0CqkOc4q9oUmW1yo/edit?usp=sharing"",""ตาก!I21"")"),0)</f>
        <v>0</v>
      </c>
      <c r="J81" s="210">
        <f ca="1">IFERROR(__xludf.DUMMYFUNCTION("IMPORTRANGE(""https://docs.google.com/spreadsheets/d/11923uPwbBZFjjGgGUA6NLw09EwE0CqkOc4q9oUmW1yo/edit?usp=sharing"",""ตาก!J21"")"),0)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IFERROR(__xludf.DUMMYFUNCTION("IMPORTRANGE(""https://docs.google.com/spreadsheets/d/11923uPwbBZFjjGgGUA6NLw09EwE0CqkOc4q9oUmW1yo/edit?usp=sharing"",""ตาก!I22"")"),0)</f>
        <v>0</v>
      </c>
      <c r="J82" s="213">
        <f ca="1">IFERROR(__xludf.DUMMYFUNCTION("IMPORTRANGE(""https://docs.google.com/spreadsheets/d/11923uPwbBZFjjGgGUA6NLw09EwE0CqkOc4q9oUmW1yo/edit?usp=sharing"",""ตาก!J22"")"),0)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IFERROR(__xludf.DUMMYFUNCTION("IMPORTRANGE(""https://docs.google.com/spreadsheets/d/11923uPwbBZFjjGgGUA6NLw09EwE0CqkOc4q9oUmW1yo/edit?usp=sharing"",""ตาก!I23"")"),0)</f>
        <v>0</v>
      </c>
      <c r="J83" s="213">
        <f ca="1">IFERROR(__xludf.DUMMYFUNCTION("IMPORTRANGE(""https://docs.google.com/spreadsheets/d/11923uPwbBZFjjGgGUA6NLw09EwE0CqkOc4q9oUmW1yo/edit?usp=sharing"",""ตาก!J23"")"),0)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IFERROR(__xludf.DUMMYFUNCTION("IMPORTRANGE(""https://docs.google.com/spreadsheets/d/11923uPwbBZFjjGgGUA6NLw09EwE0CqkOc4q9oUmW1yo/edit?usp=sharing"",""ตาก!I24"")"),0)</f>
        <v>0</v>
      </c>
      <c r="J84" s="198">
        <f ca="1">IFERROR(__xludf.DUMMYFUNCTION("IMPORTRANGE(""https://docs.google.com/spreadsheets/d/11923uPwbBZFjjGgGUA6NLw09EwE0CqkOc4q9oUmW1yo/edit?usp=sharing"",""ตาก!J24"")"),0)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IFERROR(__xludf.DUMMYFUNCTION("IMPORTRANGE(""https://docs.google.com/spreadsheets/d/11923uPwbBZFjjGgGUA6NLw09EwE0CqkOc4q9oUmW1yo/edit?usp=sharing"",""ตาก!I25"")"),0)</f>
        <v>0</v>
      </c>
      <c r="J85" s="198">
        <f ca="1">IFERROR(__xludf.DUMMYFUNCTION("IMPORTRANGE(""https://docs.google.com/spreadsheets/d/11923uPwbBZFjjGgGUA6NLw09EwE0CqkOc4q9oUmW1yo/edit?usp=sharing"",""ตาก!J25"")"),0)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IFERROR(__xludf.DUMMYFUNCTION("IMPORTRANGE(""https://docs.google.com/spreadsheets/d/11923uPwbBZFjjGgGUA6NLw09EwE0CqkOc4q9oUmW1yo/edit?usp=sharing"",""ตาก!I26"")"),0)</f>
        <v>0</v>
      </c>
      <c r="J86" s="213">
        <f ca="1">IFERROR(__xludf.DUMMYFUNCTION("IMPORTRANGE(""https://docs.google.com/spreadsheets/d/11923uPwbBZFjjGgGUA6NLw09EwE0CqkOc4q9oUmW1yo/edit?usp=sharing"",""ตาก!J26"")"),0)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IFERROR(__xludf.DUMMYFUNCTION("IMPORTRANGE(""https://docs.google.com/spreadsheets/d/11923uPwbBZFjjGgGUA6NLw09EwE0CqkOc4q9oUmW1yo/edit?usp=sharing"",""ตาก!I27"")"),0)</f>
        <v>0</v>
      </c>
      <c r="J87" s="213">
        <f ca="1">IFERROR(__xludf.DUMMYFUNCTION("IMPORTRANGE(""https://docs.google.com/spreadsheets/d/11923uPwbBZFjjGgGUA6NLw09EwE0CqkOc4q9oUmW1yo/edit?usp=sharing"",""ตาก!J27"")"),0)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IFERROR(__xludf.DUMMYFUNCTION("IMPORTRANGE(""https://docs.google.com/spreadsheets/d/11923uPwbBZFjjGgGUA6NLw09EwE0CqkOc4q9oUmW1yo/edit?usp=sharing"",""ตาก!I28"")"),0)</f>
        <v>0</v>
      </c>
      <c r="J88" s="213">
        <f ca="1">IFERROR(__xludf.DUMMYFUNCTION("IMPORTRANGE(""https://docs.google.com/spreadsheets/d/11923uPwbBZFjjGgGUA6NLw09EwE0CqkOc4q9oUmW1yo/edit?usp=sharing"",""ตาก!J28"")"),0)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IFERROR(__xludf.DUMMYFUNCTION("IMPORTRANGE(""https://docs.google.com/spreadsheets/d/11923uPwbBZFjjGgGUA6NLw09EwE0CqkOc4q9oUmW1yo/edit?usp=sharing"",""ตาก!J29"")"),0)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IFERROR(__xludf.DUMMYFUNCTION("IMPORTRANGE(""https://docs.google.com/spreadsheets/d/11923uPwbBZFjjGgGUA6NLw09EwE0CqkOc4q9oUmW1yo/edit?usp=sharing"",""ตาก!J30"")"),0)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IFERROR(__xludf.DUMMYFUNCTION("IMPORTRANGE(""https://docs.google.com/spreadsheets/d/11923uPwbBZFjjGgGUA6NLw09EwE0CqkOc4q9oUmW1yo/edit?usp=sharing"",""ตาก!I32"")"),4)</f>
        <v>4</v>
      </c>
      <c r="J92" s="148">
        <f ca="1">IFERROR(__xludf.DUMMYFUNCTION("IMPORTRANGE(""https://docs.google.com/spreadsheets/d/11923uPwbBZFjjGgGUA6NLw09EwE0CqkOc4q9oUmW1yo/edit?usp=sharing"",""ตาก!J32"")"),4)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IFERROR(__xludf.DUMMYFUNCTION("IMPORTRANGE(""https://docs.google.com/spreadsheets/d/11923uPwbBZFjjGgGUA6NLw09EwE0CqkOc4q9oUmW1yo/edit?usp=sharing"",""ตาก!I33"")"),1)</f>
        <v>1</v>
      </c>
      <c r="J93" s="148">
        <f ca="1">IFERROR(__xludf.DUMMYFUNCTION("IMPORTRANGE(""https://docs.google.com/spreadsheets/d/11923uPwbBZFjjGgGUA6NLw09EwE0CqkOc4q9oUmW1yo/edit?usp=sharing"",""ตาก!J33"")"),0)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120040</v>
      </c>
      <c r="O94" s="157">
        <f t="shared" ref="O94:O96" ca="1" si="53">IF(L94&gt;0,N94*100/L94,0)</f>
        <v>55.962703962703962</v>
      </c>
      <c r="P94" s="157">
        <f t="shared" ref="P94:P96" ca="1" si="54">IF(M94&gt;0,N94*100/M94,0)</f>
        <v>174.65444492943402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120040</v>
      </c>
      <c r="O96" s="162">
        <f t="shared" ca="1" si="53"/>
        <v>55.962703962703962</v>
      </c>
      <c r="P96" s="162">
        <f t="shared" ca="1" si="54"/>
        <v>174.65444492943402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IFERROR(__xludf.DUMMYFUNCTION("IMPORTRANGE(""https://docs.google.com/spreadsheets/d/1Yj_ptqi66GCucihVvJfMjLAmec39IyEx_6qawtMGysU/edit?usp=sharing"",""สบก!AR23"")"),68730)</f>
        <v>68730</v>
      </c>
      <c r="N98" s="177">
        <f ca="1">IFERROR(__xludf.DUMMYFUNCTION("IMPORTRANGE(""https://docs.google.com/spreadsheets/d/1Yj_ptqi66GCucihVvJfMjLAmec39IyEx_6qawtMGysU/edit?usp=sharing"",""สบก!AS23"")"),27640)</f>
        <v>27640</v>
      </c>
      <c r="O98" s="178">
        <f ca="1">IF(L98&gt;0,N98*100/L98,0)</f>
        <v>22.637182637182637</v>
      </c>
      <c r="P98" s="178">
        <f ca="1">IF(M98&gt;0,N98*100/M98,0)</f>
        <v>40.215335370289537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IFERROR(__xludf.DUMMYFUNCTION("IMPORTRANGE(""https://docs.google.com/spreadsheets/d/1Yj_ptqi66GCucihVvJfMjLAmec39IyEx_6qawtMGysU/edit?usp=sharing"",""สบก!AN23"")"),0)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IFERROR(__xludf.DUMMYFUNCTION("IMPORTRANGE(""https://docs.google.com/spreadsheets/d/1Yj_ptqi66GCucihVvJfMjLAmec39IyEx_6qawtMGysU/edit?usp=sharing"",""สบก!AO23"")"),122100)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IFERROR(__xludf.DUMMYFUNCTION("IMPORTRANGE(""https://docs.google.com/spreadsheets/d/1Yj_ptqi66GCucihVvJfMjLAmec39IyEx_6qawtMGysU/edit?usp=sharing"",""สบก!AP23"")"),92400)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IFERROR(__xludf.DUMMYFUNCTION("IMPORTRANGE(""https://docs.google.com/spreadsheets/d/1Yj_ptqi66GCucihVvJfMjLAmec39IyEx_6qawtMGysU/edit?usp=sharing"",""สบก!AT23"")"),92400)</f>
        <v>92400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IFERROR(__xludf.DUMMYFUNCTION("IMPORTRANGE(""https://docs.google.com/spreadsheets/d/11923uPwbBZFjjGgGUA6NLw09EwE0CqkOc4q9oUmW1yo/edit?usp=sharing"",""ตาก!J39"")"),0)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IFERROR(__xludf.DUMMYFUNCTION("IMPORTRANGE(""https://docs.google.com/spreadsheets/d/11923uPwbBZFjjGgGUA6NLw09EwE0CqkOc4q9oUmW1yo/edit?usp=sharing"",""ตาก!J40"")"),1)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IFERROR(__xludf.DUMMYFUNCTION("IMPORTRANGE(""https://docs.google.com/spreadsheets/d/11923uPwbBZFjjGgGUA6NLw09EwE0CqkOc4q9oUmW1yo/edit?usp=sharing"",""ตาก!J41"")"),1)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IFERROR(__xludf.DUMMYFUNCTION("IMPORTRANGE(""https://docs.google.com/spreadsheets/d/11923uPwbBZFjjGgGUA6NLw09EwE0CqkOc4q9oUmW1yo/edit?usp=sharing"",""ตาก!J42"")"),1)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IFERROR(__xludf.DUMMYFUNCTION("IMPORTRANGE(""https://docs.google.com/spreadsheets/d/11923uPwbBZFjjGgGUA6NLw09EwE0CqkOc4q9oUmW1yo/edit?usp=sharing"",""ตาก!I43"")"),1)</f>
        <v>1</v>
      </c>
      <c r="J108" s="213">
        <f ca="1">IFERROR(__xludf.DUMMYFUNCTION("IMPORTRANGE(""https://docs.google.com/spreadsheets/d/11923uPwbBZFjjGgGUA6NLw09EwE0CqkOc4q9oUmW1yo/edit?usp=sharing"",""ตาก!J43"")"),0)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IFERROR(__xludf.DUMMYFUNCTION("IMPORTRANGE(""https://docs.google.com/spreadsheets/d/11923uPwbBZFjjGgGUA6NLw09EwE0CqkOc4q9oUmW1yo/edit?usp=sharing"",""ตาก!I44"")"),4)</f>
        <v>4</v>
      </c>
      <c r="J109" s="213">
        <f ca="1">IFERROR(__xludf.DUMMYFUNCTION("IMPORTRANGE(""https://docs.google.com/spreadsheets/d/11923uPwbBZFjjGgGUA6NLw09EwE0CqkOc4q9oUmW1yo/edit?usp=sharing"",""ตาก!J44"")"),4)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IFERROR(__xludf.DUMMYFUNCTION("IMPORTRANGE(""https://docs.google.com/spreadsheets/d/11923uPwbBZFjjGgGUA6NLw09EwE0CqkOc4q9oUmW1yo/edit?usp=sharing"",""ตาก!I45"")"),4)</f>
        <v>4</v>
      </c>
      <c r="J110" s="213">
        <f ca="1">IFERROR(__xludf.DUMMYFUNCTION("IMPORTRANGE(""https://docs.google.com/spreadsheets/d/11923uPwbBZFjjGgGUA6NLw09EwE0CqkOc4q9oUmW1yo/edit?usp=sharing"",""ตาก!J45"")"),4)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IFERROR(__xludf.DUMMYFUNCTION("IMPORTRANGE(""https://docs.google.com/spreadsheets/d/11923uPwbBZFjjGgGUA6NLw09EwE0CqkOc4q9oUmW1yo/edit?usp=sharing"",""ตาก!I46"")"),4)</f>
        <v>4</v>
      </c>
      <c r="J111" s="213">
        <f ca="1">IFERROR(__xludf.DUMMYFUNCTION("IMPORTRANGE(""https://docs.google.com/spreadsheets/d/11923uPwbBZFjjGgGUA6NLw09EwE0CqkOc4q9oUmW1yo/edit?usp=sharing"",""ตาก!J46"")"),4)</f>
        <v>4</v>
      </c>
      <c r="K111" s="233">
        <f t="shared" ca="1" si="57"/>
        <v>100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IFERROR(__xludf.DUMMYFUNCTION("IMPORTRANGE(""https://docs.google.com/spreadsheets/d/11923uPwbBZFjjGgGUA6NLw09EwE0CqkOc4q9oUmW1yo/edit?usp=sharing"",""ตาก!I47"")"),4)</f>
        <v>4</v>
      </c>
      <c r="J112" s="213">
        <f ca="1">IFERROR(__xludf.DUMMYFUNCTION("IMPORTRANGE(""https://docs.google.com/spreadsheets/d/11923uPwbBZFjjGgGUA6NLw09EwE0CqkOc4q9oUmW1yo/edit?usp=sharing"",""ตาก!J47"")"),0)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IFERROR(__xludf.DUMMYFUNCTION("IMPORTRANGE(""https://docs.google.com/spreadsheets/d/11923uPwbBZFjjGgGUA6NLw09EwE0CqkOc4q9oUmW1yo/edit?usp=sharing"",""ตาก!I48"")"),1)</f>
        <v>1</v>
      </c>
      <c r="J113" s="213">
        <f ca="1">IFERROR(__xludf.DUMMYFUNCTION("IMPORTRANGE(""https://docs.google.com/spreadsheets/d/11923uPwbBZFjjGgGUA6NLw09EwE0CqkOc4q9oUmW1yo/edit?usp=sharing"",""ตาก!J48"")"),0)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IFERROR(__xludf.DUMMYFUNCTION("IMPORTRANGE(""https://docs.google.com/spreadsheets/d/11923uPwbBZFjjGgGUA6NLw09EwE0CqkOc4q9oUmW1yo/edit?usp=sharing"",""ตาก!J49"")"),0)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IFERROR(__xludf.DUMMYFUNCTION("IMPORTRANGE(""https://docs.google.com/spreadsheets/d/11923uPwbBZFjjGgGUA6NLw09EwE0CqkOc4q9oUmW1yo/edit?usp=sharing"",""ตาก!J50"")"),0)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IFERROR(__xludf.DUMMYFUNCTION("IMPORTRANGE(""https://docs.google.com/spreadsheets/d/11923uPwbBZFjjGgGUA6NLw09EwE0CqkOc4q9oUmW1yo/edit?usp=sharing"",""ตาก!I52"")"),20)</f>
        <v>20</v>
      </c>
      <c r="J117" s="148">
        <f ca="1">IFERROR(__xludf.DUMMYFUNCTION("IMPORTRANGE(""https://docs.google.com/spreadsheets/d/11923uPwbBZFjjGgGUA6NLw09EwE0CqkOc4q9oUmW1yo/edit?usp=sharing"",""ตาก!J52"")"),20)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40930</v>
      </c>
      <c r="O118" s="157">
        <f t="shared" ref="O118:O120" ca="1" si="59">IF(L118&gt;0,N118*100/L118,0)</f>
        <v>49.648229015041245</v>
      </c>
      <c r="P118" s="157">
        <f t="shared" ref="P118:P120" ca="1" si="60">IF(M118&gt;0,N118*100/M118,0)</f>
        <v>61.604455147501504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40930</v>
      </c>
      <c r="O120" s="162">
        <f t="shared" ca="1" si="59"/>
        <v>49.648229015041245</v>
      </c>
      <c r="P120" s="162">
        <f t="shared" ca="1" si="60"/>
        <v>61.604455147501504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IFERROR(__xludf.DUMMYFUNCTION("IMPORTRANGE(""https://docs.google.com/spreadsheets/d/1Yj_ptqi66GCucihVvJfMjLAmec39IyEx_6qawtMGysU/edit?usp=sharing"",""สบก!BA23"")"),66440)</f>
        <v>66440</v>
      </c>
      <c r="N122" s="177">
        <f ca="1">IFERROR(__xludf.DUMMYFUNCTION("IMPORTRANGE(""https://docs.google.com/spreadsheets/d/1Yj_ptqi66GCucihVvJfMjLAmec39IyEx_6qawtMGysU/edit?usp=sharing"",""สบก!BB23"")"),40930)</f>
        <v>40930</v>
      </c>
      <c r="O122" s="178">
        <f ca="1">IF(L122&gt;0,N122*100/L122,0)</f>
        <v>49.648229015041245</v>
      </c>
      <c r="P122" s="178">
        <f ca="1">IF(M122&gt;0,N122*100/M122,0)</f>
        <v>61.604455147501504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IFERROR(__xludf.DUMMYFUNCTION("IMPORTRANGE(""https://docs.google.com/spreadsheets/d/1Yj_ptqi66GCucihVvJfMjLAmec39IyEx_6qawtMGysU/edit?usp=sharing"",""สบก!AW23"")"),0)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IFERROR(__xludf.DUMMYFUNCTION("IMPORTRANGE(""https://docs.google.com/spreadsheets/d/1Yj_ptqi66GCucihVvJfMjLAmec39IyEx_6qawtMGysU/edit?usp=sharing"",""สบก!AX23"")"),82440)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IFERROR(__xludf.DUMMYFUNCTION("IMPORTRANGE(""https://docs.google.com/spreadsheets/d/1Yj_ptqi66GCucihVvJfMjLAmec39IyEx_6qawtMGysU/edit?usp=sharing"",""สบก!AY23"")"),0)</f>
        <v>0</v>
      </c>
      <c r="M126" s="103"/>
      <c r="N126" s="93">
        <f ca="1">IFERROR(__xludf.DUMMYFUNCTION("IMPORTRANGE(""https://docs.google.com/spreadsheets/d/1Yj_ptqi66GCucihVvJfMjLAmec39IyEx_6qawtMGysU/edit?usp=sharing"",""สบก!BC23"")"),0)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246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IFERROR(__xludf.DUMMYFUNCTION("IMPORTRANGE(""https://docs.google.com/spreadsheets/d/11923uPwbBZFjjGgGUA6NLw09EwE0CqkOc4q9oUmW1yo/edit?usp=sharing"",""ตาก!J58"")"),0)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IFERROR(__xludf.DUMMYFUNCTION("IMPORTRANGE(""https://docs.google.com/spreadsheets/d/11923uPwbBZFjjGgGUA6NLw09EwE0CqkOc4q9oUmW1yo/edit?usp=sharing"",""ตาก!J59"")"),1)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IFERROR(__xludf.DUMMYFUNCTION("IMPORTRANGE(""https://docs.google.com/spreadsheets/d/11923uPwbBZFjjGgGUA6NLw09EwE0CqkOc4q9oUmW1yo/edit?usp=sharing"",""ตาก!J60"")"),1)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IFERROR(__xludf.DUMMYFUNCTION("IMPORTRANGE(""https://docs.google.com/spreadsheets/d/11923uPwbBZFjjGgGUA6NLw09EwE0CqkOc4q9oUmW1yo/edit?usp=sharing"",""ตาก!J61"")"),1)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IFERROR(__xludf.DUMMYFUNCTION("IMPORTRANGE(""https://docs.google.com/spreadsheets/d/11923uPwbBZFjjGgGUA6NLw09EwE0CqkOc4q9oUmW1yo/edit?usp=sharing"",""ตาก!I62"")"),20)</f>
        <v>20</v>
      </c>
      <c r="J132" s="213">
        <f ca="1">IFERROR(__xludf.DUMMYFUNCTION("IMPORTRANGE(""https://docs.google.com/spreadsheets/d/11923uPwbBZFjjGgGUA6NLw09EwE0CqkOc4q9oUmW1yo/edit?usp=sharing"",""ตาก!J62"")"),20)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IFERROR(__xludf.DUMMYFUNCTION("IMPORTRANGE(""https://docs.google.com/spreadsheets/d/11923uPwbBZFjjGgGUA6NLw09EwE0CqkOc4q9oUmW1yo/edit?usp=sharing"",""ตาก!I63"")"),20)</f>
        <v>20</v>
      </c>
      <c r="J133" s="213">
        <f ca="1">IFERROR(__xludf.DUMMYFUNCTION("IMPORTRANGE(""https://docs.google.com/spreadsheets/d/11923uPwbBZFjjGgGUA6NLw09EwE0CqkOc4q9oUmW1yo/edit?usp=sharing"",""ตาก!J63"")"),0)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IFERROR(__xludf.DUMMYFUNCTION("IMPORTRANGE(""https://docs.google.com/spreadsheets/d/11923uPwbBZFjjGgGUA6NLw09EwE0CqkOc4q9oUmW1yo/edit?usp=sharing"",""ตาก!J64"")"),0)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IFERROR(__xludf.DUMMYFUNCTION("IMPORTRANGE(""https://docs.google.com/spreadsheets/d/11923uPwbBZFjjGgGUA6NLw09EwE0CqkOc4q9oUmW1yo/edit?usp=sharing"",""ตาก!J65"")"),0)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IFERROR(__xludf.DUMMYFUNCTION("IMPORTRANGE(""https://docs.google.com/spreadsheets/d/11923uPwbBZFjjGgGUA6NLw09EwE0CqkOc4q9oUmW1yo/edit?usp=sharing"",""ตาก!I68"")"),0)</f>
        <v>0</v>
      </c>
      <c r="J138" s="276">
        <f ca="1">IFERROR(__xludf.DUMMYFUNCTION("IMPORTRANGE(""https://docs.google.com/spreadsheets/d/11923uPwbBZFjjGgGUA6NLw09EwE0CqkOc4q9oUmW1yo/edit?usp=sharing"",""ตาก!J68"")"),0)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69000</v>
      </c>
      <c r="M140" s="158">
        <f t="shared" ca="1" si="64"/>
        <v>45750</v>
      </c>
      <c r="N140" s="158">
        <f t="shared" ca="1" si="64"/>
        <v>17905</v>
      </c>
      <c r="O140" s="157">
        <f t="shared" ref="O140:O142" ca="1" si="65">IF(L140&gt;0,N140*100/L140,0)</f>
        <v>25.94927536231884</v>
      </c>
      <c r="P140" s="157">
        <f t="shared" ref="P140:P142" ca="1" si="66">IF(M140&gt;0,N140*100/M140,0)</f>
        <v>39.136612021857921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69000</v>
      </c>
      <c r="M142" s="163">
        <f t="shared" ca="1" si="68"/>
        <v>45750</v>
      </c>
      <c r="N142" s="163">
        <f t="shared" ca="1" si="68"/>
        <v>17905</v>
      </c>
      <c r="O142" s="162">
        <f t="shared" ca="1" si="65"/>
        <v>25.94927536231884</v>
      </c>
      <c r="P142" s="162">
        <f t="shared" ca="1" si="66"/>
        <v>39.136612021857921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69000</v>
      </c>
      <c r="M144" s="176">
        <f ca="1">IFERROR(__xludf.DUMMYFUNCTION("IMPORTRANGE(""https://docs.google.com/spreadsheets/d/1Yj_ptqi66GCucihVvJfMjLAmec39IyEx_6qawtMGysU/edit?usp=sharing"",""สบก!BJ23"")"),45750)</f>
        <v>45750</v>
      </c>
      <c r="N144" s="177">
        <f ca="1">IFERROR(__xludf.DUMMYFUNCTION("IMPORTRANGE(""https://docs.google.com/spreadsheets/d/1Yj_ptqi66GCucihVvJfMjLAmec39IyEx_6qawtMGysU/edit?usp=sharing"",""สบก!BK23"")"),17905)</f>
        <v>17905</v>
      </c>
      <c r="O144" s="178">
        <f ca="1">IF(L144&gt;0,N144*100/L144,0)</f>
        <v>25.94927536231884</v>
      </c>
      <c r="P144" s="178">
        <f ca="1">IF(M144&gt;0,N144*100/M144,0)</f>
        <v>39.136612021857921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IFERROR(__xludf.DUMMYFUNCTION("IMPORTRANGE(""https://docs.google.com/spreadsheets/d/1Yj_ptqi66GCucihVvJfMjLAmec39IyEx_6qawtMGysU/edit?usp=sharing"",""สบก!BF23"")"),0)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IFERROR(__xludf.DUMMYFUNCTION("IMPORTRANGE(""https://docs.google.com/spreadsheets/d/1Yj_ptqi66GCucihVvJfMjLAmec39IyEx_6qawtMGysU/edit?usp=sharing"",""สบก!BG23"")"),69000)</f>
        <v>69000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IFERROR(__xludf.DUMMYFUNCTION("IMPORTRANGE(""https://docs.google.com/spreadsheets/d/1Yj_ptqi66GCucihVvJfMjLAmec39IyEx_6qawtMGysU/edit?usp=sharing"",""สบก!BH23"")"),0)</f>
        <v>0</v>
      </c>
      <c r="M148" s="103"/>
      <c r="N148" s="93">
        <f ca="1">IFERROR(__xludf.DUMMYFUNCTION("IMPORTRANGE(""https://docs.google.com/spreadsheets/d/1Yj_ptqi66GCucihVvJfMjLAmec39IyEx_6qawtMGysU/edit?usp=sharing"",""สบก!BL23"")"),0)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IFERROR(__xludf.DUMMYFUNCTION("IMPORTRANGE(""https://docs.google.com/spreadsheets/d/11923uPwbBZFjjGgGUA6NLw09EwE0CqkOc4q9oUmW1yo/edit?usp=sharing"",""ตาก!I74"")"),4)</f>
        <v>4</v>
      </c>
      <c r="J149" s="284">
        <f ca="1">IFERROR(__xludf.DUMMYFUNCTION("IMPORTRANGE(""https://docs.google.com/spreadsheets/d/11923uPwbBZFjjGgGUA6NLw09EwE0CqkOc4q9oUmW1yo/edit?usp=sharing"",""ตาก!J74"")"),1)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IFERROR(__xludf.DUMMYFUNCTION("IMPORTRANGE(""https://docs.google.com/spreadsheets/d/11923uPwbBZFjjGgGUA6NLw09EwE0CqkOc4q9oUmW1yo/edit?usp=sharing"",""ตาก!J79"")"),0)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IFERROR(__xludf.DUMMYFUNCTION("IMPORTRANGE(""https://docs.google.com/spreadsheets/d/11923uPwbBZFjjGgGUA6NLw09EwE0CqkOc4q9oUmW1yo/edit?usp=sharing"",""ตาก!J80"")"),1)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IFERROR(__xludf.DUMMYFUNCTION("IMPORTRANGE(""https://docs.google.com/spreadsheets/d/11923uPwbBZFjjGgGUA6NLw09EwE0CqkOc4q9oUmW1yo/edit?usp=sharing"",""ตาก!J81"")"),1)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IFERROR(__xludf.DUMMYFUNCTION("IMPORTRANGE(""https://docs.google.com/spreadsheets/d/11923uPwbBZFjjGgGUA6NLw09EwE0CqkOc4q9oUmW1yo/edit?usp=sharing"",""ตาก!J82"")"),1)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IFERROR(__xludf.DUMMYFUNCTION("IMPORTRANGE(""https://docs.google.com/spreadsheets/d/11923uPwbBZFjjGgGUA6NLw09EwE0CqkOc4q9oUmW1yo/edit?usp=sharing"",""ตาก!I83"")"),4)</f>
        <v>4</v>
      </c>
      <c r="J158" s="198">
        <f ca="1">IFERROR(__xludf.DUMMYFUNCTION("IMPORTRANGE(""https://docs.google.com/spreadsheets/d/11923uPwbBZFjjGgGUA6NLw09EwE0CqkOc4q9oUmW1yo/edit?usp=sharing"",""ตาก!J83"")"),1)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IFERROR(__xludf.DUMMYFUNCTION("IMPORTRANGE(""https://docs.google.com/spreadsheets/d/11923uPwbBZFjjGgGUA6NLw09EwE0CqkOc4q9oUmW1yo/edit?usp=sharing"",""ตาก!J84"")"),52)</f>
        <v>52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IFERROR(__xludf.DUMMYFUNCTION("IMPORTRANGE(""https://docs.google.com/spreadsheets/d/11923uPwbBZFjjGgGUA6NLw09EwE0CqkOc4q9oUmW1yo/edit?usp=sharing"",""ตาก!J85"")"),52)</f>
        <v>52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IFERROR(__xludf.DUMMYFUNCTION("IMPORTRANGE(""https://docs.google.com/spreadsheets/d/11923uPwbBZFjjGgGUA6NLw09EwE0CqkOc4q9oUmW1yo/edit?usp=sharing"",""ตาก!J86"")"),0)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IFERROR(__xludf.DUMMYFUNCTION("IMPORTRANGE(""https://docs.google.com/spreadsheets/d/11923uPwbBZFjjGgGUA6NLw09EwE0CqkOc4q9oUmW1yo/edit?usp=sharing"",""ตาก!J87"")"),0)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IFERROR(__xludf.DUMMYFUNCTION("IMPORTRANGE(""https://docs.google.com/spreadsheets/d/11923uPwbBZFjjGgGUA6NLw09EwE0CqkOc4q9oUmW1yo/edit?usp=sharing"",""ตาก!J88"")"),0)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IFERROR(__xludf.DUMMYFUNCTION("IMPORTRANGE(""https://docs.google.com/spreadsheets/d/11923uPwbBZFjjGgGUA6NLw09EwE0CqkOc4q9oUmW1yo/edit?usp=sharing"",""ตาก!I89"")"),3)</f>
        <v>3</v>
      </c>
      <c r="J164" s="292">
        <f ca="1">IFERROR(__xludf.DUMMYFUNCTION("IMPORTRANGE(""https://docs.google.com/spreadsheets/d/11923uPwbBZFjjGgGUA6NLw09EwE0CqkOc4q9oUmW1yo/edit?usp=sharing"",""ตาก!J89"")"),3)</f>
        <v>3</v>
      </c>
      <c r="K164" s="293">
        <f ca="1">IF(I164&gt;0,J164*100/I164,0)</f>
        <v>100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IFERROR(__xludf.DUMMYFUNCTION("IMPORTRANGE(""https://docs.google.com/spreadsheets/d/11923uPwbBZFjjGgGUA6NLw09EwE0CqkOc4q9oUmW1yo/edit?usp=sharing"",""ตาก!J94"")"),0)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IFERROR(__xludf.DUMMYFUNCTION("IMPORTRANGE(""https://docs.google.com/spreadsheets/d/11923uPwbBZFjjGgGUA6NLw09EwE0CqkOc4q9oUmW1yo/edit?usp=sharing"",""ตาก!J95"")"),1)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IFERROR(__xludf.DUMMYFUNCTION("IMPORTRANGE(""https://docs.google.com/spreadsheets/d/11923uPwbBZFjjGgGUA6NLw09EwE0CqkOc4q9oUmW1yo/edit?usp=sharing"",""ตาก!J96"")"),1)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IFERROR(__xludf.DUMMYFUNCTION("IMPORTRANGE(""https://docs.google.com/spreadsheets/d/11923uPwbBZFjjGgGUA6NLw09EwE0CqkOc4q9oUmW1yo/edit?usp=sharing"",""ตาก!J97"")"),1)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IFERROR(__xludf.DUMMYFUNCTION("IMPORTRANGE(""https://docs.google.com/spreadsheets/d/11923uPwbBZFjjGgGUA6NLw09EwE0CqkOc4q9oUmW1yo/edit?usp=sharing"",""ตาก!I98"")"),3)</f>
        <v>3</v>
      </c>
      <c r="J173" s="198">
        <f ca="1">IFERROR(__xludf.DUMMYFUNCTION("IMPORTRANGE(""https://docs.google.com/spreadsheets/d/11923uPwbBZFjjGgGUA6NLw09EwE0CqkOc4q9oUmW1yo/edit?usp=sharing"",""ตาก!J98"")"),3)</f>
        <v>3</v>
      </c>
      <c r="K173" s="171">
        <f ca="1">IF(I173&gt;0,J173*100/I173,0)</f>
        <v>100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IFERROR(__xludf.DUMMYFUNCTION("IMPORTRANGE(""https://docs.google.com/spreadsheets/d/11923uPwbBZFjjGgGUA6NLw09EwE0CqkOc4q9oUmW1yo/edit?usp=sharing"",""ตาก!J99"")"),0)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IFERROR(__xludf.DUMMYFUNCTION("IMPORTRANGE(""https://docs.google.com/spreadsheets/d/11923uPwbBZFjjGgGUA6NLw09EwE0CqkOc4q9oUmW1yo/edit?usp=sharing"",""ตาก!J100"")"),0)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IFERROR(__xludf.DUMMYFUNCTION("IMPORTRANGE(""https://docs.google.com/spreadsheets/d/11923uPwbBZFjjGgGUA6NLw09EwE0CqkOc4q9oUmW1yo/edit?usp=sharing"",""ตาก!I101"")"),0)</f>
        <v>0</v>
      </c>
      <c r="J176" s="292">
        <f ca="1">IFERROR(__xludf.DUMMYFUNCTION("IMPORTRANGE(""https://docs.google.com/spreadsheets/d/11923uPwbBZFjjGgGUA6NLw09EwE0CqkOc4q9oUmW1yo/edit?usp=sharing"",""ตาก!J101"")"),0)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IFERROR(__xludf.DUMMYFUNCTION("IMPORTRANGE(""https://docs.google.com/spreadsheets/d/11923uPwbBZFjjGgGUA6NLw09EwE0CqkOc4q9oUmW1yo/edit?usp=sharing"",""ตาก!J106"")"),0)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IFERROR(__xludf.DUMMYFUNCTION("IMPORTRANGE(""https://docs.google.com/spreadsheets/d/11923uPwbBZFjjGgGUA6NLw09EwE0CqkOc4q9oUmW1yo/edit?usp=sharing"",""ตาก!J107"")"),0)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IFERROR(__xludf.DUMMYFUNCTION("IMPORTRANGE(""https://docs.google.com/spreadsheets/d/11923uPwbBZFjjGgGUA6NLw09EwE0CqkOc4q9oUmW1yo/edit?usp=sharing"",""ตาก!J108"")"),0)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IFERROR(__xludf.DUMMYFUNCTION("IMPORTRANGE(""https://docs.google.com/spreadsheets/d/11923uPwbBZFjjGgGUA6NLw09EwE0CqkOc4q9oUmW1yo/edit?usp=sharing"",""ตาก!J109"")"),0)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IFERROR(__xludf.DUMMYFUNCTION("IMPORTRANGE(""https://docs.google.com/spreadsheets/d/11923uPwbBZFjjGgGUA6NLw09EwE0CqkOc4q9oUmW1yo/edit?usp=sharing"",""ตาก!I110"")"),0)</f>
        <v>0</v>
      </c>
      <c r="J185" s="213">
        <f ca="1">IFERROR(__xludf.DUMMYFUNCTION("IMPORTRANGE(""https://docs.google.com/spreadsheets/d/11923uPwbBZFjjGgGUA6NLw09EwE0CqkOc4q9oUmW1yo/edit?usp=sharing"",""ตาก!J110"")"),0)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IFERROR(__xludf.DUMMYFUNCTION("IMPORTRANGE(""https://docs.google.com/spreadsheets/d/11923uPwbBZFjjGgGUA6NLw09EwE0CqkOc4q9oUmW1yo/edit?usp=sharing"",""ตาก!I111"")"),0)</f>
        <v>0</v>
      </c>
      <c r="J186" s="213">
        <f ca="1">IFERROR(__xludf.DUMMYFUNCTION("IMPORTRANGE(""https://docs.google.com/spreadsheets/d/11923uPwbBZFjjGgGUA6NLw09EwE0CqkOc4q9oUmW1yo/edit?usp=sharing"",""ตาก!J111"")"),0)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IFERROR(__xludf.DUMMYFUNCTION("IMPORTRANGE(""https://docs.google.com/spreadsheets/d/11923uPwbBZFjjGgGUA6NLw09EwE0CqkOc4q9oUmW1yo/edit?usp=sharing"",""ตาก!J112"")"),0)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IFERROR(__xludf.DUMMYFUNCTION("IMPORTRANGE(""https://docs.google.com/spreadsheets/d/11923uPwbBZFjjGgGUA6NLw09EwE0CqkOc4q9oUmW1yo/edit?usp=sharing"",""ตาก!J113"")"),0)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IFERROR(__xludf.DUMMYFUNCTION("IMPORTRANGE(""https://docs.google.com/spreadsheets/d/11923uPwbBZFjjGgGUA6NLw09EwE0CqkOc4q9oUmW1yo/edit?usp=sharing"",""ตาก!I114"")"),50000)</f>
        <v>50000</v>
      </c>
      <c r="J189" s="292">
        <f ca="1">IFERROR(__xludf.DUMMYFUNCTION("IMPORTRANGE(""https://docs.google.com/spreadsheets/d/11923uPwbBZFjjGgGUA6NLw09EwE0CqkOc4q9oUmW1yo/edit?usp=sharing"",""ตาก!J114"")"),0)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IFERROR(__xludf.DUMMYFUNCTION("IMPORTRANGE(""https://docs.google.com/spreadsheets/d/11923uPwbBZFjjGgGUA6NLw09EwE0CqkOc4q9oUmW1yo/edit?usp=sharing"",""ตาก!J119"")"),0)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IFERROR(__xludf.DUMMYFUNCTION("IMPORTRANGE(""https://docs.google.com/spreadsheets/d/11923uPwbBZFjjGgGUA6NLw09EwE0CqkOc4q9oUmW1yo/edit?usp=sharing"",""ตาก!J120"")"),1)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IFERROR(__xludf.DUMMYFUNCTION("IMPORTRANGE(""https://docs.google.com/spreadsheets/d/11923uPwbBZFjjGgGUA6NLw09EwE0CqkOc4q9oUmW1yo/edit?usp=sharing"",""ตาก!J121"")"),1)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IFERROR(__xludf.DUMMYFUNCTION("IMPORTRANGE(""https://docs.google.com/spreadsheets/d/11923uPwbBZFjjGgGUA6NLw09EwE0CqkOc4q9oUmW1yo/edit?usp=sharing"",""ตาก!J122"")"),1)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IFERROR(__xludf.DUMMYFUNCTION("IMPORTRANGE(""https://docs.google.com/spreadsheets/d/11923uPwbBZFjjGgGUA6NLw09EwE0CqkOc4q9oUmW1yo/edit?usp=sharing"",""ตาก!I124"")"),50000)</f>
        <v>50000</v>
      </c>
      <c r="J199" s="198">
        <f ca="1">IFERROR(__xludf.DUMMYFUNCTION("IMPORTRANGE(""https://docs.google.com/spreadsheets/d/11923uPwbBZFjjGgGUA6NLw09EwE0CqkOc4q9oUmW1yo/edit?usp=sharing"",""ตาก!J124"")"),0)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IFERROR(__xludf.DUMMYFUNCTION("IMPORTRANGE(""https://docs.google.com/spreadsheets/d/11923uPwbBZFjjGgGUA6NLw09EwE0CqkOc4q9oUmW1yo/edit?usp=sharing"",""ตาก!I125"")"),50000)</f>
        <v>50000</v>
      </c>
      <c r="J200" s="198">
        <f ca="1">IFERROR(__xludf.DUMMYFUNCTION("IMPORTRANGE(""https://docs.google.com/spreadsheets/d/11923uPwbBZFjjGgGUA6NLw09EwE0CqkOc4q9oUmW1yo/edit?usp=sharing"",""ตาก!J125"")"),0)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IFERROR(__xludf.DUMMYFUNCTION("IMPORTRANGE(""https://docs.google.com/spreadsheets/d/11923uPwbBZFjjGgGUA6NLw09EwE0CqkOc4q9oUmW1yo/edit?usp=sharing"",""ตาก!I126"")"),0)</f>
        <v>0</v>
      </c>
      <c r="J201" s="198">
        <f ca="1">IFERROR(__xludf.DUMMYFUNCTION("IMPORTRANGE(""https://docs.google.com/spreadsheets/d/11923uPwbBZFjjGgGUA6NLw09EwE0CqkOc4q9oUmW1yo/edit?usp=sharing"",""ตาก!J126"")"),0)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IFERROR(__xludf.DUMMYFUNCTION("IMPORTRANGE(""https://docs.google.com/spreadsheets/d/11923uPwbBZFjjGgGUA6NLw09EwE0CqkOc4q9oUmW1yo/edit?usp=sharing"",""ตาก!J127"")"),0)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IFERROR(__xludf.DUMMYFUNCTION("IMPORTRANGE(""https://docs.google.com/spreadsheets/d/11923uPwbBZFjjGgGUA6NLw09EwE0CqkOc4q9oUmW1yo/edit?usp=sharing"",""ตาก!J128"")"),0)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IFERROR(__xludf.DUMMYFUNCTION("IMPORTRANGE(""https://docs.google.com/spreadsheets/d/11923uPwbBZFjjGgGUA6NLw09EwE0CqkOc4q9oUmW1yo/edit?usp=sharing"",""ตาก!I129"")"),0)</f>
        <v>0</v>
      </c>
      <c r="J204" s="292">
        <f ca="1">IFERROR(__xludf.DUMMYFUNCTION("IMPORTRANGE(""https://docs.google.com/spreadsheets/d/11923uPwbBZFjjGgGUA6NLw09EwE0CqkOc4q9oUmW1yo/edit?usp=sharing"",""ตาก!J129"")"),0)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IFERROR(__xludf.DUMMYFUNCTION("IMPORTRANGE(""https://docs.google.com/spreadsheets/d/11923uPwbBZFjjGgGUA6NLw09EwE0CqkOc4q9oUmW1yo/edit?usp=sharing"",""ตาก!J134"")"),0)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IFERROR(__xludf.DUMMYFUNCTION("IMPORTRANGE(""https://docs.google.com/spreadsheets/d/11923uPwbBZFjjGgGUA6NLw09EwE0CqkOc4q9oUmW1yo/edit?usp=sharing"",""ตาก!J135"")"),0)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IFERROR(__xludf.DUMMYFUNCTION("IMPORTRANGE(""https://docs.google.com/spreadsheets/d/11923uPwbBZFjjGgGUA6NLw09EwE0CqkOc4q9oUmW1yo/edit?usp=sharing"",""ตาก!J136"")"),0)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IFERROR(__xludf.DUMMYFUNCTION("IMPORTRANGE(""https://docs.google.com/spreadsheets/d/11923uPwbBZFjjGgGUA6NLw09EwE0CqkOc4q9oUmW1yo/edit?usp=sharing"",""ตาก!J137"")"),0)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IFERROR(__xludf.DUMMYFUNCTION("IMPORTRANGE(""https://docs.google.com/spreadsheets/d/11923uPwbBZFjjGgGUA6NLw09EwE0CqkOc4q9oUmW1yo/edit?usp=sharing"",""ตาก!I138"")"),0)</f>
        <v>0</v>
      </c>
      <c r="J213" s="213">
        <f ca="1">IFERROR(__xludf.DUMMYFUNCTION("IMPORTRANGE(""https://docs.google.com/spreadsheets/d/11923uPwbBZFjjGgGUA6NLw09EwE0CqkOc4q9oUmW1yo/edit?usp=sharing"",""ตาก!J138"")"),0)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IFERROR(__xludf.DUMMYFUNCTION("IMPORTRANGE(""https://docs.google.com/spreadsheets/d/11923uPwbBZFjjGgGUA6NLw09EwE0CqkOc4q9oUmW1yo/edit?usp=sharing"",""ตาก!I140"")"),0)</f>
        <v>0</v>
      </c>
      <c r="J215" s="213">
        <f ca="1">IFERROR(__xludf.DUMMYFUNCTION("IMPORTRANGE(""https://docs.google.com/spreadsheets/d/11923uPwbBZFjjGgGUA6NLw09EwE0CqkOc4q9oUmW1yo/edit?usp=sharing"",""ตาก!J140"")"),0)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IFERROR(__xludf.DUMMYFUNCTION("IMPORTRANGE(""https://docs.google.com/spreadsheets/d/11923uPwbBZFjjGgGUA6NLw09EwE0CqkOc4q9oUmW1yo/edit?usp=sharing"",""ตาก!I141"")"),0)</f>
        <v>0</v>
      </c>
      <c r="J216" s="213">
        <f ca="1">IFERROR(__xludf.DUMMYFUNCTION("IMPORTRANGE(""https://docs.google.com/spreadsheets/d/11923uPwbBZFjjGgGUA6NLw09EwE0CqkOc4q9oUmW1yo/edit?usp=sharing"",""ตาก!J141"")"),0)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IFERROR(__xludf.DUMMYFUNCTION("IMPORTRANGE(""https://docs.google.com/spreadsheets/d/11923uPwbBZFjjGgGUA6NLw09EwE0CqkOc4q9oUmW1yo/edit?usp=sharing"",""ตาก!J142"")"),0)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IFERROR(__xludf.DUMMYFUNCTION("IMPORTRANGE(""https://docs.google.com/spreadsheets/d/11923uPwbBZFjjGgGUA6NLw09EwE0CqkOc4q9oUmW1yo/edit?usp=sharing"",""ตาก!J143"")"),0)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IFERROR(__xludf.DUMMYFUNCTION("IMPORTRANGE(""https://docs.google.com/spreadsheets/d/11923uPwbBZFjjGgGUA6NLw09EwE0CqkOc4q9oUmW1yo/edit?usp=sharing"",""ตาก!I144"")"),14)</f>
        <v>14</v>
      </c>
      <c r="J219" s="276">
        <f ca="1">IFERROR(__xludf.DUMMYFUNCTION("IMPORTRANGE(""https://docs.google.com/spreadsheets/d/11923uPwbBZFjjGgGUA6NLw09EwE0CqkOc4q9oUmW1yo/edit?usp=sharing"",""ตาก!J144"")"),14)</f>
        <v>14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20210</v>
      </c>
      <c r="M220" s="158">
        <f t="shared" ca="1" si="72"/>
        <v>20210</v>
      </c>
      <c r="N220" s="158">
        <f t="shared" ca="1" si="72"/>
        <v>20210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20210</v>
      </c>
      <c r="M222" s="163">
        <f t="shared" ca="1" si="76"/>
        <v>20210</v>
      </c>
      <c r="N222" s="163">
        <f t="shared" ca="1" si="76"/>
        <v>20210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20210</v>
      </c>
      <c r="M224" s="176">
        <f ca="1">IFERROR(__xludf.DUMMYFUNCTION("IMPORTRANGE(""https://docs.google.com/spreadsheets/d/1Yj_ptqi66GCucihVvJfMjLAmec39IyEx_6qawtMGysU/edit?usp=sharing"",""สบก!BS23"")"),20210)</f>
        <v>20210</v>
      </c>
      <c r="N224" s="177">
        <f ca="1">IFERROR(__xludf.DUMMYFUNCTION("IMPORTRANGE(""https://docs.google.com/spreadsheets/d/1Yj_ptqi66GCucihVvJfMjLAmec39IyEx_6qawtMGysU/edit?usp=sharing"",""สบก!BT23"")"),20210)</f>
        <v>20210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IFERROR(__xludf.DUMMYFUNCTION("IMPORTRANGE(""https://docs.google.com/spreadsheets/d/1Yj_ptqi66GCucihVvJfMjLAmec39IyEx_6qawtMGysU/edit?usp=sharing"",""สบก!BO23"")"),0)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IFERROR(__xludf.DUMMYFUNCTION("IMPORTRANGE(""https://docs.google.com/spreadsheets/d/1Yj_ptqi66GCucihVvJfMjLAmec39IyEx_6qawtMGysU/edit?usp=sharing"",""สบก!BP23"")"),20210)</f>
        <v>20210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IFERROR(__xludf.DUMMYFUNCTION("IMPORTRANGE(""https://docs.google.com/spreadsheets/d/1Yj_ptqi66GCucihVvJfMjLAmec39IyEx_6qawtMGysU/edit?usp=sharing"",""สบก!BQ23"")"),0)</f>
        <v>0</v>
      </c>
      <c r="M228" s="103"/>
      <c r="N228" s="93">
        <f ca="1">IFERROR(__xludf.DUMMYFUNCTION("IMPORTRANGE(""https://docs.google.com/spreadsheets/d/1Yj_ptqi66GCucihVvJfMjLAmec39IyEx_6qawtMGysU/edit?usp=sharing"",""สบก!BU23"")"),0)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IFERROR(__xludf.DUMMYFUNCTION("IMPORTRANGE(""https://docs.google.com/spreadsheets/d/11923uPwbBZFjjGgGUA6NLw09EwE0CqkOc4q9oUmW1yo/edit?usp=sharing"",""ตาก!I149"")"),14)</f>
        <v>14</v>
      </c>
      <c r="J229" s="276">
        <f ca="1">IFERROR(__xludf.DUMMYFUNCTION("IMPORTRANGE(""https://docs.google.com/spreadsheets/d/11923uPwbBZFjjGgGUA6NLw09EwE0CqkOc4q9oUmW1yo/edit?usp=sharing"",""ตาก!J149"")"),14)</f>
        <v>14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IFERROR(__xludf.DUMMYFUNCTION("IMPORTRANGE(""https://docs.google.com/spreadsheets/d/11923uPwbBZFjjGgGUA6NLw09EwE0CqkOc4q9oUmW1yo/edit?usp=sharing"",""ตาก!J151"")"),0)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IFERROR(__xludf.DUMMYFUNCTION("IMPORTRANGE(""https://docs.google.com/spreadsheets/d/11923uPwbBZFjjGgGUA6NLw09EwE0CqkOc4q9oUmW1yo/edit?usp=sharing"",""ตาก!J152"")"),1)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IFERROR(__xludf.DUMMYFUNCTION("IMPORTRANGE(""https://docs.google.com/spreadsheets/d/11923uPwbBZFjjGgGUA6NLw09EwE0CqkOc4q9oUmW1yo/edit?usp=sharing"",""ตาก!J153"")"),1)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IFERROR(__xludf.DUMMYFUNCTION("IMPORTRANGE(""https://docs.google.com/spreadsheets/d/11923uPwbBZFjjGgGUA6NLw09EwE0CqkOc4q9oUmW1yo/edit?usp=sharing"",""ตาก!J154"")"),1)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IFERROR(__xludf.DUMMYFUNCTION("IMPORTRANGE(""https://docs.google.com/spreadsheets/d/11923uPwbBZFjjGgGUA6NLw09EwE0CqkOc4q9oUmW1yo/edit?usp=sharing"",""ตาก!I155"")"),14)</f>
        <v>14</v>
      </c>
      <c r="J235" s="198">
        <f ca="1">IFERROR(__xludf.DUMMYFUNCTION("IMPORTRANGE(""https://docs.google.com/spreadsheets/d/11923uPwbBZFjjGgGUA6NLw09EwE0CqkOc4q9oUmW1yo/edit?usp=sharing"",""ตาก!J155"")"),14)</f>
        <v>14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IFERROR(__xludf.DUMMYFUNCTION("IMPORTRANGE(""https://docs.google.com/spreadsheets/d/11923uPwbBZFjjGgGUA6NLw09EwE0CqkOc4q9oUmW1yo/edit?usp=sharing"",""ตาก!J156"")"),0)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IFERROR(__xludf.DUMMYFUNCTION("IMPORTRANGE(""https://docs.google.com/spreadsheets/d/11923uPwbBZFjjGgGUA6NLw09EwE0CqkOc4q9oUmW1yo/edit?usp=sharing"",""ตาก!J157"")"),0)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IFERROR(__xludf.DUMMYFUNCTION("IMPORTRANGE(""https://docs.google.com/spreadsheets/d/11923uPwbBZFjjGgGUA6NLw09EwE0CqkOc4q9oUmW1yo/edit?usp=sharing"",""ตาก!I158"")"),0)</f>
        <v>0</v>
      </c>
      <c r="J238" s="276">
        <f ca="1">IFERROR(__xludf.DUMMYFUNCTION("IMPORTRANGE(""https://docs.google.com/spreadsheets/d/11923uPwbBZFjjGgGUA6NLw09EwE0CqkOc4q9oUmW1yo/edit?usp=sharing"",""ตาก!J158"")"),0)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IFERROR(__xludf.DUMMYFUNCTION("IMPORTRANGE(""https://docs.google.com/spreadsheets/d/11923uPwbBZFjjGgGUA6NLw09EwE0CqkOc4q9oUmW1yo/edit?usp=sharing"",""ตาก!J159"")"),"")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IFERROR(__xludf.DUMMYFUNCTION("IMPORTRANGE(""https://docs.google.com/spreadsheets/d/11923uPwbBZFjjGgGUA6NLw09EwE0CqkOc4q9oUmW1yo/edit?usp=sharing"",""ตาก!J161"")"),0)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IFERROR(__xludf.DUMMYFUNCTION("IMPORTRANGE(""https://docs.google.com/spreadsheets/d/11923uPwbBZFjjGgGUA6NLw09EwE0CqkOc4q9oUmW1yo/edit?usp=sharing"",""ตาก!J162"")"),0)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IFERROR(__xludf.DUMMYFUNCTION("IMPORTRANGE(""https://docs.google.com/spreadsheets/d/11923uPwbBZFjjGgGUA6NLw09EwE0CqkOc4q9oUmW1yo/edit?usp=sharing"",""ตาก!J163"")"),0)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IFERROR(__xludf.DUMMYFUNCTION("IMPORTRANGE(""https://docs.google.com/spreadsheets/d/11923uPwbBZFjjGgGUA6NLw09EwE0CqkOc4q9oUmW1yo/edit?usp=sharing"",""ตาก!I164"")"),0)</f>
        <v>0</v>
      </c>
      <c r="J244" s="197">
        <f ca="1">IFERROR(__xludf.DUMMYFUNCTION("IMPORTRANGE(""https://docs.google.com/spreadsheets/d/11923uPwbBZFjjGgGUA6NLw09EwE0CqkOc4q9oUmW1yo/edit?usp=sharing"",""ตาก!J164"")"),0)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IFERROR(__xludf.DUMMYFUNCTION("IMPORTRANGE(""https://docs.google.com/spreadsheets/d/11923uPwbBZFjjGgGUA6NLw09EwE0CqkOc4q9oUmW1yo/edit?usp=sharing"",""ตาก!J165"")"),0)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IFERROR(__xludf.DUMMYFUNCTION("IMPORTRANGE(""https://docs.google.com/spreadsheets/d/11923uPwbBZFjjGgGUA6NLw09EwE0CqkOc4q9oUmW1yo/edit?usp=sharing"",""ตาก!J166"")"),0)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IFERROR(__xludf.DUMMYFUNCTION("IMPORTRANGE(""https://docs.google.com/spreadsheets/d/11923uPwbBZFjjGgGUA6NLw09EwE0CqkOc4q9oUmW1yo/edit?usp=sharing"",""ตาก!I169"")"),0)</f>
        <v>0</v>
      </c>
      <c r="J249" s="324">
        <f ca="1">IFERROR(__xludf.DUMMYFUNCTION("IMPORTRANGE(""https://docs.google.com/spreadsheets/d/11923uPwbBZFjjGgGUA6NLw09EwE0CqkOc4q9oUmW1yo/edit?usp=sharing"",""ตาก!J169"")"),0)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IFERROR(__xludf.DUMMYFUNCTION("IMPORTRANGE(""https://docs.google.com/spreadsheets/d/1Yj_ptqi66GCucihVvJfMjLAmec39IyEx_6qawtMGysU/edit?usp=sharing"",""สบก!CB23"")"),0)</f>
        <v>0</v>
      </c>
      <c r="N254" s="177">
        <f ca="1">IFERROR(__xludf.DUMMYFUNCTION("IMPORTRANGE(""https://docs.google.com/spreadsheets/d/1Yj_ptqi66GCucihVvJfMjLAmec39IyEx_6qawtMGysU/edit?usp=sharing"",""สบก!CC23"")"),0)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IFERROR(__xludf.DUMMYFUNCTION("IMPORTRANGE(""https://docs.google.com/spreadsheets/d/1Yj_ptqi66GCucihVvJfMjLAmec39IyEx_6qawtMGysU/edit?usp=sharing"",""สบก!BX23"")"),0)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IFERROR(__xludf.DUMMYFUNCTION("IMPORTRANGE(""https://docs.google.com/spreadsheets/d/1Yj_ptqi66GCucihVvJfMjLAmec39IyEx_6qawtMGysU/edit?usp=sharing"",""สบก!BY23"")"),0)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IFERROR(__xludf.DUMMYFUNCTION("IMPORTRANGE(""https://docs.google.com/spreadsheets/d/1Yj_ptqi66GCucihVvJfMjLAmec39IyEx_6qawtMGysU/edit?usp=sharing"",""สบก!BZ23"")"),0)</f>
        <v>0</v>
      </c>
      <c r="M258" s="103"/>
      <c r="N258" s="93">
        <f ca="1">IFERROR(__xludf.DUMMYFUNCTION("IMPORTRANGE(""https://docs.google.com/spreadsheets/d/1Yj_ptqi66GCucihVvJfMjLAmec39IyEx_6qawtMGysU/edit?usp=sharing"",""สบก!CD23"")"),0)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IFERROR(__xludf.DUMMYFUNCTION("IMPORTRANGE(""https://docs.google.com/spreadsheets/d/11923uPwbBZFjjGgGUA6NLw09EwE0CqkOc4q9oUmW1yo/edit?usp=sharing"",""ตาก!J175"")"),0)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IFERROR(__xludf.DUMMYFUNCTION("IMPORTRANGE(""https://docs.google.com/spreadsheets/d/11923uPwbBZFjjGgGUA6NLw09EwE0CqkOc4q9oUmW1yo/edit?usp=sharing"",""ตาก!J176"")"),0)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IFERROR(__xludf.DUMMYFUNCTION("IMPORTRANGE(""https://docs.google.com/spreadsheets/d/11923uPwbBZFjjGgGUA6NLw09EwE0CqkOc4q9oUmW1yo/edit?usp=sharing"",""ตาก!J177"")"),0)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IFERROR(__xludf.DUMMYFUNCTION("IMPORTRANGE(""https://docs.google.com/spreadsheets/d/11923uPwbBZFjjGgGUA6NLw09EwE0CqkOc4q9oUmW1yo/edit?usp=sharing"",""ตาก!J178"")"),0)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IFERROR(__xludf.DUMMYFUNCTION("IMPORTRANGE(""https://docs.google.com/spreadsheets/d/11923uPwbBZFjjGgGUA6NLw09EwE0CqkOc4q9oUmW1yo/edit?usp=sharing"",""ตาก!I179"")"),0)</f>
        <v>0</v>
      </c>
      <c r="J264" s="198">
        <f ca="1">IFERROR(__xludf.DUMMYFUNCTION("IMPORTRANGE(""https://docs.google.com/spreadsheets/d/11923uPwbBZFjjGgGUA6NLw09EwE0CqkOc4q9oUmW1yo/edit?usp=sharing"",""ตาก!J179"")"),0)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IFERROR(__xludf.DUMMYFUNCTION("IMPORTRANGE(""https://docs.google.com/spreadsheets/d/11923uPwbBZFjjGgGUA6NLw09EwE0CqkOc4q9oUmW1yo/edit?usp=sharing"",""ตาก!I180"")"),0)</f>
        <v>0</v>
      </c>
      <c r="J265" s="198">
        <f ca="1">IFERROR(__xludf.DUMMYFUNCTION("IMPORTRANGE(""https://docs.google.com/spreadsheets/d/11923uPwbBZFjjGgGUA6NLw09EwE0CqkOc4q9oUmW1yo/edit?usp=sharing"",""ตาก!J180"")"),0)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IFERROR(__xludf.DUMMYFUNCTION("IMPORTRANGE(""https://docs.google.com/spreadsheets/d/11923uPwbBZFjjGgGUA6NLw09EwE0CqkOc4q9oUmW1yo/edit?usp=sharing"",""ตาก!I181"")"),0)</f>
        <v>0</v>
      </c>
      <c r="J266" s="198">
        <f ca="1">IFERROR(__xludf.DUMMYFUNCTION("IMPORTRANGE(""https://docs.google.com/spreadsheets/d/11923uPwbBZFjjGgGUA6NLw09EwE0CqkOc4q9oUmW1yo/edit?usp=sharing"",""ตาก!J181"")"),0)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IFERROR(__xludf.DUMMYFUNCTION("IMPORTRANGE(""https://docs.google.com/spreadsheets/d/11923uPwbBZFjjGgGUA6NLw09EwE0CqkOc4q9oUmW1yo/edit?usp=sharing"",""ตาก!I182"")"),0)</f>
        <v>0</v>
      </c>
      <c r="J267" s="198">
        <f ca="1">IFERROR(__xludf.DUMMYFUNCTION("IMPORTRANGE(""https://docs.google.com/spreadsheets/d/11923uPwbBZFjjGgGUA6NLw09EwE0CqkOc4q9oUmW1yo/edit?usp=sharing"",""ตาก!J182"")"),0)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IFERROR(__xludf.DUMMYFUNCTION("IMPORTRANGE(""https://docs.google.com/spreadsheets/d/11923uPwbBZFjjGgGUA6NLw09EwE0CqkOc4q9oUmW1yo/edit?usp=sharing"",""ตาก!J183"")"),0)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IFERROR(__xludf.DUMMYFUNCTION("IMPORTRANGE(""https://docs.google.com/spreadsheets/d/11923uPwbBZFjjGgGUA6NLw09EwE0CqkOc4q9oUmW1yo/edit?usp=sharing"",""ตาก!J184"")"),0)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IFERROR(__xludf.DUMMYFUNCTION("IMPORTRANGE(""https://docs.google.com/spreadsheets/d/11923uPwbBZFjjGgGUA6NLw09EwE0CqkOc4q9oUmW1yo/edit?usp=sharing"",""ตาก!I185"")"),20)</f>
        <v>20</v>
      </c>
      <c r="J270" s="324">
        <f ca="1">IFERROR(__xludf.DUMMYFUNCTION("IMPORTRANGE(""https://docs.google.com/spreadsheets/d/11923uPwbBZFjjGgGUA6NLw09EwE0CqkOc4q9oUmW1yo/edit?usp=sharing"",""ตาก!J185"")"),0)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337600</v>
      </c>
      <c r="M271" s="158">
        <f t="shared" ca="1" si="83"/>
        <v>170000</v>
      </c>
      <c r="N271" s="158">
        <f t="shared" ca="1" si="83"/>
        <v>58902</v>
      </c>
      <c r="O271" s="157">
        <f t="shared" ref="O271:O273" ca="1" si="84">IF(L271&gt;0,N271*100/L271,0)</f>
        <v>17.447274881516588</v>
      </c>
      <c r="P271" s="157">
        <f t="shared" ref="P271:P273" ca="1" si="85">IF(M271&gt;0,N271*100/M271,0)</f>
        <v>34.648235294117647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337600</v>
      </c>
      <c r="M273" s="163">
        <f t="shared" ca="1" si="87"/>
        <v>170000</v>
      </c>
      <c r="N273" s="163">
        <f t="shared" ca="1" si="87"/>
        <v>58902</v>
      </c>
      <c r="O273" s="162">
        <f t="shared" ca="1" si="84"/>
        <v>17.447274881516588</v>
      </c>
      <c r="P273" s="162">
        <f t="shared" ca="1" si="85"/>
        <v>34.648235294117647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337600</v>
      </c>
      <c r="M275" s="176">
        <f ca="1">IFERROR(__xludf.DUMMYFUNCTION("IMPORTRANGE(""https://docs.google.com/spreadsheets/d/1Yj_ptqi66GCucihVvJfMjLAmec39IyEx_6qawtMGysU/edit?usp=sharing"",""สบก!CK23"")"),170000)</f>
        <v>170000</v>
      </c>
      <c r="N275" s="177">
        <f ca="1">IFERROR(__xludf.DUMMYFUNCTION("IMPORTRANGE(""https://docs.google.com/spreadsheets/d/1Yj_ptqi66GCucihVvJfMjLAmec39IyEx_6qawtMGysU/edit?usp=sharing"",""สบก!CL23"")"),58902)</f>
        <v>58902</v>
      </c>
      <c r="O275" s="178">
        <f ca="1">IF(L275&gt;0,N275*100/L275,0)</f>
        <v>17.447274881516588</v>
      </c>
      <c r="P275" s="178">
        <f ca="1">IF(M275&gt;0,N275*100/M275,0)</f>
        <v>34.648235294117647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IFERROR(__xludf.DUMMYFUNCTION("IMPORTRANGE(""https://docs.google.com/spreadsheets/d/1Yj_ptqi66GCucihVvJfMjLAmec39IyEx_6qawtMGysU/edit?usp=sharing"",""สบก!CG23"")"),264000)</f>
        <v>264000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IFERROR(__xludf.DUMMYFUNCTION("IMPORTRANGE(""https://docs.google.com/spreadsheets/d/1Yj_ptqi66GCucihVvJfMjLAmec39IyEx_6qawtMGysU/edit?usp=sharing"",""สบก!CH23"")"),73600)</f>
        <v>73600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IFERROR(__xludf.DUMMYFUNCTION("IMPORTRANGE(""https://docs.google.com/spreadsheets/d/1Yj_ptqi66GCucihVvJfMjLAmec39IyEx_6qawtMGysU/edit?usp=sharing"",""สบก!CI23"")"),0)</f>
        <v>0</v>
      </c>
      <c r="M279" s="103"/>
      <c r="N279" s="93">
        <f ca="1">IFERROR(__xludf.DUMMYFUNCTION("IMPORTRANGE(""https://docs.google.com/spreadsheets/d/1Yj_ptqi66GCucihVvJfMjLAmec39IyEx_6qawtMGysU/edit?usp=sharing"",""สบก!CM23"")"),0)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IFERROR(__xludf.DUMMYFUNCTION("IMPORTRANGE(""https://docs.google.com/spreadsheets/d/11923uPwbBZFjjGgGUA6NLw09EwE0CqkOc4q9oUmW1yo/edit?usp=sharing"",""ตาก!J191"")"),0)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IFERROR(__xludf.DUMMYFUNCTION("IMPORTRANGE(""https://docs.google.com/spreadsheets/d/11923uPwbBZFjjGgGUA6NLw09EwE0CqkOc4q9oUmW1yo/edit?usp=sharing"",""ตาก!J192"")"),1)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IFERROR(__xludf.DUMMYFUNCTION("IMPORTRANGE(""https://docs.google.com/spreadsheets/d/11923uPwbBZFjjGgGUA6NLw09EwE0CqkOc4q9oUmW1yo/edit?usp=sharing"",""ตาก!J193"")"),1)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IFERROR(__xludf.DUMMYFUNCTION("IMPORTRANGE(""https://docs.google.com/spreadsheets/d/11923uPwbBZFjjGgGUA6NLw09EwE0CqkOc4q9oUmW1yo/edit?usp=sharing"",""ตาก!J194"")"),1)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IFERROR(__xludf.DUMMYFUNCTION("IMPORTRANGE(""https://docs.google.com/spreadsheets/d/11923uPwbBZFjjGgGUA6NLw09EwE0CqkOc4q9oUmW1yo/edit?usp=sharing"",""ตาก!I195"")"),20)</f>
        <v>20</v>
      </c>
      <c r="J285" s="198">
        <f ca="1">IFERROR(__xludf.DUMMYFUNCTION("IMPORTRANGE(""https://docs.google.com/spreadsheets/d/11923uPwbBZFjjGgGUA6NLw09EwE0CqkOc4q9oUmW1yo/edit?usp=sharing"",""ตาก!J195"")"),0)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IFERROR(__xludf.DUMMYFUNCTION("IMPORTRANGE(""https://docs.google.com/spreadsheets/d/11923uPwbBZFjjGgGUA6NLw09EwE0CqkOc4q9oUmW1yo/edit?usp=sharing"",""ตาก!J196"")"),0)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IFERROR(__xludf.DUMMYFUNCTION("IMPORTRANGE(""https://docs.google.com/spreadsheets/d/11923uPwbBZFjjGgGUA6NLw09EwE0CqkOc4q9oUmW1yo/edit?usp=sharing"",""ตาก!J197"")"),0)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IFERROR(__xludf.DUMMYFUNCTION("IMPORTRANGE(""https://docs.google.com/spreadsheets/d/11923uPwbBZFjjGgGUA6NLw09EwE0CqkOc4q9oUmW1yo/edit?usp=sharing"",""ตาก!I199"")"),0)</f>
        <v>0</v>
      </c>
      <c r="J289" s="324">
        <f ca="1">IFERROR(__xludf.DUMMYFUNCTION("IMPORTRANGE(""https://docs.google.com/spreadsheets/d/11923uPwbBZFjjGgGUA6NLw09EwE0CqkOc4q9oUmW1yo/edit?usp=sharing"",""ตาก!J199"")"),0)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IFERROR(__xludf.DUMMYFUNCTION("IMPORTRANGE(""https://docs.google.com/spreadsheets/d/1Yj_ptqi66GCucihVvJfMjLAmec39IyEx_6qawtMGysU/edit?usp=sharing"",""สบก!CT23"")"),0)</f>
        <v>0</v>
      </c>
      <c r="N294" s="177">
        <f ca="1">IFERROR(__xludf.DUMMYFUNCTION("IMPORTRANGE(""https://docs.google.com/spreadsheets/d/1Yj_ptqi66GCucihVvJfMjLAmec39IyEx_6qawtMGysU/edit?usp=sharing"",""สบก!CU23"")"),0)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IFERROR(__xludf.DUMMYFUNCTION("IMPORTRANGE(""https://docs.google.com/spreadsheets/d/1Yj_ptqi66GCucihVvJfMjLAmec39IyEx_6qawtMGysU/edit?usp=sharing"",""สบก!CP23"")"),0)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IFERROR(__xludf.DUMMYFUNCTION("IMPORTRANGE(""https://docs.google.com/spreadsheets/d/1Yj_ptqi66GCucihVvJfMjLAmec39IyEx_6qawtMGysU/edit?usp=sharing"",""สบก!CQ23"")"),0)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IFERROR(__xludf.DUMMYFUNCTION("IMPORTRANGE(""https://docs.google.com/spreadsheets/d/1Yj_ptqi66GCucihVvJfMjLAmec39IyEx_6qawtMGysU/edit?usp=sharing"",""สบก!CR23"")"),0)</f>
        <v>0</v>
      </c>
      <c r="M298" s="103"/>
      <c r="N298" s="93">
        <f ca="1">IFERROR(__xludf.DUMMYFUNCTION("IMPORTRANGE(""https://docs.google.com/spreadsheets/d/1Yj_ptqi66GCucihVvJfMjLAmec39IyEx_6qawtMGysU/edit?usp=sharing"",""สบก!CV23"")"),0)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IFERROR(__xludf.DUMMYFUNCTION("IMPORTRANGE(""https://docs.google.com/spreadsheets/d/11923uPwbBZFjjGgGUA6NLw09EwE0CqkOc4q9oUmW1yo/edit?usp=sharing"",""ตาก!J205"")"),0)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IFERROR(__xludf.DUMMYFUNCTION("IMPORTRANGE(""https://docs.google.com/spreadsheets/d/11923uPwbBZFjjGgGUA6NLw09EwE0CqkOc4q9oUmW1yo/edit?usp=sharing"",""ตาก!J206"")"),0)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IFERROR(__xludf.DUMMYFUNCTION("IMPORTRANGE(""https://docs.google.com/spreadsheets/d/11923uPwbBZFjjGgGUA6NLw09EwE0CqkOc4q9oUmW1yo/edit?usp=sharing"",""ตาก!J207"")"),0)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IFERROR(__xludf.DUMMYFUNCTION("IMPORTRANGE(""https://docs.google.com/spreadsheets/d/11923uPwbBZFjjGgGUA6NLw09EwE0CqkOc4q9oUmW1yo/edit?usp=sharing"",""ตาก!J208"")"),0)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IFERROR(__xludf.DUMMYFUNCTION("IMPORTRANGE(""https://docs.google.com/spreadsheets/d/11923uPwbBZFjjGgGUA6NLw09EwE0CqkOc4q9oUmW1yo/edit?usp=sharing"",""ตาก!I209"")"),0)</f>
        <v>0</v>
      </c>
      <c r="J304" s="213">
        <f ca="1">IFERROR(__xludf.DUMMYFUNCTION("IMPORTRANGE(""https://docs.google.com/spreadsheets/d/11923uPwbBZFjjGgGUA6NLw09EwE0CqkOc4q9oUmW1yo/edit?usp=sharing"",""ตาก!J209"")"),0)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IFERROR(__xludf.DUMMYFUNCTION("IMPORTRANGE(""https://docs.google.com/spreadsheets/d/11923uPwbBZFjjGgGUA6NLw09EwE0CqkOc4q9oUmW1yo/edit?usp=sharing"",""ตาก!I211"")"),0)</f>
        <v>0</v>
      </c>
      <c r="J306" s="213">
        <f ca="1">IFERROR(__xludf.DUMMYFUNCTION("IMPORTRANGE(""https://docs.google.com/spreadsheets/d/11923uPwbBZFjjGgGUA6NLw09EwE0CqkOc4q9oUmW1yo/edit?usp=sharing"",""ตาก!J211"")"),0)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IFERROR(__xludf.DUMMYFUNCTION("IMPORTRANGE(""https://docs.google.com/spreadsheets/d/11923uPwbBZFjjGgGUA6NLw09EwE0CqkOc4q9oUmW1yo/edit?usp=sharing"",""ตาก!J212"")"),0)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IFERROR(__xludf.DUMMYFUNCTION("IMPORTRANGE(""https://docs.google.com/spreadsheets/d/11923uPwbBZFjjGgGUA6NLw09EwE0CqkOc4q9oUmW1yo/edit?usp=sharing"",""ตาก!J213"")"),0)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IFERROR(__xludf.DUMMYFUNCTION("IMPORTRANGE(""https://docs.google.com/spreadsheets/d/11923uPwbBZFjjGgGUA6NLw09EwE0CqkOc4q9oUmW1yo/edit?usp=sharing"",""ตาก!I214"")"),0)</f>
        <v>0</v>
      </c>
      <c r="J309" s="341">
        <f ca="1">IFERROR(__xludf.DUMMYFUNCTION("IMPORTRANGE(""https://docs.google.com/spreadsheets/d/11923uPwbBZFjjGgGUA6NLw09EwE0CqkOc4q9oUmW1yo/edit?usp=sharing"",""ตาก!J214"")"),0)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IFERROR(__xludf.DUMMYFUNCTION("IMPORTRANGE(""https://docs.google.com/spreadsheets/d/1Yj_ptqi66GCucihVvJfMjLAmec39IyEx_6qawtMGysU/edit?usp=sharing"",""สบก!DC23"")"),0)</f>
        <v>0</v>
      </c>
      <c r="N314" s="177">
        <f ca="1">IFERROR(__xludf.DUMMYFUNCTION("IMPORTRANGE(""https://docs.google.com/spreadsheets/d/1Yj_ptqi66GCucihVvJfMjLAmec39IyEx_6qawtMGysU/edit?usp=sharing"",""สบก!DD23"")"),0)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IFERROR(__xludf.DUMMYFUNCTION("IMPORTRANGE(""https://docs.google.com/spreadsheets/d/1Yj_ptqi66GCucihVvJfMjLAmec39IyEx_6qawtMGysU/edit?usp=sharing"",""สบก!CY23"")"),0)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IFERROR(__xludf.DUMMYFUNCTION("IMPORTRANGE(""https://docs.google.com/spreadsheets/d/1Yj_ptqi66GCucihVvJfMjLAmec39IyEx_6qawtMGysU/edit?usp=sharing"",""สบก!CZ23"")"),0)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IFERROR(__xludf.DUMMYFUNCTION("IMPORTRANGE(""https://docs.google.com/spreadsheets/d/1Yj_ptqi66GCucihVvJfMjLAmec39IyEx_6qawtMGysU/edit?usp=sharing"",""สบก!DA23"")"),0)</f>
        <v>0</v>
      </c>
      <c r="M318" s="103"/>
      <c r="N318" s="93">
        <f ca="1">IFERROR(__xludf.DUMMYFUNCTION("IMPORTRANGE(""https://docs.google.com/spreadsheets/d/1Yj_ptqi66GCucihVvJfMjLAmec39IyEx_6qawtMGysU/edit?usp=sharing"",""สบก!DE23"")"),0)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IFERROR(__xludf.DUMMYFUNCTION("IMPORTRANGE(""https://docs.google.com/spreadsheets/d/11923uPwbBZFjjGgGUA6NLw09EwE0CqkOc4q9oUmW1yo/edit?usp=sharing"",""ตาก!J220"")"),0)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IFERROR(__xludf.DUMMYFUNCTION("IMPORTRANGE(""https://docs.google.com/spreadsheets/d/11923uPwbBZFjjGgGUA6NLw09EwE0CqkOc4q9oUmW1yo/edit?usp=sharing"",""ตาก!J221"")"),0)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IFERROR(__xludf.DUMMYFUNCTION("IMPORTRANGE(""https://docs.google.com/spreadsheets/d/11923uPwbBZFjjGgGUA6NLw09EwE0CqkOc4q9oUmW1yo/edit?usp=sharing"",""ตาก!J222"")"),0)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IFERROR(__xludf.DUMMYFUNCTION("IMPORTRANGE(""https://docs.google.com/spreadsheets/d/11923uPwbBZFjjGgGUA6NLw09EwE0CqkOc4q9oUmW1yo/edit?usp=sharing"",""ตาก!J223"")"),0)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IFERROR(__xludf.DUMMYFUNCTION("IMPORTRANGE(""https://docs.google.com/spreadsheets/d/11923uPwbBZFjjGgGUA6NLw09EwE0CqkOc4q9oUmW1yo/edit?usp=sharing"",""ตาก!I224"")"),0)</f>
        <v>0</v>
      </c>
      <c r="J324" s="213">
        <f ca="1">IFERROR(__xludf.DUMMYFUNCTION("IMPORTRANGE(""https://docs.google.com/spreadsheets/d/11923uPwbBZFjjGgGUA6NLw09EwE0CqkOc4q9oUmW1yo/edit?usp=sharing"",""ตาก!J224"")"),0)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IFERROR(__xludf.DUMMYFUNCTION("IMPORTRANGE(""https://docs.google.com/spreadsheets/d/11923uPwbBZFjjGgGUA6NLw09EwE0CqkOc4q9oUmW1yo/edit?usp=sharing"",""ตาก!J225"")"),0)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IFERROR(__xludf.DUMMYFUNCTION("IMPORTRANGE(""https://docs.google.com/spreadsheets/d/11923uPwbBZFjjGgGUA6NLw09EwE0CqkOc4q9oUmW1yo/edit?usp=sharing"",""ตาก!J226"")"),0)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IFERROR(__xludf.DUMMYFUNCTION("IMPORTRANGE(""https://docs.google.com/spreadsheets/d/11923uPwbBZFjjGgGUA6NLw09EwE0CqkOc4q9oUmW1yo/edit?usp=sharing"",""ตาก!I228"")"),215)</f>
        <v>215</v>
      </c>
      <c r="J328" s="347">
        <f ca="1">IFERROR(__xludf.DUMMYFUNCTION("IMPORTRANGE(""https://docs.google.com/spreadsheets/d/11923uPwbBZFjjGgGUA6NLw09EwE0CqkOc4q9oUmW1yo/edit?usp=sharing"",""ตาก!J228"")"),0)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1107850</v>
      </c>
      <c r="M329" s="158">
        <f t="shared" ca="1" si="98"/>
        <v>516130</v>
      </c>
      <c r="N329" s="158">
        <f t="shared" ca="1" si="98"/>
        <v>471018</v>
      </c>
      <c r="O329" s="157">
        <f t="shared" ref="O329:O331" ca="1" si="99">IF(L329&gt;0,N329*100/L329,0)</f>
        <v>42.516405650584467</v>
      </c>
      <c r="P329" s="157">
        <f t="shared" ref="P329:P331" ca="1" si="100">IF(M329&gt;0,N329*100/M329,0)</f>
        <v>91.259566388313019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1107850</v>
      </c>
      <c r="M331" s="163">
        <f t="shared" ca="1" si="102"/>
        <v>516130</v>
      </c>
      <c r="N331" s="163">
        <f t="shared" ca="1" si="102"/>
        <v>471018</v>
      </c>
      <c r="O331" s="162">
        <f t="shared" ca="1" si="99"/>
        <v>42.516405650584467</v>
      </c>
      <c r="P331" s="162">
        <f t="shared" ca="1" si="100"/>
        <v>91.259566388313019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939650</v>
      </c>
      <c r="M333" s="176">
        <f ca="1">IFERROR(__xludf.DUMMYFUNCTION("IMPORTRANGE(""https://docs.google.com/spreadsheets/d/1Yj_ptqi66GCucihVvJfMjLAmec39IyEx_6qawtMGysU/edit?usp=sharing"",""สบก!DL23"")"),516130)</f>
        <v>516130</v>
      </c>
      <c r="N333" s="177">
        <f ca="1">IFERROR(__xludf.DUMMYFUNCTION("IMPORTRANGE(""https://docs.google.com/spreadsheets/d/1Yj_ptqi66GCucihVvJfMjLAmec39IyEx_6qawtMGysU/edit?usp=sharing"",""สบก!DM23"")"),332798)</f>
        <v>332798</v>
      </c>
      <c r="O333" s="178">
        <f ca="1">IF(L333&gt;0,N333*100/L333,0)</f>
        <v>35.417229819613688</v>
      </c>
      <c r="P333" s="178">
        <f ca="1">IF(M333&gt;0,N333*100/M333,0)</f>
        <v>64.479491600953253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IFERROR(__xludf.DUMMYFUNCTION("IMPORTRANGE(""https://docs.google.com/spreadsheets/d/1Yj_ptqi66GCucihVvJfMjLAmec39IyEx_6qawtMGysU/edit?usp=sharing"",""สบก!DH23"")"),496800)</f>
        <v>496800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IFERROR(__xludf.DUMMYFUNCTION("IMPORTRANGE(""https://docs.google.com/spreadsheets/d/1Yj_ptqi66GCucihVvJfMjLAmec39IyEx_6qawtMGysU/edit?usp=sharing"",""สบก!DI23"")"),442850)</f>
        <v>442850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IFERROR(__xludf.DUMMYFUNCTION("IMPORTRANGE(""https://docs.google.com/spreadsheets/d/1Yj_ptqi66GCucihVvJfMjLAmec39IyEx_6qawtMGysU/edit?usp=sharing"",""สบก!DJ23"")"),168200)</f>
        <v>168200</v>
      </c>
      <c r="M337" s="103"/>
      <c r="N337" s="93">
        <f ca="1">IFERROR(__xludf.DUMMYFUNCTION("IMPORTRANGE(""https://docs.google.com/spreadsheets/d/1Yj_ptqi66GCucihVvJfMjLAmec39IyEx_6qawtMGysU/edit?usp=sharing"",""สบก!DN23"")"),138220)</f>
        <v>138220</v>
      </c>
      <c r="O337" s="103">
        <f ca="1">IF(L337&gt;0,N337*100/L337,0)</f>
        <v>82.175980975029731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IFERROR(__xludf.DUMMYFUNCTION("IMPORTRANGE(""https://docs.google.com/spreadsheets/d/11923uPwbBZFjjGgGUA6NLw09EwE0CqkOc4q9oUmW1yo/edit?usp=sharing"",""ตาก!I234"")"),0)</f>
        <v>0</v>
      </c>
      <c r="J339" s="197">
        <f ca="1">IFERROR(__xludf.DUMMYFUNCTION("IMPORTRANGE(""https://docs.google.com/spreadsheets/d/11923uPwbBZFjjGgGUA6NLw09EwE0CqkOc4q9oUmW1yo/edit?usp=sharing"",""ตาก!J234"")"),72)</f>
        <v>72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IFERROR(__xludf.DUMMYFUNCTION("IMPORTRANGE(""https://docs.google.com/spreadsheets/d/11923uPwbBZFjjGgGUA6NLw09EwE0CqkOc4q9oUmW1yo/edit?usp=sharing"",""ตาก!I235"")"),3000)</f>
        <v>3000</v>
      </c>
      <c r="J340" s="197">
        <f ca="1">IFERROR(__xludf.DUMMYFUNCTION("IMPORTRANGE(""https://docs.google.com/spreadsheets/d/11923uPwbBZFjjGgGUA6NLw09EwE0CqkOc4q9oUmW1yo/edit?usp=sharing"",""ตาก!J235"")"),614.39)</f>
        <v>614.39</v>
      </c>
      <c r="K340" s="350">
        <f t="shared" ca="1" si="103"/>
        <v>20.479666666666667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IFERROR(__xludf.DUMMYFUNCTION("IMPORTRANGE(""https://docs.google.com/spreadsheets/d/11923uPwbBZFjjGgGUA6NLw09EwE0CqkOc4q9oUmW1yo/edit?usp=sharing"",""ตาก!I236"")"),215)</f>
        <v>215</v>
      </c>
      <c r="J341" s="197">
        <f ca="1">IFERROR(__xludf.DUMMYFUNCTION("IMPORTRANGE(""https://docs.google.com/spreadsheets/d/11923uPwbBZFjjGgGUA6NLw09EwE0CqkOc4q9oUmW1yo/edit?usp=sharing"",""ตาก!J236"")"),110)</f>
        <v>110</v>
      </c>
      <c r="K341" s="350">
        <f t="shared" ca="1" si="103"/>
        <v>51.162790697674417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IFERROR(__xludf.DUMMYFUNCTION("IMPORTRANGE(""https://docs.google.com/spreadsheets/d/11923uPwbBZFjjGgGUA6NLw09EwE0CqkOc4q9oUmW1yo/edit?usp=sharing"",""ตาก!I237"")"),0)</f>
        <v>0</v>
      </c>
      <c r="J342" s="197">
        <f ca="1">IFERROR(__xludf.DUMMYFUNCTION("IMPORTRANGE(""https://docs.google.com/spreadsheets/d/11923uPwbBZFjjGgGUA6NLw09EwE0CqkOc4q9oUmW1yo/edit?usp=sharing"",""ตาก!J237"")"),1009.94)</f>
        <v>1009.94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IFERROR(__xludf.DUMMYFUNCTION("IMPORTRANGE(""https://docs.google.com/spreadsheets/d/11923uPwbBZFjjGgGUA6NLw09EwE0CqkOc4q9oUmW1yo/edit?usp=sharing"",""ตาก!I238"")"),215)</f>
        <v>215</v>
      </c>
      <c r="J343" s="197">
        <f ca="1">IFERROR(__xludf.DUMMYFUNCTION("IMPORTRANGE(""https://docs.google.com/spreadsheets/d/11923uPwbBZFjjGgGUA6NLw09EwE0CqkOc4q9oUmW1yo/edit?usp=sharing"",""ตาก!J238"")"),0)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IFERROR(__xludf.DUMMYFUNCTION("IMPORTRANGE(""https://docs.google.com/spreadsheets/d/11923uPwbBZFjjGgGUA6NLw09EwE0CqkOc4q9oUmW1yo/edit?usp=sharing"",""ตาก!I239"")"),0)</f>
        <v>0</v>
      </c>
      <c r="J344" s="197">
        <f ca="1">IFERROR(__xludf.DUMMYFUNCTION("IMPORTRANGE(""https://docs.google.com/spreadsheets/d/11923uPwbBZFjjGgGUA6NLw09EwE0CqkOc4q9oUmW1yo/edit?usp=sharing"",""ตาก!J239"")"),0)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IFERROR(__xludf.DUMMYFUNCTION("IMPORTRANGE(""https://docs.google.com/spreadsheets/d/11923uPwbBZFjjGgGUA6NLw09EwE0CqkOc4q9oUmW1yo/edit?usp=sharing"",""ตาก!I240"")"),215)</f>
        <v>215</v>
      </c>
      <c r="J345" s="197">
        <f ca="1">IFERROR(__xludf.DUMMYFUNCTION("IMPORTRANGE(""https://docs.google.com/spreadsheets/d/11923uPwbBZFjjGgGUA6NLw09EwE0CqkOc4q9oUmW1yo/edit?usp=sharing"",""ตาก!J240"")"),0)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IFERROR(__xludf.DUMMYFUNCTION("IMPORTRANGE(""https://docs.google.com/spreadsheets/d/11923uPwbBZFjjGgGUA6NLw09EwE0CqkOc4q9oUmW1yo/edit?usp=sharing"",""ตาก!I241"")"),0)</f>
        <v>0</v>
      </c>
      <c r="J346" s="197">
        <f ca="1">IFERROR(__xludf.DUMMYFUNCTION("IMPORTRANGE(""https://docs.google.com/spreadsheets/d/11923uPwbBZFjjGgGUA6NLw09EwE0CqkOc4q9oUmW1yo/edit?usp=sharing"",""ตาก!J241"")"),0)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IFERROR(__xludf.DUMMYFUNCTION("IMPORTRANGE(""https://docs.google.com/spreadsheets/d/11923uPwbBZFjjGgGUA6NLw09EwE0CqkOc4q9oUmW1yo/edit?usp=sharing"",""ตาก!L242"")"),1788228)</f>
        <v>1788228</v>
      </c>
      <c r="M347" s="366"/>
      <c r="N347" s="366">
        <f ca="1">IFERROR(__xludf.DUMMYFUNCTION("IMPORTRANGE(""https://docs.google.com/spreadsheets/d/11923uPwbBZFjjGgGUA6NLw09EwE0CqkOc4q9oUmW1yo/edit?usp=sharing"",""ตาก!M242"")"),276429)</f>
        <v>276429</v>
      </c>
      <c r="O347" s="366">
        <f ca="1">+IF(L347&gt;0,N347*100/L347,0)</f>
        <v>15.458263711338823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IFERROR(__xludf.DUMMYFUNCTION("IMPORTRANGE(""https://docs.google.com/spreadsheets/d/11923uPwbBZFjjGgGUA6NLw09EwE0CqkOc4q9oUmW1yo/edit?usp=sharing"",""ตาก!I244"")"),0)</f>
        <v>0</v>
      </c>
      <c r="J349" s="379">
        <f ca="1">IFERROR(__xludf.DUMMYFUNCTION("IMPORTRANGE(""https://docs.google.com/spreadsheets/d/11923uPwbBZFjjGgGUA6NLw09EwE0CqkOc4q9oUmW1yo/edit?usp=sharing"",""ตาก!J244"")"),0)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IFERROR(__xludf.DUMMYFUNCTION("IMPORTRANGE(""https://docs.google.com/spreadsheets/d/11923uPwbBZFjjGgGUA6NLw09EwE0CqkOc4q9oUmW1yo/edit?usp=sharing"",""ตาก!L244"")"),0)</f>
        <v>0</v>
      </c>
      <c r="M349" s="381"/>
      <c r="N349" s="381">
        <f ca="1">IFERROR(__xludf.DUMMYFUNCTION("IMPORTRANGE(""https://docs.google.com/spreadsheets/d/11923uPwbBZFjjGgGUA6NLw09EwE0CqkOc4q9oUmW1yo/edit?usp=sharing"",""ตาก!M244"")"),0)</f>
        <v>0</v>
      </c>
      <c r="O349" s="381">
        <f ca="1">+IF(L349&gt;0,N349*100/L349,0)</f>
        <v>0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IFERROR(__xludf.DUMMYFUNCTION("IMPORTRANGE(""https://docs.google.com/spreadsheets/d/11923uPwbBZFjjGgGUA6NLw09EwE0CqkOc4q9oUmW1yo/edit?usp=sharing"",""ตาก!I245"")"),0)</f>
        <v>0</v>
      </c>
      <c r="J350" s="379">
        <f ca="1">IFERROR(__xludf.DUMMYFUNCTION("IMPORTRANGE(""https://docs.google.com/spreadsheets/d/11923uPwbBZFjjGgGUA6NLw09EwE0CqkOc4q9oUmW1yo/edit?usp=sharing"",""ตาก!J245"")"),0)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IFERROR(__xludf.DUMMYFUNCTION("IMPORTRANGE(""https://docs.google.com/spreadsheets/d/11923uPwbBZFjjGgGUA6NLw09EwE0CqkOc4q9oUmW1yo/edit?usp=sharing"",""ตาก!L246"")"),0)</f>
        <v>0</v>
      </c>
      <c r="M351" s="172"/>
      <c r="N351" s="172">
        <f ca="1">IFERROR(__xludf.DUMMYFUNCTION("IMPORTRANGE(""https://docs.google.com/spreadsheets/d/11923uPwbBZFjjGgGUA6NLw09EwE0CqkOc4q9oUmW1yo/edit?usp=sharing"",""ตาก!M246"")"),0)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IFERROR(__xludf.DUMMYFUNCTION("IMPORTRANGE(""https://docs.google.com/spreadsheets/d/11923uPwbBZFjjGgGUA6NLw09EwE0CqkOc4q9oUmW1yo/edit?usp=sharing"",""ตาก!L247"")"),0)</f>
        <v>0</v>
      </c>
      <c r="M352" s="173"/>
      <c r="N352" s="172">
        <f ca="1">IFERROR(__xludf.DUMMYFUNCTION("IMPORTRANGE(""https://docs.google.com/spreadsheets/d/11923uPwbBZFjjGgGUA6NLw09EwE0CqkOc4q9oUmW1yo/edit?usp=sharing"",""ตาก!M247"")"),0)</f>
        <v>0</v>
      </c>
      <c r="O352" s="173">
        <f t="shared" ca="1" si="105"/>
        <v>0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IFERROR(__xludf.DUMMYFUNCTION("IMPORTRANGE(""https://docs.google.com/spreadsheets/d/11923uPwbBZFjjGgGUA6NLw09EwE0CqkOc4q9oUmW1yo/edit?usp=sharing"",""ตาก!L248"")"),0)</f>
        <v>0</v>
      </c>
      <c r="M353" s="178"/>
      <c r="N353" s="178">
        <f ca="1">IFERROR(__xludf.DUMMYFUNCTION("IMPORTRANGE(""https://docs.google.com/spreadsheets/d/11923uPwbBZFjjGgGUA6NLw09EwE0CqkOc4q9oUmW1yo/edit?usp=sharing"",""ตาก!M248"")"),0)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IFERROR(__xludf.DUMMYFUNCTION("IMPORTRANGE(""https://docs.google.com/spreadsheets/d/11923uPwbBZFjjGgGUA6NLw09EwE0CqkOc4q9oUmW1yo/edit?usp=sharing"",""ตาก!L249"")"),0)</f>
        <v>0</v>
      </c>
      <c r="M354" s="178"/>
      <c r="N354" s="175">
        <f ca="1">IFERROR(__xludf.DUMMYFUNCTION("IMPORTRANGE(""https://docs.google.com/spreadsheets/d/11923uPwbBZFjjGgGUA6NLw09EwE0CqkOc4q9oUmW1yo/edit?usp=sharing"",""ตาก!M249"")"),0)</f>
        <v>0</v>
      </c>
      <c r="O354" s="178">
        <f t="shared" ca="1" si="105"/>
        <v>0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IFERROR(__xludf.DUMMYFUNCTION("IMPORTRANGE(""https://docs.google.com/spreadsheets/d/11923uPwbBZFjjGgGUA6NLw09EwE0CqkOc4q9oUmW1yo/edit?usp=sharing"",""ตาก!M250"")"),0)</f>
        <v>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IFERROR(__xludf.DUMMYFUNCTION("IMPORTRANGE(""https://docs.google.com/spreadsheets/d/11923uPwbBZFjjGgGUA6NLw09EwE0CqkOc4q9oUmW1yo/edit?usp=sharing"",""ตาก!M251"")"),0)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IFERROR(__xludf.DUMMYFUNCTION("IMPORTRANGE(""https://docs.google.com/spreadsheets/d/11923uPwbBZFjjGgGUA6NLw09EwE0CqkOc4q9oUmW1yo/edit?usp=sharing"",""ตาก!M252"")"),0)</f>
        <v>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IFERROR(__xludf.DUMMYFUNCTION("IMPORTRANGE(""https://docs.google.com/spreadsheets/d/11923uPwbBZFjjGgGUA6NLw09EwE0CqkOc4q9oUmW1yo/edit?usp=sharing"",""ตาก!M253"")"),0)</f>
        <v>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IFERROR(__xludf.DUMMYFUNCTION("IMPORTRANGE(""https://docs.google.com/spreadsheets/d/11923uPwbBZFjjGgGUA6NLw09EwE0CqkOc4q9oUmW1yo/edit?usp=sharing"",""ตาก!J255"")"),0)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IFERROR(__xludf.DUMMYFUNCTION("IMPORTRANGE(""https://docs.google.com/spreadsheets/d/11923uPwbBZFjjGgGUA6NLw09EwE0CqkOc4q9oUmW1yo/edit?usp=sharing"",""ตาก!J256"")"),0)</f>
        <v>0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IFERROR(__xludf.DUMMYFUNCTION("IMPORTRANGE(""https://docs.google.com/spreadsheets/d/11923uPwbBZFjjGgGUA6NLw09EwE0CqkOc4q9oUmW1yo/edit?usp=sharing"",""ตาก!J257"")"),0)</f>
        <v>0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IFERROR(__xludf.DUMMYFUNCTION("IMPORTRANGE(""https://docs.google.com/spreadsheets/d/11923uPwbBZFjjGgGUA6NLw09EwE0CqkOc4q9oUmW1yo/edit?usp=sharing"",""ตาก!J258"")"),0)</f>
        <v>0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IFERROR(__xludf.DUMMYFUNCTION("IMPORTRANGE(""https://docs.google.com/spreadsheets/d/11923uPwbBZFjjGgGUA6NLw09EwE0CqkOc4q9oUmW1yo/edit?usp=sharing"",""ตาก!J166"")"),0)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IFERROR(__xludf.DUMMYFUNCTION("IMPORTRANGE(""https://docs.google.com/spreadsheets/d/11923uPwbBZFjjGgGUA6NLw09EwE0CqkOc4q9oUmW1yo/edit?usp=sharing"",""ตาก!J166"")"),0)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IFERROR(__xludf.DUMMYFUNCTION("IMPORTRANGE(""https://docs.google.com/spreadsheets/d/11923uPwbBZFjjGgGUA6NLw09EwE0CqkOc4q9oUmW1yo/edit?usp=sharing"",""ตาก!J166"")"),0)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IFERROR(__xludf.DUMMYFUNCTION("IMPORTRANGE(""https://docs.google.com/spreadsheets/d/11923uPwbBZFjjGgGUA6NLw09EwE0CqkOc4q9oUmW1yo/edit?usp=sharing"",""ตาก!J166"")"),0)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IFERROR(__xludf.DUMMYFUNCTION("IMPORTRANGE(""https://docs.google.com/spreadsheets/d/11923uPwbBZFjjGgGUA6NLw09EwE0CqkOc4q9oUmW1yo/edit?usp=sharing"",""ตาก!I263"")"),0)</f>
        <v>0</v>
      </c>
      <c r="J368" s="197">
        <f ca="1">IFERROR(__xludf.DUMMYFUNCTION("IMPORTRANGE(""https://docs.google.com/spreadsheets/d/11923uPwbBZFjjGgGUA6NLw09EwE0CqkOc4q9oUmW1yo/edit?usp=sharing"",""ตาก!J263"")"),0)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IFERROR(__xludf.DUMMYFUNCTION("IMPORTRANGE(""https://docs.google.com/spreadsheets/d/11923uPwbBZFjjGgGUA6NLw09EwE0CqkOc4q9oUmW1yo/edit?usp=sharing"",""ตาก!I164"")"),0)</f>
        <v>0</v>
      </c>
      <c r="J369" s="213">
        <f ca="1">IFERROR(__xludf.DUMMYFUNCTION("IMPORTRANGE(""https://docs.google.com/spreadsheets/d/11923uPwbBZFjjGgGUA6NLw09EwE0CqkOc4q9oUmW1yo/edit?usp=sharing"",""ตาก!J164"")"),0)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IFERROR(__xludf.DUMMYFUNCTION("IMPORTRANGE(""https://docs.google.com/spreadsheets/d/11923uPwbBZFjjGgGUA6NLw09EwE0CqkOc4q9oUmW1yo/edit?usp=sharing"",""ตาก!I265"")"),0)</f>
        <v>0</v>
      </c>
      <c r="J370" s="213">
        <f ca="1">IFERROR(__xludf.DUMMYFUNCTION("IMPORTRANGE(""https://docs.google.com/spreadsheets/d/11923uPwbBZFjjGgGUA6NLw09EwE0CqkOc4q9oUmW1yo/edit?usp=sharing"",""ตาก!J265"")"),0)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IFERROR(__xludf.DUMMYFUNCTION("IMPORTRANGE(""https://docs.google.com/spreadsheets/d/11923uPwbBZFjjGgGUA6NLw09EwE0CqkOc4q9oUmW1yo/edit?usp=sharing"",""ตาก!I164"")"),0)</f>
        <v>0</v>
      </c>
      <c r="J371" s="198">
        <f ca="1">IFERROR(__xludf.DUMMYFUNCTION("IMPORTRANGE(""https://docs.google.com/spreadsheets/d/11923uPwbBZFjjGgGUA6NLw09EwE0CqkOc4q9oUmW1yo/edit?usp=sharing"",""ตาก!J164"")"),0)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IFERROR(__xludf.DUMMYFUNCTION("IMPORTRANGE(""https://docs.google.com/spreadsheets/d/11923uPwbBZFjjGgGUA6NLw09EwE0CqkOc4q9oUmW1yo/edit?usp=sharing"",""ตาก!I267"")"),0)</f>
        <v>0</v>
      </c>
      <c r="J372" s="198">
        <f ca="1">IFERROR(__xludf.DUMMYFUNCTION("IMPORTRANGE(""https://docs.google.com/spreadsheets/d/11923uPwbBZFjjGgGUA6NLw09EwE0CqkOc4q9oUmW1yo/edit?usp=sharing"",""ตาก!J267"")"),0)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IFERROR(__xludf.DUMMYFUNCTION("IMPORTRANGE(""https://docs.google.com/spreadsheets/d/11923uPwbBZFjjGgGUA6NLw09EwE0CqkOc4q9oUmW1yo/edit?usp=sharing"",""ตาก!I164"")"),0)</f>
        <v>0</v>
      </c>
      <c r="J373" s="213">
        <f ca="1">IFERROR(__xludf.DUMMYFUNCTION("IMPORTRANGE(""https://docs.google.com/spreadsheets/d/11923uPwbBZFjjGgGUA6NLw09EwE0CqkOc4q9oUmW1yo/edit?usp=sharing"",""ตาก!J164"")"),0)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IFERROR(__xludf.DUMMYFUNCTION("IMPORTRANGE(""https://docs.google.com/spreadsheets/d/11923uPwbBZFjjGgGUA6NLw09EwE0CqkOc4q9oUmW1yo/edit?usp=sharing"",""ตาก!I164"")"),0)</f>
        <v>0</v>
      </c>
      <c r="J374" s="197">
        <f ca="1">IFERROR(__xludf.DUMMYFUNCTION("IMPORTRANGE(""https://docs.google.com/spreadsheets/d/11923uPwbBZFjjGgGUA6NLw09EwE0CqkOc4q9oUmW1yo/edit?usp=sharing"",""ตาก!J164"")"),0)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IFERROR(__xludf.DUMMYFUNCTION("IMPORTRANGE(""https://docs.google.com/spreadsheets/d/11923uPwbBZFjjGgGUA6NLw09EwE0CqkOc4q9oUmW1yo/edit?usp=sharing"",""ตาก!I270"")"),0)</f>
        <v>0</v>
      </c>
      <c r="J375" s="197">
        <f ca="1">IFERROR(__xludf.DUMMYFUNCTION("IMPORTRANGE(""https://docs.google.com/spreadsheets/d/11923uPwbBZFjjGgGUA6NLw09EwE0CqkOc4q9oUmW1yo/edit?usp=sharing"",""ตาก!J270"")"),0)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IFERROR(__xludf.DUMMYFUNCTION("IMPORTRANGE(""https://docs.google.com/spreadsheets/d/11923uPwbBZFjjGgGUA6NLw09EwE0CqkOc4q9oUmW1yo/edit?usp=sharing"",""ตาก!I271"")"),0)</f>
        <v>0</v>
      </c>
      <c r="J376" s="198">
        <f ca="1">IFERROR(__xludf.DUMMYFUNCTION("IMPORTRANGE(""https://docs.google.com/spreadsheets/d/11923uPwbBZFjjGgGUA6NLw09EwE0CqkOc4q9oUmW1yo/edit?usp=sharing"",""ตาก!J271"")"),0)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IFERROR(__xludf.DUMMYFUNCTION("IMPORTRANGE(""https://docs.google.com/spreadsheets/d/11923uPwbBZFjjGgGUA6NLw09EwE0CqkOc4q9oUmW1yo/edit?usp=sharing"",""ตาก!I272"")"),0)</f>
        <v>0</v>
      </c>
      <c r="J377" s="213">
        <f ca="1">IFERROR(__xludf.DUMMYFUNCTION("IMPORTRANGE(""https://docs.google.com/spreadsheets/d/11923uPwbBZFjjGgGUA6NLw09EwE0CqkOc4q9oUmW1yo/edit?usp=sharing"",""ตาก!J272"")"),0)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IFERROR(__xludf.DUMMYFUNCTION("IMPORTRANGE(""https://docs.google.com/spreadsheets/d/11923uPwbBZFjjGgGUA6NLw09EwE0CqkOc4q9oUmW1yo/edit?usp=sharing"",""ตาก!J273"")"),0)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IFERROR(__xludf.DUMMYFUNCTION("IMPORTRANGE(""https://docs.google.com/spreadsheets/d/11923uPwbBZFjjGgGUA6NLw09EwE0CqkOc4q9oUmW1yo/edit?usp=sharing"",""ตาก!J274"")"),0)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IFERROR(__xludf.DUMMYFUNCTION("IMPORTRANGE(""https://docs.google.com/spreadsheets/d/11923uPwbBZFjjGgGUA6NLw09EwE0CqkOc4q9oUmW1yo/edit?usp=sharing"",""ตาก!I275"")"),500)</f>
        <v>500</v>
      </c>
      <c r="J380" s="379">
        <f ca="1">IFERROR(__xludf.DUMMYFUNCTION("IMPORTRANGE(""https://docs.google.com/spreadsheets/d/11923uPwbBZFjjGgGUA6NLw09EwE0CqkOc4q9oUmW1yo/edit?usp=sharing"",""ตาก!J275"")"),0)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IFERROR(__xludf.DUMMYFUNCTION("IMPORTRANGE(""https://docs.google.com/spreadsheets/d/11923uPwbBZFjjGgGUA6NLw09EwE0CqkOc4q9oUmW1yo/edit?usp=sharing"",""ตาก!L275"")"),460140)</f>
        <v>460140</v>
      </c>
      <c r="M380" s="381"/>
      <c r="N380" s="381">
        <f ca="1">IFERROR(__xludf.DUMMYFUNCTION("IMPORTRANGE(""https://docs.google.com/spreadsheets/d/11923uPwbBZFjjGgGUA6NLw09EwE0CqkOc4q9oUmW1yo/edit?usp=sharing"",""ตาก!M275"")"),89000)</f>
        <v>89000</v>
      </c>
      <c r="O380" s="381">
        <f ca="1">+IF(L380&gt;0,N380*100/L380,0)</f>
        <v>19.34193940974486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IFERROR(__xludf.DUMMYFUNCTION("IMPORTRANGE(""https://docs.google.com/spreadsheets/d/11923uPwbBZFjjGgGUA6NLw09EwE0CqkOc4q9oUmW1yo/edit?usp=sharing"",""ตาก!I276"")"),50)</f>
        <v>50</v>
      </c>
      <c r="J381" s="379">
        <f ca="1">IFERROR(__xludf.DUMMYFUNCTION("IMPORTRANGE(""https://docs.google.com/spreadsheets/d/11923uPwbBZFjjGgGUA6NLw09EwE0CqkOc4q9oUmW1yo/edit?usp=sharing"",""ตาก!J276"")"),50)</f>
        <v>50</v>
      </c>
      <c r="K381" s="380">
        <f t="shared" ca="1" si="108"/>
        <v>100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IFERROR(__xludf.DUMMYFUNCTION("IMPORTRANGE(""https://docs.google.com/spreadsheets/d/11923uPwbBZFjjGgGUA6NLw09EwE0CqkOc4q9oUmW1yo/edit?usp=sharing"",""ตาก!L277"")"),0)</f>
        <v>0</v>
      </c>
      <c r="M382" s="172"/>
      <c r="N382" s="172">
        <f ca="1">IFERROR(__xludf.DUMMYFUNCTION("IMPORTRANGE(""https://docs.google.com/spreadsheets/d/11923uPwbBZFjjGgGUA6NLw09EwE0CqkOc4q9oUmW1yo/edit?usp=sharing"",""ตาก!M277"")"),0)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IFERROR(__xludf.DUMMYFUNCTION("IMPORTRANGE(""https://docs.google.com/spreadsheets/d/11923uPwbBZFjjGgGUA6NLw09EwE0CqkOc4q9oUmW1yo/edit?usp=sharing"",""ตาก!L278"")"),460140)</f>
        <v>460140</v>
      </c>
      <c r="M383" s="173"/>
      <c r="N383" s="173">
        <f ca="1">IFERROR(__xludf.DUMMYFUNCTION("IMPORTRANGE(""https://docs.google.com/spreadsheets/d/11923uPwbBZFjjGgGUA6NLw09EwE0CqkOc4q9oUmW1yo/edit?usp=sharing"",""ตาก!M278"")"),89000)</f>
        <v>89000</v>
      </c>
      <c r="O383" s="173">
        <f t="shared" ca="1" si="109"/>
        <v>19.34193940974486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IFERROR(__xludf.DUMMYFUNCTION("IMPORTRANGE(""https://docs.google.com/spreadsheets/d/11923uPwbBZFjjGgGUA6NLw09EwE0CqkOc4q9oUmW1yo/edit?usp=sharing"",""ตาก!L279"")"),0)</f>
        <v>0</v>
      </c>
      <c r="M384" s="178"/>
      <c r="N384" s="178">
        <f ca="1">IFERROR(__xludf.DUMMYFUNCTION("IMPORTRANGE(""https://docs.google.com/spreadsheets/d/11923uPwbBZFjjGgGUA6NLw09EwE0CqkOc4q9oUmW1yo/edit?usp=sharing"",""ตาก!M279"")"),0)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IFERROR(__xludf.DUMMYFUNCTION("IMPORTRANGE(""https://docs.google.com/spreadsheets/d/11923uPwbBZFjjGgGUA6NLw09EwE0CqkOc4q9oUmW1yo/edit?usp=sharing"",""ตาก!L280"")"),460140)</f>
        <v>460140</v>
      </c>
      <c r="M385" s="178"/>
      <c r="N385" s="175">
        <f ca="1">IFERROR(__xludf.DUMMYFUNCTION("IMPORTRANGE(""https://docs.google.com/spreadsheets/d/11923uPwbBZFjjGgGUA6NLw09EwE0CqkOc4q9oUmW1yo/edit?usp=sharing"",""ตาก!M280"")"),89000)</f>
        <v>89000</v>
      </c>
      <c r="O385" s="178">
        <f t="shared" ca="1" si="109"/>
        <v>19.34193940974486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IFERROR(__xludf.DUMMYFUNCTION("IMPORTRANGE(""https://docs.google.com/spreadsheets/d/11923uPwbBZFjjGgGUA6NLw09EwE0CqkOc4q9oUmW1yo/edit?usp=sharing"",""ตาก!M281"")"),78220)</f>
        <v>78220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IFERROR(__xludf.DUMMYFUNCTION("IMPORTRANGE(""https://docs.google.com/spreadsheets/d/11923uPwbBZFjjGgGUA6NLw09EwE0CqkOc4q9oUmW1yo/edit?usp=sharing"",""ตาก!M282"")"),0)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IFERROR(__xludf.DUMMYFUNCTION("IMPORTRANGE(""https://docs.google.com/spreadsheets/d/11923uPwbBZFjjGgGUA6NLw09EwE0CqkOc4q9oUmW1yo/edit?usp=sharing"",""ตาก!M283"")"),0)</f>
        <v>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IFERROR(__xludf.DUMMYFUNCTION("IMPORTRANGE(""https://docs.google.com/spreadsheets/d/11923uPwbBZFjjGgGUA6NLw09EwE0CqkOc4q9oUmW1yo/edit?usp=sharing"",""ตาก!M284"")"),10780)</f>
        <v>10780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IFERROR(__xludf.DUMMYFUNCTION("IMPORTRANGE(""https://docs.google.com/spreadsheets/d/11923uPwbBZFjjGgGUA6NLw09EwE0CqkOc4q9oUmW1yo/edit?usp=sharing"",""ตาก!J286"")"),0)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IFERROR(__xludf.DUMMYFUNCTION("IMPORTRANGE(""https://docs.google.com/spreadsheets/d/11923uPwbBZFjjGgGUA6NLw09EwE0CqkOc4q9oUmW1yo/edit?usp=sharing"",""ตาก!J287"")"),1)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IFERROR(__xludf.DUMMYFUNCTION("IMPORTRANGE(""https://docs.google.com/spreadsheets/d/11923uPwbBZFjjGgGUA6NLw09EwE0CqkOc4q9oUmW1yo/edit?usp=sharing"",""ตาก!J288"")"),1)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IFERROR(__xludf.DUMMYFUNCTION("IMPORTRANGE(""https://docs.google.com/spreadsheets/d/11923uPwbBZFjjGgGUA6NLw09EwE0CqkOc4q9oUmW1yo/edit?usp=sharing"",""ตาก!J289"")"),1)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IFERROR(__xludf.DUMMYFUNCTION("IMPORTRANGE(""https://docs.google.com/spreadsheets/d/11923uPwbBZFjjGgGUA6NLw09EwE0CqkOc4q9oUmW1yo/edit?usp=sharing"",""ตาก!I291"")"),50)</f>
        <v>50</v>
      </c>
      <c r="J396" s="207">
        <f ca="1">IFERROR(__xludf.DUMMYFUNCTION("IMPORTRANGE(""https://docs.google.com/spreadsheets/d/11923uPwbBZFjjGgGUA6NLw09EwE0CqkOc4q9oUmW1yo/edit?usp=sharing"",""ตาก!J291"")"),50)</f>
        <v>50</v>
      </c>
      <c r="K396" s="171">
        <f t="shared" ref="K396:K398" ca="1" si="110">IF(I396&gt;0,J396*100/I396,0)</f>
        <v>100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IFERROR(__xludf.DUMMYFUNCTION("IMPORTRANGE(""https://docs.google.com/spreadsheets/d/11923uPwbBZFjjGgGUA6NLw09EwE0CqkOc4q9oUmW1yo/edit?usp=sharing"",""ตาก!I292"")"),500)</f>
        <v>500</v>
      </c>
      <c r="J397" s="207">
        <f ca="1">IFERROR(__xludf.DUMMYFUNCTION("IMPORTRANGE(""https://docs.google.com/spreadsheets/d/11923uPwbBZFjjGgGUA6NLw09EwE0CqkOc4q9oUmW1yo/edit?usp=sharing"",""ตาก!J292"")"),0)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IFERROR(__xludf.DUMMYFUNCTION("IMPORTRANGE(""https://docs.google.com/spreadsheets/d/11923uPwbBZFjjGgGUA6NLw09EwE0CqkOc4q9oUmW1yo/edit?usp=sharing"",""ตาก!I293"")"),50)</f>
        <v>50</v>
      </c>
      <c r="J398" s="207">
        <f ca="1">IFERROR(__xludf.DUMMYFUNCTION("IMPORTRANGE(""https://docs.google.com/spreadsheets/d/11923uPwbBZFjjGgGUA6NLw09EwE0CqkOc4q9oUmW1yo/edit?usp=sharing"",""ตาก!J293"")"),0)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IFERROR(__xludf.DUMMYFUNCTION("IMPORTRANGE(""https://docs.google.com/spreadsheets/d/11923uPwbBZFjjGgGUA6NLw09EwE0CqkOc4q9oUmW1yo/edit?usp=sharing"",""ตาก!J294"")"),0)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IFERROR(__xludf.DUMMYFUNCTION("IMPORTRANGE(""https://docs.google.com/spreadsheets/d/11923uPwbBZFjjGgGUA6NLw09EwE0CqkOc4q9oUmW1yo/edit?usp=sharing"",""ตาก!J295"")"),0)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IFERROR(__xludf.DUMMYFUNCTION("IMPORTRANGE(""https://docs.google.com/spreadsheets/d/11923uPwbBZFjjGgGUA6NLw09EwE0CqkOc4q9oUmW1yo/edit?usp=sharing"",""ตาก!I296"")"),225)</f>
        <v>225</v>
      </c>
      <c r="J401" s="379">
        <f ca="1">IFERROR(__xludf.DUMMYFUNCTION("IMPORTRANGE(""https://docs.google.com/spreadsheets/d/11923uPwbBZFjjGgGUA6NLw09EwE0CqkOc4q9oUmW1yo/edit?usp=sharing"",""ตาก!J296"")"),0)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IFERROR(__xludf.DUMMYFUNCTION("IMPORTRANGE(""https://docs.google.com/spreadsheets/d/11923uPwbBZFjjGgGUA6NLw09EwE0CqkOc4q9oUmW1yo/edit?usp=sharing"",""ตาก!L296"")"),230370)</f>
        <v>230370</v>
      </c>
      <c r="M401" s="381"/>
      <c r="N401" s="381">
        <f ca="1">IFERROR(__xludf.DUMMYFUNCTION("IMPORTRANGE(""https://docs.google.com/spreadsheets/d/11923uPwbBZFjjGgGUA6NLw09EwE0CqkOc4q9oUmW1yo/edit?usp=sharing"",""ตาก!M296"")"),62250)</f>
        <v>62250</v>
      </c>
      <c r="O401" s="381">
        <f ca="1">+IF(L401&gt;0,N401*100/L401,0)</f>
        <v>27.02174762338846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IFERROR(__xludf.DUMMYFUNCTION("IMPORTRANGE(""https://docs.google.com/spreadsheets/d/11923uPwbBZFjjGgGUA6NLw09EwE0CqkOc4q9oUmW1yo/edit?usp=sharing"",""ตาก!I297"")"),75)</f>
        <v>75</v>
      </c>
      <c r="J402" s="379">
        <f ca="1">IFERROR(__xludf.DUMMYFUNCTION("IMPORTRANGE(""https://docs.google.com/spreadsheets/d/11923uPwbBZFjjGgGUA6NLw09EwE0CqkOc4q9oUmW1yo/edit?usp=sharing"",""ตาก!J297"")"),0)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IFERROR(__xludf.DUMMYFUNCTION("IMPORTRANGE(""https://docs.google.com/spreadsheets/d/11923uPwbBZFjjGgGUA6NLw09EwE0CqkOc4q9oUmW1yo/edit?usp=sharing"",""ตาก!L298"")"),0)</f>
        <v>0</v>
      </c>
      <c r="M403" s="172"/>
      <c r="N403" s="178">
        <f ca="1">IFERROR(__xludf.DUMMYFUNCTION("IMPORTRANGE(""https://docs.google.com/spreadsheets/d/11923uPwbBZFjjGgGUA6NLw09EwE0CqkOc4q9oUmW1yo/edit?usp=sharing"",""ตาก!M298"")"),0)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IFERROR(__xludf.DUMMYFUNCTION("IMPORTRANGE(""https://docs.google.com/spreadsheets/d/11923uPwbBZFjjGgGUA6NLw09EwE0CqkOc4q9oUmW1yo/edit?usp=sharing"",""ตาก!L299"")"),230370)</f>
        <v>230370</v>
      </c>
      <c r="M404" s="173"/>
      <c r="N404" s="178">
        <f ca="1">IFERROR(__xludf.DUMMYFUNCTION("IMPORTRANGE(""https://docs.google.com/spreadsheets/d/11923uPwbBZFjjGgGUA6NLw09EwE0CqkOc4q9oUmW1yo/edit?usp=sharing"",""ตาก!M299"")"),62250)</f>
        <v>62250</v>
      </c>
      <c r="O404" s="178">
        <f t="shared" ca="1" si="112"/>
        <v>27.02174762338846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IFERROR(__xludf.DUMMYFUNCTION("IMPORTRANGE(""https://docs.google.com/spreadsheets/d/11923uPwbBZFjjGgGUA6NLw09EwE0CqkOc4q9oUmW1yo/edit?usp=sharing"",""ตาก!L300"")"),0)</f>
        <v>0</v>
      </c>
      <c r="M405" s="178"/>
      <c r="N405" s="178">
        <f ca="1">IFERROR(__xludf.DUMMYFUNCTION("IMPORTRANGE(""https://docs.google.com/spreadsheets/d/11923uPwbBZFjjGgGUA6NLw09EwE0CqkOc4q9oUmW1yo/edit?usp=sharing"",""ตาก!M300"")"),0)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IFERROR(__xludf.DUMMYFUNCTION("IMPORTRANGE(""https://docs.google.com/spreadsheets/d/11923uPwbBZFjjGgGUA6NLw09EwE0CqkOc4q9oUmW1yo/edit?usp=sharing"",""ตาก!L301"")"),230370)</f>
        <v>230370</v>
      </c>
      <c r="M406" s="178"/>
      <c r="N406" s="178">
        <f ca="1">IFERROR(__xludf.DUMMYFUNCTION("IMPORTRANGE(""https://docs.google.com/spreadsheets/d/11923uPwbBZFjjGgGUA6NLw09EwE0CqkOc4q9oUmW1yo/edit?usp=sharing"",""ตาก!M301"")"),62250)</f>
        <v>62250</v>
      </c>
      <c r="O406" s="178">
        <f t="shared" ca="1" si="112"/>
        <v>27.02174762338846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IFERROR(__xludf.DUMMYFUNCTION("IMPORTRANGE(""https://docs.google.com/spreadsheets/d/11923uPwbBZFjjGgGUA6NLw09EwE0CqkOc4q9oUmW1yo/edit?usp=sharing"",""ตาก!M302"")"),62250)</f>
        <v>62250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IFERROR(__xludf.DUMMYFUNCTION("IMPORTRANGE(""https://docs.google.com/spreadsheets/d/11923uPwbBZFjjGgGUA6NLw09EwE0CqkOc4q9oUmW1yo/edit?usp=sharing"",""ตาก!M303"")"),0)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IFERROR(__xludf.DUMMYFUNCTION("IMPORTRANGE(""https://docs.google.com/spreadsheets/d/11923uPwbBZFjjGgGUA6NLw09EwE0CqkOc4q9oUmW1yo/edit?usp=sharing"",""ตาก!M304"")"),0)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IFERROR(__xludf.DUMMYFUNCTION("IMPORTRANGE(""https://docs.google.com/spreadsheets/d/11923uPwbBZFjjGgGUA6NLw09EwE0CqkOc4q9oUmW1yo/edit?usp=sharing"",""ตาก!M305"")"),0)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IFERROR(__xludf.DUMMYFUNCTION("IMPORTRANGE(""https://docs.google.com/spreadsheets/d/11923uPwbBZFjjGgGUA6NLw09EwE0CqkOc4q9oUmW1yo/edit?usp=sharing"",""ตาก!J307"")"),0)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IFERROR(__xludf.DUMMYFUNCTION("IMPORTRANGE(""https://docs.google.com/spreadsheets/d/11923uPwbBZFjjGgGUA6NLw09EwE0CqkOc4q9oUmW1yo/edit?usp=sharing"",""ตาก!J308"")"),1)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IFERROR(__xludf.DUMMYFUNCTION("IMPORTRANGE(""https://docs.google.com/spreadsheets/d/11923uPwbBZFjjGgGUA6NLw09EwE0CqkOc4q9oUmW1yo/edit?usp=sharing"",""ตาก!J309"")"),1)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IFERROR(__xludf.DUMMYFUNCTION("IMPORTRANGE(""https://docs.google.com/spreadsheets/d/11923uPwbBZFjjGgGUA6NLw09EwE0CqkOc4q9oUmW1yo/edit?usp=sharing"",""ตาก!J310"")"),1)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IFERROR(__xludf.DUMMYFUNCTION("IMPORTRANGE(""https://docs.google.com/spreadsheets/d/11923uPwbBZFjjGgGUA6NLw09EwE0CqkOc4q9oUmW1yo/edit?usp=sharing"",""ตาก!I311"")"),75)</f>
        <v>75</v>
      </c>
      <c r="J416" s="210">
        <f ca="1">IFERROR(__xludf.DUMMYFUNCTION("IMPORTRANGE(""https://docs.google.com/spreadsheets/d/11923uPwbBZFjjGgGUA6NLw09EwE0CqkOc4q9oUmW1yo/edit?usp=sharing"",""ตาก!J311"")"),0)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IFERROR(__xludf.DUMMYFUNCTION("IMPORTRANGE(""https://docs.google.com/spreadsheets/d/11923uPwbBZFjjGgGUA6NLw09EwE0CqkOc4q9oUmW1yo/edit?usp=sharing"",""ตาก!I312"")"),0)</f>
        <v>0</v>
      </c>
      <c r="J417" s="400">
        <f ca="1">IFERROR(__xludf.DUMMYFUNCTION("IMPORTRANGE(""https://docs.google.com/spreadsheets/d/11923uPwbBZFjjGgGUA6NLw09EwE0CqkOc4q9oUmW1yo/edit?usp=sharing"",""ตาก!J312"")"),0)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IFERROR(__xludf.DUMMYFUNCTION("IMPORTRANGE(""https://docs.google.com/spreadsheets/d/11923uPwbBZFjjGgGUA6NLw09EwE0CqkOc4q9oUmW1yo/edit?usp=sharing"",""ตาก!I313"")"),0)</f>
        <v>0</v>
      </c>
      <c r="J418" s="401">
        <f ca="1">IFERROR(__xludf.DUMMYFUNCTION("IMPORTRANGE(""https://docs.google.com/spreadsheets/d/11923uPwbBZFjjGgGUA6NLw09EwE0CqkOc4q9oUmW1yo/edit?usp=sharing"",""ตาก!J313"")"),0)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IFERROR(__xludf.DUMMYFUNCTION("IMPORTRANGE(""https://docs.google.com/spreadsheets/d/11923uPwbBZFjjGgGUA6NLw09EwE0CqkOc4q9oUmW1yo/edit?usp=sharing"",""ตาก!I314"")"),0)</f>
        <v>0</v>
      </c>
      <c r="J419" s="402">
        <f ca="1">IFERROR(__xludf.DUMMYFUNCTION("IMPORTRANGE(""https://docs.google.com/spreadsheets/d/11923uPwbBZFjjGgGUA6NLw09EwE0CqkOc4q9oUmW1yo/edit?usp=sharing"",""ตาก!J314"")"),0)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IFERROR(__xludf.DUMMYFUNCTION("IMPORTRANGE(""https://docs.google.com/spreadsheets/d/11923uPwbBZFjjGgGUA6NLw09EwE0CqkOc4q9oUmW1yo/edit?usp=sharing"",""ตาก!I315"")"),0)</f>
        <v>0</v>
      </c>
      <c r="J420" s="402">
        <f ca="1">IFERROR(__xludf.DUMMYFUNCTION("IMPORTRANGE(""https://docs.google.com/spreadsheets/d/11923uPwbBZFjjGgGUA6NLw09EwE0CqkOc4q9oUmW1yo/edit?usp=sharing"",""ตาก!J315"")"),0)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IFERROR(__xludf.DUMMYFUNCTION("IMPORTRANGE(""https://docs.google.com/spreadsheets/d/11923uPwbBZFjjGgGUA6NLw09EwE0CqkOc4q9oUmW1yo/edit?usp=sharing"",""ตาก!I316"")"),65)</f>
        <v>65</v>
      </c>
      <c r="J421" s="400">
        <f ca="1">IFERROR(__xludf.DUMMYFUNCTION("IMPORTRANGE(""https://docs.google.com/spreadsheets/d/11923uPwbBZFjjGgGUA6NLw09EwE0CqkOc4q9oUmW1yo/edit?usp=sharing"",""ตาก!J316"")"),0)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IFERROR(__xludf.DUMMYFUNCTION("IMPORTRANGE(""https://docs.google.com/spreadsheets/d/11923uPwbBZFjjGgGUA6NLw09EwE0CqkOc4q9oUmW1yo/edit?usp=sharing"",""ตาก!I317"")"),195)</f>
        <v>195</v>
      </c>
      <c r="J422" s="401">
        <f ca="1">IFERROR(__xludf.DUMMYFUNCTION("IMPORTRANGE(""https://docs.google.com/spreadsheets/d/11923uPwbBZFjjGgGUA6NLw09EwE0CqkOc4q9oUmW1yo/edit?usp=sharing"",""ตาก!J317"")"),0)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IFERROR(__xludf.DUMMYFUNCTION("IMPORTRANGE(""https://docs.google.com/spreadsheets/d/11923uPwbBZFjjGgGUA6NLw09EwE0CqkOc4q9oUmW1yo/edit?usp=sharing"",""ตาก!I318"")"),65)</f>
        <v>65</v>
      </c>
      <c r="J423" s="402">
        <f ca="1">IFERROR(__xludf.DUMMYFUNCTION("IMPORTRANGE(""https://docs.google.com/spreadsheets/d/11923uPwbBZFjjGgGUA6NLw09EwE0CqkOc4q9oUmW1yo/edit?usp=sharing"",""ตาก!J318"")"),0)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IFERROR(__xludf.DUMMYFUNCTION("IMPORTRANGE(""https://docs.google.com/spreadsheets/d/11923uPwbBZFjjGgGUA6NLw09EwE0CqkOc4q9oUmW1yo/edit?usp=sharing"",""ตาก!I319"")"),65)</f>
        <v>65</v>
      </c>
      <c r="J424" s="402">
        <f ca="1">IFERROR(__xludf.DUMMYFUNCTION("IMPORTRANGE(""https://docs.google.com/spreadsheets/d/11923uPwbBZFjjGgGUA6NLw09EwE0CqkOc4q9oUmW1yo/edit?usp=sharing"",""ตาก!J319"")"),0)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IFERROR(__xludf.DUMMYFUNCTION("IMPORTRANGE(""https://docs.google.com/spreadsheets/d/11923uPwbBZFjjGgGUA6NLw09EwE0CqkOc4q9oUmW1yo/edit?usp=sharing"",""ตาก!I320"")"),65)</f>
        <v>65</v>
      </c>
      <c r="J425" s="402">
        <f ca="1">IFERROR(__xludf.DUMMYFUNCTION("IMPORTRANGE(""https://docs.google.com/spreadsheets/d/11923uPwbBZFjjGgGUA6NLw09EwE0CqkOc4q9oUmW1yo/edit?usp=sharing"",""ตาก!J320"")"),0)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IFERROR(__xludf.DUMMYFUNCTION("IMPORTRANGE(""https://docs.google.com/spreadsheets/d/11923uPwbBZFjjGgGUA6NLw09EwE0CqkOc4q9oUmW1yo/edit?usp=sharing"",""ตาก!I321"")"),10)</f>
        <v>10</v>
      </c>
      <c r="J426" s="400">
        <f ca="1">IFERROR(__xludf.DUMMYFUNCTION("IMPORTRANGE(""https://docs.google.com/spreadsheets/d/11923uPwbBZFjjGgGUA6NLw09EwE0CqkOc4q9oUmW1yo/edit?usp=sharing"",""ตาก!J321"")"),0)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IFERROR(__xludf.DUMMYFUNCTION("IMPORTRANGE(""https://docs.google.com/spreadsheets/d/11923uPwbBZFjjGgGUA6NLw09EwE0CqkOc4q9oUmW1yo/edit?usp=sharing"",""ตาก!I322"")"),30)</f>
        <v>30</v>
      </c>
      <c r="J427" s="401">
        <f ca="1">IFERROR(__xludf.DUMMYFUNCTION("IMPORTRANGE(""https://docs.google.com/spreadsheets/d/11923uPwbBZFjjGgGUA6NLw09EwE0CqkOc4q9oUmW1yo/edit?usp=sharing"",""ตาก!J322"")"),0)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IFERROR(__xludf.DUMMYFUNCTION("IMPORTRANGE(""https://docs.google.com/spreadsheets/d/11923uPwbBZFjjGgGUA6NLw09EwE0CqkOc4q9oUmW1yo/edit?usp=sharing"",""ตาก!I323"")"),10)</f>
        <v>10</v>
      </c>
      <c r="J428" s="402">
        <f ca="1">IFERROR(__xludf.DUMMYFUNCTION("IMPORTRANGE(""https://docs.google.com/spreadsheets/d/11923uPwbBZFjjGgGUA6NLw09EwE0CqkOc4q9oUmW1yo/edit?usp=sharing"",""ตาก!J323"")"),0)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IFERROR(__xludf.DUMMYFUNCTION("IMPORTRANGE(""https://docs.google.com/spreadsheets/d/11923uPwbBZFjjGgGUA6NLw09EwE0CqkOc4q9oUmW1yo/edit?usp=sharing"",""ตาก!I324"")"),10)</f>
        <v>10</v>
      </c>
      <c r="J429" s="402">
        <f ca="1">IFERROR(__xludf.DUMMYFUNCTION("IMPORTRANGE(""https://docs.google.com/spreadsheets/d/11923uPwbBZFjjGgGUA6NLw09EwE0CqkOc4q9oUmW1yo/edit?usp=sharing"",""ตาก!J324"")"),0)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IFERROR(__xludf.DUMMYFUNCTION("IMPORTRANGE(""https://docs.google.com/spreadsheets/d/11923uPwbBZFjjGgGUA6NLw09EwE0CqkOc4q9oUmW1yo/edit?usp=sharing"",""ตาก!I325"")"),65)</f>
        <v>65</v>
      </c>
      <c r="J430" s="400">
        <f ca="1">IFERROR(__xludf.DUMMYFUNCTION("IMPORTRANGE(""https://docs.google.com/spreadsheets/d/11923uPwbBZFjjGgGUA6NLw09EwE0CqkOc4q9oUmW1yo/edit?usp=sharing"",""ตาก!J325"")"),0)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IFERROR(__xludf.DUMMYFUNCTION("IMPORTRANGE(""https://docs.google.com/spreadsheets/d/11923uPwbBZFjjGgGUA6NLw09EwE0CqkOc4q9oUmW1yo/edit?usp=sharing"",""ตาก!I326"")"),0)</f>
        <v>0</v>
      </c>
      <c r="J431" s="402">
        <f ca="1">IFERROR(__xludf.DUMMYFUNCTION("IMPORTRANGE(""https://docs.google.com/spreadsheets/d/11923uPwbBZFjjGgGUA6NLw09EwE0CqkOc4q9oUmW1yo/edit?usp=sharing"",""ตาก!J326"")"),0)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IFERROR(__xludf.DUMMYFUNCTION("IMPORTRANGE(""https://docs.google.com/spreadsheets/d/11923uPwbBZFjjGgGUA6NLw09EwE0CqkOc4q9oUmW1yo/edit?usp=sharing"",""ตาก!I327"")"),65)</f>
        <v>65</v>
      </c>
      <c r="J432" s="402">
        <f ca="1">IFERROR(__xludf.DUMMYFUNCTION("IMPORTRANGE(""https://docs.google.com/spreadsheets/d/11923uPwbBZFjjGgGUA6NLw09EwE0CqkOc4q9oUmW1yo/edit?usp=sharing"",""ตาก!J327"")"),0)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IFERROR(__xludf.DUMMYFUNCTION("IMPORTRANGE(""https://docs.google.com/spreadsheets/d/11923uPwbBZFjjGgGUA6NLw09EwE0CqkOc4q9oUmW1yo/edit?usp=sharing"",""ตาก!J328"")"),0)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IFERROR(__xludf.DUMMYFUNCTION("IMPORTRANGE(""https://docs.google.com/spreadsheets/d/11923uPwbBZFjjGgGUA6NLw09EwE0CqkOc4q9oUmW1yo/edit?usp=sharing"",""ตาก!J329"")"),0)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IFERROR(__xludf.DUMMYFUNCTION("IMPORTRANGE(""https://docs.google.com/spreadsheets/d/11923uPwbBZFjjGgGUA6NLw09EwE0CqkOc4q9oUmW1yo/edit?usp=sharing"",""ตาก!I330"")"),20)</f>
        <v>20</v>
      </c>
      <c r="J435" s="418">
        <f ca="1">IFERROR(__xludf.DUMMYFUNCTION("IMPORTRANGE(""https://docs.google.com/spreadsheets/d/11923uPwbBZFjjGgGUA6NLw09EwE0CqkOc4q9oUmW1yo/edit?usp=sharing"",""ตาก!J330"")"),0)</f>
        <v>0</v>
      </c>
      <c r="K435" s="419">
        <f ca="1">IF(I435&gt;0,J435*100/I435,0)</f>
        <v>0</v>
      </c>
      <c r="L435" s="420">
        <f ca="1">IFERROR(__xludf.DUMMYFUNCTION("IMPORTRANGE(""https://docs.google.com/spreadsheets/d/11923uPwbBZFjjGgGUA6NLw09EwE0CqkOc4q9oUmW1yo/edit?usp=sharing"",""ตาก!L330"")"),95000)</f>
        <v>95000</v>
      </c>
      <c r="M435" s="420"/>
      <c r="N435" s="420">
        <f ca="1">IFERROR(__xludf.DUMMYFUNCTION("IMPORTRANGE(""https://docs.google.com/spreadsheets/d/11923uPwbBZFjjGgGUA6NLw09EwE0CqkOc4q9oUmW1yo/edit?usp=sharing"",""ตาก!M330"")"),7680)</f>
        <v>7680</v>
      </c>
      <c r="O435" s="420">
        <f t="shared" ref="O435:O439" ca="1" si="114">+IF(L435&gt;0,N435*100/L435,0)</f>
        <v>8.0842105263157897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IFERROR(__xludf.DUMMYFUNCTION("IMPORTRANGE(""https://docs.google.com/spreadsheets/d/11923uPwbBZFjjGgGUA6NLw09EwE0CqkOc4q9oUmW1yo/edit?usp=sharing"",""ตาก!L331"")"),0)</f>
        <v>0</v>
      </c>
      <c r="M436" s="172"/>
      <c r="N436" s="178">
        <f ca="1">IFERROR(__xludf.DUMMYFUNCTION("IMPORTRANGE(""https://docs.google.com/spreadsheets/d/11923uPwbBZFjjGgGUA6NLw09EwE0CqkOc4q9oUmW1yo/edit?usp=sharing"",""ตาก!M331"")"),0)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IFERROR(__xludf.DUMMYFUNCTION("IMPORTRANGE(""https://docs.google.com/spreadsheets/d/11923uPwbBZFjjGgGUA6NLw09EwE0CqkOc4q9oUmW1yo/edit?usp=sharing"",""ตาก!L332"")"),95000)</f>
        <v>95000</v>
      </c>
      <c r="M437" s="173"/>
      <c r="N437" s="178">
        <f ca="1">IFERROR(__xludf.DUMMYFUNCTION("IMPORTRANGE(""https://docs.google.com/spreadsheets/d/11923uPwbBZFjjGgGUA6NLw09EwE0CqkOc4q9oUmW1yo/edit?usp=sharing"",""ตาก!M332"")"),7680)</f>
        <v>7680</v>
      </c>
      <c r="O437" s="178">
        <f t="shared" ca="1" si="114"/>
        <v>8.0842105263157897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IFERROR(__xludf.DUMMYFUNCTION("IMPORTRANGE(""https://docs.google.com/spreadsheets/d/11923uPwbBZFjjGgGUA6NLw09EwE0CqkOc4q9oUmW1yo/edit?usp=sharing"",""ตาก!L333"")"),0)</f>
        <v>0</v>
      </c>
      <c r="M438" s="178"/>
      <c r="N438" s="178">
        <f ca="1">IFERROR(__xludf.DUMMYFUNCTION("IMPORTRANGE(""https://docs.google.com/spreadsheets/d/11923uPwbBZFjjGgGUA6NLw09EwE0CqkOc4q9oUmW1yo/edit?usp=sharing"",""ตาก!M333"")"),0)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IFERROR(__xludf.DUMMYFUNCTION("IMPORTRANGE(""https://docs.google.com/spreadsheets/d/11923uPwbBZFjjGgGUA6NLw09EwE0CqkOc4q9oUmW1yo/edit?usp=sharing"",""ตาก!L334"")"),95000)</f>
        <v>95000</v>
      </c>
      <c r="M439" s="178"/>
      <c r="N439" s="178">
        <f ca="1">IFERROR(__xludf.DUMMYFUNCTION("IMPORTRANGE(""https://docs.google.com/spreadsheets/d/11923uPwbBZFjjGgGUA6NLw09EwE0CqkOc4q9oUmW1yo/edit?usp=sharing"",""ตาก!M334"")"),7680)</f>
        <v>7680</v>
      </c>
      <c r="O439" s="178">
        <f t="shared" ca="1" si="114"/>
        <v>8.0842105263157897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IFERROR(__xludf.DUMMYFUNCTION("IMPORTRANGE(""https://docs.google.com/spreadsheets/d/11923uPwbBZFjjGgGUA6NLw09EwE0CqkOc4q9oUmW1yo/edit?usp=sharing"",""ตาก!M335"")"),0)</f>
        <v>0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IFERROR(__xludf.DUMMYFUNCTION("IMPORTRANGE(""https://docs.google.com/spreadsheets/d/11923uPwbBZFjjGgGUA6NLw09EwE0CqkOc4q9oUmW1yo/edit?usp=sharing"",""ตาก!M336"")"),0)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IFERROR(__xludf.DUMMYFUNCTION("IMPORTRANGE(""https://docs.google.com/spreadsheets/d/11923uPwbBZFjjGgGUA6NLw09EwE0CqkOc4q9oUmW1yo/edit?usp=sharing"",""ตาก!M337"")"),0)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IFERROR(__xludf.DUMMYFUNCTION("IMPORTRANGE(""https://docs.google.com/spreadsheets/d/11923uPwbBZFjjGgGUA6NLw09EwE0CqkOc4q9oUmW1yo/edit?usp=sharing"",""ตาก!M338"")"),7680)</f>
        <v>7680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IFERROR(__xludf.DUMMYFUNCTION("IMPORTRANGE(""https://docs.google.com/spreadsheets/d/11923uPwbBZFjjGgGUA6NLw09EwE0CqkOc4q9oUmW1yo/edit?usp=sharing"",""ตาก!J340"")"),0)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IFERROR(__xludf.DUMMYFUNCTION("IMPORTRANGE(""https://docs.google.com/spreadsheets/d/11923uPwbBZFjjGgGUA6NLw09EwE0CqkOc4q9oUmW1yo/edit?usp=sharing"",""ตาก!J341"")"),1)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IFERROR(__xludf.DUMMYFUNCTION("IMPORTRANGE(""https://docs.google.com/spreadsheets/d/11923uPwbBZFjjGgGUA6NLw09EwE0CqkOc4q9oUmW1yo/edit?usp=sharing"",""ตาก!J342"")"),1)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IFERROR(__xludf.DUMMYFUNCTION("IMPORTRANGE(""https://docs.google.com/spreadsheets/d/11923uPwbBZFjjGgGUA6NLw09EwE0CqkOc4q9oUmW1yo/edit?usp=sharing"",""ตาก!J343"")"),1)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IFERROR(__xludf.DUMMYFUNCTION("IMPORTRANGE(""https://docs.google.com/spreadsheets/d/11923uPwbBZFjjGgGUA6NLw09EwE0CqkOc4q9oUmW1yo/edit?usp=sharing"",""ตาก!I344"")"),20)</f>
        <v>20</v>
      </c>
      <c r="J449" s="210">
        <f ca="1">IFERROR(__xludf.DUMMYFUNCTION("IMPORTRANGE(""https://docs.google.com/spreadsheets/d/11923uPwbBZFjjGgGUA6NLw09EwE0CqkOc4q9oUmW1yo/edit?usp=sharing"",""ตาก!J344"")"),0)</f>
        <v>0</v>
      </c>
      <c r="K449" s="171">
        <f t="shared" ref="K449:K452" ca="1" si="115">IF(I449&gt;0,J449*100/I449,0)</f>
        <v>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IFERROR(__xludf.DUMMYFUNCTION("IMPORTRANGE(""https://docs.google.com/spreadsheets/d/11923uPwbBZFjjGgGUA6NLw09EwE0CqkOc4q9oUmW1yo/edit?usp=sharing"",""ตาก!I345"")"),20)</f>
        <v>20</v>
      </c>
      <c r="J450" s="198">
        <f ca="1">IFERROR(__xludf.DUMMYFUNCTION("IMPORTRANGE(""https://docs.google.com/spreadsheets/d/11923uPwbBZFjjGgGUA6NLw09EwE0CqkOc4q9oUmW1yo/edit?usp=sharing"",""ตาก!J345"")"),0)</f>
        <v>0</v>
      </c>
      <c r="K450" s="171">
        <f t="shared" ca="1" si="115"/>
        <v>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IFERROR(__xludf.DUMMYFUNCTION("IMPORTRANGE(""https://docs.google.com/spreadsheets/d/11923uPwbBZFjjGgGUA6NLw09EwE0CqkOc4q9oUmW1yo/edit?usp=sharing"",""ตาก!I346"")"),0)</f>
        <v>0</v>
      </c>
      <c r="J451" s="197">
        <f ca="1">IFERROR(__xludf.DUMMYFUNCTION("IMPORTRANGE(""https://docs.google.com/spreadsheets/d/11923uPwbBZFjjGgGUA6NLw09EwE0CqkOc4q9oUmW1yo/edit?usp=sharing"",""ตาก!J346"")"),0)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IFERROR(__xludf.DUMMYFUNCTION("IMPORTRANGE(""https://docs.google.com/spreadsheets/d/11923uPwbBZFjjGgGUA6NLw09EwE0CqkOc4q9oUmW1yo/edit?usp=sharing"",""ตาก!I347"")"),0)</f>
        <v>0</v>
      </c>
      <c r="J452" s="197">
        <f ca="1">IFERROR(__xludf.DUMMYFUNCTION("IMPORTRANGE(""https://docs.google.com/spreadsheets/d/11923uPwbBZFjjGgGUA6NLw09EwE0CqkOc4q9oUmW1yo/edit?usp=sharing"",""ตาก!J347"")"),0)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IFERROR(__xludf.DUMMYFUNCTION("IMPORTRANGE(""https://docs.google.com/spreadsheets/d/11923uPwbBZFjjGgGUA6NLw09EwE0CqkOc4q9oUmW1yo/edit?usp=sharing"",""ตาก!J348"")"),0)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IFERROR(__xludf.DUMMYFUNCTION("IMPORTRANGE(""https://docs.google.com/spreadsheets/d/11923uPwbBZFjjGgGUA6NLw09EwE0CqkOc4q9oUmW1yo/edit?usp=sharing"",""ตาก!J349"")"),0)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IFERROR(__xludf.DUMMYFUNCTION("IMPORTRANGE(""https://docs.google.com/spreadsheets/d/11923uPwbBZFjjGgGUA6NLw09EwE0CqkOc4q9oUmW1yo/edit?usp=sharing"",""ตาก!I350"")"),53199)</f>
        <v>53199</v>
      </c>
      <c r="J455" s="379">
        <f ca="1">IFERROR(__xludf.DUMMYFUNCTION("IMPORTRANGE(""https://docs.google.com/spreadsheets/d/11923uPwbBZFjjGgGUA6NLw09EwE0CqkOc4q9oUmW1yo/edit?usp=sharing"",""ตาก!J350"")"),0)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IFERROR(__xludf.DUMMYFUNCTION("IMPORTRANGE(""https://docs.google.com/spreadsheets/d/11923uPwbBZFjjGgGUA6NLw09EwE0CqkOc4q9oUmW1yo/edit?usp=sharing"",""ตาก!L350"")"),462178)</f>
        <v>462178</v>
      </c>
      <c r="M455" s="381"/>
      <c r="N455" s="381">
        <f ca="1">IFERROR(__xludf.DUMMYFUNCTION("IMPORTRANGE(""https://docs.google.com/spreadsheets/d/11923uPwbBZFjjGgGUA6NLw09EwE0CqkOc4q9oUmW1yo/edit?usp=sharing"",""ตาก!M350"")"),53913)</f>
        <v>53913</v>
      </c>
      <c r="O455" s="381">
        <f t="shared" ref="O455:O459" ca="1" si="116">+IF(L455&gt;0,N455*100/L455,0)</f>
        <v>11.664986217431379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IFERROR(__xludf.DUMMYFUNCTION("IMPORTRANGE(""https://docs.google.com/spreadsheets/d/11923uPwbBZFjjGgGUA6NLw09EwE0CqkOc4q9oUmW1yo/edit?usp=sharing"",""ตาก!L351"")"),0)</f>
        <v>0</v>
      </c>
      <c r="M456" s="172"/>
      <c r="N456" s="178">
        <f ca="1">IFERROR(__xludf.DUMMYFUNCTION("IMPORTRANGE(""https://docs.google.com/spreadsheets/d/11923uPwbBZFjjGgGUA6NLw09EwE0CqkOc4q9oUmW1yo/edit?usp=sharing"",""ตาก!M351"")"),0)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IFERROR(__xludf.DUMMYFUNCTION("IMPORTRANGE(""https://docs.google.com/spreadsheets/d/11923uPwbBZFjjGgGUA6NLw09EwE0CqkOc4q9oUmW1yo/edit?usp=sharing"",""ตาก!L352"")"),462178)</f>
        <v>462178</v>
      </c>
      <c r="M457" s="173"/>
      <c r="N457" s="178">
        <f ca="1">IFERROR(__xludf.DUMMYFUNCTION("IMPORTRANGE(""https://docs.google.com/spreadsheets/d/11923uPwbBZFjjGgGUA6NLw09EwE0CqkOc4q9oUmW1yo/edit?usp=sharing"",""ตาก!M352"")"),53913)</f>
        <v>53913</v>
      </c>
      <c r="O457" s="178">
        <f t="shared" ca="1" si="116"/>
        <v>11.664986217431379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IFERROR(__xludf.DUMMYFUNCTION("IMPORTRANGE(""https://docs.google.com/spreadsheets/d/11923uPwbBZFjjGgGUA6NLw09EwE0CqkOc4q9oUmW1yo/edit?usp=sharing"",""ตาก!L353"")"),0)</f>
        <v>0</v>
      </c>
      <c r="M458" s="178"/>
      <c r="N458" s="178">
        <f ca="1">IFERROR(__xludf.DUMMYFUNCTION("IMPORTRANGE(""https://docs.google.com/spreadsheets/d/11923uPwbBZFjjGgGUA6NLw09EwE0CqkOc4q9oUmW1yo/edit?usp=sharing"",""ตาก!M353"")"),0)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IFERROR(__xludf.DUMMYFUNCTION("IMPORTRANGE(""https://docs.google.com/spreadsheets/d/11923uPwbBZFjjGgGUA6NLw09EwE0CqkOc4q9oUmW1yo/edit?usp=sharing"",""ตาก!L354"")"),462178)</f>
        <v>462178</v>
      </c>
      <c r="M459" s="178"/>
      <c r="N459" s="178">
        <f ca="1">IFERROR(__xludf.DUMMYFUNCTION("IMPORTRANGE(""https://docs.google.com/spreadsheets/d/11923uPwbBZFjjGgGUA6NLw09EwE0CqkOc4q9oUmW1yo/edit?usp=sharing"",""ตาก!M354"")"),53913)</f>
        <v>53913</v>
      </c>
      <c r="O459" s="178">
        <f t="shared" ca="1" si="116"/>
        <v>11.664986217431379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IFERROR(__xludf.DUMMYFUNCTION("IMPORTRANGE(""https://docs.google.com/spreadsheets/d/11923uPwbBZFjjGgGUA6NLw09EwE0CqkOc4q9oUmW1yo/edit?usp=sharing"",""ตาก!M355"")"),0)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IFERROR(__xludf.DUMMYFUNCTION("IMPORTRANGE(""https://docs.google.com/spreadsheets/d/11923uPwbBZFjjGgGUA6NLw09EwE0CqkOc4q9oUmW1yo/edit?usp=sharing"",""ตาก!M356"")"),0)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IFERROR(__xludf.DUMMYFUNCTION("IMPORTRANGE(""https://docs.google.com/spreadsheets/d/11923uPwbBZFjjGgGUA6NLw09EwE0CqkOc4q9oUmW1yo/edit?usp=sharing"",""ตาก!M357"")"),21266)</f>
        <v>21266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IFERROR(__xludf.DUMMYFUNCTION("IMPORTRANGE(""https://docs.google.com/spreadsheets/d/11923uPwbBZFjjGgGUA6NLw09EwE0CqkOc4q9oUmW1yo/edit?usp=sharing"",""ตาก!M358"")"),32647)</f>
        <v>32647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IFERROR(__xludf.DUMMYFUNCTION("IMPORTRANGE(""https://docs.google.com/spreadsheets/d/11923uPwbBZFjjGgGUA6NLw09EwE0CqkOc4q9oUmW1yo/edit?usp=sharing"",""ตาก!I359"")"),53199)</f>
        <v>53199</v>
      </c>
      <c r="J464" s="276">
        <f ca="1">IFERROR(__xludf.DUMMYFUNCTION("IMPORTRANGE(""https://docs.google.com/spreadsheets/d/11923uPwbBZFjjGgGUA6NLw09EwE0CqkOc4q9oUmW1yo/edit?usp=sharing"",""ตาก!J359"")"),0)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IFERROR(__xludf.DUMMYFUNCTION("IMPORTRANGE(""https://docs.google.com/spreadsheets/d/11923uPwbBZFjjGgGUA6NLw09EwE0CqkOc4q9oUmW1yo/edit?usp=sharing"",""ตาก!I360"")"),53199)</f>
        <v>53199</v>
      </c>
      <c r="J465" s="428">
        <f ca="1">IFERROR(__xludf.DUMMYFUNCTION("IMPORTRANGE(""https://docs.google.com/spreadsheets/d/11923uPwbBZFjjGgGUA6NLw09EwE0CqkOc4q9oUmW1yo/edit?usp=sharing"",""ตาก!J360"")"),55081)</f>
        <v>55081</v>
      </c>
      <c r="K465" s="211">
        <f t="shared" ca="1" si="117"/>
        <v>103.53766048233989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IFERROR(__xludf.DUMMYFUNCTION("IMPORTRANGE(""https://docs.google.com/spreadsheets/d/11923uPwbBZFjjGgGUA6NLw09EwE0CqkOc4q9oUmW1yo/edit?usp=sharing"",""ตาก!I361"")"),4506)</f>
        <v>4506</v>
      </c>
      <c r="J466" s="428">
        <f ca="1">IFERROR(__xludf.DUMMYFUNCTION("IMPORTRANGE(""https://docs.google.com/spreadsheets/d/11923uPwbBZFjjGgGUA6NLw09EwE0CqkOc4q9oUmW1yo/edit?usp=sharing"",""ตาก!J361"")"),3722)</f>
        <v>3722</v>
      </c>
      <c r="K466" s="211">
        <f t="shared" ca="1" si="117"/>
        <v>82.600976475810029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IFERROR(__xludf.DUMMYFUNCTION("IMPORTRANGE(""https://docs.google.com/spreadsheets/d/11923uPwbBZFjjGgGUA6NLw09EwE0CqkOc4q9oUmW1yo/edit?usp=sharing"",""ตาก!I362"")"),0)</f>
        <v>0</v>
      </c>
      <c r="J467" s="198">
        <f ca="1">IFERROR(__xludf.DUMMYFUNCTION("IMPORTRANGE(""https://docs.google.com/spreadsheets/d/11923uPwbBZFjjGgGUA6NLw09EwE0CqkOc4q9oUmW1yo/edit?usp=sharing"",""ตาก!J362"")"),48541)</f>
        <v>48541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IFERROR(__xludf.DUMMYFUNCTION("IMPORTRANGE(""https://docs.google.com/spreadsheets/d/11923uPwbBZFjjGgGUA6NLw09EwE0CqkOc4q9oUmW1yo/edit?usp=sharing"",""ตาก!I363"")"),0)</f>
        <v>0</v>
      </c>
      <c r="J468" s="198">
        <f ca="1">IFERROR(__xludf.DUMMYFUNCTION("IMPORTRANGE(""https://docs.google.com/spreadsheets/d/11923uPwbBZFjjGgGUA6NLw09EwE0CqkOc4q9oUmW1yo/edit?usp=sharing"",""ตาก!J363"")"),3339)</f>
        <v>3339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IFERROR(__xludf.DUMMYFUNCTION("IMPORTRANGE(""https://docs.google.com/spreadsheets/d/11923uPwbBZFjjGgGUA6NLw09EwE0CqkOc4q9oUmW1yo/edit?usp=sharing"",""ตาก!I364"")"),0)</f>
        <v>0</v>
      </c>
      <c r="J469" s="198">
        <f ca="1">IFERROR(__xludf.DUMMYFUNCTION("IMPORTRANGE(""https://docs.google.com/spreadsheets/d/11923uPwbBZFjjGgGUA6NLw09EwE0CqkOc4q9oUmW1yo/edit?usp=sharing"",""ตาก!J364"")"),5108)</f>
        <v>5108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IFERROR(__xludf.DUMMYFUNCTION("IMPORTRANGE(""https://docs.google.com/spreadsheets/d/11923uPwbBZFjjGgGUA6NLw09EwE0CqkOc4q9oUmW1yo/edit?usp=sharing"",""ตาก!I365"")"),0)</f>
        <v>0</v>
      </c>
      <c r="J470" s="198">
        <f ca="1">IFERROR(__xludf.DUMMYFUNCTION("IMPORTRANGE(""https://docs.google.com/spreadsheets/d/11923uPwbBZFjjGgGUA6NLw09EwE0CqkOc4q9oUmW1yo/edit?usp=sharing"",""ตาก!J365"")"),300)</f>
        <v>300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IFERROR(__xludf.DUMMYFUNCTION("IMPORTRANGE(""https://docs.google.com/spreadsheets/d/11923uPwbBZFjjGgGUA6NLw09EwE0CqkOc4q9oUmW1yo/edit?usp=sharing"",""ตาก!I366"")"),0)</f>
        <v>0</v>
      </c>
      <c r="J471" s="198">
        <f ca="1">IFERROR(__xludf.DUMMYFUNCTION("IMPORTRANGE(""https://docs.google.com/spreadsheets/d/11923uPwbBZFjjGgGUA6NLw09EwE0CqkOc4q9oUmW1yo/edit?usp=sharing"",""ตาก!J366"")"),1432)</f>
        <v>1432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IFERROR(__xludf.DUMMYFUNCTION("IMPORTRANGE(""https://docs.google.com/spreadsheets/d/11923uPwbBZFjjGgGUA6NLw09EwE0CqkOc4q9oUmW1yo/edit?usp=sharing"",""ตาก!I367"")"),0)</f>
        <v>0</v>
      </c>
      <c r="J472" s="198">
        <f ca="1">IFERROR(__xludf.DUMMYFUNCTION("IMPORTRANGE(""https://docs.google.com/spreadsheets/d/11923uPwbBZFjjGgGUA6NLw09EwE0CqkOc4q9oUmW1yo/edit?usp=sharing"",""ตาก!J367"")"),83)</f>
        <v>83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IFERROR(__xludf.DUMMYFUNCTION("IMPORTRANGE(""https://docs.google.com/spreadsheets/d/11923uPwbBZFjjGgGUA6NLw09EwE0CqkOc4q9oUmW1yo/edit?usp=sharing"",""ตาก!I368"")"),53199)</f>
        <v>53199</v>
      </c>
      <c r="J473" s="428">
        <f ca="1">IFERROR(__xludf.DUMMYFUNCTION("IMPORTRANGE(""https://docs.google.com/spreadsheets/d/11923uPwbBZFjjGgGUA6NLw09EwE0CqkOc4q9oUmW1yo/edit?usp=sharing"",""ตาก!J368"")"),0)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IFERROR(__xludf.DUMMYFUNCTION("IMPORTRANGE(""https://docs.google.com/spreadsheets/d/11923uPwbBZFjjGgGUA6NLw09EwE0CqkOc4q9oUmW1yo/edit?usp=sharing"",""ตาก!I369"")"),4506)</f>
        <v>4506</v>
      </c>
      <c r="J474" s="428">
        <f ca="1">IFERROR(__xludf.DUMMYFUNCTION("IMPORTRANGE(""https://docs.google.com/spreadsheets/d/11923uPwbBZFjjGgGUA6NLw09EwE0CqkOc4q9oUmW1yo/edit?usp=sharing"",""ตาก!J369"")"),0)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IFERROR(__xludf.DUMMYFUNCTION("IMPORTRANGE(""https://docs.google.com/spreadsheets/d/11923uPwbBZFjjGgGUA6NLw09EwE0CqkOc4q9oUmW1yo/edit?usp=sharing"",""ตาก!I370"")"),0)</f>
        <v>0</v>
      </c>
      <c r="J475" s="198">
        <f ca="1">IFERROR(__xludf.DUMMYFUNCTION("IMPORTRANGE(""https://docs.google.com/spreadsheets/d/11923uPwbBZFjjGgGUA6NLw09EwE0CqkOc4q9oUmW1yo/edit?usp=sharing"",""ตาก!J370"")"),0)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IFERROR(__xludf.DUMMYFUNCTION("IMPORTRANGE(""https://docs.google.com/spreadsheets/d/11923uPwbBZFjjGgGUA6NLw09EwE0CqkOc4q9oUmW1yo/edit?usp=sharing"",""ตาก!I371"")"),0)</f>
        <v>0</v>
      </c>
      <c r="J476" s="198">
        <f ca="1">IFERROR(__xludf.DUMMYFUNCTION("IMPORTRANGE(""https://docs.google.com/spreadsheets/d/11923uPwbBZFjjGgGUA6NLw09EwE0CqkOc4q9oUmW1yo/edit?usp=sharing"",""ตาก!J371"")"),0)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IFERROR(__xludf.DUMMYFUNCTION("IMPORTRANGE(""https://docs.google.com/spreadsheets/d/11923uPwbBZFjjGgGUA6NLw09EwE0CqkOc4q9oUmW1yo/edit?usp=sharing"",""ตาก!I372"")"),0)</f>
        <v>0</v>
      </c>
      <c r="J477" s="198">
        <f ca="1">IFERROR(__xludf.DUMMYFUNCTION("IMPORTRANGE(""https://docs.google.com/spreadsheets/d/11923uPwbBZFjjGgGUA6NLw09EwE0CqkOc4q9oUmW1yo/edit?usp=sharing"",""ตาก!J372"")"),0)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IFERROR(__xludf.DUMMYFUNCTION("IMPORTRANGE(""https://docs.google.com/spreadsheets/d/11923uPwbBZFjjGgGUA6NLw09EwE0CqkOc4q9oUmW1yo/edit?usp=sharing"",""ตาก!I373"")"),0)</f>
        <v>0</v>
      </c>
      <c r="J478" s="198">
        <f ca="1">IFERROR(__xludf.DUMMYFUNCTION("IMPORTRANGE(""https://docs.google.com/spreadsheets/d/11923uPwbBZFjjGgGUA6NLw09EwE0CqkOc4q9oUmW1yo/edit?usp=sharing"",""ตาก!J373"")"),0)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IFERROR(__xludf.DUMMYFUNCTION("IMPORTRANGE(""https://docs.google.com/spreadsheets/d/11923uPwbBZFjjGgGUA6NLw09EwE0CqkOc4q9oUmW1yo/edit?usp=sharing"",""ตาก!I374"")"),0)</f>
        <v>0</v>
      </c>
      <c r="J479" s="198">
        <f ca="1">IFERROR(__xludf.DUMMYFUNCTION("IMPORTRANGE(""https://docs.google.com/spreadsheets/d/11923uPwbBZFjjGgGUA6NLw09EwE0CqkOc4q9oUmW1yo/edit?usp=sharing"",""ตาก!J374"")"),0)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IFERROR(__xludf.DUMMYFUNCTION("IMPORTRANGE(""https://docs.google.com/spreadsheets/d/11923uPwbBZFjjGgGUA6NLw09EwE0CqkOc4q9oUmW1yo/edit?usp=sharing"",""ตาก!I375"")"),0)</f>
        <v>0</v>
      </c>
      <c r="J480" s="198">
        <f ca="1">IFERROR(__xludf.DUMMYFUNCTION("IMPORTRANGE(""https://docs.google.com/spreadsheets/d/11923uPwbBZFjjGgGUA6NLw09EwE0CqkOc4q9oUmW1yo/edit?usp=sharing"",""ตาก!J375"")"),0)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IFERROR(__xludf.DUMMYFUNCTION("IMPORTRANGE(""https://docs.google.com/spreadsheets/d/11923uPwbBZFjjGgGUA6NLw09EwE0CqkOc4q9oUmW1yo/edit?usp=sharing"",""ตาก!I376"")"),53199)</f>
        <v>53199</v>
      </c>
      <c r="J481" s="428">
        <f ca="1">IFERROR(__xludf.DUMMYFUNCTION("IMPORTRANGE(""https://docs.google.com/spreadsheets/d/11923uPwbBZFjjGgGUA6NLw09EwE0CqkOc4q9oUmW1yo/edit?usp=sharing"",""ตาก!J376"")"),0)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IFERROR(__xludf.DUMMYFUNCTION("IMPORTRANGE(""https://docs.google.com/spreadsheets/d/11923uPwbBZFjjGgGUA6NLw09EwE0CqkOc4q9oUmW1yo/edit?usp=sharing"",""ตาก!I377"")"),4506)</f>
        <v>4506</v>
      </c>
      <c r="J482" s="428">
        <f ca="1">IFERROR(__xludf.DUMMYFUNCTION("IMPORTRANGE(""https://docs.google.com/spreadsheets/d/11923uPwbBZFjjGgGUA6NLw09EwE0CqkOc4q9oUmW1yo/edit?usp=sharing"",""ตาก!J377"")"),0)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IFERROR(__xludf.DUMMYFUNCTION("IMPORTRANGE(""https://docs.google.com/spreadsheets/d/11923uPwbBZFjjGgGUA6NLw09EwE0CqkOc4q9oUmW1yo/edit?usp=sharing"",""ตาก!I378"")"),0)</f>
        <v>0</v>
      </c>
      <c r="J483" s="198">
        <f ca="1">IFERROR(__xludf.DUMMYFUNCTION("IMPORTRANGE(""https://docs.google.com/spreadsheets/d/11923uPwbBZFjjGgGUA6NLw09EwE0CqkOc4q9oUmW1yo/edit?usp=sharing"",""ตาก!J378"")"),0)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IFERROR(__xludf.DUMMYFUNCTION("IMPORTRANGE(""https://docs.google.com/spreadsheets/d/11923uPwbBZFjjGgGUA6NLw09EwE0CqkOc4q9oUmW1yo/edit?usp=sharing"",""ตาก!I379"")"),0)</f>
        <v>0</v>
      </c>
      <c r="J484" s="198">
        <f ca="1">IFERROR(__xludf.DUMMYFUNCTION("IMPORTRANGE(""https://docs.google.com/spreadsheets/d/11923uPwbBZFjjGgGUA6NLw09EwE0CqkOc4q9oUmW1yo/edit?usp=sharing"",""ตาก!J379"")"),0)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IFERROR(__xludf.DUMMYFUNCTION("IMPORTRANGE(""https://docs.google.com/spreadsheets/d/11923uPwbBZFjjGgGUA6NLw09EwE0CqkOc4q9oUmW1yo/edit?usp=sharing"",""ตาก!I380"")"),0)</f>
        <v>0</v>
      </c>
      <c r="J485" s="198">
        <f ca="1">IFERROR(__xludf.DUMMYFUNCTION("IMPORTRANGE(""https://docs.google.com/spreadsheets/d/11923uPwbBZFjjGgGUA6NLw09EwE0CqkOc4q9oUmW1yo/edit?usp=sharing"",""ตาก!J380"")"),0)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IFERROR(__xludf.DUMMYFUNCTION("IMPORTRANGE(""https://docs.google.com/spreadsheets/d/11923uPwbBZFjjGgGUA6NLw09EwE0CqkOc4q9oUmW1yo/edit?usp=sharing"",""ตาก!I381"")"),0)</f>
        <v>0</v>
      </c>
      <c r="J486" s="198">
        <f ca="1">IFERROR(__xludf.DUMMYFUNCTION("IMPORTRANGE(""https://docs.google.com/spreadsheets/d/11923uPwbBZFjjGgGUA6NLw09EwE0CqkOc4q9oUmW1yo/edit?usp=sharing"",""ตาก!J381"")"),0)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IFERROR(__xludf.DUMMYFUNCTION("IMPORTRANGE(""https://docs.google.com/spreadsheets/d/11923uPwbBZFjjGgGUA6NLw09EwE0CqkOc4q9oUmW1yo/edit?usp=sharing"",""ตาก!I382"")"),0)</f>
        <v>0</v>
      </c>
      <c r="J487" s="428">
        <f ca="1">IFERROR(__xludf.DUMMYFUNCTION("IMPORTRANGE(""https://docs.google.com/spreadsheets/d/11923uPwbBZFjjGgGUA6NLw09EwE0CqkOc4q9oUmW1yo/edit?usp=sharing"",""ตาก!J382"")"),0)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IFERROR(__xludf.DUMMYFUNCTION("IMPORTRANGE(""https://docs.google.com/spreadsheets/d/11923uPwbBZFjjGgGUA6NLw09EwE0CqkOc4q9oUmW1yo/edit?usp=sharing"",""ตาก!I383"")"),0)</f>
        <v>0</v>
      </c>
      <c r="J488" s="428">
        <f ca="1">IFERROR(__xludf.DUMMYFUNCTION("IMPORTRANGE(""https://docs.google.com/spreadsheets/d/11923uPwbBZFjjGgGUA6NLw09EwE0CqkOc4q9oUmW1yo/edit?usp=sharing"",""ตาก!J383"")"),0)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IFERROR(__xludf.DUMMYFUNCTION("IMPORTRANGE(""https://docs.google.com/spreadsheets/d/11923uPwbBZFjjGgGUA6NLw09EwE0CqkOc4q9oUmW1yo/edit?usp=sharing"",""ตาก!I384"")"),0)</f>
        <v>0</v>
      </c>
      <c r="J489" s="198">
        <f ca="1">IFERROR(__xludf.DUMMYFUNCTION("IMPORTRANGE(""https://docs.google.com/spreadsheets/d/11923uPwbBZFjjGgGUA6NLw09EwE0CqkOc4q9oUmW1yo/edit?usp=sharing"",""ตาก!J384"")"),0)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IFERROR(__xludf.DUMMYFUNCTION("IMPORTRANGE(""https://docs.google.com/spreadsheets/d/11923uPwbBZFjjGgGUA6NLw09EwE0CqkOc4q9oUmW1yo/edit?usp=sharing"",""ตาก!I385"")"),0)</f>
        <v>0</v>
      </c>
      <c r="J490" s="198">
        <f ca="1">IFERROR(__xludf.DUMMYFUNCTION("IMPORTRANGE(""https://docs.google.com/spreadsheets/d/11923uPwbBZFjjGgGUA6NLw09EwE0CqkOc4q9oUmW1yo/edit?usp=sharing"",""ตาก!J385"")"),0)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IFERROR(__xludf.DUMMYFUNCTION("IMPORTRANGE(""https://docs.google.com/spreadsheets/d/11923uPwbBZFjjGgGUA6NLw09EwE0CqkOc4q9oUmW1yo/edit?usp=sharing"",""ตาก!I386"")"),0)</f>
        <v>0</v>
      </c>
      <c r="J491" s="198">
        <f ca="1">IFERROR(__xludf.DUMMYFUNCTION("IMPORTRANGE(""https://docs.google.com/spreadsheets/d/11923uPwbBZFjjGgGUA6NLw09EwE0CqkOc4q9oUmW1yo/edit?usp=sharing"",""ตาก!J386"")"),0)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IFERROR(__xludf.DUMMYFUNCTION("IMPORTRANGE(""https://docs.google.com/spreadsheets/d/11923uPwbBZFjjGgGUA6NLw09EwE0CqkOc4q9oUmW1yo/edit?usp=sharing"",""ตาก!I387"")"),0)</f>
        <v>0</v>
      </c>
      <c r="J492" s="198">
        <f ca="1">IFERROR(__xludf.DUMMYFUNCTION("IMPORTRANGE(""https://docs.google.com/spreadsheets/d/11923uPwbBZFjjGgGUA6NLw09EwE0CqkOc4q9oUmW1yo/edit?usp=sharing"",""ตาก!J387"")"),0)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IFERROR(__xludf.DUMMYFUNCTION("IMPORTRANGE(""https://docs.google.com/spreadsheets/d/11923uPwbBZFjjGgGUA6NLw09EwE0CqkOc4q9oUmW1yo/edit?usp=sharing"",""ตาก!I388"")"),0)</f>
        <v>0</v>
      </c>
      <c r="J493" s="198">
        <f ca="1">IFERROR(__xludf.DUMMYFUNCTION("IMPORTRANGE(""https://docs.google.com/spreadsheets/d/11923uPwbBZFjjGgGUA6NLw09EwE0CqkOc4q9oUmW1yo/edit?usp=sharing"",""ตาก!J388"")"),0)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IFERROR(__xludf.DUMMYFUNCTION("IMPORTRANGE(""https://docs.google.com/spreadsheets/d/11923uPwbBZFjjGgGUA6NLw09EwE0CqkOc4q9oUmW1yo/edit?usp=sharing"",""ตาก!I389"")"),0)</f>
        <v>0</v>
      </c>
      <c r="J494" s="444">
        <f ca="1">IFERROR(__xludf.DUMMYFUNCTION("IMPORTRANGE(""https://docs.google.com/spreadsheets/d/11923uPwbBZFjjGgGUA6NLw09EwE0CqkOc4q9oUmW1yo/edit?usp=sharing"",""ตาก!J389"")"),0)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IFERROR(__xludf.DUMMYFUNCTION("IMPORTRANGE(""https://docs.google.com/spreadsheets/d/11923uPwbBZFjjGgGUA6NLw09EwE0CqkOc4q9oUmW1yo/edit?usp=sharing"",""ตาก!I390"")"),0)</f>
        <v>0</v>
      </c>
      <c r="J495" s="444">
        <f ca="1">IFERROR(__xludf.DUMMYFUNCTION("IMPORTRANGE(""https://docs.google.com/spreadsheets/d/11923uPwbBZFjjGgGUA6NLw09EwE0CqkOc4q9oUmW1yo/edit?usp=sharing"",""ตาก!J390"")"),0)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IFERROR(__xludf.DUMMYFUNCTION("IMPORTRANGE(""https://docs.google.com/spreadsheets/d/11923uPwbBZFjjGgGUA6NLw09EwE0CqkOc4q9oUmW1yo/edit?usp=sharing"",""ตาก!I391"")"),0)</f>
        <v>0</v>
      </c>
      <c r="J496" s="444">
        <f ca="1">IFERROR(__xludf.DUMMYFUNCTION("IMPORTRANGE(""https://docs.google.com/spreadsheets/d/11923uPwbBZFjjGgGUA6NLw09EwE0CqkOc4q9oUmW1yo/edit?usp=sharing"",""ตาก!J391"")"),0)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IFERROR(__xludf.DUMMYFUNCTION("IMPORTRANGE(""https://docs.google.com/spreadsheets/d/11923uPwbBZFjjGgGUA6NLw09EwE0CqkOc4q9oUmW1yo/edit?usp=sharing"",""ตาก!I392"")"),364)</f>
        <v>364</v>
      </c>
      <c r="J497" s="451">
        <f ca="1">IFERROR(__xludf.DUMMYFUNCTION("IMPORTRANGE(""https://docs.google.com/spreadsheets/d/11923uPwbBZFjjGgGUA6NLw09EwE0CqkOc4q9oUmW1yo/edit?usp=sharing"",""ตาก!J392"")"),0)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IFERROR(__xludf.DUMMYFUNCTION("IMPORTRANGE(""https://docs.google.com/spreadsheets/d/11923uPwbBZFjjGgGUA6NLw09EwE0CqkOc4q9oUmW1yo/edit?usp=sharing"",""ตาก!I393"")"),364)</f>
        <v>364</v>
      </c>
      <c r="J498" s="428">
        <f ca="1">IFERROR(__xludf.DUMMYFUNCTION("IMPORTRANGE(""https://docs.google.com/spreadsheets/d/11923uPwbBZFjjGgGUA6NLw09EwE0CqkOc4q9oUmW1yo/edit?usp=sharing"",""ตาก!J393"")"),0)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IFERROR(__xludf.DUMMYFUNCTION("IMPORTRANGE(""https://docs.google.com/spreadsheets/d/11923uPwbBZFjjGgGUA6NLw09EwE0CqkOc4q9oUmW1yo/edit?usp=sharing"",""ตาก!I394"")"),31)</f>
        <v>31</v>
      </c>
      <c r="J499" s="428">
        <f ca="1">IFERROR(__xludf.DUMMYFUNCTION("IMPORTRANGE(""https://docs.google.com/spreadsheets/d/11923uPwbBZFjjGgGUA6NLw09EwE0CqkOc4q9oUmW1yo/edit?usp=sharing"",""ตาก!J394"")"),0)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IFERROR(__xludf.DUMMYFUNCTION("IMPORTRANGE(""https://docs.google.com/spreadsheets/d/11923uPwbBZFjjGgGUA6NLw09EwE0CqkOc4q9oUmW1yo/edit?usp=sharing"",""ตาก!I395"")"),0)</f>
        <v>0</v>
      </c>
      <c r="J500" s="170">
        <f ca="1">IFERROR(__xludf.DUMMYFUNCTION("IMPORTRANGE(""https://docs.google.com/spreadsheets/d/11923uPwbBZFjjGgGUA6NLw09EwE0CqkOc4q9oUmW1yo/edit?usp=sharing"",""ตาก!J395"")"),0)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IFERROR(__xludf.DUMMYFUNCTION("IMPORTRANGE(""https://docs.google.com/spreadsheets/d/11923uPwbBZFjjGgGUA6NLw09EwE0CqkOc4q9oUmW1yo/edit?usp=sharing"",""ตาก!I396"")"),0)</f>
        <v>0</v>
      </c>
      <c r="J501" s="170">
        <f ca="1">IFERROR(__xludf.DUMMYFUNCTION("IMPORTRANGE(""https://docs.google.com/spreadsheets/d/11923uPwbBZFjjGgGUA6NLw09EwE0CqkOc4q9oUmW1yo/edit?usp=sharing"",""ตาก!J396"")"),0)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IFERROR(__xludf.DUMMYFUNCTION("IMPORTRANGE(""https://docs.google.com/spreadsheets/d/11923uPwbBZFjjGgGUA6NLw09EwE0CqkOc4q9oUmW1yo/edit?usp=sharing"",""ตาก!I397"")"),0)</f>
        <v>0</v>
      </c>
      <c r="J502" s="198">
        <f ca="1">IFERROR(__xludf.DUMMYFUNCTION("IMPORTRANGE(""https://docs.google.com/spreadsheets/d/11923uPwbBZFjjGgGUA6NLw09EwE0CqkOc4q9oUmW1yo/edit?usp=sharing"",""ตาก!J397"")"),0)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IFERROR(__xludf.DUMMYFUNCTION("IMPORTRANGE(""https://docs.google.com/spreadsheets/d/11923uPwbBZFjjGgGUA6NLw09EwE0CqkOc4q9oUmW1yo/edit?usp=sharing"",""ตาก!I398"")"),0)</f>
        <v>0</v>
      </c>
      <c r="J503" s="207">
        <f ca="1">IFERROR(__xludf.DUMMYFUNCTION("IMPORTRANGE(""https://docs.google.com/spreadsheets/d/11923uPwbBZFjjGgGUA6NLw09EwE0CqkOc4q9oUmW1yo/edit?usp=sharing"",""ตาก!J398"")"),0)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IFERROR(__xludf.DUMMYFUNCTION("IMPORTRANGE(""https://docs.google.com/spreadsheets/d/11923uPwbBZFjjGgGUA6NLw09EwE0CqkOc4q9oUmW1yo/edit?usp=sharing"",""ตาก!I399"")"),0)</f>
        <v>0</v>
      </c>
      <c r="J504" s="198">
        <f ca="1">IFERROR(__xludf.DUMMYFUNCTION("IMPORTRANGE(""https://docs.google.com/spreadsheets/d/11923uPwbBZFjjGgGUA6NLw09EwE0CqkOc4q9oUmW1yo/edit?usp=sharing"",""ตาก!J399"")"),0)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IFERROR(__xludf.DUMMYFUNCTION("IMPORTRANGE(""https://docs.google.com/spreadsheets/d/11923uPwbBZFjjGgGUA6NLw09EwE0CqkOc4q9oUmW1yo/edit?usp=sharing"",""ตาก!I400"")"),0)</f>
        <v>0</v>
      </c>
      <c r="J505" s="207">
        <f ca="1">IFERROR(__xludf.DUMMYFUNCTION("IMPORTRANGE(""https://docs.google.com/spreadsheets/d/11923uPwbBZFjjGgGUA6NLw09EwE0CqkOc4q9oUmW1yo/edit?usp=sharing"",""ตาก!J400"")"),0)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IFERROR(__xludf.DUMMYFUNCTION("IMPORTRANGE(""https://docs.google.com/spreadsheets/d/11923uPwbBZFjjGgGUA6NLw09EwE0CqkOc4q9oUmW1yo/edit?usp=sharing"",""ตาก!I401"")"),0)</f>
        <v>0</v>
      </c>
      <c r="J506" s="198">
        <f ca="1">IFERROR(__xludf.DUMMYFUNCTION("IMPORTRANGE(""https://docs.google.com/spreadsheets/d/11923uPwbBZFjjGgGUA6NLw09EwE0CqkOc4q9oUmW1yo/edit?usp=sharing"",""ตาก!J401"")"),0)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IFERROR(__xludf.DUMMYFUNCTION("IMPORTRANGE(""https://docs.google.com/spreadsheets/d/11923uPwbBZFjjGgGUA6NLw09EwE0CqkOc4q9oUmW1yo/edit?usp=sharing"",""ตาก!I402"")"),0)</f>
        <v>0</v>
      </c>
      <c r="J507" s="207">
        <f ca="1">IFERROR(__xludf.DUMMYFUNCTION("IMPORTRANGE(""https://docs.google.com/spreadsheets/d/11923uPwbBZFjjGgGUA6NLw09EwE0CqkOc4q9oUmW1yo/edit?usp=sharing"",""ตาก!J402"")"),0)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IFERROR(__xludf.DUMMYFUNCTION("IMPORTRANGE(""https://docs.google.com/spreadsheets/d/11923uPwbBZFjjGgGUA6NLw09EwE0CqkOc4q9oUmW1yo/edit?usp=sharing"",""ตาก!I403"")"),0)</f>
        <v>0</v>
      </c>
      <c r="J508" s="170">
        <f ca="1">IFERROR(__xludf.DUMMYFUNCTION("IMPORTRANGE(""https://docs.google.com/spreadsheets/d/11923uPwbBZFjjGgGUA6NLw09EwE0CqkOc4q9oUmW1yo/edit?usp=sharing"",""ตาก!J403"")"),0)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IFERROR(__xludf.DUMMYFUNCTION("IMPORTRANGE(""https://docs.google.com/spreadsheets/d/11923uPwbBZFjjGgGUA6NLw09EwE0CqkOc4q9oUmW1yo/edit?usp=sharing"",""ตาก!I404"")"),0)</f>
        <v>0</v>
      </c>
      <c r="J509" s="170">
        <f ca="1">IFERROR(__xludf.DUMMYFUNCTION("IMPORTRANGE(""https://docs.google.com/spreadsheets/d/11923uPwbBZFjjGgGUA6NLw09EwE0CqkOc4q9oUmW1yo/edit?usp=sharing"",""ตาก!J404"")"),0)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IFERROR(__xludf.DUMMYFUNCTION("IMPORTRANGE(""https://docs.google.com/spreadsheets/d/11923uPwbBZFjjGgGUA6NLw09EwE0CqkOc4q9oUmW1yo/edit?usp=sharing"",""ตาก!I405"")"),0)</f>
        <v>0</v>
      </c>
      <c r="J510" s="207">
        <f ca="1">IFERROR(__xludf.DUMMYFUNCTION("IMPORTRANGE(""https://docs.google.com/spreadsheets/d/11923uPwbBZFjjGgGUA6NLw09EwE0CqkOc4q9oUmW1yo/edit?usp=sharing"",""ตาก!J405"")"),0)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IFERROR(__xludf.DUMMYFUNCTION("IMPORTRANGE(""https://docs.google.com/spreadsheets/d/11923uPwbBZFjjGgGUA6NLw09EwE0CqkOc4q9oUmW1yo/edit?usp=sharing"",""ตาก!I406"")"),0)</f>
        <v>0</v>
      </c>
      <c r="J511" s="207">
        <f ca="1">IFERROR(__xludf.DUMMYFUNCTION("IMPORTRANGE(""https://docs.google.com/spreadsheets/d/11923uPwbBZFjjGgGUA6NLw09EwE0CqkOc4q9oUmW1yo/edit?usp=sharing"",""ตาก!J406"")"),0)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IFERROR(__xludf.DUMMYFUNCTION("IMPORTRANGE(""https://docs.google.com/spreadsheets/d/11923uPwbBZFjjGgGUA6NLw09EwE0CqkOc4q9oUmW1yo/edit?usp=sharing"",""ตาก!I407"")"),0)</f>
        <v>0</v>
      </c>
      <c r="J512" s="207">
        <f ca="1">IFERROR(__xludf.DUMMYFUNCTION("IMPORTRANGE(""https://docs.google.com/spreadsheets/d/11923uPwbBZFjjGgGUA6NLw09EwE0CqkOc4q9oUmW1yo/edit?usp=sharing"",""ตาก!J407"")"),0)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IFERROR(__xludf.DUMMYFUNCTION("IMPORTRANGE(""https://docs.google.com/spreadsheets/d/11923uPwbBZFjjGgGUA6NLw09EwE0CqkOc4q9oUmW1yo/edit?usp=sharing"",""ตาก!I408"")"),0)</f>
        <v>0</v>
      </c>
      <c r="J513" s="207">
        <f ca="1">IFERROR(__xludf.DUMMYFUNCTION("IMPORTRANGE(""https://docs.google.com/spreadsheets/d/11923uPwbBZFjjGgGUA6NLw09EwE0CqkOc4q9oUmW1yo/edit?usp=sharing"",""ตาก!J408"")"),0)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IFERROR(__xludf.DUMMYFUNCTION("IMPORTRANGE(""https://docs.google.com/spreadsheets/d/11923uPwbBZFjjGgGUA6NLw09EwE0CqkOc4q9oUmW1yo/edit?usp=sharing"",""ตาก!I409"")"),0)</f>
        <v>0</v>
      </c>
      <c r="J514" s="207">
        <f ca="1">IFERROR(__xludf.DUMMYFUNCTION("IMPORTRANGE(""https://docs.google.com/spreadsheets/d/11923uPwbBZFjjGgGUA6NLw09EwE0CqkOc4q9oUmW1yo/edit?usp=sharing"",""ตาก!J409"")"),0)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IFERROR(__xludf.DUMMYFUNCTION("IMPORTRANGE(""https://docs.google.com/spreadsheets/d/11923uPwbBZFjjGgGUA6NLw09EwE0CqkOc4q9oUmW1yo/edit?usp=sharing"",""ตาก!I410"")"),0)</f>
        <v>0</v>
      </c>
      <c r="J515" s="207">
        <f ca="1">IFERROR(__xludf.DUMMYFUNCTION("IMPORTRANGE(""https://docs.google.com/spreadsheets/d/11923uPwbBZFjjGgGUA6NLw09EwE0CqkOc4q9oUmW1yo/edit?usp=sharing"",""ตาก!J410"")"),0)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IFERROR(__xludf.DUMMYFUNCTION("IMPORTRANGE(""https://docs.google.com/spreadsheets/d/11923uPwbBZFjjGgGUA6NLw09EwE0CqkOc4q9oUmW1yo/edit?usp=sharing"",""ตาก!I411"")"),0)</f>
        <v>0</v>
      </c>
      <c r="J516" s="276">
        <f ca="1">IFERROR(__xludf.DUMMYFUNCTION("IMPORTRANGE(""https://docs.google.com/spreadsheets/d/11923uPwbBZFjjGgGUA6NLw09EwE0CqkOc4q9oUmW1yo/edit?usp=sharing"",""ตาก!J411"")"),0)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IFERROR(__xludf.DUMMYFUNCTION("IMPORTRANGE(""https://docs.google.com/spreadsheets/d/11923uPwbBZFjjGgGUA6NLw09EwE0CqkOc4q9oUmW1yo/edit?usp=sharing"",""ตาก!I412"")"),0)</f>
        <v>0</v>
      </c>
      <c r="J517" s="292">
        <f ca="1">IFERROR(__xludf.DUMMYFUNCTION("IMPORTRANGE(""https://docs.google.com/spreadsheets/d/11923uPwbBZFjjGgGUA6NLw09EwE0CqkOc4q9oUmW1yo/edit?usp=sharing"",""ตาก!J412"")"),0)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IFERROR(__xludf.DUMMYFUNCTION("IMPORTRANGE(""https://docs.google.com/spreadsheets/d/11923uPwbBZFjjGgGUA6NLw09EwE0CqkOc4q9oUmW1yo/edit?usp=sharing"",""ตาก!I413"")"),0)</f>
        <v>0</v>
      </c>
      <c r="J518" s="292">
        <f ca="1">IFERROR(__xludf.DUMMYFUNCTION("IMPORTRANGE(""https://docs.google.com/spreadsheets/d/11923uPwbBZFjjGgGUA6NLw09EwE0CqkOc4q9oUmW1yo/edit?usp=sharing"",""ตาก!J413"")"),0)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IFERROR(__xludf.DUMMYFUNCTION("IMPORTRANGE(""https://docs.google.com/spreadsheets/d/11923uPwbBZFjjGgGUA6NLw09EwE0CqkOc4q9oUmW1yo/edit?usp=sharing"",""ตาก!I414"")"),0)</f>
        <v>0</v>
      </c>
      <c r="J519" s="197">
        <f ca="1">IFERROR(__xludf.DUMMYFUNCTION("IMPORTRANGE(""https://docs.google.com/spreadsheets/d/11923uPwbBZFjjGgGUA6NLw09EwE0CqkOc4q9oUmW1yo/edit?usp=sharing"",""ตาก!J414"")"),0)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IFERROR(__xludf.DUMMYFUNCTION("IMPORTRANGE(""https://docs.google.com/spreadsheets/d/11923uPwbBZFjjGgGUA6NLw09EwE0CqkOc4q9oUmW1yo/edit?usp=sharing"",""ตาก!I415"")"),0)</f>
        <v>0</v>
      </c>
      <c r="J520" s="197">
        <f ca="1">IFERROR(__xludf.DUMMYFUNCTION("IMPORTRANGE(""https://docs.google.com/spreadsheets/d/11923uPwbBZFjjGgGUA6NLw09EwE0CqkOc4q9oUmW1yo/edit?usp=sharing"",""ตาก!J415"")"),0)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IFERROR(__xludf.DUMMYFUNCTION("IMPORTRANGE(""https://docs.google.com/spreadsheets/d/11923uPwbBZFjjGgGUA6NLw09EwE0CqkOc4q9oUmW1yo/edit?usp=sharing"",""ตาก!I416"")"),0)</f>
        <v>0</v>
      </c>
      <c r="J521" s="197">
        <f ca="1">IFERROR(__xludf.DUMMYFUNCTION("IMPORTRANGE(""https://docs.google.com/spreadsheets/d/11923uPwbBZFjjGgGUA6NLw09EwE0CqkOc4q9oUmW1yo/edit?usp=sharing"",""ตาก!J416"")"),0)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IFERROR(__xludf.DUMMYFUNCTION("IMPORTRANGE(""https://docs.google.com/spreadsheets/d/11923uPwbBZFjjGgGUA6NLw09EwE0CqkOc4q9oUmW1yo/edit?usp=sharing"",""ตาก!I417"")"),0)</f>
        <v>0</v>
      </c>
      <c r="J522" s="197">
        <f ca="1">IFERROR(__xludf.DUMMYFUNCTION("IMPORTRANGE(""https://docs.google.com/spreadsheets/d/11923uPwbBZFjjGgGUA6NLw09EwE0CqkOc4q9oUmW1yo/edit?usp=sharing"",""ตาก!J417"")"),0)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IFERROR(__xludf.DUMMYFUNCTION("IMPORTRANGE(""https://docs.google.com/spreadsheets/d/11923uPwbBZFjjGgGUA6NLw09EwE0CqkOc4q9oUmW1yo/edit?usp=sharing"",""ตาก!I418"")"),0)</f>
        <v>0</v>
      </c>
      <c r="J523" s="197">
        <f ca="1">IFERROR(__xludf.DUMMYFUNCTION("IMPORTRANGE(""https://docs.google.com/spreadsheets/d/11923uPwbBZFjjGgGUA6NLw09EwE0CqkOc4q9oUmW1yo/edit?usp=sharing"",""ตาก!J418"")"),112)</f>
        <v>112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IFERROR(__xludf.DUMMYFUNCTION("IMPORTRANGE(""https://docs.google.com/spreadsheets/d/11923uPwbBZFjjGgGUA6NLw09EwE0CqkOc4q9oUmW1yo/edit?usp=sharing"",""ตาก!I419"")"),0)</f>
        <v>0</v>
      </c>
      <c r="J524" s="197">
        <f ca="1">IFERROR(__xludf.DUMMYFUNCTION("IMPORTRANGE(""https://docs.google.com/spreadsheets/d/11923uPwbBZFjjGgGUA6NLw09EwE0CqkOc4q9oUmW1yo/edit?usp=sharing"",""ตาก!J419"")"),3)</f>
        <v>3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IFERROR(__xludf.DUMMYFUNCTION("IMPORTRANGE(""https://docs.google.com/spreadsheets/d/11923uPwbBZFjjGgGUA6NLw09EwE0CqkOc4q9oUmW1yo/edit?usp=sharing"",""ตาก!I420"")"),112)</f>
        <v>112</v>
      </c>
      <c r="J525" s="292">
        <f ca="1">IFERROR(__xludf.DUMMYFUNCTION("IMPORTRANGE(""https://docs.google.com/spreadsheets/d/11923uPwbBZFjjGgGUA6NLw09EwE0CqkOc4q9oUmW1yo/edit?usp=sharing"",""ตาก!J420"")"),0)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IFERROR(__xludf.DUMMYFUNCTION("IMPORTRANGE(""https://docs.google.com/spreadsheets/d/11923uPwbBZFjjGgGUA6NLw09EwE0CqkOc4q9oUmW1yo/edit?usp=sharing"",""ตาก!I421"")"),3)</f>
        <v>3</v>
      </c>
      <c r="J526" s="292">
        <f ca="1">IFERROR(__xludf.DUMMYFUNCTION("IMPORTRANGE(""https://docs.google.com/spreadsheets/d/11923uPwbBZFjjGgGUA6NLw09EwE0CqkOc4q9oUmW1yo/edit?usp=sharing"",""ตาก!J421"")"),0)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IFERROR(__xludf.DUMMYFUNCTION("IMPORTRANGE(""https://docs.google.com/spreadsheets/d/11923uPwbBZFjjGgGUA6NLw09EwE0CqkOc4q9oUmW1yo/edit?usp=sharing"",""ตาก!I422"")"),0)</f>
        <v>0</v>
      </c>
      <c r="J527" s="207">
        <f ca="1">IFERROR(__xludf.DUMMYFUNCTION("IMPORTRANGE(""https://docs.google.com/spreadsheets/d/11923uPwbBZFjjGgGUA6NLw09EwE0CqkOc4q9oUmW1yo/edit?usp=sharing"",""ตาก!J422"")"),0)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IFERROR(__xludf.DUMMYFUNCTION("IMPORTRANGE(""https://docs.google.com/spreadsheets/d/11923uPwbBZFjjGgGUA6NLw09EwE0CqkOc4q9oUmW1yo/edit?usp=sharing"",""ตาก!I423"")"),0)</f>
        <v>0</v>
      </c>
      <c r="J528" s="207">
        <f ca="1">IFERROR(__xludf.DUMMYFUNCTION("IMPORTRANGE(""https://docs.google.com/spreadsheets/d/11923uPwbBZFjjGgGUA6NLw09EwE0CqkOc4q9oUmW1yo/edit?usp=sharing"",""ตาก!J423"")"),0)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IFERROR(__xludf.DUMMYFUNCTION("IMPORTRANGE(""https://docs.google.com/spreadsheets/d/11923uPwbBZFjjGgGUA6NLw09EwE0CqkOc4q9oUmW1yo/edit?usp=sharing"",""ตาก!I424"")"),0)</f>
        <v>0</v>
      </c>
      <c r="J529" s="207">
        <f ca="1">IFERROR(__xludf.DUMMYFUNCTION("IMPORTRANGE(""https://docs.google.com/spreadsheets/d/11923uPwbBZFjjGgGUA6NLw09EwE0CqkOc4q9oUmW1yo/edit?usp=sharing"",""ตาก!J424"")"),0)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IFERROR(__xludf.DUMMYFUNCTION("IMPORTRANGE(""https://docs.google.com/spreadsheets/d/11923uPwbBZFjjGgGUA6NLw09EwE0CqkOc4q9oUmW1yo/edit?usp=sharing"",""ตาก!I425"")"),0)</f>
        <v>0</v>
      </c>
      <c r="J530" s="207">
        <f ca="1">IFERROR(__xludf.DUMMYFUNCTION("IMPORTRANGE(""https://docs.google.com/spreadsheets/d/11923uPwbBZFjjGgGUA6NLw09EwE0CqkOc4q9oUmW1yo/edit?usp=sharing"",""ตาก!J425"")"),0)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IFERROR(__xludf.DUMMYFUNCTION("IMPORTRANGE(""https://docs.google.com/spreadsheets/d/11923uPwbBZFjjGgGUA6NLw09EwE0CqkOc4q9oUmW1yo/edit?usp=sharing"",""ตาก!I426"")"),0)</f>
        <v>0</v>
      </c>
      <c r="J531" s="207">
        <f ca="1">IFERROR(__xludf.DUMMYFUNCTION("IMPORTRANGE(""https://docs.google.com/spreadsheets/d/11923uPwbBZFjjGgGUA6NLw09EwE0CqkOc4q9oUmW1yo/edit?usp=sharing"",""ตาก!J426"")"),0)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IFERROR(__xludf.DUMMYFUNCTION("IMPORTRANGE(""https://docs.google.com/spreadsheets/d/11923uPwbBZFjjGgGUA6NLw09EwE0CqkOc4q9oUmW1yo/edit?usp=sharing"",""ตาก!I427"")"),0)</f>
        <v>0</v>
      </c>
      <c r="J532" s="474">
        <f ca="1">IFERROR(__xludf.DUMMYFUNCTION("IMPORTRANGE(""https://docs.google.com/spreadsheets/d/11923uPwbBZFjjGgGUA6NLw09EwE0CqkOc4q9oUmW1yo/edit?usp=sharing"",""ตาก!J427"")"),0)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IFERROR(__xludf.DUMMYFUNCTION("IMPORTRANGE(""https://docs.google.com/spreadsheets/d/11923uPwbBZFjjGgGUA6NLw09EwE0CqkOc4q9oUmW1yo/edit?usp=sharing"",""ตาก!I428"")"),22)</f>
        <v>22</v>
      </c>
      <c r="J533" s="418">
        <f ca="1">IFERROR(__xludf.DUMMYFUNCTION("IMPORTRANGE(""https://docs.google.com/spreadsheets/d/11923uPwbBZFjjGgGUA6NLw09EwE0CqkOc4q9oUmW1yo/edit?usp=sharing"",""ตาก!J428"")"),22)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IFERROR(__xludf.DUMMYFUNCTION("IMPORTRANGE(""https://docs.google.com/spreadsheets/d/11923uPwbBZFjjGgGUA6NLw09EwE0CqkOc4q9oUmW1yo/edit?usp=sharing"",""ตาก!L428"")"),34340)</f>
        <v>34340</v>
      </c>
      <c r="M533" s="420"/>
      <c r="N533" s="420">
        <f ca="1">IFERROR(__xludf.DUMMYFUNCTION("IMPORTRANGE(""https://docs.google.com/spreadsheets/d/11923uPwbBZFjjGgGUA6NLw09EwE0CqkOc4q9oUmW1yo/edit?usp=sharing"",""ตาก!M428"")"),18740)</f>
        <v>18740</v>
      </c>
      <c r="O533" s="420">
        <f t="shared" ref="O533:O537" ca="1" si="118">+IF(L533&gt;0,N533*100/L533,0)</f>
        <v>54.571927781013393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IFERROR(__xludf.DUMMYFUNCTION("IMPORTRANGE(""https://docs.google.com/spreadsheets/d/11923uPwbBZFjjGgGUA6NLw09EwE0CqkOc4q9oUmW1yo/edit?usp=sharing"",""ตาก!L429"")"),0)</f>
        <v>0</v>
      </c>
      <c r="M534" s="172"/>
      <c r="N534" s="178">
        <f ca="1">IFERROR(__xludf.DUMMYFUNCTION("IMPORTRANGE(""https://docs.google.com/spreadsheets/d/11923uPwbBZFjjGgGUA6NLw09EwE0CqkOc4q9oUmW1yo/edit?usp=sharing"",""ตาก!M429"")"),0)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IFERROR(__xludf.DUMMYFUNCTION("IMPORTRANGE(""https://docs.google.com/spreadsheets/d/11923uPwbBZFjjGgGUA6NLw09EwE0CqkOc4q9oUmW1yo/edit?usp=sharing"",""ตาก!L430"")"),34340)</f>
        <v>34340</v>
      </c>
      <c r="M535" s="173"/>
      <c r="N535" s="178">
        <f ca="1">IFERROR(__xludf.DUMMYFUNCTION("IMPORTRANGE(""https://docs.google.com/spreadsheets/d/11923uPwbBZFjjGgGUA6NLw09EwE0CqkOc4q9oUmW1yo/edit?usp=sharing"",""ตาก!M430"")"),18740)</f>
        <v>18740</v>
      </c>
      <c r="O535" s="178">
        <f t="shared" ca="1" si="118"/>
        <v>54.571927781013393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IFERROR(__xludf.DUMMYFUNCTION("IMPORTRANGE(""https://docs.google.com/spreadsheets/d/11923uPwbBZFjjGgGUA6NLw09EwE0CqkOc4q9oUmW1yo/edit?usp=sharing"",""ตาก!L431"")"),0)</f>
        <v>0</v>
      </c>
      <c r="M536" s="178"/>
      <c r="N536" s="178">
        <f ca="1">IFERROR(__xludf.DUMMYFUNCTION("IMPORTRANGE(""https://docs.google.com/spreadsheets/d/11923uPwbBZFjjGgGUA6NLw09EwE0CqkOc4q9oUmW1yo/edit?usp=sharing"",""ตาก!M431"")"),0)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IFERROR(__xludf.DUMMYFUNCTION("IMPORTRANGE(""https://docs.google.com/spreadsheets/d/11923uPwbBZFjjGgGUA6NLw09EwE0CqkOc4q9oUmW1yo/edit?usp=sharing"",""ตาก!L432"")"),34340)</f>
        <v>34340</v>
      </c>
      <c r="M537" s="178"/>
      <c r="N537" s="178">
        <f ca="1">IFERROR(__xludf.DUMMYFUNCTION("IMPORTRANGE(""https://docs.google.com/spreadsheets/d/11923uPwbBZFjjGgGUA6NLw09EwE0CqkOc4q9oUmW1yo/edit?usp=sharing"",""ตาก!M432"")"),18740)</f>
        <v>18740</v>
      </c>
      <c r="O537" s="178">
        <f t="shared" ca="1" si="118"/>
        <v>54.571927781013393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IFERROR(__xludf.DUMMYFUNCTION("IMPORTRANGE(""https://docs.google.com/spreadsheets/d/11923uPwbBZFjjGgGUA6NLw09EwE0CqkOc4q9oUmW1yo/edit?usp=sharing"",""ตาก!M433"")"),18740)</f>
        <v>18740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IFERROR(__xludf.DUMMYFUNCTION("IMPORTRANGE(""https://docs.google.com/spreadsheets/d/11923uPwbBZFjjGgGUA6NLw09EwE0CqkOc4q9oUmW1yo/edit?usp=sharing"",""ตาก!M434"")"),0)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IFERROR(__xludf.DUMMYFUNCTION("IMPORTRANGE(""https://docs.google.com/spreadsheets/d/11923uPwbBZFjjGgGUA6NLw09EwE0CqkOc4q9oUmW1yo/edit?usp=sharing"",""ตาก!M435"")"),0)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IFERROR(__xludf.DUMMYFUNCTION("IMPORTRANGE(""https://docs.google.com/spreadsheets/d/11923uPwbBZFjjGgGUA6NLw09EwE0CqkOc4q9oUmW1yo/edit?usp=sharing"",""ตาก!M436"")"),0)</f>
        <v>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IFERROR(__xludf.DUMMYFUNCTION("IMPORTRANGE(""https://docs.google.com/spreadsheets/d/11923uPwbBZFjjGgGUA6NLw09EwE0CqkOc4q9oUmW1yo/edit?usp=sharing"",""ตาก!J438"")"),0)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IFERROR(__xludf.DUMMYFUNCTION("IMPORTRANGE(""https://docs.google.com/spreadsheets/d/11923uPwbBZFjjGgGUA6NLw09EwE0CqkOc4q9oUmW1yo/edit?usp=sharing"",""ตาก!J439"")"),1)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IFERROR(__xludf.DUMMYFUNCTION("IMPORTRANGE(""https://docs.google.com/spreadsheets/d/11923uPwbBZFjjGgGUA6NLw09EwE0CqkOc4q9oUmW1yo/edit?usp=sharing"",""ตาก!J440"")"),1)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IFERROR(__xludf.DUMMYFUNCTION("IMPORTRANGE(""https://docs.google.com/spreadsheets/d/11923uPwbBZFjjGgGUA6NLw09EwE0CqkOc4q9oUmW1yo/edit?usp=sharing"",""ตาก!J441"")"),1)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IFERROR(__xludf.DUMMYFUNCTION("IMPORTRANGE(""https://docs.google.com/spreadsheets/d/11923uPwbBZFjjGgGUA6NLw09EwE0CqkOc4q9oUmW1yo/edit?usp=sharing"",""ตาก!I442"")"),22)</f>
        <v>22</v>
      </c>
      <c r="J547" s="198">
        <f ca="1">IFERROR(__xludf.DUMMYFUNCTION("IMPORTRANGE(""https://docs.google.com/spreadsheets/d/11923uPwbBZFjjGgGUA6NLw09EwE0CqkOc4q9oUmW1yo/edit?usp=sharing"",""ตาก!J442"")"),22)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IFERROR(__xludf.DUMMYFUNCTION("IMPORTRANGE(""https://docs.google.com/spreadsheets/d/11923uPwbBZFjjGgGUA6NLw09EwE0CqkOc4q9oUmW1yo/edit?usp=sharing"",""ตาก!J166"")"),0)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IFERROR(__xludf.DUMMYFUNCTION("IMPORTRANGE(""https://docs.google.com/spreadsheets/d/11923uPwbBZFjjGgGUA6NLw09EwE0CqkOc4q9oUmW1yo/edit?usp=sharing"",""ตาก!J444"")"),0)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IFERROR(__xludf.DUMMYFUNCTION("IMPORTRANGE(""https://docs.google.com/spreadsheets/d/11923uPwbBZFjjGgGUA6NLw09EwE0CqkOc4q9oUmW1yo/edit?usp=sharing"",""ตาก!J445"")"),0)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IFERROR(__xludf.DUMMYFUNCTION("IMPORTRANGE(""https://docs.google.com/spreadsheets/d/11923uPwbBZFjjGgGUA6NLw09EwE0CqkOc4q9oUmW1yo/edit?usp=sharing"",""ตาก!I446"")"),0)</f>
        <v>0</v>
      </c>
      <c r="J551" s="418">
        <f ca="1">IFERROR(__xludf.DUMMYFUNCTION("IMPORTRANGE(""https://docs.google.com/spreadsheets/d/11923uPwbBZFjjGgGUA6NLw09EwE0CqkOc4q9oUmW1yo/edit?usp=sharing"",""ตาก!J446"")"),0)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IFERROR(__xludf.DUMMYFUNCTION("IMPORTRANGE(""https://docs.google.com/spreadsheets/d/11923uPwbBZFjjGgGUA6NLw09EwE0CqkOc4q9oUmW1yo/edit?usp=sharing"",""ตาก!L446"")"),0)</f>
        <v>0</v>
      </c>
      <c r="M551" s="420"/>
      <c r="N551" s="420">
        <f ca="1">IFERROR(__xludf.DUMMYFUNCTION("IMPORTRANGE(""https://docs.google.com/spreadsheets/d/11923uPwbBZFjjGgGUA6NLw09EwE0CqkOc4q9oUmW1yo/edit?usp=sharing"",""ตาก!M446"")"),0)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IFERROR(__xludf.DUMMYFUNCTION("IMPORTRANGE(""https://docs.google.com/spreadsheets/d/11923uPwbBZFjjGgGUA6NLw09EwE0CqkOc4q9oUmW1yo/edit?usp=sharing"",""ตาก!L447"")"),0)</f>
        <v>0</v>
      </c>
      <c r="M552" s="172"/>
      <c r="N552" s="178">
        <f ca="1">IFERROR(__xludf.DUMMYFUNCTION("IMPORTRANGE(""https://docs.google.com/spreadsheets/d/11923uPwbBZFjjGgGUA6NLw09EwE0CqkOc4q9oUmW1yo/edit?usp=sharing"",""ตาก!M447"")"),0)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IFERROR(__xludf.DUMMYFUNCTION("IMPORTRANGE(""https://docs.google.com/spreadsheets/d/11923uPwbBZFjjGgGUA6NLw09EwE0CqkOc4q9oUmW1yo/edit?usp=sharing"",""ตาก!L448"")"),0)</f>
        <v>0</v>
      </c>
      <c r="M553" s="173"/>
      <c r="N553" s="178">
        <f ca="1">IFERROR(__xludf.DUMMYFUNCTION("IMPORTRANGE(""https://docs.google.com/spreadsheets/d/11923uPwbBZFjjGgGUA6NLw09EwE0CqkOc4q9oUmW1yo/edit?usp=sharing"",""ตาก!M448"")"),0)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IFERROR(__xludf.DUMMYFUNCTION("IMPORTRANGE(""https://docs.google.com/spreadsheets/d/11923uPwbBZFjjGgGUA6NLw09EwE0CqkOc4q9oUmW1yo/edit?usp=sharing"",""ตาก!L449"")"),0)</f>
        <v>0</v>
      </c>
      <c r="M554" s="178"/>
      <c r="N554" s="178">
        <f ca="1">IFERROR(__xludf.DUMMYFUNCTION("IMPORTRANGE(""https://docs.google.com/spreadsheets/d/11923uPwbBZFjjGgGUA6NLw09EwE0CqkOc4q9oUmW1yo/edit?usp=sharing"",""ตาก!M449"")"),0)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IFERROR(__xludf.DUMMYFUNCTION("IMPORTRANGE(""https://docs.google.com/spreadsheets/d/11923uPwbBZFjjGgGUA6NLw09EwE0CqkOc4q9oUmW1yo/edit?usp=sharing"",""ตาก!L450"")"),0)</f>
        <v>0</v>
      </c>
      <c r="M555" s="178"/>
      <c r="N555" s="178">
        <f ca="1">IFERROR(__xludf.DUMMYFUNCTION("IMPORTRANGE(""https://docs.google.com/spreadsheets/d/11923uPwbBZFjjGgGUA6NLw09EwE0CqkOc4q9oUmW1yo/edit?usp=sharing"",""ตาก!M450"")"),0)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IFERROR(__xludf.DUMMYFUNCTION("IMPORTRANGE(""https://docs.google.com/spreadsheets/d/11923uPwbBZFjjGgGUA6NLw09EwE0CqkOc4q9oUmW1yo/edit?usp=sharing"",""ตาก!M451"")"),0)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IFERROR(__xludf.DUMMYFUNCTION("IMPORTRANGE(""https://docs.google.com/spreadsheets/d/11923uPwbBZFjjGgGUA6NLw09EwE0CqkOc4q9oUmW1yo/edit?usp=sharing"",""ตาก!M452"")"),0)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IFERROR(__xludf.DUMMYFUNCTION("IMPORTRANGE(""https://docs.google.com/spreadsheets/d/11923uPwbBZFjjGgGUA6NLw09EwE0CqkOc4q9oUmW1yo/edit?usp=sharing"",""ตาก!M453"")"),0)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IFERROR(__xludf.DUMMYFUNCTION("IMPORTRANGE(""https://docs.google.com/spreadsheets/d/11923uPwbBZFjjGgGUA6NLw09EwE0CqkOc4q9oUmW1yo/edit?usp=sharing"",""ตาก!M454"")"),0)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IFERROR(__xludf.DUMMYFUNCTION("IMPORTRANGE(""https://docs.google.com/spreadsheets/d/11923uPwbBZFjjGgGUA6NLw09EwE0CqkOc4q9oUmW1yo/edit?usp=sharing"",""ตาก!I455"")"),0)</f>
        <v>0</v>
      </c>
      <c r="J560" s="170">
        <f ca="1">IFERROR(__xludf.DUMMYFUNCTION("IMPORTRANGE(""https://docs.google.com/spreadsheets/d/11923uPwbBZFjjGgGUA6NLw09EwE0CqkOc4q9oUmW1yo/edit?usp=sharing"",""ตาก!J455"")"),0)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IFERROR(__xludf.DUMMYFUNCTION("IMPORTRANGE(""https://docs.google.com/spreadsheets/d/11923uPwbBZFjjGgGUA6NLw09EwE0CqkOc4q9oUmW1yo/edit?usp=sharing"",""ตาก!I456"")"),0)</f>
        <v>0</v>
      </c>
      <c r="J561" s="213">
        <f ca="1">IFERROR(__xludf.DUMMYFUNCTION("IMPORTRANGE(""https://docs.google.com/spreadsheets/d/11923uPwbBZFjjGgGUA6NLw09EwE0CqkOc4q9oUmW1yo/edit?usp=sharing"",""ตาก!J456"")"),0)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IFERROR(__xludf.DUMMYFUNCTION("IMPORTRANGE(""https://docs.google.com/spreadsheets/d/11923uPwbBZFjjGgGUA6NLw09EwE0CqkOc4q9oUmW1yo/edit?usp=sharing"",""ตาก!I457"")"),"")</f>
        <v/>
      </c>
      <c r="J562" s="213" t="str">
        <f ca="1">IFERROR(__xludf.DUMMYFUNCTION("IMPORTRANGE(""https://docs.google.com/spreadsheets/d/11923uPwbBZFjjGgGUA6NLw09EwE0CqkOc4q9oUmW1yo/edit?usp=sharing"",""ตาก!J457"")"),"")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IFERROR(__xludf.DUMMYFUNCTION("IMPORTRANGE(""https://docs.google.com/spreadsheets/d/11923uPwbBZFjjGgGUA6NLw09EwE0CqkOc4q9oUmW1yo/edit?usp=sharing"",""ตาก!I458"")"),"")</f>
        <v/>
      </c>
      <c r="J563" s="197" t="str">
        <f ca="1">IFERROR(__xludf.DUMMYFUNCTION("IMPORTRANGE(""https://docs.google.com/spreadsheets/d/11923uPwbBZFjjGgGUA6NLw09EwE0CqkOc4q9oUmW1yo/edit?usp=sharing"",""ตาก!J458"")"),"")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IFERROR(__xludf.DUMMYFUNCTION("IMPORTRANGE(""https://docs.google.com/spreadsheets/d/11923uPwbBZFjjGgGUA6NLw09EwE0CqkOc4q9oUmW1yo/edit?usp=sharing"",""ตาก!I459"")"),1300)</f>
        <v>1300</v>
      </c>
      <c r="J564" s="379">
        <f ca="1">IFERROR(__xludf.DUMMYFUNCTION("IMPORTRANGE(""https://docs.google.com/spreadsheets/d/11923uPwbBZFjjGgGUA6NLw09EwE0CqkOc4q9oUmW1yo/edit?usp=sharing"",""ตาก!J459"")"),507)</f>
        <v>507</v>
      </c>
      <c r="K564" s="380">
        <f t="shared" ca="1" si="121"/>
        <v>39</v>
      </c>
      <c r="L564" s="381">
        <f ca="1">IFERROR(__xludf.DUMMYFUNCTION("IMPORTRANGE(""https://docs.google.com/spreadsheets/d/11923uPwbBZFjjGgGUA6NLw09EwE0CqkOc4q9oUmW1yo/edit?usp=sharing"",""ตาก!L459"")"),128080)</f>
        <v>128080</v>
      </c>
      <c r="M564" s="381"/>
      <c r="N564" s="381">
        <f ca="1">IFERROR(__xludf.DUMMYFUNCTION("IMPORTRANGE(""https://docs.google.com/spreadsheets/d/11923uPwbBZFjjGgGUA6NLw09EwE0CqkOc4q9oUmW1yo/edit?usp=sharing"",""ตาก!M459"")"),22780)</f>
        <v>22780</v>
      </c>
      <c r="O564" s="381">
        <f t="shared" ref="O564:O568" ca="1" si="122">+IF(L564&gt;0,N564*100/L564,0)</f>
        <v>17.785758900687071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IFERROR(__xludf.DUMMYFUNCTION("IMPORTRANGE(""https://docs.google.com/spreadsheets/d/11923uPwbBZFjjGgGUA6NLw09EwE0CqkOc4q9oUmW1yo/edit?usp=sharing"",""ตาก!L460"")"),0)</f>
        <v>0</v>
      </c>
      <c r="M565" s="172"/>
      <c r="N565" s="178">
        <f ca="1">IFERROR(__xludf.DUMMYFUNCTION("IMPORTRANGE(""https://docs.google.com/spreadsheets/d/11923uPwbBZFjjGgGUA6NLw09EwE0CqkOc4q9oUmW1yo/edit?usp=sharing"",""ตาก!M460"")"),0)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IFERROR(__xludf.DUMMYFUNCTION("IMPORTRANGE(""https://docs.google.com/spreadsheets/d/11923uPwbBZFjjGgGUA6NLw09EwE0CqkOc4q9oUmW1yo/edit?usp=sharing"",""ตาก!L461"")"),128080)</f>
        <v>128080</v>
      </c>
      <c r="M566" s="173"/>
      <c r="N566" s="178">
        <f ca="1">IFERROR(__xludf.DUMMYFUNCTION("IMPORTRANGE(""https://docs.google.com/spreadsheets/d/11923uPwbBZFjjGgGUA6NLw09EwE0CqkOc4q9oUmW1yo/edit?usp=sharing"",""ตาก!M461"")"),22780)</f>
        <v>22780</v>
      </c>
      <c r="O566" s="178">
        <f t="shared" ca="1" si="122"/>
        <v>17.785758900687071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IFERROR(__xludf.DUMMYFUNCTION("IMPORTRANGE(""https://docs.google.com/spreadsheets/d/11923uPwbBZFjjGgGUA6NLw09EwE0CqkOc4q9oUmW1yo/edit?usp=sharing"",""ตาก!L462"")"),0)</f>
        <v>0</v>
      </c>
      <c r="M567" s="178"/>
      <c r="N567" s="178">
        <f ca="1">IFERROR(__xludf.DUMMYFUNCTION("IMPORTRANGE(""https://docs.google.com/spreadsheets/d/11923uPwbBZFjjGgGUA6NLw09EwE0CqkOc4q9oUmW1yo/edit?usp=sharing"",""ตาก!M462"")"),0)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IFERROR(__xludf.DUMMYFUNCTION("IMPORTRANGE(""https://docs.google.com/spreadsheets/d/11923uPwbBZFjjGgGUA6NLw09EwE0CqkOc4q9oUmW1yo/edit?usp=sharing"",""ตาก!L463"")"),128080)</f>
        <v>128080</v>
      </c>
      <c r="M568" s="178"/>
      <c r="N568" s="178">
        <f ca="1">IFERROR(__xludf.DUMMYFUNCTION("IMPORTRANGE(""https://docs.google.com/spreadsheets/d/11923uPwbBZFjjGgGUA6NLw09EwE0CqkOc4q9oUmW1yo/edit?usp=sharing"",""ตาก!M463"")"),22780)</f>
        <v>22780</v>
      </c>
      <c r="O568" s="178">
        <f t="shared" ca="1" si="122"/>
        <v>17.785758900687071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IFERROR(__xludf.DUMMYFUNCTION("IMPORTRANGE(""https://docs.google.com/spreadsheets/d/11923uPwbBZFjjGgGUA6NLw09EwE0CqkOc4q9oUmW1yo/edit?usp=sharing"",""ตาก!M464"")"),0)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IFERROR(__xludf.DUMMYFUNCTION("IMPORTRANGE(""https://docs.google.com/spreadsheets/d/11923uPwbBZFjjGgGUA6NLw09EwE0CqkOc4q9oUmW1yo/edit?usp=sharing"",""ตาก!M465"")"),0)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IFERROR(__xludf.DUMMYFUNCTION("IMPORTRANGE(""https://docs.google.com/spreadsheets/d/11923uPwbBZFjjGgGUA6NLw09EwE0CqkOc4q9oUmW1yo/edit?usp=sharing"",""ตาก!M466"")"),0)</f>
        <v>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IFERROR(__xludf.DUMMYFUNCTION("IMPORTRANGE(""https://docs.google.com/spreadsheets/d/11923uPwbBZFjjGgGUA6NLw09EwE0CqkOc4q9oUmW1yo/edit?usp=sharing"",""ตาก!M467"")"),22780)</f>
        <v>22780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IFERROR(__xludf.DUMMYFUNCTION("IMPORTRANGE(""https://docs.google.com/spreadsheets/d/11923uPwbBZFjjGgGUA6NLw09EwE0CqkOc4q9oUmW1yo/edit?usp=sharing"",""ตาก!I468"")"),1300)</f>
        <v>1300</v>
      </c>
      <c r="J573" s="428">
        <f ca="1">IFERROR(__xludf.DUMMYFUNCTION("IMPORTRANGE(""https://docs.google.com/spreadsheets/d/11923uPwbBZFjjGgGUA6NLw09EwE0CqkOc4q9oUmW1yo/edit?usp=sharing"",""ตาก!J468"")"),507)</f>
        <v>507</v>
      </c>
      <c r="K573" s="211">
        <f ca="1">IF(I573&gt;0,J573*100/I573,0)</f>
        <v>39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IFERROR(__xludf.DUMMYFUNCTION("IMPORTRANGE(""https://docs.google.com/spreadsheets/d/11923uPwbBZFjjGgGUA6NLw09EwE0CqkOc4q9oUmW1yo/edit?usp=sharing"",""ตาก!I470"")"),0)</f>
        <v>0</v>
      </c>
      <c r="J575" s="207">
        <f ca="1">IFERROR(__xludf.DUMMYFUNCTION("IMPORTRANGE(""https://docs.google.com/spreadsheets/d/11923uPwbBZFjjGgGUA6NLw09EwE0CqkOc4q9oUmW1yo/edit?usp=sharing"",""ตาก!J470"")"),3)</f>
        <v>3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IFERROR(__xludf.DUMMYFUNCTION("IMPORTRANGE(""https://docs.google.com/spreadsheets/d/11923uPwbBZFjjGgGUA6NLw09EwE0CqkOc4q9oUmW1yo/edit?usp=sharing"",""ตาก!I471"")"),0)</f>
        <v>0</v>
      </c>
      <c r="J576" s="207">
        <f ca="1">IFERROR(__xludf.DUMMYFUNCTION("IMPORTRANGE(""https://docs.google.com/spreadsheets/d/11923uPwbBZFjjGgGUA6NLw09EwE0CqkOc4q9oUmW1yo/edit?usp=sharing"",""ตาก!J471"")"),234)</f>
        <v>234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IFERROR(__xludf.DUMMYFUNCTION("IMPORTRANGE(""https://docs.google.com/spreadsheets/d/11923uPwbBZFjjGgGUA6NLw09EwE0CqkOc4q9oUmW1yo/edit?usp=sharing"",""ตาก!I472"")"),0)</f>
        <v>0</v>
      </c>
      <c r="J577" s="198">
        <f ca="1">IFERROR(__xludf.DUMMYFUNCTION("IMPORTRANGE(""https://docs.google.com/spreadsheets/d/11923uPwbBZFjjGgGUA6NLw09EwE0CqkOc4q9oUmW1yo/edit?usp=sharing"",""ตาก!J472"")"),273)</f>
        <v>273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IFERROR(__xludf.DUMMYFUNCTION("IMPORTRANGE(""https://docs.google.com/spreadsheets/d/11923uPwbBZFjjGgGUA6NLw09EwE0CqkOc4q9oUmW1yo/edit?usp=sharing"",""ตาก!I473"")"),0)</f>
        <v>0</v>
      </c>
      <c r="J578" s="207">
        <f ca="1">IFERROR(__xludf.DUMMYFUNCTION("IMPORTRANGE(""https://docs.google.com/spreadsheets/d/11923uPwbBZFjjGgGUA6NLw09EwE0CqkOc4q9oUmW1yo/edit?usp=sharing"",""ตาก!J473"")"),0)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IFERROR(__xludf.DUMMYFUNCTION("IMPORTRANGE(""https://docs.google.com/spreadsheets/d/11923uPwbBZFjjGgGUA6NLw09EwE0CqkOc4q9oUmW1yo/edit?usp=sharing"",""ตาก!I474"")"),0)</f>
        <v>0</v>
      </c>
      <c r="J579" s="207">
        <f ca="1">IFERROR(__xludf.DUMMYFUNCTION("IMPORTRANGE(""https://docs.google.com/spreadsheets/d/11923uPwbBZFjjGgGUA6NLw09EwE0CqkOc4q9oUmW1yo/edit?usp=sharing"",""ตาก!J474"")"),0)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IFERROR(__xludf.DUMMYFUNCTION("IMPORTRANGE(""https://docs.google.com/spreadsheets/d/11923uPwbBZFjjGgGUA6NLw09EwE0CqkOc4q9oUmW1yo/edit?usp=sharing"",""ตาก!I475"")"),220)</f>
        <v>220</v>
      </c>
      <c r="J580" s="379">
        <f ca="1">IFERROR(__xludf.DUMMYFUNCTION("IMPORTRANGE(""https://docs.google.com/spreadsheets/d/11923uPwbBZFjjGgGUA6NLw09EwE0CqkOc4q9oUmW1yo/edit?usp=sharing"",""ตาก!J475"")"),0)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IFERROR(__xludf.DUMMYFUNCTION("IMPORTRANGE(""https://docs.google.com/spreadsheets/d/11923uPwbBZFjjGgGUA6NLw09EwE0CqkOc4q9oUmW1yo/edit?usp=sharing"",""ตาก!L475"")"),370020)</f>
        <v>370020</v>
      </c>
      <c r="M580" s="381"/>
      <c r="N580" s="381">
        <f ca="1">IFERROR(__xludf.DUMMYFUNCTION("IMPORTRANGE(""https://docs.google.com/spreadsheets/d/11923uPwbBZFjjGgGUA6NLw09EwE0CqkOc4q9oUmW1yo/edit?usp=sharing"",""ตาก!M475"")"),21266)</f>
        <v>21266</v>
      </c>
      <c r="O580" s="381">
        <f t="shared" ref="O580:O584" ca="1" si="124">+IF(L580&gt;0,N580*100/L580,0)</f>
        <v>5.7472569050321605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IFERROR(__xludf.DUMMYFUNCTION("IMPORTRANGE(""https://docs.google.com/spreadsheets/d/11923uPwbBZFjjGgGUA6NLw09EwE0CqkOc4q9oUmW1yo/edit?usp=sharing"",""ตาก!L476"")"),0)</f>
        <v>0</v>
      </c>
      <c r="M581" s="172"/>
      <c r="N581" s="178">
        <f ca="1">IFERROR(__xludf.DUMMYFUNCTION("IMPORTRANGE(""https://docs.google.com/spreadsheets/d/11923uPwbBZFjjGgGUA6NLw09EwE0CqkOc4q9oUmW1yo/edit?usp=sharing"",""ตาก!M476"")"),0)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IFERROR(__xludf.DUMMYFUNCTION("IMPORTRANGE(""https://docs.google.com/spreadsheets/d/11923uPwbBZFjjGgGUA6NLw09EwE0CqkOc4q9oUmW1yo/edit?usp=sharing"",""ตาก!L477"")"),370020)</f>
        <v>370020</v>
      </c>
      <c r="M582" s="173"/>
      <c r="N582" s="178">
        <f ca="1">IFERROR(__xludf.DUMMYFUNCTION("IMPORTRANGE(""https://docs.google.com/spreadsheets/d/11923uPwbBZFjjGgGUA6NLw09EwE0CqkOc4q9oUmW1yo/edit?usp=sharing"",""ตาก!M477"")"),21266)</f>
        <v>21266</v>
      </c>
      <c r="O582" s="178">
        <f t="shared" ca="1" si="124"/>
        <v>5.7472569050321605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IFERROR(__xludf.DUMMYFUNCTION("IMPORTRANGE(""https://docs.google.com/spreadsheets/d/11923uPwbBZFjjGgGUA6NLw09EwE0CqkOc4q9oUmW1yo/edit?usp=sharing"",""ตาก!L478"")"),0)</f>
        <v>0</v>
      </c>
      <c r="M583" s="178"/>
      <c r="N583" s="178">
        <f ca="1">IFERROR(__xludf.DUMMYFUNCTION("IMPORTRANGE(""https://docs.google.com/spreadsheets/d/11923uPwbBZFjjGgGUA6NLw09EwE0CqkOc4q9oUmW1yo/edit?usp=sharing"",""ตาก!M478"")"),0)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IFERROR(__xludf.DUMMYFUNCTION("IMPORTRANGE(""https://docs.google.com/spreadsheets/d/11923uPwbBZFjjGgGUA6NLw09EwE0CqkOc4q9oUmW1yo/edit?usp=sharing"",""ตาก!L479"")"),370020)</f>
        <v>370020</v>
      </c>
      <c r="M584" s="178"/>
      <c r="N584" s="178">
        <f ca="1">IFERROR(__xludf.DUMMYFUNCTION("IMPORTRANGE(""https://docs.google.com/spreadsheets/d/11923uPwbBZFjjGgGUA6NLw09EwE0CqkOc4q9oUmW1yo/edit?usp=sharing"",""ตาก!M479"")"),21266)</f>
        <v>21266</v>
      </c>
      <c r="O584" s="178">
        <f t="shared" ca="1" si="124"/>
        <v>5.7472569050321605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IFERROR(__xludf.DUMMYFUNCTION("IMPORTRANGE(""https://docs.google.com/spreadsheets/d/11923uPwbBZFjjGgGUA6NLw09EwE0CqkOc4q9oUmW1yo/edit?usp=sharing"",""ตาก!M480"")"),0)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IFERROR(__xludf.DUMMYFUNCTION("IMPORTRANGE(""https://docs.google.com/spreadsheets/d/11923uPwbBZFjjGgGUA6NLw09EwE0CqkOc4q9oUmW1yo/edit?usp=sharing"",""ตาก!M481"")"),0)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IFERROR(__xludf.DUMMYFUNCTION("IMPORTRANGE(""https://docs.google.com/spreadsheets/d/11923uPwbBZFjjGgGUA6NLw09EwE0CqkOc4q9oUmW1yo/edit?usp=sharing"",""ตาก!M482"")"),21266)</f>
        <v>21266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IFERROR(__xludf.DUMMYFUNCTION("IMPORTRANGE(""https://docs.google.com/spreadsheets/d/11923uPwbBZFjjGgGUA6NLw09EwE0CqkOc4q9oUmW1yo/edit?usp=sharing"",""ตาก!M483"")"),0)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IFERROR(__xludf.DUMMYFUNCTION("IMPORTRANGE(""https://docs.google.com/spreadsheets/d/11923uPwbBZFjjGgGUA6NLw09EwE0CqkOc4q9oUmW1yo/edit?usp=sharing"",""ตาก!I484"")"),220)</f>
        <v>220</v>
      </c>
      <c r="J589" s="197">
        <f ca="1">IFERROR(__xludf.DUMMYFUNCTION("IMPORTRANGE(""https://docs.google.com/spreadsheets/d/11923uPwbBZFjjGgGUA6NLw09EwE0CqkOc4q9oUmW1yo/edit?usp=sharing"",""ตาก!J484"")"),0)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IFERROR(__xludf.DUMMYFUNCTION("IMPORTRANGE(""https://docs.google.com/spreadsheets/d/11923uPwbBZFjjGgGUA6NLw09EwE0CqkOc4q9oUmW1yo/edit?usp=sharing"",""ตาก!I485"")"),0)</f>
        <v>0</v>
      </c>
      <c r="J590" s="197">
        <f ca="1">IFERROR(__xludf.DUMMYFUNCTION("IMPORTRANGE(""https://docs.google.com/spreadsheets/d/11923uPwbBZFjjGgGUA6NLw09EwE0CqkOc4q9oUmW1yo/edit?usp=sharing"",""ตาก!J485"")"),0)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IFERROR(__xludf.DUMMYFUNCTION("IMPORTRANGE(""https://docs.google.com/spreadsheets/d/11923uPwbBZFjjGgGUA6NLw09EwE0CqkOc4q9oUmW1yo/edit?usp=sharing"",""ตาก!I486"")"),220)</f>
        <v>220</v>
      </c>
      <c r="J591" s="197">
        <f ca="1">IFERROR(__xludf.DUMMYFUNCTION("IMPORTRANGE(""https://docs.google.com/spreadsheets/d/11923uPwbBZFjjGgGUA6NLw09EwE0CqkOc4q9oUmW1yo/edit?usp=sharing"",""ตาก!J486"")"),0)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IFERROR(__xludf.DUMMYFUNCTION("IMPORTRANGE(""https://docs.google.com/spreadsheets/d/11923uPwbBZFjjGgGUA6NLw09EwE0CqkOc4q9oUmW1yo/edit?usp=sharing"",""ตาก!I487"")"),0)</f>
        <v>0</v>
      </c>
      <c r="J592" s="197">
        <f ca="1">IFERROR(__xludf.DUMMYFUNCTION("IMPORTRANGE(""https://docs.google.com/spreadsheets/d/11923uPwbBZFjjGgGUA6NLw09EwE0CqkOc4q9oUmW1yo/edit?usp=sharing"",""ตาก!J487"")"),0)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IFERROR(__xludf.DUMMYFUNCTION("IMPORTRANGE(""https://docs.google.com/spreadsheets/d/11923uPwbBZFjjGgGUA6NLw09EwE0CqkOc4q9oUmW1yo/edit?usp=sharing"",""ตาก!I488"")"),220)</f>
        <v>220</v>
      </c>
      <c r="J593" s="197">
        <f ca="1">IFERROR(__xludf.DUMMYFUNCTION("IMPORTRANGE(""https://docs.google.com/spreadsheets/d/11923uPwbBZFjjGgGUA6NLw09EwE0CqkOc4q9oUmW1yo/edit?usp=sharing"",""ตาก!J488"")"),0)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IFERROR(__xludf.DUMMYFUNCTION("IMPORTRANGE(""https://docs.google.com/spreadsheets/d/11923uPwbBZFjjGgGUA6NLw09EwE0CqkOc4q9oUmW1yo/edit?usp=sharing"",""ตาก!I489"")"),0)</f>
        <v>0</v>
      </c>
      <c r="J594" s="197">
        <f ca="1">IFERROR(__xludf.DUMMYFUNCTION("IMPORTRANGE(""https://docs.google.com/spreadsheets/d/11923uPwbBZFjjGgGUA6NLw09EwE0CqkOc4q9oUmW1yo/edit?usp=sharing"",""ตาก!J489"")"),0)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IFERROR(__xludf.DUMMYFUNCTION("IMPORTRANGE(""https://docs.google.com/spreadsheets/d/11923uPwbBZFjjGgGUA6NLw09EwE0CqkOc4q9oUmW1yo/edit?usp=sharing"",""ตาก!I490"")"),220)</f>
        <v>220</v>
      </c>
      <c r="J595" s="197">
        <f ca="1">IFERROR(__xludf.DUMMYFUNCTION("IMPORTRANGE(""https://docs.google.com/spreadsheets/d/11923uPwbBZFjjGgGUA6NLw09EwE0CqkOc4q9oUmW1yo/edit?usp=sharing"",""ตาก!J490"")"),0)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IFERROR(__xludf.DUMMYFUNCTION("IMPORTRANGE(""https://docs.google.com/spreadsheets/d/11923uPwbBZFjjGgGUA6NLw09EwE0CqkOc4q9oUmW1yo/edit?usp=sharing"",""ตาก!I491"")"),0)</f>
        <v>0</v>
      </c>
      <c r="J596" s="250">
        <f ca="1">IFERROR(__xludf.DUMMYFUNCTION("IMPORTRANGE(""https://docs.google.com/spreadsheets/d/11923uPwbBZFjjGgGUA6NLw09EwE0CqkOc4q9oUmW1yo/edit?usp=sharing"",""ตาก!J491"")"),0)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IFERROR(__xludf.DUMMYFUNCTION("IMPORTRANGE(""https://docs.google.com/spreadsheets/d/11923uPwbBZFjjGgGUA6NLw09EwE0CqkOc4q9oUmW1yo/edit?usp=sharing"",""ตาก!I492"")"),100)</f>
        <v>100</v>
      </c>
      <c r="J597" s="495">
        <f ca="1">IFERROR(__xludf.DUMMYFUNCTION("IMPORTRANGE(""https://docs.google.com/spreadsheets/d/11923uPwbBZFjjGgGUA6NLw09EwE0CqkOc4q9oUmW1yo/edit?usp=sharing"",""ตาก!J492"")"),0)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IFERROR(__xludf.DUMMYFUNCTION("IMPORTRANGE(""https://docs.google.com/spreadsheets/d/11923uPwbBZFjjGgGUA6NLw09EwE0CqkOc4q9oUmW1yo/edit?usp=sharing"",""ตาก!L492"")"),8100)</f>
        <v>8100</v>
      </c>
      <c r="M597" s="420"/>
      <c r="N597" s="420">
        <f ca="1">IFERROR(__xludf.DUMMYFUNCTION("IMPORTRANGE(""https://docs.google.com/spreadsheets/d/11923uPwbBZFjjGgGUA6NLw09EwE0CqkOc4q9oUmW1yo/edit?usp=sharing"",""ตาก!M492"")"),800)</f>
        <v>800</v>
      </c>
      <c r="O597" s="420">
        <f t="shared" ref="O597:O601" ca="1" si="126">+IF(L597&gt;0,N597*100/L597,0)</f>
        <v>9.8765432098765427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IFERROR(__xludf.DUMMYFUNCTION("IMPORTRANGE(""https://docs.google.com/spreadsheets/d/11923uPwbBZFjjGgGUA6NLw09EwE0CqkOc4q9oUmW1yo/edit?usp=sharing"",""ตาก!L493"")"),0)</f>
        <v>0</v>
      </c>
      <c r="M598" s="172"/>
      <c r="N598" s="178">
        <f ca="1">IFERROR(__xludf.DUMMYFUNCTION("IMPORTRANGE(""https://docs.google.com/spreadsheets/d/11923uPwbBZFjjGgGUA6NLw09EwE0CqkOc4q9oUmW1yo/edit?usp=sharing"",""ตาก!M493"")"),0)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IFERROR(__xludf.DUMMYFUNCTION("IMPORTRANGE(""https://docs.google.com/spreadsheets/d/11923uPwbBZFjjGgGUA6NLw09EwE0CqkOc4q9oUmW1yo/edit?usp=sharing"",""ตาก!L494"")"),8100)</f>
        <v>8100</v>
      </c>
      <c r="M599" s="173"/>
      <c r="N599" s="178">
        <f ca="1">IFERROR(__xludf.DUMMYFUNCTION("IMPORTRANGE(""https://docs.google.com/spreadsheets/d/11923uPwbBZFjjGgGUA6NLw09EwE0CqkOc4q9oUmW1yo/edit?usp=sharing"",""ตาก!M494"")"),800)</f>
        <v>800</v>
      </c>
      <c r="O599" s="178">
        <f t="shared" ca="1" si="126"/>
        <v>9.8765432098765427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IFERROR(__xludf.DUMMYFUNCTION("IMPORTRANGE(""https://docs.google.com/spreadsheets/d/11923uPwbBZFjjGgGUA6NLw09EwE0CqkOc4q9oUmW1yo/edit?usp=sharing"",""ตาก!L495"")"),0)</f>
        <v>0</v>
      </c>
      <c r="M600" s="178"/>
      <c r="N600" s="178">
        <f ca="1">IFERROR(__xludf.DUMMYFUNCTION("IMPORTRANGE(""https://docs.google.com/spreadsheets/d/11923uPwbBZFjjGgGUA6NLw09EwE0CqkOc4q9oUmW1yo/edit?usp=sharing"",""ตาก!M495"")"),0)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IFERROR(__xludf.DUMMYFUNCTION("IMPORTRANGE(""https://docs.google.com/spreadsheets/d/11923uPwbBZFjjGgGUA6NLw09EwE0CqkOc4q9oUmW1yo/edit?usp=sharing"",""ตาก!L496"")"),8100)</f>
        <v>8100</v>
      </c>
      <c r="M601" s="178"/>
      <c r="N601" s="178">
        <f ca="1">IFERROR(__xludf.DUMMYFUNCTION("IMPORTRANGE(""https://docs.google.com/spreadsheets/d/11923uPwbBZFjjGgGUA6NLw09EwE0CqkOc4q9oUmW1yo/edit?usp=sharing"",""ตาก!M496"")"),800)</f>
        <v>800</v>
      </c>
      <c r="O601" s="178">
        <f t="shared" ca="1" si="126"/>
        <v>9.8765432098765427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IFERROR(__xludf.DUMMYFUNCTION("IMPORTRANGE(""https://docs.google.com/spreadsheets/d/11923uPwbBZFjjGgGUA6NLw09EwE0CqkOc4q9oUmW1yo/edit?usp=sharing"",""ตาก!M497"")"),0)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IFERROR(__xludf.DUMMYFUNCTION("IMPORTRANGE(""https://docs.google.com/spreadsheets/d/11923uPwbBZFjjGgGUA6NLw09EwE0CqkOc4q9oUmW1yo/edit?usp=sharing"",""ตาก!M498"")"),0)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IFERROR(__xludf.DUMMYFUNCTION("IMPORTRANGE(""https://docs.google.com/spreadsheets/d/11923uPwbBZFjjGgGUA6NLw09EwE0CqkOc4q9oUmW1yo/edit?usp=sharing"",""ตาก!M499"")"),0)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IFERROR(__xludf.DUMMYFUNCTION("IMPORTRANGE(""https://docs.google.com/spreadsheets/d/11923uPwbBZFjjGgGUA6NLw09EwE0CqkOc4q9oUmW1yo/edit?usp=sharing"",""ตาก!M500"")"),800)</f>
        <v>800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IFERROR(__xludf.DUMMYFUNCTION("IMPORTRANGE(""https://docs.google.com/spreadsheets/d/11923uPwbBZFjjGgGUA6NLw09EwE0CqkOc4q9oUmW1yo/edit?usp=sharing"",""ตาก!J502"")"),0)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IFERROR(__xludf.DUMMYFUNCTION("IMPORTRANGE(""https://docs.google.com/spreadsheets/d/11923uPwbBZFjjGgGUA6NLw09EwE0CqkOc4q9oUmW1yo/edit?usp=sharing"",""ตาก!J503"")"),1)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IFERROR(__xludf.DUMMYFUNCTION("IMPORTRANGE(""https://docs.google.com/spreadsheets/d/11923uPwbBZFjjGgGUA6NLw09EwE0CqkOc4q9oUmW1yo/edit?usp=sharing"",""ตาก!J166"")"),0)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IFERROR(__xludf.DUMMYFUNCTION("IMPORTRANGE(""https://docs.google.com/spreadsheets/d/11923uPwbBZFjjGgGUA6NLw09EwE0CqkOc4q9oUmW1yo/edit?usp=sharing"",""ตาก!J166"")"),0)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IFERROR(__xludf.DUMMYFUNCTION("IMPORTRANGE(""https://docs.google.com/spreadsheets/d/11923uPwbBZFjjGgGUA6NLw09EwE0CqkOc4q9oUmW1yo/edit?usp=sharing"",""ตาก!I506"")"),100)</f>
        <v>100</v>
      </c>
      <c r="J611" s="170">
        <f ca="1">IFERROR(__xludf.DUMMYFUNCTION("IMPORTRANGE(""https://docs.google.com/spreadsheets/d/11923uPwbBZFjjGgGUA6NLw09EwE0CqkOc4q9oUmW1yo/edit?usp=sharing"",""ตาก!J506"")"),0)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IFERROR(__xludf.DUMMYFUNCTION("IMPORTRANGE(""https://docs.google.com/spreadsheets/d/11923uPwbBZFjjGgGUA6NLw09EwE0CqkOc4q9oUmW1yo/edit?usp=sharing"",""ตาก!I507"")"),0)</f>
        <v>0</v>
      </c>
      <c r="J612" s="207">
        <f ca="1">IFERROR(__xludf.DUMMYFUNCTION("IMPORTRANGE(""https://docs.google.com/spreadsheets/d/11923uPwbBZFjjGgGUA6NLw09EwE0CqkOc4q9oUmW1yo/edit?usp=sharing"",""ตาก!J507"")"),0)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IFERROR(__xludf.DUMMYFUNCTION("IMPORTRANGE(""https://docs.google.com/spreadsheets/d/11923uPwbBZFjjGgGUA6NLw09EwE0CqkOc4q9oUmW1yo/edit?usp=sharing"",""ตาก!I508"")"),0)</f>
        <v>0</v>
      </c>
      <c r="J613" s="207">
        <f ca="1">IFERROR(__xludf.DUMMYFUNCTION("IMPORTRANGE(""https://docs.google.com/spreadsheets/d/11923uPwbBZFjjGgGUA6NLw09EwE0CqkOc4q9oUmW1yo/edit?usp=sharing"",""ตาก!J508"")"),0)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IFERROR(__xludf.DUMMYFUNCTION("IMPORTRANGE(""https://docs.google.com/spreadsheets/d/11923uPwbBZFjjGgGUA6NLw09EwE0CqkOc4q9oUmW1yo/edit?usp=sharing"",""ตาก!I509"")"),0)</f>
        <v>0</v>
      </c>
      <c r="J614" s="207">
        <f ca="1">IFERROR(__xludf.DUMMYFUNCTION("IMPORTRANGE(""https://docs.google.com/spreadsheets/d/11923uPwbBZFjjGgGUA6NLw09EwE0CqkOc4q9oUmW1yo/edit?usp=sharing"",""ตาก!J509"")"),0)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IFERROR(__xludf.DUMMYFUNCTION("IMPORTRANGE(""https://docs.google.com/spreadsheets/d/11923uPwbBZFjjGgGUA6NLw09EwE0CqkOc4q9oUmW1yo/edit?usp=sharing"",""ตาก!I510"")"),0)</f>
        <v>0</v>
      </c>
      <c r="J615" s="207">
        <f ca="1">IFERROR(__xludf.DUMMYFUNCTION("IMPORTRANGE(""https://docs.google.com/spreadsheets/d/11923uPwbBZFjjGgGUA6NLw09EwE0CqkOc4q9oUmW1yo/edit?usp=sharing"",""ตาก!J510"")"),0)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IFERROR(__xludf.DUMMYFUNCTION("IMPORTRANGE(""https://docs.google.com/spreadsheets/d/11923uPwbBZFjjGgGUA6NLw09EwE0CqkOc4q9oUmW1yo/edit?usp=sharing"",""ตาก!I511"")"),0)</f>
        <v>0</v>
      </c>
      <c r="J616" s="207">
        <f ca="1">IFERROR(__xludf.DUMMYFUNCTION("IMPORTRANGE(""https://docs.google.com/spreadsheets/d/11923uPwbBZFjjGgGUA6NLw09EwE0CqkOc4q9oUmW1yo/edit?usp=sharing"",""ตาก!J511"")"),0)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IFERROR(__xludf.DUMMYFUNCTION("IMPORTRANGE(""https://docs.google.com/spreadsheets/d/11923uPwbBZFjjGgGUA6NLw09EwE0CqkOc4q9oUmW1yo/edit?usp=sharing"",""ตาก!I512"")"),0)</f>
        <v>0</v>
      </c>
      <c r="J617" s="197">
        <f ca="1">IFERROR(__xludf.DUMMYFUNCTION("IMPORTRANGE(""https://docs.google.com/spreadsheets/d/11923uPwbBZFjjGgGUA6NLw09EwE0CqkOc4q9oUmW1yo/edit?usp=sharing"",""ตาก!J512"")"),0)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IFERROR(__xludf.DUMMYFUNCTION("IMPORTRANGE(""https://docs.google.com/spreadsheets/d/11923uPwbBZFjjGgGUA6NLw09EwE0CqkOc4q9oUmW1yo/edit?usp=sharing"",""ตาก!I513"")"),0)</f>
        <v>0</v>
      </c>
      <c r="J618" s="198">
        <f ca="1">IFERROR(__xludf.DUMMYFUNCTION("IMPORTRANGE(""https://docs.google.com/spreadsheets/d/11923uPwbBZFjjGgGUA6NLw09EwE0CqkOc4q9oUmW1yo/edit?usp=sharing"",""ตาก!J513"")"),0)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IFERROR(__xludf.DUMMYFUNCTION("IMPORTRANGE(""https://docs.google.com/spreadsheets/d/11923uPwbBZFjjGgGUA6NLw09EwE0CqkOc4q9oUmW1yo/edit?usp=sharing"",""ตาก!I514"")"),0)</f>
        <v>0</v>
      </c>
      <c r="J619" s="198">
        <f ca="1">IFERROR(__xludf.DUMMYFUNCTION("IMPORTRANGE(""https://docs.google.com/spreadsheets/d/11923uPwbBZFjjGgGUA6NLw09EwE0CqkOc4q9oUmW1yo/edit?usp=sharing"",""ตาก!J514"")"),0)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IFERROR(__xludf.DUMMYFUNCTION("IMPORTRANGE(""https://docs.google.com/spreadsheets/d/11923uPwbBZFjjGgGUA6NLw09EwE0CqkOc4q9oUmW1yo/edit?usp=sharing"",""ตาก!I515"")"),0)</f>
        <v>0</v>
      </c>
      <c r="J620" s="212">
        <f ca="1">IFERROR(__xludf.DUMMYFUNCTION("IMPORTRANGE(""https://docs.google.com/spreadsheets/d/11923uPwbBZFjjGgGUA6NLw09EwE0CqkOc4q9oUmW1yo/edit?usp=sharing"",""ตาก!J515"")"),0)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IFERROR(__xludf.DUMMYFUNCTION("IMPORTRANGE(""https://docs.google.com/spreadsheets/d/11923uPwbBZFjjGgGUA6NLw09EwE0CqkOc4q9oUmW1yo/edit?usp=sharing"",""ตาก!I516"")"),0)</f>
        <v>0</v>
      </c>
      <c r="J621" s="212">
        <f ca="1">IFERROR(__xludf.DUMMYFUNCTION("IMPORTRANGE(""https://docs.google.com/spreadsheets/d/11923uPwbBZFjjGgGUA6NLw09EwE0CqkOc4q9oUmW1yo/edit?usp=sharing"",""ตาก!J516"")"),0)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IFERROR(__xludf.DUMMYFUNCTION("IMPORTRANGE(""https://docs.google.com/spreadsheets/d/11923uPwbBZFjjGgGUA6NLw09EwE0CqkOc4q9oUmW1yo/edit?usp=sharing"",""ตาก!I517"")"),0)</f>
        <v>0</v>
      </c>
      <c r="J622" s="198">
        <f ca="1">IFERROR(__xludf.DUMMYFUNCTION("IMPORTRANGE(""https://docs.google.com/spreadsheets/d/11923uPwbBZFjjGgGUA6NLw09EwE0CqkOc4q9oUmW1yo/edit?usp=sharing"",""ตาก!J517"")"),0)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IFERROR(__xludf.DUMMYFUNCTION("IMPORTRANGE(""https://docs.google.com/spreadsheets/d/11923uPwbBZFjjGgGUA6NLw09EwE0CqkOc4q9oUmW1yo/edit?usp=sharing"",""ตาก!I518"")"),0)</f>
        <v>0</v>
      </c>
      <c r="J623" s="198">
        <f ca="1">IFERROR(__xludf.DUMMYFUNCTION("IMPORTRANGE(""https://docs.google.com/spreadsheets/d/11923uPwbBZFjjGgGUA6NLw09EwE0CqkOc4q9oUmW1yo/edit?usp=sharing"",""ตาก!J518"")"),0)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IFERROR(__xludf.DUMMYFUNCTION("IMPORTRANGE(""https://docs.google.com/spreadsheets/d/11923uPwbBZFjjGgGUA6NLw09EwE0CqkOc4q9oUmW1yo/edit?usp=sharing"",""ตาก!I519"")"),0)</f>
        <v>0</v>
      </c>
      <c r="J624" s="197">
        <f ca="1">IFERROR(__xludf.DUMMYFUNCTION("IMPORTRANGE(""https://docs.google.com/spreadsheets/d/11923uPwbBZFjjGgGUA6NLw09EwE0CqkOc4q9oUmW1yo/edit?usp=sharing"",""ตาก!J519"")"),0)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IFERROR(__xludf.DUMMYFUNCTION("IMPORTRANGE(""https://docs.google.com/spreadsheets/d/11923uPwbBZFjjGgGUA6NLw09EwE0CqkOc4q9oUmW1yo/edit?usp=sharing"",""ตาก!I520"")"),0)</f>
        <v>0</v>
      </c>
      <c r="J625" s="198">
        <f ca="1">IFERROR(__xludf.DUMMYFUNCTION("IMPORTRANGE(""https://docs.google.com/spreadsheets/d/11923uPwbBZFjjGgGUA6NLw09EwE0CqkOc4q9oUmW1yo/edit?usp=sharing"",""ตาก!J520"")"),0)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IFERROR(__xludf.DUMMYFUNCTION("IMPORTRANGE(""https://docs.google.com/spreadsheets/d/11923uPwbBZFjjGgGUA6NLw09EwE0CqkOc4q9oUmW1yo/edit?usp=sharing"",""ตาก!I521"")"),0)</f>
        <v>0</v>
      </c>
      <c r="J626" s="198">
        <f ca="1">IFERROR(__xludf.DUMMYFUNCTION("IMPORTRANGE(""https://docs.google.com/spreadsheets/d/11923uPwbBZFjjGgGUA6NLw09EwE0CqkOc4q9oUmW1yo/edit?usp=sharing"",""ตาก!J521"")"),0)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IFERROR(__xludf.DUMMYFUNCTION("IMPORTRANGE(""https://docs.google.com/spreadsheets/d/11923uPwbBZFjjGgGUA6NLw09EwE0CqkOc4q9oUmW1yo/edit?usp=sharing"",""ตาก!I523"")"),2024605.17)</f>
        <v>2024605.17</v>
      </c>
      <c r="J628" s="349">
        <f ca="1">IFERROR(__xludf.DUMMYFUNCTION("IMPORTRANGE(""https://docs.google.com/spreadsheets/d/11923uPwbBZFjjGgGUA6NLw09EwE0CqkOc4q9oUmW1yo/edit?usp=sharing"",""ตาก!J523"")"),0)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IFERROR(__xludf.DUMMYFUNCTION("IMPORTRANGE(""https://docs.google.com/spreadsheets/d/11923uPwbBZFjjGgGUA6NLw09EwE0CqkOc4q9oUmW1yo/edit?usp=sharing"",""ตาก!I524"")"),177)</f>
        <v>177</v>
      </c>
      <c r="J629" s="349">
        <f ca="1">IFERROR(__xludf.DUMMYFUNCTION("IMPORTRANGE(""https://docs.google.com/spreadsheets/d/11923uPwbBZFjjGgGUA6NLw09EwE0CqkOc4q9oUmW1yo/edit?usp=sharing"",""ตาก!J524"")"),0)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IFERROR(__xludf.DUMMYFUNCTION("IMPORTRANGE(""https://docs.google.com/spreadsheets/d/11923uPwbBZFjjGgGUA6NLw09EwE0CqkOc4q9oUmW1yo/edit?usp=sharing"",""ตาก!I525"")"),7699315.18)</f>
        <v>7699315.1799999997</v>
      </c>
      <c r="J630" s="349">
        <f ca="1">IFERROR(__xludf.DUMMYFUNCTION("IMPORTRANGE(""https://docs.google.com/spreadsheets/d/11923uPwbBZFjjGgGUA6NLw09EwE0CqkOc4q9oUmW1yo/edit?usp=sharing"",""ตาก!J525"")"),254255.49)</f>
        <v>254255.49</v>
      </c>
      <c r="K630" s="350">
        <f t="shared" ca="1" si="129"/>
        <v>3.302313050652383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IFERROR(__xludf.DUMMYFUNCTION("IMPORTRANGE(""https://docs.google.com/spreadsheets/d/11923uPwbBZFjjGgGUA6NLw09EwE0CqkOc4q9oUmW1yo/edit?usp=sharing"",""ตาก!I526"")"),292)</f>
        <v>292</v>
      </c>
      <c r="J631" s="349">
        <f ca="1">IFERROR(__xludf.DUMMYFUNCTION("IMPORTRANGE(""https://docs.google.com/spreadsheets/d/11923uPwbBZFjjGgGUA6NLw09EwE0CqkOc4q9oUmW1yo/edit?usp=sharing"",""ตาก!J526"")"),101)</f>
        <v>101</v>
      </c>
      <c r="K631" s="350">
        <f t="shared" ca="1" si="129"/>
        <v>34.589041095890408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IFERROR(__xludf.DUMMYFUNCTION("IMPORTRANGE(""https://docs.google.com/spreadsheets/d/11923uPwbBZFjjGgGUA6NLw09EwE0CqkOc4q9oUmW1yo/edit?usp=sharing"",""ตาก!I527"")"),0)</f>
        <v>0</v>
      </c>
      <c r="J632" s="349">
        <f ca="1">IFERROR(__xludf.DUMMYFUNCTION("IMPORTRANGE(""https://docs.google.com/spreadsheets/d/11923uPwbBZFjjGgGUA6NLw09EwE0CqkOc4q9oUmW1yo/edit?usp=sharing"",""ตาก!J527"")"),0)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IFERROR(__xludf.DUMMYFUNCTION("IMPORTRANGE(""https://docs.google.com/spreadsheets/d/11923uPwbBZFjjGgGUA6NLw09EwE0CqkOc4q9oUmW1yo/edit?usp=sharing"",""ตาก!I528"")"),0)</f>
        <v>0</v>
      </c>
      <c r="J633" s="349">
        <f ca="1">IFERROR(__xludf.DUMMYFUNCTION("IMPORTRANGE(""https://docs.google.com/spreadsheets/d/11923uPwbBZFjjGgGUA6NLw09EwE0CqkOc4q9oUmW1yo/edit?usp=sharing"",""ตาก!J528"")"),0)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IFERROR(__xludf.DUMMYFUNCTION("IMPORTRANGE(""https://docs.google.com/spreadsheets/d/11923uPwbBZFjjGgGUA6NLw09EwE0CqkOc4q9oUmW1yo/edit?usp=sharing"",""ตาก!I529"")"),3000000)</f>
        <v>3000000</v>
      </c>
      <c r="J634" s="349">
        <f ca="1">IFERROR(__xludf.DUMMYFUNCTION("IMPORTRANGE(""https://docs.google.com/spreadsheets/d/11923uPwbBZFjjGgGUA6NLw09EwE0CqkOc4q9oUmW1yo/edit?usp=sharing"",""ตาก!J529"")"),0)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IFERROR(__xludf.DUMMYFUNCTION("IMPORTRANGE(""https://docs.google.com/spreadsheets/d/11923uPwbBZFjjGgGUA6NLw09EwE0CqkOc4q9oUmW1yo/edit?usp=sharing"",""ตาก!I530"")"),100)</f>
        <v>100</v>
      </c>
      <c r="J635" s="519">
        <f ca="1">IFERROR(__xludf.DUMMYFUNCTION("IMPORTRANGE(""https://docs.google.com/spreadsheets/d/11923uPwbBZFjjGgGUA6NLw09EwE0CqkOc4q9oUmW1yo/edit?usp=sharing"",""ตาก!J530"")"),0)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247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6244228</v>
      </c>
      <c r="M8" s="25">
        <f t="shared" ca="1" si="0"/>
        <v>2167365</v>
      </c>
      <c r="N8" s="25">
        <f t="shared" ca="1" si="0"/>
        <v>1758699</v>
      </c>
      <c r="O8" s="24">
        <f t="shared" ref="O8:O16" ca="1" si="1">IF(L8&gt;0,N8*100/L8,0)</f>
        <v>28.165195120998145</v>
      </c>
      <c r="P8" s="24">
        <f t="shared" ref="P8:P16" ca="1" si="2">IF(M8&gt;0,N8*100/M8,0)</f>
        <v>81.144569557965553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6244228</v>
      </c>
      <c r="M10" s="32">
        <f t="shared" ca="1" si="4"/>
        <v>2167365</v>
      </c>
      <c r="N10" s="32">
        <f t="shared" ca="1" si="4"/>
        <v>1758699</v>
      </c>
      <c r="O10" s="31">
        <f t="shared" ca="1" si="1"/>
        <v>28.165195120998145</v>
      </c>
      <c r="P10" s="31">
        <f t="shared" ca="1" si="2"/>
        <v>81.144569557965553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6004828</v>
      </c>
      <c r="M12" s="40">
        <f t="shared" ca="1" si="6"/>
        <v>2167365</v>
      </c>
      <c r="N12" s="40">
        <f t="shared" ca="1" si="6"/>
        <v>1561299</v>
      </c>
      <c r="O12" s="40">
        <f t="shared" ca="1" si="1"/>
        <v>26.000728080804311</v>
      </c>
      <c r="P12" s="40">
        <f t="shared" ca="1" si="2"/>
        <v>72.036735852059991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2242900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3761928</v>
      </c>
      <c r="M14" s="40">
        <f t="shared" si="8"/>
        <v>0</v>
      </c>
      <c r="N14" s="40">
        <f t="shared" ca="1" si="8"/>
        <v>380707</v>
      </c>
      <c r="O14" s="43">
        <f t="shared" ca="1" si="1"/>
        <v>10.119996980271818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197400</v>
      </c>
      <c r="O16" s="52">
        <f t="shared" ca="1" si="1"/>
        <v>82.456140350877192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4168815</v>
      </c>
      <c r="M18" s="25">
        <f t="shared" ca="1" si="11"/>
        <v>2167365</v>
      </c>
      <c r="N18" s="25">
        <f t="shared" ca="1" si="11"/>
        <v>1377992</v>
      </c>
      <c r="O18" s="24">
        <f t="shared" ref="O18:O20" ca="1" si="12">IF(L18&gt;0,N18*100/L18,0)</f>
        <v>33.054764963184979</v>
      </c>
      <c r="P18" s="24">
        <f t="shared" ref="P18:P26" ca="1" si="13">IF(M18&gt;0,N18*100/M18,0)</f>
        <v>63.579138723749807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4168815</v>
      </c>
      <c r="M20" s="32">
        <f t="shared" ca="1" si="15"/>
        <v>2167365</v>
      </c>
      <c r="N20" s="32">
        <f t="shared" ca="1" si="15"/>
        <v>1377992</v>
      </c>
      <c r="O20" s="31">
        <f t="shared" ca="1" si="12"/>
        <v>33.054764963184979</v>
      </c>
      <c r="P20" s="31">
        <f t="shared" ca="1" si="13"/>
        <v>63.579138723749807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3929415</v>
      </c>
      <c r="M22" s="44">
        <f t="shared" ca="1" si="18"/>
        <v>2167365</v>
      </c>
      <c r="N22" s="43">
        <f t="shared" ca="1" si="18"/>
        <v>1180592</v>
      </c>
      <c r="O22" s="43">
        <f t="shared" ca="1" si="17"/>
        <v>30.044981250389689</v>
      </c>
      <c r="P22" s="43">
        <f t="shared" ca="1" si="13"/>
        <v>54.471305017844251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2242900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1686515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197400</v>
      </c>
      <c r="O26" s="52">
        <f t="shared" ca="1" si="17"/>
        <v>82.456140350877192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2075413</v>
      </c>
      <c r="M28" s="25">
        <f t="shared" si="23"/>
        <v>0</v>
      </c>
      <c r="N28" s="25">
        <f t="shared" ca="1" si="23"/>
        <v>380707</v>
      </c>
      <c r="O28" s="24">
        <f t="shared" ref="O28:O30" ca="1" si="24">IF(L28&gt;0,N28*100/L28,0)</f>
        <v>18.343674247005296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2075413</v>
      </c>
      <c r="M30" s="32">
        <f t="shared" si="27"/>
        <v>0</v>
      </c>
      <c r="N30" s="32">
        <f t="shared" ca="1" si="27"/>
        <v>380707</v>
      </c>
      <c r="O30" s="31">
        <f t="shared" ca="1" si="24"/>
        <v>18.343674247005296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2075413</v>
      </c>
      <c r="M32" s="43">
        <f t="shared" si="30"/>
        <v>0</v>
      </c>
      <c r="N32" s="43">
        <f t="shared" ca="1" si="30"/>
        <v>380707</v>
      </c>
      <c r="O32" s="43">
        <f t="shared" ca="1" si="29"/>
        <v>18.343674247005296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2075413</v>
      </c>
      <c r="M34" s="43">
        <f t="shared" si="32"/>
        <v>0</v>
      </c>
      <c r="N34" s="43">
        <f t="shared" ca="1" si="32"/>
        <v>380707</v>
      </c>
      <c r="O34" s="43">
        <f t="shared" ca="1" si="29"/>
        <v>18.343674247005296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4168815</v>
      </c>
      <c r="M37" s="57">
        <f t="shared" ca="1" si="33"/>
        <v>2167365</v>
      </c>
      <c r="N37" s="57">
        <f t="shared" ca="1" si="33"/>
        <v>1377992</v>
      </c>
      <c r="O37" s="58">
        <f t="shared" ca="1" si="29"/>
        <v>33.054764963184979</v>
      </c>
      <c r="P37" s="58">
        <f t="shared" ca="1" si="25"/>
        <v>63.579138723749807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952200</v>
      </c>
      <c r="M41" s="81">
        <f t="shared" ca="1" si="34"/>
        <v>522120</v>
      </c>
      <c r="N41" s="81">
        <f t="shared" ca="1" si="34"/>
        <v>370892</v>
      </c>
      <c r="O41" s="80">
        <f t="shared" ref="O41:O43" ca="1" si="35">IF(L41&gt;0,N41*100/L41,0)</f>
        <v>38.951060701533294</v>
      </c>
      <c r="P41" s="80">
        <f t="shared" ref="P41:P43" ca="1" si="36">IF(M41&gt;0,N41*100/M41,0)</f>
        <v>71.03577721596568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952200</v>
      </c>
      <c r="M43" s="81">
        <f t="shared" ca="1" si="38"/>
        <v>522120</v>
      </c>
      <c r="N43" s="81">
        <f t="shared" ca="1" si="38"/>
        <v>370892</v>
      </c>
      <c r="O43" s="80">
        <f t="shared" ca="1" si="35"/>
        <v>38.951060701533294</v>
      </c>
      <c r="P43" s="80">
        <f t="shared" ca="1" si="36"/>
        <v>71.03577721596568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952200</v>
      </c>
      <c r="M45" s="93">
        <f ca="1">IFERROR(__xludf.DUMMYFUNCTION("IMPORTRANGE(""https://docs.google.com/spreadsheets/d/1Yj_ptqi66GCucihVvJfMjLAmec39IyEx_6qawtMGysU/edit?usp=sharing"",""สบก!Q24"")"),522120)</f>
        <v>522120</v>
      </c>
      <c r="N45" s="93">
        <f ca="1">IFERROR(__xludf.DUMMYFUNCTION("IMPORTRANGE(""https://docs.google.com/spreadsheets/d/1Yj_ptqi66GCucihVvJfMjLAmec39IyEx_6qawtMGysU/edit?usp=sharing"",""สบก!R24"")"),370892)</f>
        <v>370892</v>
      </c>
      <c r="O45" s="94">
        <f ca="1">IF(L45&gt;0,N45*100/L45,0)</f>
        <v>38.951060701533294</v>
      </c>
      <c r="P45" s="94">
        <f ca="1">IF(M45&gt;0,N45*100/M45,0)</f>
        <v>71.03577721596568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IFERROR(__xludf.DUMMYFUNCTION("IMPORTRANGE(""https://docs.google.com/spreadsheets/d/1Yj_ptqi66GCucihVvJfMjLAmec39IyEx_6qawtMGysU/edit?usp=sharing"",""สบก!M24"")"),952200)</f>
        <v>952200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IFERROR(__xludf.DUMMYFUNCTION("IMPORTRANGE(""https://docs.google.com/spreadsheets/d/1Yj_ptqi66GCucihVvJfMjLAmec39IyEx_6qawtMGysU/edit?usp=sharing"",""สบก!N24"")"),0)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IFERROR(__xludf.DUMMYFUNCTION("IMPORTRANGE(""https://docs.google.com/spreadsheets/d/1Yj_ptqi66GCucihVvJfMjLAmec39IyEx_6qawtMGysU/edit?usp=sharing"",""สบก!O24"")"),0)</f>
        <v>0</v>
      </c>
      <c r="M49" s="103"/>
      <c r="N49" s="93">
        <f ca="1">IFERROR(__xludf.DUMMYFUNCTION("IMPORTRANGE(""https://docs.google.com/spreadsheets/d/1Yj_ptqi66GCucihVvJfMjLAmec39IyEx_6qawtMGysU/edit?usp=sharing"",""สบก!S24"")"),0)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450000</v>
      </c>
      <c r="M53" s="127">
        <f t="shared" ca="1" si="39"/>
        <v>243000</v>
      </c>
      <c r="N53" s="127">
        <f t="shared" ca="1" si="39"/>
        <v>187490</v>
      </c>
      <c r="O53" s="126">
        <f t="shared" ref="O53:O55" ca="1" si="40">IF(L53&gt;0,N53*100/L53,0)</f>
        <v>41.664444444444442</v>
      </c>
      <c r="P53" s="126">
        <f t="shared" ref="P53:P55" ca="1" si="41">IF(M53&gt;0,N53*100/M53,0)</f>
        <v>77.156378600823047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450000</v>
      </c>
      <c r="M55" s="127">
        <f t="shared" ca="1" si="43"/>
        <v>243000</v>
      </c>
      <c r="N55" s="127">
        <f t="shared" ca="1" si="43"/>
        <v>187490</v>
      </c>
      <c r="O55" s="126">
        <f t="shared" ca="1" si="40"/>
        <v>41.664444444444442</v>
      </c>
      <c r="P55" s="126">
        <f t="shared" ca="1" si="41"/>
        <v>77.156378600823047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450000</v>
      </c>
      <c r="M57" s="93">
        <f ca="1">IFERROR(__xludf.DUMMYFUNCTION("IMPORTRANGE(""https://docs.google.com/spreadsheets/d/1Yj_ptqi66GCucihVvJfMjLAmec39IyEx_6qawtMGysU/edit?usp=sharing"",""สบก!Z24"")"),243000)</f>
        <v>243000</v>
      </c>
      <c r="N57" s="93">
        <f ca="1">IFERROR(__xludf.DUMMYFUNCTION("IMPORTRANGE(""https://docs.google.com/spreadsheets/d/1Yj_ptqi66GCucihVvJfMjLAmec39IyEx_6qawtMGysU/edit?usp=sharing"",""สบก!AA24"")"),187490)</f>
        <v>187490</v>
      </c>
      <c r="O57" s="94">
        <f ca="1">IF(L57&gt;0,N57*100/L57,0)</f>
        <v>41.664444444444442</v>
      </c>
      <c r="P57" s="94">
        <f ca="1">IF(M57&gt;0,N57*100/M57,0)</f>
        <v>77.156378600823047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IFERROR(__xludf.DUMMYFUNCTION("IMPORTRANGE(""https://docs.google.com/spreadsheets/d/1Yj_ptqi66GCucihVvJfMjLAmec39IyEx_6qawtMGysU/edit?usp=sharing"",""สบก!V24"")"),450000)</f>
        <v>450000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IFERROR(__xludf.DUMMYFUNCTION("IMPORTRANGE(""https://docs.google.com/spreadsheets/d/1Yj_ptqi66GCucihVvJfMjLAmec39IyEx_6qawtMGysU/edit?usp=sharing"",""สบก!W24"")"),0)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IFERROR(__xludf.DUMMYFUNCTION("IMPORTRANGE(""https://docs.google.com/spreadsheets/d/1Yj_ptqi66GCucihVvJfMjLAmec39IyEx_6qawtMGysU/edit?usp=sharing"",""สบก!X24"")"),0)</f>
        <v>0</v>
      </c>
      <c r="M61" s="103"/>
      <c r="N61" s="93">
        <f ca="1">IFERROR(__xludf.DUMMYFUNCTION("IMPORTRANGE(""https://docs.google.com/spreadsheets/d/1Yj_ptqi66GCucihVvJfMjLAmec39IyEx_6qawtMGysU/edit?usp=sharing"",""สบก!AB24"")"),0)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IFERROR(__xludf.DUMMYFUNCTION("IMPORTRANGE(""https://docs.google.com/spreadsheets/d/11923uPwbBZFjjGgGUA6NLw09EwE0CqkOc4q9oUmW1yo/edit?usp=sharing"",""นครสวรรค์!I9"")"),1)</f>
        <v>1</v>
      </c>
      <c r="J64" s="148">
        <f ca="1">IFERROR(__xludf.DUMMYFUNCTION("IMPORTRANGE(""https://docs.google.com/spreadsheets/d/11923uPwbBZFjjGgGUA6NLw09EwE0CqkOc4q9oUmW1yo/edit?usp=sharing"",""นครสวรรค์!J9"")"),0)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IFERROR(__xludf.DUMMYFUNCTION("IMPORTRANGE(""https://docs.google.com/spreadsheets/d/11923uPwbBZFjjGgGUA6NLw09EwE0CqkOc4q9oUmW1yo/edit?usp=sharing"",""นครสวรรค์!I10"")"),40)</f>
        <v>40</v>
      </c>
      <c r="J65" s="148">
        <f ca="1">IFERROR(__xludf.DUMMYFUNCTION("IMPORTRANGE(""https://docs.google.com/spreadsheets/d/11923uPwbBZFjjGgGUA6NLw09EwE0CqkOc4q9oUmW1yo/edit?usp=sharing"",""นครสวรรค์!J10"")"),0)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745500</v>
      </c>
      <c r="M66" s="158">
        <f t="shared" ca="1" si="45"/>
        <v>409320</v>
      </c>
      <c r="N66" s="158">
        <f t="shared" ca="1" si="45"/>
        <v>191945</v>
      </c>
      <c r="O66" s="157">
        <f t="shared" ref="O66:O68" ca="1" si="46">IF(L66&gt;0,N66*100/L66,0)</f>
        <v>25.747149564050972</v>
      </c>
      <c r="P66" s="157">
        <f t="shared" ref="P66:P68" ca="1" si="47">IF(M66&gt;0,N66*100/M66,0)</f>
        <v>46.893628456952996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745500</v>
      </c>
      <c r="M68" s="163">
        <f t="shared" ca="1" si="49"/>
        <v>409320</v>
      </c>
      <c r="N68" s="163">
        <f t="shared" ca="1" si="49"/>
        <v>191945</v>
      </c>
      <c r="O68" s="162">
        <f t="shared" ca="1" si="46"/>
        <v>25.747149564050972</v>
      </c>
      <c r="P68" s="162">
        <f t="shared" ca="1" si="47"/>
        <v>46.893628456952996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745500</v>
      </c>
      <c r="M70" s="176">
        <f ca="1">IFERROR(__xludf.DUMMYFUNCTION("IMPORTRANGE(""https://docs.google.com/spreadsheets/d/1Yj_ptqi66GCucihVvJfMjLAmec39IyEx_6qawtMGysU/edit?usp=sharing"",""สบก!AI24"")"),409320)</f>
        <v>409320</v>
      </c>
      <c r="N70" s="177">
        <f ca="1">IFERROR(__xludf.DUMMYFUNCTION("IMPORTRANGE(""https://docs.google.com/spreadsheets/d/1Yj_ptqi66GCucihVvJfMjLAmec39IyEx_6qawtMGysU/edit?usp=sharing"",""สบก!AJ24"")"),191945)</f>
        <v>191945</v>
      </c>
      <c r="O70" s="178">
        <f ca="1">IF(L70&gt;0,N70*100/L70,0)</f>
        <v>25.747149564050972</v>
      </c>
      <c r="P70" s="178">
        <f ca="1">IF(M70&gt;0,N70*100/M70,0)</f>
        <v>46.893628456952996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IFERROR(__xludf.DUMMYFUNCTION("IMPORTRANGE(""https://docs.google.com/spreadsheets/d/1Yj_ptqi66GCucihVvJfMjLAmec39IyEx_6qawtMGysU/edit?usp=sharing"",""สบก!AE24"")"),311500)</f>
        <v>311500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IFERROR(__xludf.DUMMYFUNCTION("IMPORTRANGE(""https://docs.google.com/spreadsheets/d/1Yj_ptqi66GCucihVvJfMjLAmec39IyEx_6qawtMGysU/edit?usp=sharing"",""สบก!AF24"")"),434000)</f>
        <v>434000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IFERROR(__xludf.DUMMYFUNCTION("IMPORTRANGE(""https://docs.google.com/spreadsheets/d/1Yj_ptqi66GCucihVvJfMjLAmec39IyEx_6qawtMGysU/edit?usp=sharing"",""สบก!AG24"")"),0)</f>
        <v>0</v>
      </c>
      <c r="M74" s="103"/>
      <c r="N74" s="93">
        <f ca="1">IFERROR(__xludf.DUMMYFUNCTION("IMPORTRANGE(""https://docs.google.com/spreadsheets/d/1Yj_ptqi66GCucihVvJfMjLAmec39IyEx_6qawtMGysU/edit?usp=sharing"",""สบก!AK24"")"),0)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IFERROR(__xludf.DUMMYFUNCTION("IMPORTRANGE(""https://docs.google.com/spreadsheets/d/11923uPwbBZFjjGgGUA6NLw09EwE0CqkOc4q9oUmW1yo/edit?usp=sharing"",""นครสวรรค์!J16"")"),0)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IFERROR(__xludf.DUMMYFUNCTION("IMPORTRANGE(""https://docs.google.com/spreadsheets/d/11923uPwbBZFjjGgGUA6NLw09EwE0CqkOc4q9oUmW1yo/edit?usp=sharing"",""นครสวรรค์!J17"")"),1)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IFERROR(__xludf.DUMMYFUNCTION("IMPORTRANGE(""https://docs.google.com/spreadsheets/d/11923uPwbBZFjjGgGUA6NLw09EwE0CqkOc4q9oUmW1yo/edit?usp=sharing"",""นครสวรรค์!J18"")"),1)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IFERROR(__xludf.DUMMYFUNCTION("IMPORTRANGE(""https://docs.google.com/spreadsheets/d/11923uPwbBZFjjGgGUA6NLw09EwE0CqkOc4q9oUmW1yo/edit?usp=sharing"",""นครสวรรค์!J19"")"),1)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IFERROR(__xludf.DUMMYFUNCTION("IMPORTRANGE(""https://docs.google.com/spreadsheets/d/11923uPwbBZFjjGgGUA6NLw09EwE0CqkOc4q9oUmW1yo/edit?usp=sharing"",""นครสวรรค์!I20"")"),1)</f>
        <v>1</v>
      </c>
      <c r="J80" s="210">
        <f ca="1">IFERROR(__xludf.DUMMYFUNCTION("IMPORTRANGE(""https://docs.google.com/spreadsheets/d/11923uPwbBZFjjGgGUA6NLw09EwE0CqkOc4q9oUmW1yo/edit?usp=sharing"",""นครสวรรค์!J20"")"),0)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IFERROR(__xludf.DUMMYFUNCTION("IMPORTRANGE(""https://docs.google.com/spreadsheets/d/11923uPwbBZFjjGgGUA6NLw09EwE0CqkOc4q9oUmW1yo/edit?usp=sharing"",""นครสวรรค์!I21"")"),40)</f>
        <v>40</v>
      </c>
      <c r="J81" s="210">
        <f ca="1">IFERROR(__xludf.DUMMYFUNCTION("IMPORTRANGE(""https://docs.google.com/spreadsheets/d/11923uPwbBZFjjGgGUA6NLw09EwE0CqkOc4q9oUmW1yo/edit?usp=sharing"",""นครสวรรค์!J21"")"),0)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IFERROR(__xludf.DUMMYFUNCTION("IMPORTRANGE(""https://docs.google.com/spreadsheets/d/11923uPwbBZFjjGgGUA6NLw09EwE0CqkOc4q9oUmW1yo/edit?usp=sharing"",""นครสวรรค์!I22"")"),0)</f>
        <v>0</v>
      </c>
      <c r="J82" s="213">
        <f ca="1">IFERROR(__xludf.DUMMYFUNCTION("IMPORTRANGE(""https://docs.google.com/spreadsheets/d/11923uPwbBZFjjGgGUA6NLw09EwE0CqkOc4q9oUmW1yo/edit?usp=sharing"",""นครสวรรค์!J22"")"),0)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IFERROR(__xludf.DUMMYFUNCTION("IMPORTRANGE(""https://docs.google.com/spreadsheets/d/11923uPwbBZFjjGgGUA6NLw09EwE0CqkOc4q9oUmW1yo/edit?usp=sharing"",""นครสวรรค์!I23"")"),0)</f>
        <v>0</v>
      </c>
      <c r="J83" s="213">
        <f ca="1">IFERROR(__xludf.DUMMYFUNCTION("IMPORTRANGE(""https://docs.google.com/spreadsheets/d/11923uPwbBZFjjGgGUA6NLw09EwE0CqkOc4q9oUmW1yo/edit?usp=sharing"",""นครสวรรค์!J23"")"),0)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IFERROR(__xludf.DUMMYFUNCTION("IMPORTRANGE(""https://docs.google.com/spreadsheets/d/11923uPwbBZFjjGgGUA6NLw09EwE0CqkOc4q9oUmW1yo/edit?usp=sharing"",""นครสวรรค์!I24"")"),1)</f>
        <v>1</v>
      </c>
      <c r="J84" s="198">
        <f ca="1">IFERROR(__xludf.DUMMYFUNCTION("IMPORTRANGE(""https://docs.google.com/spreadsheets/d/11923uPwbBZFjjGgGUA6NLw09EwE0CqkOc4q9oUmW1yo/edit?usp=sharing"",""นครสวรรค์!J24"")"),0)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IFERROR(__xludf.DUMMYFUNCTION("IMPORTRANGE(""https://docs.google.com/spreadsheets/d/11923uPwbBZFjjGgGUA6NLw09EwE0CqkOc4q9oUmW1yo/edit?usp=sharing"",""นครสวรรค์!I25"")"),40)</f>
        <v>40</v>
      </c>
      <c r="J85" s="198">
        <f ca="1">IFERROR(__xludf.DUMMYFUNCTION("IMPORTRANGE(""https://docs.google.com/spreadsheets/d/11923uPwbBZFjjGgGUA6NLw09EwE0CqkOc4q9oUmW1yo/edit?usp=sharing"",""นครสวรรค์!J25"")"),0)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IFERROR(__xludf.DUMMYFUNCTION("IMPORTRANGE(""https://docs.google.com/spreadsheets/d/11923uPwbBZFjjGgGUA6NLw09EwE0CqkOc4q9oUmW1yo/edit?usp=sharing"",""นครสวรรค์!I26"")"),0)</f>
        <v>0</v>
      </c>
      <c r="J86" s="213">
        <f ca="1">IFERROR(__xludf.DUMMYFUNCTION("IMPORTRANGE(""https://docs.google.com/spreadsheets/d/11923uPwbBZFjjGgGUA6NLw09EwE0CqkOc4q9oUmW1yo/edit?usp=sharing"",""นครสวรรค์!J26"")"),0)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IFERROR(__xludf.DUMMYFUNCTION("IMPORTRANGE(""https://docs.google.com/spreadsheets/d/11923uPwbBZFjjGgGUA6NLw09EwE0CqkOc4q9oUmW1yo/edit?usp=sharing"",""นครสวรรค์!I27"")"),0)</f>
        <v>0</v>
      </c>
      <c r="J87" s="213">
        <f ca="1">IFERROR(__xludf.DUMMYFUNCTION("IMPORTRANGE(""https://docs.google.com/spreadsheets/d/11923uPwbBZFjjGgGUA6NLw09EwE0CqkOc4q9oUmW1yo/edit?usp=sharing"",""นครสวรรค์!J27"")"),0)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IFERROR(__xludf.DUMMYFUNCTION("IMPORTRANGE(""https://docs.google.com/spreadsheets/d/11923uPwbBZFjjGgGUA6NLw09EwE0CqkOc4q9oUmW1yo/edit?usp=sharing"",""นครสวรรค์!I28"")"),0)</f>
        <v>0</v>
      </c>
      <c r="J88" s="213">
        <f ca="1">IFERROR(__xludf.DUMMYFUNCTION("IMPORTRANGE(""https://docs.google.com/spreadsheets/d/11923uPwbBZFjjGgGUA6NLw09EwE0CqkOc4q9oUmW1yo/edit?usp=sharing"",""นครสวรรค์!J28"")"),0)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IFERROR(__xludf.DUMMYFUNCTION("IMPORTRANGE(""https://docs.google.com/spreadsheets/d/11923uPwbBZFjjGgGUA6NLw09EwE0CqkOc4q9oUmW1yo/edit?usp=sharing"",""นครสวรรค์!J29"")"),0)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IFERROR(__xludf.DUMMYFUNCTION("IMPORTRANGE(""https://docs.google.com/spreadsheets/d/11923uPwbBZFjjGgGUA6NLw09EwE0CqkOc4q9oUmW1yo/edit?usp=sharing"",""นครสวรรค์!J30"")"),0)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IFERROR(__xludf.DUMMYFUNCTION("IMPORTRANGE(""https://docs.google.com/spreadsheets/d/11923uPwbBZFjjGgGUA6NLw09EwE0CqkOc4q9oUmW1yo/edit?usp=sharing"",""นครสวรรค์!I32"")"),4)</f>
        <v>4</v>
      </c>
      <c r="J92" s="148">
        <f ca="1">IFERROR(__xludf.DUMMYFUNCTION("IMPORTRANGE(""https://docs.google.com/spreadsheets/d/11923uPwbBZFjjGgGUA6NLw09EwE0CqkOc4q9oUmW1yo/edit?usp=sharing"",""นครสวรรค์!J32"")"),0)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IFERROR(__xludf.DUMMYFUNCTION("IMPORTRANGE(""https://docs.google.com/spreadsheets/d/11923uPwbBZFjjGgGUA6NLw09EwE0CqkOc4q9oUmW1yo/edit?usp=sharing"",""นครสวรรค์!I33"")"),1)</f>
        <v>1</v>
      </c>
      <c r="J93" s="148">
        <f ca="1">IFERROR(__xludf.DUMMYFUNCTION("IMPORTRANGE(""https://docs.google.com/spreadsheets/d/11923uPwbBZFjjGgGUA6NLw09EwE0CqkOc4q9oUmW1yo/edit?usp=sharing"",""นครสวรรค์!J33"")"),0)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95080</v>
      </c>
      <c r="O94" s="157">
        <f t="shared" ref="O94:O96" ca="1" si="53">IF(L94&gt;0,N94*100/L94,0)</f>
        <v>44.326340326340329</v>
      </c>
      <c r="P94" s="157">
        <f t="shared" ref="P94:P96" ca="1" si="54">IF(M94&gt;0,N94*100/M94,0)</f>
        <v>138.33842572384694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95080</v>
      </c>
      <c r="O96" s="162">
        <f t="shared" ca="1" si="53"/>
        <v>44.326340326340329</v>
      </c>
      <c r="P96" s="162">
        <f t="shared" ca="1" si="54"/>
        <v>138.33842572384694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IFERROR(__xludf.DUMMYFUNCTION("IMPORTRANGE(""https://docs.google.com/spreadsheets/d/1Yj_ptqi66GCucihVvJfMjLAmec39IyEx_6qawtMGysU/edit?usp=sharing"",""สบก!AR24"")"),68730)</f>
        <v>68730</v>
      </c>
      <c r="N98" s="177">
        <f ca="1">IFERROR(__xludf.DUMMYFUNCTION("IMPORTRANGE(""https://docs.google.com/spreadsheets/d/1Yj_ptqi66GCucihVvJfMjLAmec39IyEx_6qawtMGysU/edit?usp=sharing"",""สบก!AS24"")"),2680)</f>
        <v>2680</v>
      </c>
      <c r="O98" s="178">
        <f ca="1">IF(L98&gt;0,N98*100/L98,0)</f>
        <v>2.1949221949221949</v>
      </c>
      <c r="P98" s="178">
        <f ca="1">IF(M98&gt;0,N98*100/M98,0)</f>
        <v>3.899316164702459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IFERROR(__xludf.DUMMYFUNCTION("IMPORTRANGE(""https://docs.google.com/spreadsheets/d/1Yj_ptqi66GCucihVvJfMjLAmec39IyEx_6qawtMGysU/edit?usp=sharing"",""สบก!AN24"")"),0)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IFERROR(__xludf.DUMMYFUNCTION("IMPORTRANGE(""https://docs.google.com/spreadsheets/d/1Yj_ptqi66GCucihVvJfMjLAmec39IyEx_6qawtMGysU/edit?usp=sharing"",""สบก!AO24"")"),122100)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IFERROR(__xludf.DUMMYFUNCTION("IMPORTRANGE(""https://docs.google.com/spreadsheets/d/1Yj_ptqi66GCucihVvJfMjLAmec39IyEx_6qawtMGysU/edit?usp=sharing"",""สบก!AP24"")"),92400)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IFERROR(__xludf.DUMMYFUNCTION("IMPORTRANGE(""https://docs.google.com/spreadsheets/d/1Yj_ptqi66GCucihVvJfMjLAmec39IyEx_6qawtMGysU/edit?usp=sharing"",""สบก!AT24"")"),92400)</f>
        <v>92400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IFERROR(__xludf.DUMMYFUNCTION("IMPORTRANGE(""https://docs.google.com/spreadsheets/d/11923uPwbBZFjjGgGUA6NLw09EwE0CqkOc4q9oUmW1yo/edit?usp=sharing"",""นครสวรรค์!J39"")"),0)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IFERROR(__xludf.DUMMYFUNCTION("IMPORTRANGE(""https://docs.google.com/spreadsheets/d/11923uPwbBZFjjGgGUA6NLw09EwE0CqkOc4q9oUmW1yo/edit?usp=sharing"",""นครสวรรค์!J40"")"),1)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IFERROR(__xludf.DUMMYFUNCTION("IMPORTRANGE(""https://docs.google.com/spreadsheets/d/11923uPwbBZFjjGgGUA6NLw09EwE0CqkOc4q9oUmW1yo/edit?usp=sharing"",""นครสวรรค์!J41"")"),1)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IFERROR(__xludf.DUMMYFUNCTION("IMPORTRANGE(""https://docs.google.com/spreadsheets/d/11923uPwbBZFjjGgGUA6NLw09EwE0CqkOc4q9oUmW1yo/edit?usp=sharing"",""นครสวรรค์!J42"")"),1)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IFERROR(__xludf.DUMMYFUNCTION("IMPORTRANGE(""https://docs.google.com/spreadsheets/d/11923uPwbBZFjjGgGUA6NLw09EwE0CqkOc4q9oUmW1yo/edit?usp=sharing"",""นครสวรรค์!I43"")"),1)</f>
        <v>1</v>
      </c>
      <c r="J108" s="213">
        <f ca="1">IFERROR(__xludf.DUMMYFUNCTION("IMPORTRANGE(""https://docs.google.com/spreadsheets/d/11923uPwbBZFjjGgGUA6NLw09EwE0CqkOc4q9oUmW1yo/edit?usp=sharing"",""นครสวรรค์!J43"")"),0)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IFERROR(__xludf.DUMMYFUNCTION("IMPORTRANGE(""https://docs.google.com/spreadsheets/d/11923uPwbBZFjjGgGUA6NLw09EwE0CqkOc4q9oUmW1yo/edit?usp=sharing"",""นครสวรรค์!I44"")"),4)</f>
        <v>4</v>
      </c>
      <c r="J109" s="213">
        <f ca="1">IFERROR(__xludf.DUMMYFUNCTION("IMPORTRANGE(""https://docs.google.com/spreadsheets/d/11923uPwbBZFjjGgGUA6NLw09EwE0CqkOc4q9oUmW1yo/edit?usp=sharing"",""นครสวรรค์!J44"")"),0)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IFERROR(__xludf.DUMMYFUNCTION("IMPORTRANGE(""https://docs.google.com/spreadsheets/d/11923uPwbBZFjjGgGUA6NLw09EwE0CqkOc4q9oUmW1yo/edit?usp=sharing"",""นครสวรรค์!I45"")"),4)</f>
        <v>4</v>
      </c>
      <c r="J110" s="213">
        <f ca="1">IFERROR(__xludf.DUMMYFUNCTION("IMPORTRANGE(""https://docs.google.com/spreadsheets/d/11923uPwbBZFjjGgGUA6NLw09EwE0CqkOc4q9oUmW1yo/edit?usp=sharing"",""นครสวรรค์!J45"")"),4)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IFERROR(__xludf.DUMMYFUNCTION("IMPORTRANGE(""https://docs.google.com/spreadsheets/d/11923uPwbBZFjjGgGUA6NLw09EwE0CqkOc4q9oUmW1yo/edit?usp=sharing"",""นครสวรรค์!I46"")"),4)</f>
        <v>4</v>
      </c>
      <c r="J111" s="213">
        <f ca="1">IFERROR(__xludf.DUMMYFUNCTION("IMPORTRANGE(""https://docs.google.com/spreadsheets/d/11923uPwbBZFjjGgGUA6NLw09EwE0CqkOc4q9oUmW1yo/edit?usp=sharing"",""นครสวรรค์!J46"")"),0)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IFERROR(__xludf.DUMMYFUNCTION("IMPORTRANGE(""https://docs.google.com/spreadsheets/d/11923uPwbBZFjjGgGUA6NLw09EwE0CqkOc4q9oUmW1yo/edit?usp=sharing"",""นครสวรรค์!I47"")"),4)</f>
        <v>4</v>
      </c>
      <c r="J112" s="213">
        <f ca="1">IFERROR(__xludf.DUMMYFUNCTION("IMPORTRANGE(""https://docs.google.com/spreadsheets/d/11923uPwbBZFjjGgGUA6NLw09EwE0CqkOc4q9oUmW1yo/edit?usp=sharing"",""นครสวรรค์!J47"")"),0)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IFERROR(__xludf.DUMMYFUNCTION("IMPORTRANGE(""https://docs.google.com/spreadsheets/d/11923uPwbBZFjjGgGUA6NLw09EwE0CqkOc4q9oUmW1yo/edit?usp=sharing"",""นครสวรรค์!I48"")"),1)</f>
        <v>1</v>
      </c>
      <c r="J113" s="213">
        <f ca="1">IFERROR(__xludf.DUMMYFUNCTION("IMPORTRANGE(""https://docs.google.com/spreadsheets/d/11923uPwbBZFjjGgGUA6NLw09EwE0CqkOc4q9oUmW1yo/edit?usp=sharing"",""นครสวรรค์!J48"")"),0)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IFERROR(__xludf.DUMMYFUNCTION("IMPORTRANGE(""https://docs.google.com/spreadsheets/d/11923uPwbBZFjjGgGUA6NLw09EwE0CqkOc4q9oUmW1yo/edit?usp=sharing"",""นครสวรรค์!J49"")"),0)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IFERROR(__xludf.DUMMYFUNCTION("IMPORTRANGE(""https://docs.google.com/spreadsheets/d/11923uPwbBZFjjGgGUA6NLw09EwE0CqkOc4q9oUmW1yo/edit?usp=sharing"",""นครสวรรค์!J50"")"),0)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IFERROR(__xludf.DUMMYFUNCTION("IMPORTRANGE(""https://docs.google.com/spreadsheets/d/11923uPwbBZFjjGgGUA6NLw09EwE0CqkOc4q9oUmW1yo/edit?usp=sharing"",""นครสวรรค์!I52"")"),20)</f>
        <v>20</v>
      </c>
      <c r="J117" s="148">
        <f ca="1">IFERROR(__xludf.DUMMYFUNCTION("IMPORTRANGE(""https://docs.google.com/spreadsheets/d/11923uPwbBZFjjGgGUA6NLw09EwE0CqkOc4q9oUmW1yo/edit?usp=sharing"",""นครสวรรค์!J52"")"),20)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41870</v>
      </c>
      <c r="O118" s="157">
        <f t="shared" ref="O118:O120" ca="1" si="59">IF(L118&gt;0,N118*100/L118,0)</f>
        <v>50.788452207666182</v>
      </c>
      <c r="P118" s="157">
        <f t="shared" ref="P118:P120" ca="1" si="60">IF(M118&gt;0,N118*100/M118,0)</f>
        <v>63.01926550270921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41870</v>
      </c>
      <c r="O120" s="162">
        <f t="shared" ca="1" si="59"/>
        <v>50.788452207666182</v>
      </c>
      <c r="P120" s="162">
        <f t="shared" ca="1" si="60"/>
        <v>63.01926550270921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IFERROR(__xludf.DUMMYFUNCTION("IMPORTRANGE(""https://docs.google.com/spreadsheets/d/1Yj_ptqi66GCucihVvJfMjLAmec39IyEx_6qawtMGysU/edit?usp=sharing"",""สบก!BA24"")"),66440)</f>
        <v>66440</v>
      </c>
      <c r="N122" s="177">
        <f ca="1">IFERROR(__xludf.DUMMYFUNCTION("IMPORTRANGE(""https://docs.google.com/spreadsheets/d/1Yj_ptqi66GCucihVvJfMjLAmec39IyEx_6qawtMGysU/edit?usp=sharing"",""สบก!BB24"")"),41870)</f>
        <v>41870</v>
      </c>
      <c r="O122" s="178">
        <f ca="1">IF(L122&gt;0,N122*100/L122,0)</f>
        <v>50.788452207666182</v>
      </c>
      <c r="P122" s="178">
        <f ca="1">IF(M122&gt;0,N122*100/M122,0)</f>
        <v>63.01926550270921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IFERROR(__xludf.DUMMYFUNCTION("IMPORTRANGE(""https://docs.google.com/spreadsheets/d/1Yj_ptqi66GCucihVvJfMjLAmec39IyEx_6qawtMGysU/edit?usp=sharing"",""สบก!AW24"")"),0)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IFERROR(__xludf.DUMMYFUNCTION("IMPORTRANGE(""https://docs.google.com/spreadsheets/d/1Yj_ptqi66GCucihVvJfMjLAmec39IyEx_6qawtMGysU/edit?usp=sharing"",""สบก!AX24"")"),82440)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IFERROR(__xludf.DUMMYFUNCTION("IMPORTRANGE(""https://docs.google.com/spreadsheets/d/1Yj_ptqi66GCucihVvJfMjLAmec39IyEx_6qawtMGysU/edit?usp=sharing"",""สบก!AY24"")"),0)</f>
        <v>0</v>
      </c>
      <c r="M126" s="103"/>
      <c r="N126" s="93">
        <f ca="1">IFERROR(__xludf.DUMMYFUNCTION("IMPORTRANGE(""https://docs.google.com/spreadsheets/d/1Yj_ptqi66GCucihVvJfMjLAmec39IyEx_6qawtMGysU/edit?usp=sharing"",""สบก!BC24"")"),0)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248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IFERROR(__xludf.DUMMYFUNCTION("IMPORTRANGE(""https://docs.google.com/spreadsheets/d/11923uPwbBZFjjGgGUA6NLw09EwE0CqkOc4q9oUmW1yo/edit?usp=sharing"",""นครสวรรค์!J58"")"),0)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IFERROR(__xludf.DUMMYFUNCTION("IMPORTRANGE(""https://docs.google.com/spreadsheets/d/11923uPwbBZFjjGgGUA6NLw09EwE0CqkOc4q9oUmW1yo/edit?usp=sharing"",""นครสวรรค์!J59"")"),1)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IFERROR(__xludf.DUMMYFUNCTION("IMPORTRANGE(""https://docs.google.com/spreadsheets/d/11923uPwbBZFjjGgGUA6NLw09EwE0CqkOc4q9oUmW1yo/edit?usp=sharing"",""นครสวรรค์!J60"")"),1)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IFERROR(__xludf.DUMMYFUNCTION("IMPORTRANGE(""https://docs.google.com/spreadsheets/d/11923uPwbBZFjjGgGUA6NLw09EwE0CqkOc4q9oUmW1yo/edit?usp=sharing"",""นครสวรรค์!J61"")"),1)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IFERROR(__xludf.DUMMYFUNCTION("IMPORTRANGE(""https://docs.google.com/spreadsheets/d/11923uPwbBZFjjGgGUA6NLw09EwE0CqkOc4q9oUmW1yo/edit?usp=sharing"",""นครสวรรค์!I62"")"),20)</f>
        <v>20</v>
      </c>
      <c r="J132" s="213">
        <f ca="1">IFERROR(__xludf.DUMMYFUNCTION("IMPORTRANGE(""https://docs.google.com/spreadsheets/d/11923uPwbBZFjjGgGUA6NLw09EwE0CqkOc4q9oUmW1yo/edit?usp=sharing"",""นครสวรรค์!J62"")"),20)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IFERROR(__xludf.DUMMYFUNCTION("IMPORTRANGE(""https://docs.google.com/spreadsheets/d/11923uPwbBZFjjGgGUA6NLw09EwE0CqkOc4q9oUmW1yo/edit?usp=sharing"",""นครสวรรค์!I63"")"),20)</f>
        <v>20</v>
      </c>
      <c r="J133" s="213">
        <f ca="1">IFERROR(__xludf.DUMMYFUNCTION("IMPORTRANGE(""https://docs.google.com/spreadsheets/d/11923uPwbBZFjjGgGUA6NLw09EwE0CqkOc4q9oUmW1yo/edit?usp=sharing"",""นครสวรรค์!J63"")"),0)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IFERROR(__xludf.DUMMYFUNCTION("IMPORTRANGE(""https://docs.google.com/spreadsheets/d/11923uPwbBZFjjGgGUA6NLw09EwE0CqkOc4q9oUmW1yo/edit?usp=sharing"",""นครสวรรค์!J64"")"),0)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IFERROR(__xludf.DUMMYFUNCTION("IMPORTRANGE(""https://docs.google.com/spreadsheets/d/11923uPwbBZFjjGgGUA6NLw09EwE0CqkOc4q9oUmW1yo/edit?usp=sharing"",""นครสวรรค์!J65"")"),0)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IFERROR(__xludf.DUMMYFUNCTION("IMPORTRANGE(""https://docs.google.com/spreadsheets/d/11923uPwbBZFjjGgGUA6NLw09EwE0CqkOc4q9oUmW1yo/edit?usp=sharing"",""นครสวรรค์!I68"")"),0)</f>
        <v>0</v>
      </c>
      <c r="J138" s="276">
        <f ca="1">IFERROR(__xludf.DUMMYFUNCTION("IMPORTRANGE(""https://docs.google.com/spreadsheets/d/11923uPwbBZFjjGgGUA6NLw09EwE0CqkOc4q9oUmW1yo/edit?usp=sharing"",""นครสวรรค์!J68"")"),0)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163500</v>
      </c>
      <c r="M140" s="158">
        <f t="shared" ca="1" si="64"/>
        <v>73750</v>
      </c>
      <c r="N140" s="158">
        <f t="shared" ca="1" si="64"/>
        <v>1790</v>
      </c>
      <c r="O140" s="157">
        <f t="shared" ref="O140:O142" ca="1" si="65">IF(L140&gt;0,N140*100/L140,0)</f>
        <v>1.0948012232415902</v>
      </c>
      <c r="P140" s="157">
        <f t="shared" ref="P140:P142" ca="1" si="66">IF(M140&gt;0,N140*100/M140,0)</f>
        <v>2.4271186440677965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163500</v>
      </c>
      <c r="M142" s="163">
        <f t="shared" ca="1" si="68"/>
        <v>73750</v>
      </c>
      <c r="N142" s="163">
        <f t="shared" ca="1" si="68"/>
        <v>1790</v>
      </c>
      <c r="O142" s="162">
        <f t="shared" ca="1" si="65"/>
        <v>1.0948012232415902</v>
      </c>
      <c r="P142" s="162">
        <f t="shared" ca="1" si="66"/>
        <v>2.4271186440677965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163500</v>
      </c>
      <c r="M144" s="176">
        <f ca="1">IFERROR(__xludf.DUMMYFUNCTION("IMPORTRANGE(""https://docs.google.com/spreadsheets/d/1Yj_ptqi66GCucihVvJfMjLAmec39IyEx_6qawtMGysU/edit?usp=sharing"",""สบก!BJ24"")"),73750)</f>
        <v>73750</v>
      </c>
      <c r="N144" s="177">
        <f ca="1">IFERROR(__xludf.DUMMYFUNCTION("IMPORTRANGE(""https://docs.google.com/spreadsheets/d/1Yj_ptqi66GCucihVvJfMjLAmec39IyEx_6qawtMGysU/edit?usp=sharing"",""สบก!BK24"")"),1790)</f>
        <v>1790</v>
      </c>
      <c r="O144" s="178">
        <f ca="1">IF(L144&gt;0,N144*100/L144,0)</f>
        <v>1.0948012232415902</v>
      </c>
      <c r="P144" s="178">
        <f ca="1">IF(M144&gt;0,N144*100/M144,0)</f>
        <v>2.4271186440677965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IFERROR(__xludf.DUMMYFUNCTION("IMPORTRANGE(""https://docs.google.com/spreadsheets/d/1Yj_ptqi66GCucihVvJfMjLAmec39IyEx_6qawtMGysU/edit?usp=sharing"",""สบก!BF24"")"),0)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IFERROR(__xludf.DUMMYFUNCTION("IMPORTRANGE(""https://docs.google.com/spreadsheets/d/1Yj_ptqi66GCucihVvJfMjLAmec39IyEx_6qawtMGysU/edit?usp=sharing"",""สบก!BG24"")"),163500)</f>
        <v>163500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IFERROR(__xludf.DUMMYFUNCTION("IMPORTRANGE(""https://docs.google.com/spreadsheets/d/1Yj_ptqi66GCucihVvJfMjLAmec39IyEx_6qawtMGysU/edit?usp=sharing"",""สบก!BH24"")"),0)</f>
        <v>0</v>
      </c>
      <c r="M148" s="103"/>
      <c r="N148" s="93">
        <f ca="1">IFERROR(__xludf.DUMMYFUNCTION("IMPORTRANGE(""https://docs.google.com/spreadsheets/d/1Yj_ptqi66GCucihVvJfMjLAmec39IyEx_6qawtMGysU/edit?usp=sharing"",""สบก!BL24"")"),0)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IFERROR(__xludf.DUMMYFUNCTION("IMPORTRANGE(""https://docs.google.com/spreadsheets/d/11923uPwbBZFjjGgGUA6NLw09EwE0CqkOc4q9oUmW1yo/edit?usp=sharing"",""นครสวรรค์!I74"")"),4)</f>
        <v>4</v>
      </c>
      <c r="J149" s="284">
        <f ca="1">IFERROR(__xludf.DUMMYFUNCTION("IMPORTRANGE(""https://docs.google.com/spreadsheets/d/11923uPwbBZFjjGgGUA6NLw09EwE0CqkOc4q9oUmW1yo/edit?usp=sharing"",""นครสวรรค์!J74"")"),1)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IFERROR(__xludf.DUMMYFUNCTION("IMPORTRANGE(""https://docs.google.com/spreadsheets/d/11923uPwbBZFjjGgGUA6NLw09EwE0CqkOc4q9oUmW1yo/edit?usp=sharing"",""นครสวรรค์!J79"")"),0)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IFERROR(__xludf.DUMMYFUNCTION("IMPORTRANGE(""https://docs.google.com/spreadsheets/d/11923uPwbBZFjjGgGUA6NLw09EwE0CqkOc4q9oUmW1yo/edit?usp=sharing"",""นครสวรรค์!J80"")"),1)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IFERROR(__xludf.DUMMYFUNCTION("IMPORTRANGE(""https://docs.google.com/spreadsheets/d/11923uPwbBZFjjGgGUA6NLw09EwE0CqkOc4q9oUmW1yo/edit?usp=sharing"",""นครสวรรค์!J81"")"),1)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IFERROR(__xludf.DUMMYFUNCTION("IMPORTRANGE(""https://docs.google.com/spreadsheets/d/11923uPwbBZFjjGgGUA6NLw09EwE0CqkOc4q9oUmW1yo/edit?usp=sharing"",""นครสวรรค์!J82"")"),1)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IFERROR(__xludf.DUMMYFUNCTION("IMPORTRANGE(""https://docs.google.com/spreadsheets/d/11923uPwbBZFjjGgGUA6NLw09EwE0CqkOc4q9oUmW1yo/edit?usp=sharing"",""นครสวรรค์!I83"")"),4)</f>
        <v>4</v>
      </c>
      <c r="J158" s="198">
        <f ca="1">IFERROR(__xludf.DUMMYFUNCTION("IMPORTRANGE(""https://docs.google.com/spreadsheets/d/11923uPwbBZFjjGgGUA6NLw09EwE0CqkOc4q9oUmW1yo/edit?usp=sharing"",""นครสวรรค์!J83"")"),1)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IFERROR(__xludf.DUMMYFUNCTION("IMPORTRANGE(""https://docs.google.com/spreadsheets/d/11923uPwbBZFjjGgGUA6NLw09EwE0CqkOc4q9oUmW1yo/edit?usp=sharing"",""นครสวรรค์!J84"")"),0)</f>
        <v>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IFERROR(__xludf.DUMMYFUNCTION("IMPORTRANGE(""https://docs.google.com/spreadsheets/d/11923uPwbBZFjjGgGUA6NLw09EwE0CqkOc4q9oUmW1yo/edit?usp=sharing"",""นครสวรรค์!J85"")"),0)</f>
        <v>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IFERROR(__xludf.DUMMYFUNCTION("IMPORTRANGE(""https://docs.google.com/spreadsheets/d/11923uPwbBZFjjGgGUA6NLw09EwE0CqkOc4q9oUmW1yo/edit?usp=sharing"",""นครสวรรค์!J86"")"),0)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IFERROR(__xludf.DUMMYFUNCTION("IMPORTRANGE(""https://docs.google.com/spreadsheets/d/11923uPwbBZFjjGgGUA6NLw09EwE0CqkOc4q9oUmW1yo/edit?usp=sharing"",""นครสวรรค์!J87"")"),0)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IFERROR(__xludf.DUMMYFUNCTION("IMPORTRANGE(""https://docs.google.com/spreadsheets/d/11923uPwbBZFjjGgGUA6NLw09EwE0CqkOc4q9oUmW1yo/edit?usp=sharing"",""นครสวรรค์!J88"")"),0)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IFERROR(__xludf.DUMMYFUNCTION("IMPORTRANGE(""https://docs.google.com/spreadsheets/d/11923uPwbBZFjjGgGUA6NLw09EwE0CqkOc4q9oUmW1yo/edit?usp=sharing"",""นครสวรรค์!I89"")"),5)</f>
        <v>5</v>
      </c>
      <c r="J164" s="292">
        <f ca="1">IFERROR(__xludf.DUMMYFUNCTION("IMPORTRANGE(""https://docs.google.com/spreadsheets/d/11923uPwbBZFjjGgGUA6NLw09EwE0CqkOc4q9oUmW1yo/edit?usp=sharing"",""นครสวรรค์!J89"")"),0)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IFERROR(__xludf.DUMMYFUNCTION("IMPORTRANGE(""https://docs.google.com/spreadsheets/d/11923uPwbBZFjjGgGUA6NLw09EwE0CqkOc4q9oUmW1yo/edit?usp=sharing"",""นครสวรรค์!J94"")"),0)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IFERROR(__xludf.DUMMYFUNCTION("IMPORTRANGE(""https://docs.google.com/spreadsheets/d/11923uPwbBZFjjGgGUA6NLw09EwE0CqkOc4q9oUmW1yo/edit?usp=sharing"",""นครสวรรค์!J95"")"),1)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IFERROR(__xludf.DUMMYFUNCTION("IMPORTRANGE(""https://docs.google.com/spreadsheets/d/11923uPwbBZFjjGgGUA6NLw09EwE0CqkOc4q9oUmW1yo/edit?usp=sharing"",""นครสวรรค์!J96"")"),1)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IFERROR(__xludf.DUMMYFUNCTION("IMPORTRANGE(""https://docs.google.com/spreadsheets/d/11923uPwbBZFjjGgGUA6NLw09EwE0CqkOc4q9oUmW1yo/edit?usp=sharing"",""นครสวรรค์!J97"")"),1)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IFERROR(__xludf.DUMMYFUNCTION("IMPORTRANGE(""https://docs.google.com/spreadsheets/d/11923uPwbBZFjjGgGUA6NLw09EwE0CqkOc4q9oUmW1yo/edit?usp=sharing"",""นครสวรรค์!I98"")"),5)</f>
        <v>5</v>
      </c>
      <c r="J173" s="198">
        <f ca="1">IFERROR(__xludf.DUMMYFUNCTION("IMPORTRANGE(""https://docs.google.com/spreadsheets/d/11923uPwbBZFjjGgGUA6NLw09EwE0CqkOc4q9oUmW1yo/edit?usp=sharing"",""นครสวรรค์!J98"")"),0)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IFERROR(__xludf.DUMMYFUNCTION("IMPORTRANGE(""https://docs.google.com/spreadsheets/d/11923uPwbBZFjjGgGUA6NLw09EwE0CqkOc4q9oUmW1yo/edit?usp=sharing"",""นครสวรรค์!J99"")"),0)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IFERROR(__xludf.DUMMYFUNCTION("IMPORTRANGE(""https://docs.google.com/spreadsheets/d/11923uPwbBZFjjGgGUA6NLw09EwE0CqkOc4q9oUmW1yo/edit?usp=sharing"",""นครสวรรค์!J100"")"),0)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IFERROR(__xludf.DUMMYFUNCTION("IMPORTRANGE(""https://docs.google.com/spreadsheets/d/11923uPwbBZFjjGgGUA6NLw09EwE0CqkOc4q9oUmW1yo/edit?usp=sharing"",""นครสวรรค์!I101"")"),0)</f>
        <v>0</v>
      </c>
      <c r="J176" s="292">
        <f ca="1">IFERROR(__xludf.DUMMYFUNCTION("IMPORTRANGE(""https://docs.google.com/spreadsheets/d/11923uPwbBZFjjGgGUA6NLw09EwE0CqkOc4q9oUmW1yo/edit?usp=sharing"",""นครสวรรค์!J101"")"),0)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IFERROR(__xludf.DUMMYFUNCTION("IMPORTRANGE(""https://docs.google.com/spreadsheets/d/11923uPwbBZFjjGgGUA6NLw09EwE0CqkOc4q9oUmW1yo/edit?usp=sharing"",""นครสวรรค์!J106"")"),0)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IFERROR(__xludf.DUMMYFUNCTION("IMPORTRANGE(""https://docs.google.com/spreadsheets/d/11923uPwbBZFjjGgGUA6NLw09EwE0CqkOc4q9oUmW1yo/edit?usp=sharing"",""นครสวรรค์!J107"")"),0)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IFERROR(__xludf.DUMMYFUNCTION("IMPORTRANGE(""https://docs.google.com/spreadsheets/d/11923uPwbBZFjjGgGUA6NLw09EwE0CqkOc4q9oUmW1yo/edit?usp=sharing"",""นครสวรรค์!J108"")"),0)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IFERROR(__xludf.DUMMYFUNCTION("IMPORTRANGE(""https://docs.google.com/spreadsheets/d/11923uPwbBZFjjGgGUA6NLw09EwE0CqkOc4q9oUmW1yo/edit?usp=sharing"",""นครสวรรค์!J109"")"),0)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IFERROR(__xludf.DUMMYFUNCTION("IMPORTRANGE(""https://docs.google.com/spreadsheets/d/11923uPwbBZFjjGgGUA6NLw09EwE0CqkOc4q9oUmW1yo/edit?usp=sharing"",""นครสวรรค์!I110"")"),0)</f>
        <v>0</v>
      </c>
      <c r="J185" s="213">
        <f ca="1">IFERROR(__xludf.DUMMYFUNCTION("IMPORTRANGE(""https://docs.google.com/spreadsheets/d/11923uPwbBZFjjGgGUA6NLw09EwE0CqkOc4q9oUmW1yo/edit?usp=sharing"",""นครสวรรค์!J110"")"),0)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IFERROR(__xludf.DUMMYFUNCTION("IMPORTRANGE(""https://docs.google.com/spreadsheets/d/11923uPwbBZFjjGgGUA6NLw09EwE0CqkOc4q9oUmW1yo/edit?usp=sharing"",""นครสวรรค์!I111"")"),0)</f>
        <v>0</v>
      </c>
      <c r="J186" s="213">
        <f ca="1">IFERROR(__xludf.DUMMYFUNCTION("IMPORTRANGE(""https://docs.google.com/spreadsheets/d/11923uPwbBZFjjGgGUA6NLw09EwE0CqkOc4q9oUmW1yo/edit?usp=sharing"",""นครสวรรค์!J111"")"),0)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IFERROR(__xludf.DUMMYFUNCTION("IMPORTRANGE(""https://docs.google.com/spreadsheets/d/11923uPwbBZFjjGgGUA6NLw09EwE0CqkOc4q9oUmW1yo/edit?usp=sharing"",""นครสวรรค์!J112"")"),0)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IFERROR(__xludf.DUMMYFUNCTION("IMPORTRANGE(""https://docs.google.com/spreadsheets/d/11923uPwbBZFjjGgGUA6NLw09EwE0CqkOc4q9oUmW1yo/edit?usp=sharing"",""นครสวรรค์!J113"")"),0)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IFERROR(__xludf.DUMMYFUNCTION("IMPORTRANGE(""https://docs.google.com/spreadsheets/d/11923uPwbBZFjjGgGUA6NLw09EwE0CqkOc4q9oUmW1yo/edit?usp=sharing"",""นครสวรรค์!I114"")"),300000)</f>
        <v>300000</v>
      </c>
      <c r="J189" s="292">
        <f ca="1">IFERROR(__xludf.DUMMYFUNCTION("IMPORTRANGE(""https://docs.google.com/spreadsheets/d/11923uPwbBZFjjGgGUA6NLw09EwE0CqkOc4q9oUmW1yo/edit?usp=sharing"",""นครสวรรค์!J114"")"),0)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IFERROR(__xludf.DUMMYFUNCTION("IMPORTRANGE(""https://docs.google.com/spreadsheets/d/11923uPwbBZFjjGgGUA6NLw09EwE0CqkOc4q9oUmW1yo/edit?usp=sharing"",""นครสวรรค์!J119"")"),0)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IFERROR(__xludf.DUMMYFUNCTION("IMPORTRANGE(""https://docs.google.com/spreadsheets/d/11923uPwbBZFjjGgGUA6NLw09EwE0CqkOc4q9oUmW1yo/edit?usp=sharing"",""นครสวรรค์!J120"")"),1)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IFERROR(__xludf.DUMMYFUNCTION("IMPORTRANGE(""https://docs.google.com/spreadsheets/d/11923uPwbBZFjjGgGUA6NLw09EwE0CqkOc4q9oUmW1yo/edit?usp=sharing"",""นครสวรรค์!J121"")"),1)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IFERROR(__xludf.DUMMYFUNCTION("IMPORTRANGE(""https://docs.google.com/spreadsheets/d/11923uPwbBZFjjGgGUA6NLw09EwE0CqkOc4q9oUmW1yo/edit?usp=sharing"",""นครสวรรค์!J122"")"),1)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IFERROR(__xludf.DUMMYFUNCTION("IMPORTRANGE(""https://docs.google.com/spreadsheets/d/11923uPwbBZFjjGgGUA6NLw09EwE0CqkOc4q9oUmW1yo/edit?usp=sharing"",""นครสวรรค์!I124"")"),300000)</f>
        <v>300000</v>
      </c>
      <c r="J199" s="198">
        <f ca="1">IFERROR(__xludf.DUMMYFUNCTION("IMPORTRANGE(""https://docs.google.com/spreadsheets/d/11923uPwbBZFjjGgGUA6NLw09EwE0CqkOc4q9oUmW1yo/edit?usp=sharing"",""นครสวรรค์!J124"")"),300000)</f>
        <v>300000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IFERROR(__xludf.DUMMYFUNCTION("IMPORTRANGE(""https://docs.google.com/spreadsheets/d/11923uPwbBZFjjGgGUA6NLw09EwE0CqkOc4q9oUmW1yo/edit?usp=sharing"",""นครสวรรค์!I125"")"),300000)</f>
        <v>300000</v>
      </c>
      <c r="J200" s="198">
        <f ca="1">IFERROR(__xludf.DUMMYFUNCTION("IMPORTRANGE(""https://docs.google.com/spreadsheets/d/11923uPwbBZFjjGgGUA6NLw09EwE0CqkOc4q9oUmW1yo/edit?usp=sharing"",""นครสวรรค์!J125"")"),0)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IFERROR(__xludf.DUMMYFUNCTION("IMPORTRANGE(""https://docs.google.com/spreadsheets/d/11923uPwbBZFjjGgGUA6NLw09EwE0CqkOc4q9oUmW1yo/edit?usp=sharing"",""นครสวรรค์!I126"")"),0)</f>
        <v>0</v>
      </c>
      <c r="J201" s="198">
        <f ca="1">IFERROR(__xludf.DUMMYFUNCTION("IMPORTRANGE(""https://docs.google.com/spreadsheets/d/11923uPwbBZFjjGgGUA6NLw09EwE0CqkOc4q9oUmW1yo/edit?usp=sharing"",""นครสวรรค์!J126"")"),0)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IFERROR(__xludf.DUMMYFUNCTION("IMPORTRANGE(""https://docs.google.com/spreadsheets/d/11923uPwbBZFjjGgGUA6NLw09EwE0CqkOc4q9oUmW1yo/edit?usp=sharing"",""นครสวรรค์!J127"")"),0)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IFERROR(__xludf.DUMMYFUNCTION("IMPORTRANGE(""https://docs.google.com/spreadsheets/d/11923uPwbBZFjjGgGUA6NLw09EwE0CqkOc4q9oUmW1yo/edit?usp=sharing"",""นครสวรรค์!J128"")"),0)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IFERROR(__xludf.DUMMYFUNCTION("IMPORTRANGE(""https://docs.google.com/spreadsheets/d/11923uPwbBZFjjGgGUA6NLw09EwE0CqkOc4q9oUmW1yo/edit?usp=sharing"",""นครสวรรค์!I129"")"),0)</f>
        <v>0</v>
      </c>
      <c r="J204" s="292">
        <f ca="1">IFERROR(__xludf.DUMMYFUNCTION("IMPORTRANGE(""https://docs.google.com/spreadsheets/d/11923uPwbBZFjjGgGUA6NLw09EwE0CqkOc4q9oUmW1yo/edit?usp=sharing"",""นครสวรรค์!J129"")"),0)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IFERROR(__xludf.DUMMYFUNCTION("IMPORTRANGE(""https://docs.google.com/spreadsheets/d/11923uPwbBZFjjGgGUA6NLw09EwE0CqkOc4q9oUmW1yo/edit?usp=sharing"",""นครสวรรค์!J134"")"),0)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IFERROR(__xludf.DUMMYFUNCTION("IMPORTRANGE(""https://docs.google.com/spreadsheets/d/11923uPwbBZFjjGgGUA6NLw09EwE0CqkOc4q9oUmW1yo/edit?usp=sharing"",""นครสวรรค์!J135"")"),0)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IFERROR(__xludf.DUMMYFUNCTION("IMPORTRANGE(""https://docs.google.com/spreadsheets/d/11923uPwbBZFjjGgGUA6NLw09EwE0CqkOc4q9oUmW1yo/edit?usp=sharing"",""นครสวรรค์!J136"")"),0)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IFERROR(__xludf.DUMMYFUNCTION("IMPORTRANGE(""https://docs.google.com/spreadsheets/d/11923uPwbBZFjjGgGUA6NLw09EwE0CqkOc4q9oUmW1yo/edit?usp=sharing"",""นครสวรรค์!J137"")"),0)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IFERROR(__xludf.DUMMYFUNCTION("IMPORTRANGE(""https://docs.google.com/spreadsheets/d/11923uPwbBZFjjGgGUA6NLw09EwE0CqkOc4q9oUmW1yo/edit?usp=sharing"",""นครสวรรค์!I138"")"),0)</f>
        <v>0</v>
      </c>
      <c r="J213" s="213">
        <f ca="1">IFERROR(__xludf.DUMMYFUNCTION("IMPORTRANGE(""https://docs.google.com/spreadsheets/d/11923uPwbBZFjjGgGUA6NLw09EwE0CqkOc4q9oUmW1yo/edit?usp=sharing"",""นครสวรรค์!J138"")"),0)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IFERROR(__xludf.DUMMYFUNCTION("IMPORTRANGE(""https://docs.google.com/spreadsheets/d/11923uPwbBZFjjGgGUA6NLw09EwE0CqkOc4q9oUmW1yo/edit?usp=sharing"",""นครสวรรค์!I140"")"),0)</f>
        <v>0</v>
      </c>
      <c r="J215" s="213">
        <f ca="1">IFERROR(__xludf.DUMMYFUNCTION("IMPORTRANGE(""https://docs.google.com/spreadsheets/d/11923uPwbBZFjjGgGUA6NLw09EwE0CqkOc4q9oUmW1yo/edit?usp=sharing"",""นครสวรรค์!J140"")"),0)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IFERROR(__xludf.DUMMYFUNCTION("IMPORTRANGE(""https://docs.google.com/spreadsheets/d/11923uPwbBZFjjGgGUA6NLw09EwE0CqkOc4q9oUmW1yo/edit?usp=sharing"",""นครสวรรค์!I141"")"),0)</f>
        <v>0</v>
      </c>
      <c r="J216" s="213">
        <f ca="1">IFERROR(__xludf.DUMMYFUNCTION("IMPORTRANGE(""https://docs.google.com/spreadsheets/d/11923uPwbBZFjjGgGUA6NLw09EwE0CqkOc4q9oUmW1yo/edit?usp=sharing"",""นครสวรรค์!J141"")"),0)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IFERROR(__xludf.DUMMYFUNCTION("IMPORTRANGE(""https://docs.google.com/spreadsheets/d/11923uPwbBZFjjGgGUA6NLw09EwE0CqkOc4q9oUmW1yo/edit?usp=sharing"",""นครสวรรค์!J142"")"),0)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IFERROR(__xludf.DUMMYFUNCTION("IMPORTRANGE(""https://docs.google.com/spreadsheets/d/11923uPwbBZFjjGgGUA6NLw09EwE0CqkOc4q9oUmW1yo/edit?usp=sharing"",""นครสวรรค์!J143"")"),0)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IFERROR(__xludf.DUMMYFUNCTION("IMPORTRANGE(""https://docs.google.com/spreadsheets/d/11923uPwbBZFjjGgGUA6NLw09EwE0CqkOc4q9oUmW1yo/edit?usp=sharing"",""นครสวรรค์!I144"")"),15)</f>
        <v>15</v>
      </c>
      <c r="J219" s="276">
        <f ca="1">IFERROR(__xludf.DUMMYFUNCTION("IMPORTRANGE(""https://docs.google.com/spreadsheets/d/11923uPwbBZFjjGgGUA6NLw09EwE0CqkOc4q9oUmW1yo/edit?usp=sharing"",""นครสวรรค์!J144"")"),15)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IFERROR(__xludf.DUMMYFUNCTION("IMPORTRANGE(""https://docs.google.com/spreadsheets/d/1Yj_ptqi66GCucihVvJfMjLAmec39IyEx_6qawtMGysU/edit?usp=sharing"",""สบก!BS24"")"),21125)</f>
        <v>21125</v>
      </c>
      <c r="N224" s="177">
        <f ca="1">IFERROR(__xludf.DUMMYFUNCTION("IMPORTRANGE(""https://docs.google.com/spreadsheets/d/1Yj_ptqi66GCucihVvJfMjLAmec39IyEx_6qawtMGysU/edit?usp=sharing"",""สบก!BT24"")"),21125)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IFERROR(__xludf.DUMMYFUNCTION("IMPORTRANGE(""https://docs.google.com/spreadsheets/d/1Yj_ptqi66GCucihVvJfMjLAmec39IyEx_6qawtMGysU/edit?usp=sharing"",""สบก!BO24"")"),0)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IFERROR(__xludf.DUMMYFUNCTION("IMPORTRANGE(""https://docs.google.com/spreadsheets/d/1Yj_ptqi66GCucihVvJfMjLAmec39IyEx_6qawtMGysU/edit?usp=sharing"",""สบก!BP24"")"),21125)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IFERROR(__xludf.DUMMYFUNCTION("IMPORTRANGE(""https://docs.google.com/spreadsheets/d/1Yj_ptqi66GCucihVvJfMjLAmec39IyEx_6qawtMGysU/edit?usp=sharing"",""สบก!BQ24"")"),0)</f>
        <v>0</v>
      </c>
      <c r="M228" s="103"/>
      <c r="N228" s="93">
        <f ca="1">IFERROR(__xludf.DUMMYFUNCTION("IMPORTRANGE(""https://docs.google.com/spreadsheets/d/1Yj_ptqi66GCucihVvJfMjLAmec39IyEx_6qawtMGysU/edit?usp=sharing"",""สบก!BU24"")"),0)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IFERROR(__xludf.DUMMYFUNCTION("IMPORTRANGE(""https://docs.google.com/spreadsheets/d/11923uPwbBZFjjGgGUA6NLw09EwE0CqkOc4q9oUmW1yo/edit?usp=sharing"",""นครสวรรค์!I149"")"),15)</f>
        <v>15</v>
      </c>
      <c r="J229" s="276">
        <f ca="1">IFERROR(__xludf.DUMMYFUNCTION("IMPORTRANGE(""https://docs.google.com/spreadsheets/d/11923uPwbBZFjjGgGUA6NLw09EwE0CqkOc4q9oUmW1yo/edit?usp=sharing"",""นครสวรรค์!J149"")"),15)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IFERROR(__xludf.DUMMYFUNCTION("IMPORTRANGE(""https://docs.google.com/spreadsheets/d/11923uPwbBZFjjGgGUA6NLw09EwE0CqkOc4q9oUmW1yo/edit?usp=sharing"",""นครสวรรค์!J151"")"),0)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IFERROR(__xludf.DUMMYFUNCTION("IMPORTRANGE(""https://docs.google.com/spreadsheets/d/11923uPwbBZFjjGgGUA6NLw09EwE0CqkOc4q9oUmW1yo/edit?usp=sharing"",""นครสวรรค์!J152"")"),1)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IFERROR(__xludf.DUMMYFUNCTION("IMPORTRANGE(""https://docs.google.com/spreadsheets/d/11923uPwbBZFjjGgGUA6NLw09EwE0CqkOc4q9oUmW1yo/edit?usp=sharing"",""นครสวรรค์!J153"")"),1)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IFERROR(__xludf.DUMMYFUNCTION("IMPORTRANGE(""https://docs.google.com/spreadsheets/d/11923uPwbBZFjjGgGUA6NLw09EwE0CqkOc4q9oUmW1yo/edit?usp=sharing"",""นครสวรรค์!J154"")"),1)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IFERROR(__xludf.DUMMYFUNCTION("IMPORTRANGE(""https://docs.google.com/spreadsheets/d/11923uPwbBZFjjGgGUA6NLw09EwE0CqkOc4q9oUmW1yo/edit?usp=sharing"",""นครสวรรค์!I155"")"),15)</f>
        <v>15</v>
      </c>
      <c r="J235" s="198">
        <f ca="1">IFERROR(__xludf.DUMMYFUNCTION("IMPORTRANGE(""https://docs.google.com/spreadsheets/d/11923uPwbBZFjjGgGUA6NLw09EwE0CqkOc4q9oUmW1yo/edit?usp=sharing"",""นครสวรรค์!J155"")"),15)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IFERROR(__xludf.DUMMYFUNCTION("IMPORTRANGE(""https://docs.google.com/spreadsheets/d/11923uPwbBZFjjGgGUA6NLw09EwE0CqkOc4q9oUmW1yo/edit?usp=sharing"",""นครสวรรค์!J156"")"),0)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IFERROR(__xludf.DUMMYFUNCTION("IMPORTRANGE(""https://docs.google.com/spreadsheets/d/11923uPwbBZFjjGgGUA6NLw09EwE0CqkOc4q9oUmW1yo/edit?usp=sharing"",""นครสวรรค์!J157"")"),0)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IFERROR(__xludf.DUMMYFUNCTION("IMPORTRANGE(""https://docs.google.com/spreadsheets/d/11923uPwbBZFjjGgGUA6NLw09EwE0CqkOc4q9oUmW1yo/edit?usp=sharing"",""นครสวรรค์!I158"")"),0)</f>
        <v>0</v>
      </c>
      <c r="J238" s="276">
        <f ca="1">IFERROR(__xludf.DUMMYFUNCTION("IMPORTRANGE(""https://docs.google.com/spreadsheets/d/11923uPwbBZFjjGgGUA6NLw09EwE0CqkOc4q9oUmW1yo/edit?usp=sharing"",""นครสวรรค์!J158"")"),0)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IFERROR(__xludf.DUMMYFUNCTION("IMPORTRANGE(""https://docs.google.com/spreadsheets/d/11923uPwbBZFjjGgGUA6NLw09EwE0CqkOc4q9oUmW1yo/edit?usp=sharing"",""นครสวรรค์!J159"")"),"")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IFERROR(__xludf.DUMMYFUNCTION("IMPORTRANGE(""https://docs.google.com/spreadsheets/d/11923uPwbBZFjjGgGUA6NLw09EwE0CqkOc4q9oUmW1yo/edit?usp=sharing"",""นครสวรรค์!J161"")"),0)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IFERROR(__xludf.DUMMYFUNCTION("IMPORTRANGE(""https://docs.google.com/spreadsheets/d/11923uPwbBZFjjGgGUA6NLw09EwE0CqkOc4q9oUmW1yo/edit?usp=sharing"",""นครสวรรค์!J162"")"),0)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IFERROR(__xludf.DUMMYFUNCTION("IMPORTRANGE(""https://docs.google.com/spreadsheets/d/11923uPwbBZFjjGgGUA6NLw09EwE0CqkOc4q9oUmW1yo/edit?usp=sharing"",""นครสวรรค์!J163"")"),0)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IFERROR(__xludf.DUMMYFUNCTION("IMPORTRANGE(""https://docs.google.com/spreadsheets/d/11923uPwbBZFjjGgGUA6NLw09EwE0CqkOc4q9oUmW1yo/edit?usp=sharing"",""นครสวรรค์!I164"")"),0)</f>
        <v>0</v>
      </c>
      <c r="J244" s="197">
        <f ca="1">IFERROR(__xludf.DUMMYFUNCTION("IMPORTRANGE(""https://docs.google.com/spreadsheets/d/11923uPwbBZFjjGgGUA6NLw09EwE0CqkOc4q9oUmW1yo/edit?usp=sharing"",""นครสวรรค์!J164"")"),0)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IFERROR(__xludf.DUMMYFUNCTION("IMPORTRANGE(""https://docs.google.com/spreadsheets/d/11923uPwbBZFjjGgGUA6NLw09EwE0CqkOc4q9oUmW1yo/edit?usp=sharing"",""นครสวรรค์!J165"")"),0)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IFERROR(__xludf.DUMMYFUNCTION("IMPORTRANGE(""https://docs.google.com/spreadsheets/d/11923uPwbBZFjjGgGUA6NLw09EwE0CqkOc4q9oUmW1yo/edit?usp=sharing"",""นครสวรรค์!J166"")"),0)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IFERROR(__xludf.DUMMYFUNCTION("IMPORTRANGE(""https://docs.google.com/spreadsheets/d/11923uPwbBZFjjGgGUA6NLw09EwE0CqkOc4q9oUmW1yo/edit?usp=sharing"",""นครสวรรค์!I169"")"),25)</f>
        <v>25</v>
      </c>
      <c r="J249" s="324">
        <f ca="1">IFERROR(__xludf.DUMMYFUNCTION("IMPORTRANGE(""https://docs.google.com/spreadsheets/d/11923uPwbBZFjjGgGUA6NLw09EwE0CqkOc4q9oUmW1yo/edit?usp=sharing"",""นครสวรรค์!J169"")"),25)</f>
        <v>25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89000</v>
      </c>
      <c r="M250" s="158">
        <f t="shared" ca="1" si="77"/>
        <v>42500</v>
      </c>
      <c r="N250" s="158">
        <f t="shared" ca="1" si="77"/>
        <v>43525</v>
      </c>
      <c r="O250" s="157">
        <f t="shared" ref="O250:O252" ca="1" si="78">IF(L250&gt;0,N250*100/L250,0)</f>
        <v>48.90449438202247</v>
      </c>
      <c r="P250" s="157">
        <f t="shared" ref="P250:P252" ca="1" si="79">IF(M250&gt;0,N250*100/M250,0)</f>
        <v>102.41176470588235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89000</v>
      </c>
      <c r="M252" s="163">
        <f t="shared" ca="1" si="81"/>
        <v>42500</v>
      </c>
      <c r="N252" s="163">
        <f t="shared" ca="1" si="81"/>
        <v>43525</v>
      </c>
      <c r="O252" s="162">
        <f t="shared" ca="1" si="78"/>
        <v>48.90449438202247</v>
      </c>
      <c r="P252" s="162">
        <f t="shared" ca="1" si="79"/>
        <v>102.41176470588235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89000</v>
      </c>
      <c r="M254" s="176">
        <f ca="1">IFERROR(__xludf.DUMMYFUNCTION("IMPORTRANGE(""https://docs.google.com/spreadsheets/d/1Yj_ptqi66GCucihVvJfMjLAmec39IyEx_6qawtMGysU/edit?usp=sharing"",""สบก!CB24"")"),42500)</f>
        <v>42500</v>
      </c>
      <c r="N254" s="177">
        <f ca="1">IFERROR(__xludf.DUMMYFUNCTION("IMPORTRANGE(""https://docs.google.com/spreadsheets/d/1Yj_ptqi66GCucihVvJfMjLAmec39IyEx_6qawtMGysU/edit?usp=sharing"",""สบก!CC24"")"),43525)</f>
        <v>43525</v>
      </c>
      <c r="O254" s="178">
        <f ca="1">IF(L254&gt;0,N254*100/L254,0)</f>
        <v>48.90449438202247</v>
      </c>
      <c r="P254" s="178">
        <f ca="1">IF(M254&gt;0,N254*100/M254,0)</f>
        <v>102.41176470588235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IFERROR(__xludf.DUMMYFUNCTION("IMPORTRANGE(""https://docs.google.com/spreadsheets/d/1Yj_ptqi66GCucihVvJfMjLAmec39IyEx_6qawtMGysU/edit?usp=sharing"",""สบก!BX24"")"),0)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IFERROR(__xludf.DUMMYFUNCTION("IMPORTRANGE(""https://docs.google.com/spreadsheets/d/1Yj_ptqi66GCucihVvJfMjLAmec39IyEx_6qawtMGysU/edit?usp=sharing"",""สบก!BY24"")"),89000)</f>
        <v>89000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IFERROR(__xludf.DUMMYFUNCTION("IMPORTRANGE(""https://docs.google.com/spreadsheets/d/1Yj_ptqi66GCucihVvJfMjLAmec39IyEx_6qawtMGysU/edit?usp=sharing"",""สบก!BZ24"")"),0)</f>
        <v>0</v>
      </c>
      <c r="M258" s="103"/>
      <c r="N258" s="93">
        <f ca="1">IFERROR(__xludf.DUMMYFUNCTION("IMPORTRANGE(""https://docs.google.com/spreadsheets/d/1Yj_ptqi66GCucihVvJfMjLAmec39IyEx_6qawtMGysU/edit?usp=sharing"",""สบก!CD24"")"),0)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IFERROR(__xludf.DUMMYFUNCTION("IMPORTRANGE(""https://docs.google.com/spreadsheets/d/11923uPwbBZFjjGgGUA6NLw09EwE0CqkOc4q9oUmW1yo/edit?usp=sharing"",""นครสวรรค์!J175"")"),0)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IFERROR(__xludf.DUMMYFUNCTION("IMPORTRANGE(""https://docs.google.com/spreadsheets/d/11923uPwbBZFjjGgGUA6NLw09EwE0CqkOc4q9oUmW1yo/edit?usp=sharing"",""นครสวรรค์!J176"")"),1)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IFERROR(__xludf.DUMMYFUNCTION("IMPORTRANGE(""https://docs.google.com/spreadsheets/d/11923uPwbBZFjjGgGUA6NLw09EwE0CqkOc4q9oUmW1yo/edit?usp=sharing"",""นครสวรรค์!J177"")"),1)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IFERROR(__xludf.DUMMYFUNCTION("IMPORTRANGE(""https://docs.google.com/spreadsheets/d/11923uPwbBZFjjGgGUA6NLw09EwE0CqkOc4q9oUmW1yo/edit?usp=sharing"",""นครสวรรค์!J178"")"),1)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IFERROR(__xludf.DUMMYFUNCTION("IMPORTRANGE(""https://docs.google.com/spreadsheets/d/11923uPwbBZFjjGgGUA6NLw09EwE0CqkOc4q9oUmW1yo/edit?usp=sharing"",""นครสวรรค์!I179"")"),1)</f>
        <v>1</v>
      </c>
      <c r="J264" s="198">
        <f ca="1">IFERROR(__xludf.DUMMYFUNCTION("IMPORTRANGE(""https://docs.google.com/spreadsheets/d/11923uPwbBZFjjGgGUA6NLw09EwE0CqkOc4q9oUmW1yo/edit?usp=sharing"",""นครสวรรค์!J179"")"),2)</f>
        <v>2</v>
      </c>
      <c r="K264" s="171">
        <f t="shared" ref="K264:K267" ca="1" si="82">IF(I264&gt;0,J264*100/I264,0)</f>
        <v>200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IFERROR(__xludf.DUMMYFUNCTION("IMPORTRANGE(""https://docs.google.com/spreadsheets/d/11923uPwbBZFjjGgGUA6NLw09EwE0CqkOc4q9oUmW1yo/edit?usp=sharing"",""นครสวรรค์!I180"")"),25)</f>
        <v>25</v>
      </c>
      <c r="J265" s="198">
        <f ca="1">IFERROR(__xludf.DUMMYFUNCTION("IMPORTRANGE(""https://docs.google.com/spreadsheets/d/11923uPwbBZFjjGgGUA6NLw09EwE0CqkOc4q9oUmW1yo/edit?usp=sharing"",""นครสวรรค์!J180"")"),25)</f>
        <v>25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IFERROR(__xludf.DUMMYFUNCTION("IMPORTRANGE(""https://docs.google.com/spreadsheets/d/11923uPwbBZFjjGgGUA6NLw09EwE0CqkOc4q9oUmW1yo/edit?usp=sharing"",""นครสวรรค์!I181"")"),25)</f>
        <v>25</v>
      </c>
      <c r="J266" s="198">
        <f ca="1">IFERROR(__xludf.DUMMYFUNCTION("IMPORTRANGE(""https://docs.google.com/spreadsheets/d/11923uPwbBZFjjGgGUA6NLw09EwE0CqkOc4q9oUmW1yo/edit?usp=sharing"",""นครสวรรค์!J181"")"),0)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IFERROR(__xludf.DUMMYFUNCTION("IMPORTRANGE(""https://docs.google.com/spreadsheets/d/11923uPwbBZFjjGgGUA6NLw09EwE0CqkOc4q9oUmW1yo/edit?usp=sharing"",""นครสวรรค์!I182"")"),1)</f>
        <v>1</v>
      </c>
      <c r="J267" s="198">
        <f ca="1">IFERROR(__xludf.DUMMYFUNCTION("IMPORTRANGE(""https://docs.google.com/spreadsheets/d/11923uPwbBZFjjGgGUA6NLw09EwE0CqkOc4q9oUmW1yo/edit?usp=sharing"",""นครสวรรค์!J182"")"),2)</f>
        <v>2</v>
      </c>
      <c r="K267" s="171">
        <f t="shared" ca="1" si="82"/>
        <v>200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IFERROR(__xludf.DUMMYFUNCTION("IMPORTRANGE(""https://docs.google.com/spreadsheets/d/11923uPwbBZFjjGgGUA6NLw09EwE0CqkOc4q9oUmW1yo/edit?usp=sharing"",""นครสวรรค์!J183"")"),0)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IFERROR(__xludf.DUMMYFUNCTION("IMPORTRANGE(""https://docs.google.com/spreadsheets/d/11923uPwbBZFjjGgGUA6NLw09EwE0CqkOc4q9oUmW1yo/edit?usp=sharing"",""นครสวรรค์!J184"")"),0)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IFERROR(__xludf.DUMMYFUNCTION("IMPORTRANGE(""https://docs.google.com/spreadsheets/d/11923uPwbBZFjjGgGUA6NLw09EwE0CqkOc4q9oUmW1yo/edit?usp=sharing"",""นครสวรรค์!I185"")"),20)</f>
        <v>20</v>
      </c>
      <c r="J270" s="324">
        <f ca="1">IFERROR(__xludf.DUMMYFUNCTION("IMPORTRANGE(""https://docs.google.com/spreadsheets/d/11923uPwbBZFjjGgGUA6NLw09EwE0CqkOc4q9oUmW1yo/edit?usp=sharing"",""นครสวรรค์!J185"")"),20)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93000</v>
      </c>
      <c r="N271" s="158">
        <f t="shared" ca="1" si="83"/>
        <v>66699</v>
      </c>
      <c r="O271" s="157">
        <f t="shared" ref="O271:O273" ca="1" si="84">IF(L271&gt;0,N271*100/L271,0)</f>
        <v>36.328431372549019</v>
      </c>
      <c r="P271" s="157">
        <f t="shared" ref="P271:P273" ca="1" si="85">IF(M271&gt;0,N271*100/M271,0)</f>
        <v>71.719354838709677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93000</v>
      </c>
      <c r="N273" s="163">
        <f t="shared" ca="1" si="87"/>
        <v>66699</v>
      </c>
      <c r="O273" s="162">
        <f t="shared" ca="1" si="84"/>
        <v>36.328431372549019</v>
      </c>
      <c r="P273" s="162">
        <f t="shared" ca="1" si="85"/>
        <v>71.719354838709677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IFERROR(__xludf.DUMMYFUNCTION("IMPORTRANGE(""https://docs.google.com/spreadsheets/d/1Yj_ptqi66GCucihVvJfMjLAmec39IyEx_6qawtMGysU/edit?usp=sharing"",""สบก!CK24"")"),93000)</f>
        <v>93000</v>
      </c>
      <c r="N275" s="177">
        <f ca="1">IFERROR(__xludf.DUMMYFUNCTION("IMPORTRANGE(""https://docs.google.com/spreadsheets/d/1Yj_ptqi66GCucihVvJfMjLAmec39IyEx_6qawtMGysU/edit?usp=sharing"",""สบก!CL24"")"),66699)</f>
        <v>66699</v>
      </c>
      <c r="O275" s="178">
        <f ca="1">IF(L275&gt;0,N275*100/L275,0)</f>
        <v>36.328431372549019</v>
      </c>
      <c r="P275" s="178">
        <f ca="1">IF(M275&gt;0,N275*100/M275,0)</f>
        <v>71.719354838709677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IFERROR(__xludf.DUMMYFUNCTION("IMPORTRANGE(""https://docs.google.com/spreadsheets/d/1Yj_ptqi66GCucihVvJfMjLAmec39IyEx_6qawtMGysU/edit?usp=sharing"",""สบก!CG24"")"),0)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IFERROR(__xludf.DUMMYFUNCTION("IMPORTRANGE(""https://docs.google.com/spreadsheets/d/1Yj_ptqi66GCucihVvJfMjLAmec39IyEx_6qawtMGysU/edit?usp=sharing"",""สบก!CH24"")"),183600)</f>
        <v>183600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IFERROR(__xludf.DUMMYFUNCTION("IMPORTRANGE(""https://docs.google.com/spreadsheets/d/1Yj_ptqi66GCucihVvJfMjLAmec39IyEx_6qawtMGysU/edit?usp=sharing"",""สบก!CI24"")"),0)</f>
        <v>0</v>
      </c>
      <c r="M279" s="103"/>
      <c r="N279" s="93">
        <f ca="1">IFERROR(__xludf.DUMMYFUNCTION("IMPORTRANGE(""https://docs.google.com/spreadsheets/d/1Yj_ptqi66GCucihVvJfMjLAmec39IyEx_6qawtMGysU/edit?usp=sharing"",""สบก!CM24"")"),0)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IFERROR(__xludf.DUMMYFUNCTION("IMPORTRANGE(""https://docs.google.com/spreadsheets/d/11923uPwbBZFjjGgGUA6NLw09EwE0CqkOc4q9oUmW1yo/edit?usp=sharing"",""นครสวรรค์!J191"")"),0)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IFERROR(__xludf.DUMMYFUNCTION("IMPORTRANGE(""https://docs.google.com/spreadsheets/d/11923uPwbBZFjjGgGUA6NLw09EwE0CqkOc4q9oUmW1yo/edit?usp=sharing"",""นครสวรรค์!J192"")"),1)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IFERROR(__xludf.DUMMYFUNCTION("IMPORTRANGE(""https://docs.google.com/spreadsheets/d/11923uPwbBZFjjGgGUA6NLw09EwE0CqkOc4q9oUmW1yo/edit?usp=sharing"",""นครสวรรค์!J193"")"),1)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IFERROR(__xludf.DUMMYFUNCTION("IMPORTRANGE(""https://docs.google.com/spreadsheets/d/11923uPwbBZFjjGgGUA6NLw09EwE0CqkOc4q9oUmW1yo/edit?usp=sharing"",""นครสวรรค์!J194"")"),1)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IFERROR(__xludf.DUMMYFUNCTION("IMPORTRANGE(""https://docs.google.com/spreadsheets/d/11923uPwbBZFjjGgGUA6NLw09EwE0CqkOc4q9oUmW1yo/edit?usp=sharing"",""นครสวรรค์!I195"")"),20)</f>
        <v>20</v>
      </c>
      <c r="J285" s="198">
        <f ca="1">IFERROR(__xludf.DUMMYFUNCTION("IMPORTRANGE(""https://docs.google.com/spreadsheets/d/11923uPwbBZFjjGgGUA6NLw09EwE0CqkOc4q9oUmW1yo/edit?usp=sharing"",""นครสวรรค์!J195"")"),20)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IFERROR(__xludf.DUMMYFUNCTION("IMPORTRANGE(""https://docs.google.com/spreadsheets/d/11923uPwbBZFjjGgGUA6NLw09EwE0CqkOc4q9oUmW1yo/edit?usp=sharing"",""นครสวรรค์!J196"")"),0)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IFERROR(__xludf.DUMMYFUNCTION("IMPORTRANGE(""https://docs.google.com/spreadsheets/d/11923uPwbBZFjjGgGUA6NLw09EwE0CqkOc4q9oUmW1yo/edit?usp=sharing"",""นครสวรรค์!J197"")"),0)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IFERROR(__xludf.DUMMYFUNCTION("IMPORTRANGE(""https://docs.google.com/spreadsheets/d/11923uPwbBZFjjGgGUA6NLw09EwE0CqkOc4q9oUmW1yo/edit?usp=sharing"",""นครสวรรค์!I199"")"),0)</f>
        <v>0</v>
      </c>
      <c r="J289" s="324">
        <f ca="1">IFERROR(__xludf.DUMMYFUNCTION("IMPORTRANGE(""https://docs.google.com/spreadsheets/d/11923uPwbBZFjjGgGUA6NLw09EwE0CqkOc4q9oUmW1yo/edit?usp=sharing"",""นครสวรรค์!J199"")"),0)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IFERROR(__xludf.DUMMYFUNCTION("IMPORTRANGE(""https://docs.google.com/spreadsheets/d/1Yj_ptqi66GCucihVvJfMjLAmec39IyEx_6qawtMGysU/edit?usp=sharing"",""สบก!CT24"")"),0)</f>
        <v>0</v>
      </c>
      <c r="N294" s="177">
        <f ca="1">IFERROR(__xludf.DUMMYFUNCTION("IMPORTRANGE(""https://docs.google.com/spreadsheets/d/1Yj_ptqi66GCucihVvJfMjLAmec39IyEx_6qawtMGysU/edit?usp=sharing"",""สบก!CU24"")"),0)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IFERROR(__xludf.DUMMYFUNCTION("IMPORTRANGE(""https://docs.google.com/spreadsheets/d/1Yj_ptqi66GCucihVvJfMjLAmec39IyEx_6qawtMGysU/edit?usp=sharing"",""สบก!CP24"")"),0)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IFERROR(__xludf.DUMMYFUNCTION("IMPORTRANGE(""https://docs.google.com/spreadsheets/d/1Yj_ptqi66GCucihVvJfMjLAmec39IyEx_6qawtMGysU/edit?usp=sharing"",""สบก!CQ24"")"),0)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IFERROR(__xludf.DUMMYFUNCTION("IMPORTRANGE(""https://docs.google.com/spreadsheets/d/1Yj_ptqi66GCucihVvJfMjLAmec39IyEx_6qawtMGysU/edit?usp=sharing"",""สบก!CR24"")"),0)</f>
        <v>0</v>
      </c>
      <c r="M298" s="103"/>
      <c r="N298" s="93">
        <f ca="1">IFERROR(__xludf.DUMMYFUNCTION("IMPORTRANGE(""https://docs.google.com/spreadsheets/d/1Yj_ptqi66GCucihVvJfMjLAmec39IyEx_6qawtMGysU/edit?usp=sharing"",""สบก!CV24"")"),0)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IFERROR(__xludf.DUMMYFUNCTION("IMPORTRANGE(""https://docs.google.com/spreadsheets/d/11923uPwbBZFjjGgGUA6NLw09EwE0CqkOc4q9oUmW1yo/edit?usp=sharing"",""นครสวรรค์!J205"")"),0)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IFERROR(__xludf.DUMMYFUNCTION("IMPORTRANGE(""https://docs.google.com/spreadsheets/d/11923uPwbBZFjjGgGUA6NLw09EwE0CqkOc4q9oUmW1yo/edit?usp=sharing"",""นครสวรรค์!J206"")"),0)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IFERROR(__xludf.DUMMYFUNCTION("IMPORTRANGE(""https://docs.google.com/spreadsheets/d/11923uPwbBZFjjGgGUA6NLw09EwE0CqkOc4q9oUmW1yo/edit?usp=sharing"",""นครสวรรค์!J207"")"),0)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IFERROR(__xludf.DUMMYFUNCTION("IMPORTRANGE(""https://docs.google.com/spreadsheets/d/11923uPwbBZFjjGgGUA6NLw09EwE0CqkOc4q9oUmW1yo/edit?usp=sharing"",""นครสวรรค์!J208"")"),0)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IFERROR(__xludf.DUMMYFUNCTION("IMPORTRANGE(""https://docs.google.com/spreadsheets/d/11923uPwbBZFjjGgGUA6NLw09EwE0CqkOc4q9oUmW1yo/edit?usp=sharing"",""นครสวรรค์!I209"")"),0)</f>
        <v>0</v>
      </c>
      <c r="J304" s="213">
        <f ca="1">IFERROR(__xludf.DUMMYFUNCTION("IMPORTRANGE(""https://docs.google.com/spreadsheets/d/11923uPwbBZFjjGgGUA6NLw09EwE0CqkOc4q9oUmW1yo/edit?usp=sharing"",""นครสวรรค์!J209"")"),0)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IFERROR(__xludf.DUMMYFUNCTION("IMPORTRANGE(""https://docs.google.com/spreadsheets/d/11923uPwbBZFjjGgGUA6NLw09EwE0CqkOc4q9oUmW1yo/edit?usp=sharing"",""นครสวรรค์!I211"")"),0)</f>
        <v>0</v>
      </c>
      <c r="J306" s="213">
        <f ca="1">IFERROR(__xludf.DUMMYFUNCTION("IMPORTRANGE(""https://docs.google.com/spreadsheets/d/11923uPwbBZFjjGgGUA6NLw09EwE0CqkOc4q9oUmW1yo/edit?usp=sharing"",""นครสวรรค์!J211"")"),0)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IFERROR(__xludf.DUMMYFUNCTION("IMPORTRANGE(""https://docs.google.com/spreadsheets/d/11923uPwbBZFjjGgGUA6NLw09EwE0CqkOc4q9oUmW1yo/edit?usp=sharing"",""นครสวรรค์!J212"")"),0)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IFERROR(__xludf.DUMMYFUNCTION("IMPORTRANGE(""https://docs.google.com/spreadsheets/d/11923uPwbBZFjjGgGUA6NLw09EwE0CqkOc4q9oUmW1yo/edit?usp=sharing"",""นครสวรรค์!J213"")"),0)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IFERROR(__xludf.DUMMYFUNCTION("IMPORTRANGE(""https://docs.google.com/spreadsheets/d/11923uPwbBZFjjGgGUA6NLw09EwE0CqkOc4q9oUmW1yo/edit?usp=sharing"",""นครสวรรค์!I214"")"),0)</f>
        <v>0</v>
      </c>
      <c r="J309" s="341">
        <f ca="1">IFERROR(__xludf.DUMMYFUNCTION("IMPORTRANGE(""https://docs.google.com/spreadsheets/d/11923uPwbBZFjjGgGUA6NLw09EwE0CqkOc4q9oUmW1yo/edit?usp=sharing"",""นครสวรรค์!J214"")"),0)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IFERROR(__xludf.DUMMYFUNCTION("IMPORTRANGE(""https://docs.google.com/spreadsheets/d/1Yj_ptqi66GCucihVvJfMjLAmec39IyEx_6qawtMGysU/edit?usp=sharing"",""สบก!DC24"")"),0)</f>
        <v>0</v>
      </c>
      <c r="N314" s="177">
        <f ca="1">IFERROR(__xludf.DUMMYFUNCTION("IMPORTRANGE(""https://docs.google.com/spreadsheets/d/1Yj_ptqi66GCucihVvJfMjLAmec39IyEx_6qawtMGysU/edit?usp=sharing"",""สบก!DD24"")"),0)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IFERROR(__xludf.DUMMYFUNCTION("IMPORTRANGE(""https://docs.google.com/spreadsheets/d/1Yj_ptqi66GCucihVvJfMjLAmec39IyEx_6qawtMGysU/edit?usp=sharing"",""สบก!CY24"")"),0)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IFERROR(__xludf.DUMMYFUNCTION("IMPORTRANGE(""https://docs.google.com/spreadsheets/d/1Yj_ptqi66GCucihVvJfMjLAmec39IyEx_6qawtMGysU/edit?usp=sharing"",""สบก!CZ24"")"),0)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IFERROR(__xludf.DUMMYFUNCTION("IMPORTRANGE(""https://docs.google.com/spreadsheets/d/1Yj_ptqi66GCucihVvJfMjLAmec39IyEx_6qawtMGysU/edit?usp=sharing"",""สบก!DA24"")"),0)</f>
        <v>0</v>
      </c>
      <c r="M318" s="103"/>
      <c r="N318" s="93">
        <f ca="1">IFERROR(__xludf.DUMMYFUNCTION("IMPORTRANGE(""https://docs.google.com/spreadsheets/d/1Yj_ptqi66GCucihVvJfMjLAmec39IyEx_6qawtMGysU/edit?usp=sharing"",""สบก!DE24"")"),0)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IFERROR(__xludf.DUMMYFUNCTION("IMPORTRANGE(""https://docs.google.com/spreadsheets/d/11923uPwbBZFjjGgGUA6NLw09EwE0CqkOc4q9oUmW1yo/edit?usp=sharing"",""นครสวรรค์!J220"")"),0)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IFERROR(__xludf.DUMMYFUNCTION("IMPORTRANGE(""https://docs.google.com/spreadsheets/d/11923uPwbBZFjjGgGUA6NLw09EwE0CqkOc4q9oUmW1yo/edit?usp=sharing"",""นครสวรรค์!J221"")"),0)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IFERROR(__xludf.DUMMYFUNCTION("IMPORTRANGE(""https://docs.google.com/spreadsheets/d/11923uPwbBZFjjGgGUA6NLw09EwE0CqkOc4q9oUmW1yo/edit?usp=sharing"",""นครสวรรค์!J222"")"),0)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IFERROR(__xludf.DUMMYFUNCTION("IMPORTRANGE(""https://docs.google.com/spreadsheets/d/11923uPwbBZFjjGgGUA6NLw09EwE0CqkOc4q9oUmW1yo/edit?usp=sharing"",""นครสวรรค์!J223"")"),0)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IFERROR(__xludf.DUMMYFUNCTION("IMPORTRANGE(""https://docs.google.com/spreadsheets/d/11923uPwbBZFjjGgGUA6NLw09EwE0CqkOc4q9oUmW1yo/edit?usp=sharing"",""นครสวรรค์!I224"")"),0)</f>
        <v>0</v>
      </c>
      <c r="J324" s="213">
        <f ca="1">IFERROR(__xludf.DUMMYFUNCTION("IMPORTRANGE(""https://docs.google.com/spreadsheets/d/11923uPwbBZFjjGgGUA6NLw09EwE0CqkOc4q9oUmW1yo/edit?usp=sharing"",""นครสวรรค์!J224"")"),0)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IFERROR(__xludf.DUMMYFUNCTION("IMPORTRANGE(""https://docs.google.com/spreadsheets/d/11923uPwbBZFjjGgGUA6NLw09EwE0CqkOc4q9oUmW1yo/edit?usp=sharing"",""นครสวรรค์!J225"")"),0)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IFERROR(__xludf.DUMMYFUNCTION("IMPORTRANGE(""https://docs.google.com/spreadsheets/d/11923uPwbBZFjjGgGUA6NLw09EwE0CqkOc4q9oUmW1yo/edit?usp=sharing"",""นครสวรรค์!J226"")"),0)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IFERROR(__xludf.DUMMYFUNCTION("IMPORTRANGE(""https://docs.google.com/spreadsheets/d/11923uPwbBZFjjGgGUA6NLw09EwE0CqkOc4q9oUmW1yo/edit?usp=sharing"",""นครสวรรค์!I228"")"),430)</f>
        <v>430</v>
      </c>
      <c r="J328" s="347">
        <f ca="1">IFERROR(__xludf.DUMMYFUNCTION("IMPORTRANGE(""https://docs.google.com/spreadsheets/d/11923uPwbBZFjjGgGUA6NLw09EwE0CqkOc4q9oUmW1yo/edit?usp=sharing"",""นครสวรรค์!J228"")"),25)</f>
        <v>25</v>
      </c>
      <c r="K328" s="325">
        <f ca="1">IF(I328&gt;0,J328*100/I328,0)</f>
        <v>5.8139534883720927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1266950</v>
      </c>
      <c r="M329" s="158">
        <f t="shared" ca="1" si="98"/>
        <v>627380</v>
      </c>
      <c r="N329" s="158">
        <f t="shared" ca="1" si="98"/>
        <v>357576</v>
      </c>
      <c r="O329" s="157">
        <f t="shared" ref="O329:O331" ca="1" si="99">IF(L329&gt;0,N329*100/L329,0)</f>
        <v>28.223371088046093</v>
      </c>
      <c r="P329" s="157">
        <f t="shared" ref="P329:P331" ca="1" si="100">IF(M329&gt;0,N329*100/M329,0)</f>
        <v>56.995122573241098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1266950</v>
      </c>
      <c r="M331" s="163">
        <f t="shared" ca="1" si="102"/>
        <v>627380</v>
      </c>
      <c r="N331" s="163">
        <f t="shared" ca="1" si="102"/>
        <v>357576</v>
      </c>
      <c r="O331" s="162">
        <f t="shared" ca="1" si="99"/>
        <v>28.223371088046093</v>
      </c>
      <c r="P331" s="162">
        <f t="shared" ca="1" si="100"/>
        <v>56.995122573241098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1119950</v>
      </c>
      <c r="M333" s="176">
        <f ca="1">IFERROR(__xludf.DUMMYFUNCTION("IMPORTRANGE(""https://docs.google.com/spreadsheets/d/1Yj_ptqi66GCucihVvJfMjLAmec39IyEx_6qawtMGysU/edit?usp=sharing"",""สบก!DL24"")"),627380)</f>
        <v>627380</v>
      </c>
      <c r="N333" s="177">
        <f ca="1">IFERROR(__xludf.DUMMYFUNCTION("IMPORTRANGE(""https://docs.google.com/spreadsheets/d/1Yj_ptqi66GCucihVvJfMjLAmec39IyEx_6qawtMGysU/edit?usp=sharing"",""สบก!DM24"")"),252576)</f>
        <v>252576</v>
      </c>
      <c r="O333" s="178">
        <f ca="1">IF(L333&gt;0,N333*100/L333,0)</f>
        <v>22.552435376579311</v>
      </c>
      <c r="P333" s="178">
        <f ca="1">IF(M333&gt;0,N333*100/M333,0)</f>
        <v>40.258854282890752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IFERROR(__xludf.DUMMYFUNCTION("IMPORTRANGE(""https://docs.google.com/spreadsheets/d/1Yj_ptqi66GCucihVvJfMjLAmec39IyEx_6qawtMGysU/edit?usp=sharing"",""สบก!DH24"")"),529200)</f>
        <v>529200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IFERROR(__xludf.DUMMYFUNCTION("IMPORTRANGE(""https://docs.google.com/spreadsheets/d/1Yj_ptqi66GCucihVvJfMjLAmec39IyEx_6qawtMGysU/edit?usp=sharing"",""สบก!DI24"")"),590750)</f>
        <v>590750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IFERROR(__xludf.DUMMYFUNCTION("IMPORTRANGE(""https://docs.google.com/spreadsheets/d/1Yj_ptqi66GCucihVvJfMjLAmec39IyEx_6qawtMGysU/edit?usp=sharing"",""สบก!DJ24"")"),147000)</f>
        <v>147000</v>
      </c>
      <c r="M337" s="103"/>
      <c r="N337" s="93">
        <f ca="1">IFERROR(__xludf.DUMMYFUNCTION("IMPORTRANGE(""https://docs.google.com/spreadsheets/d/1Yj_ptqi66GCucihVvJfMjLAmec39IyEx_6qawtMGysU/edit?usp=sharing"",""สบก!DN24"")"),105000)</f>
        <v>105000</v>
      </c>
      <c r="O337" s="103">
        <f ca="1">IF(L337&gt;0,N337*100/L337,0)</f>
        <v>71.428571428571431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IFERROR(__xludf.DUMMYFUNCTION("IMPORTRANGE(""https://docs.google.com/spreadsheets/d/11923uPwbBZFjjGgGUA6NLw09EwE0CqkOc4q9oUmW1yo/edit?usp=sharing"",""นครสวรรค์!I234"")"),0)</f>
        <v>0</v>
      </c>
      <c r="J339" s="197">
        <f ca="1">IFERROR(__xludf.DUMMYFUNCTION("IMPORTRANGE(""https://docs.google.com/spreadsheets/d/11923uPwbBZFjjGgGUA6NLw09EwE0CqkOc4q9oUmW1yo/edit?usp=sharing"",""นครสวรรค์!J234"")"),162)</f>
        <v>162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IFERROR(__xludf.DUMMYFUNCTION("IMPORTRANGE(""https://docs.google.com/spreadsheets/d/11923uPwbBZFjjGgGUA6NLw09EwE0CqkOc4q9oUmW1yo/edit?usp=sharing"",""นครสวรรค์!I235"")"),4200)</f>
        <v>4200</v>
      </c>
      <c r="J340" s="197">
        <f ca="1">IFERROR(__xludf.DUMMYFUNCTION("IMPORTRANGE(""https://docs.google.com/spreadsheets/d/11923uPwbBZFjjGgGUA6NLw09EwE0CqkOc4q9oUmW1yo/edit?usp=sharing"",""นครสวรรค์!J235"")"),1492.99)</f>
        <v>1492.99</v>
      </c>
      <c r="K340" s="350">
        <f t="shared" ca="1" si="103"/>
        <v>35.547380952380955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IFERROR(__xludf.DUMMYFUNCTION("IMPORTRANGE(""https://docs.google.com/spreadsheets/d/11923uPwbBZFjjGgGUA6NLw09EwE0CqkOc4q9oUmW1yo/edit?usp=sharing"",""นครสวรรค์!I236"")"),430)</f>
        <v>430</v>
      </c>
      <c r="J341" s="197">
        <f ca="1">IFERROR(__xludf.DUMMYFUNCTION("IMPORTRANGE(""https://docs.google.com/spreadsheets/d/11923uPwbBZFjjGgGUA6NLw09EwE0CqkOc4q9oUmW1yo/edit?usp=sharing"",""นครสวรรค์!J236"")"),38)</f>
        <v>38</v>
      </c>
      <c r="K341" s="350">
        <f t="shared" ca="1" si="103"/>
        <v>8.8372093023255811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IFERROR(__xludf.DUMMYFUNCTION("IMPORTRANGE(""https://docs.google.com/spreadsheets/d/11923uPwbBZFjjGgGUA6NLw09EwE0CqkOc4q9oUmW1yo/edit?usp=sharing"",""นครสวรรค์!I237"")"),0)</f>
        <v>0</v>
      </c>
      <c r="J342" s="197">
        <f ca="1">IFERROR(__xludf.DUMMYFUNCTION("IMPORTRANGE(""https://docs.google.com/spreadsheets/d/11923uPwbBZFjjGgGUA6NLw09EwE0CqkOc4q9oUmW1yo/edit?usp=sharing"",""นครสวรรค์!J237"")"),677.03)</f>
        <v>677.03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IFERROR(__xludf.DUMMYFUNCTION("IMPORTRANGE(""https://docs.google.com/spreadsheets/d/11923uPwbBZFjjGgGUA6NLw09EwE0CqkOc4q9oUmW1yo/edit?usp=sharing"",""นครสวรรค์!I238"")"),430)</f>
        <v>430</v>
      </c>
      <c r="J343" s="197">
        <f ca="1">IFERROR(__xludf.DUMMYFUNCTION("IMPORTRANGE(""https://docs.google.com/spreadsheets/d/11923uPwbBZFjjGgGUA6NLw09EwE0CqkOc4q9oUmW1yo/edit?usp=sharing"",""นครสวรรค์!J238"")"),0)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IFERROR(__xludf.DUMMYFUNCTION("IMPORTRANGE(""https://docs.google.com/spreadsheets/d/11923uPwbBZFjjGgGUA6NLw09EwE0CqkOc4q9oUmW1yo/edit?usp=sharing"",""นครสวรรค์!I239"")"),0)</f>
        <v>0</v>
      </c>
      <c r="J344" s="197">
        <f ca="1">IFERROR(__xludf.DUMMYFUNCTION("IMPORTRANGE(""https://docs.google.com/spreadsheets/d/11923uPwbBZFjjGgGUA6NLw09EwE0CqkOc4q9oUmW1yo/edit?usp=sharing"",""นครสวรรค์!J239"")"),0)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IFERROR(__xludf.DUMMYFUNCTION("IMPORTRANGE(""https://docs.google.com/spreadsheets/d/11923uPwbBZFjjGgGUA6NLw09EwE0CqkOc4q9oUmW1yo/edit?usp=sharing"",""นครสวรรค์!I240"")"),430)</f>
        <v>430</v>
      </c>
      <c r="J345" s="197">
        <f ca="1">IFERROR(__xludf.DUMMYFUNCTION("IMPORTRANGE(""https://docs.google.com/spreadsheets/d/11923uPwbBZFjjGgGUA6NLw09EwE0CqkOc4q9oUmW1yo/edit?usp=sharing"",""นครสวรรค์!J240"")"),25)</f>
        <v>25</v>
      </c>
      <c r="K345" s="350">
        <f t="shared" ca="1" si="103"/>
        <v>5.8139534883720927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IFERROR(__xludf.DUMMYFUNCTION("IMPORTRANGE(""https://docs.google.com/spreadsheets/d/11923uPwbBZFjjGgGUA6NLw09EwE0CqkOc4q9oUmW1yo/edit?usp=sharing"",""นครสวรรค์!I241"")"),0)</f>
        <v>0</v>
      </c>
      <c r="J346" s="197">
        <f ca="1">IFERROR(__xludf.DUMMYFUNCTION("IMPORTRANGE(""https://docs.google.com/spreadsheets/d/11923uPwbBZFjjGgGUA6NLw09EwE0CqkOc4q9oUmW1yo/edit?usp=sharing"",""นครสวรรค์!J241"")"),485.88)</f>
        <v>485.88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IFERROR(__xludf.DUMMYFUNCTION("IMPORTRANGE(""https://docs.google.com/spreadsheets/d/11923uPwbBZFjjGgGUA6NLw09EwE0CqkOc4q9oUmW1yo/edit?usp=sharing"",""นครสวรรค์!L242"")"),2075413)</f>
        <v>2075413</v>
      </c>
      <c r="M347" s="366"/>
      <c r="N347" s="366">
        <f ca="1">IFERROR(__xludf.DUMMYFUNCTION("IMPORTRANGE(""https://docs.google.com/spreadsheets/d/11923uPwbBZFjjGgGUA6NLw09EwE0CqkOc4q9oUmW1yo/edit?usp=sharing"",""นครสวรรค์!M242"")"),380707)</f>
        <v>380707</v>
      </c>
      <c r="O347" s="366">
        <f ca="1">+IF(L347&gt;0,N347*100/L347,0)</f>
        <v>18.343674247005296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IFERROR(__xludf.DUMMYFUNCTION("IMPORTRANGE(""https://docs.google.com/spreadsheets/d/11923uPwbBZFjjGgGUA6NLw09EwE0CqkOc4q9oUmW1yo/edit?usp=sharing"",""นครสวรรค์!I244"")"),110)</f>
        <v>110</v>
      </c>
      <c r="J349" s="379">
        <f ca="1">IFERROR(__xludf.DUMMYFUNCTION("IMPORTRANGE(""https://docs.google.com/spreadsheets/d/11923uPwbBZFjjGgGUA6NLw09EwE0CqkOc4q9oUmW1yo/edit?usp=sharing"",""นครสวรรค์!J244"")"),40)</f>
        <v>40</v>
      </c>
      <c r="K349" s="380">
        <f t="shared" ref="K349:K350" ca="1" si="104">IF(I349&gt;0,J349*100/I349,0)</f>
        <v>36.363636363636367</v>
      </c>
      <c r="L349" s="381">
        <f ca="1">IFERROR(__xludf.DUMMYFUNCTION("IMPORTRANGE(""https://docs.google.com/spreadsheets/d/11923uPwbBZFjjGgGUA6NLw09EwE0CqkOc4q9oUmW1yo/edit?usp=sharing"",""นครสวรรค์!L244"")"),354030)</f>
        <v>354030</v>
      </c>
      <c r="M349" s="381"/>
      <c r="N349" s="381">
        <f ca="1">IFERROR(__xludf.DUMMYFUNCTION("IMPORTRANGE(""https://docs.google.com/spreadsheets/d/11923uPwbBZFjjGgGUA6NLw09EwE0CqkOc4q9oUmW1yo/edit?usp=sharing"",""นครสวรรค์!M244"")"),124900)</f>
        <v>124900</v>
      </c>
      <c r="O349" s="381">
        <f ca="1">+IF(L349&gt;0,N349*100/L349,0)</f>
        <v>35.279496087902153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IFERROR(__xludf.DUMMYFUNCTION("IMPORTRANGE(""https://docs.google.com/spreadsheets/d/11923uPwbBZFjjGgGUA6NLw09EwE0CqkOc4q9oUmW1yo/edit?usp=sharing"",""นครสวรรค์!I245"")"),55)</f>
        <v>55</v>
      </c>
      <c r="J350" s="379">
        <f ca="1">IFERROR(__xludf.DUMMYFUNCTION("IMPORTRANGE(""https://docs.google.com/spreadsheets/d/11923uPwbBZFjjGgGUA6NLw09EwE0CqkOc4q9oUmW1yo/edit?usp=sharing"",""นครสวรรค์!J245"")"),55)</f>
        <v>55</v>
      </c>
      <c r="K350" s="380">
        <f t="shared" ca="1" si="104"/>
        <v>100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IFERROR(__xludf.DUMMYFUNCTION("IMPORTRANGE(""https://docs.google.com/spreadsheets/d/11923uPwbBZFjjGgGUA6NLw09EwE0CqkOc4q9oUmW1yo/edit?usp=sharing"",""นครสวรรค์!L246"")"),0)</f>
        <v>0</v>
      </c>
      <c r="M351" s="172"/>
      <c r="N351" s="172">
        <f ca="1">IFERROR(__xludf.DUMMYFUNCTION("IMPORTRANGE(""https://docs.google.com/spreadsheets/d/11923uPwbBZFjjGgGUA6NLw09EwE0CqkOc4q9oUmW1yo/edit?usp=sharing"",""นครสวรรค์!M246"")"),0)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IFERROR(__xludf.DUMMYFUNCTION("IMPORTRANGE(""https://docs.google.com/spreadsheets/d/11923uPwbBZFjjGgGUA6NLw09EwE0CqkOc4q9oUmW1yo/edit?usp=sharing"",""นครสวรรค์!L247"")"),354030)</f>
        <v>354030</v>
      </c>
      <c r="M352" s="173"/>
      <c r="N352" s="172">
        <f ca="1">IFERROR(__xludf.DUMMYFUNCTION("IMPORTRANGE(""https://docs.google.com/spreadsheets/d/11923uPwbBZFjjGgGUA6NLw09EwE0CqkOc4q9oUmW1yo/edit?usp=sharing"",""นครสวรรค์!M247"")"),124900)</f>
        <v>124900</v>
      </c>
      <c r="O352" s="173">
        <f t="shared" ca="1" si="105"/>
        <v>35.279496087902153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IFERROR(__xludf.DUMMYFUNCTION("IMPORTRANGE(""https://docs.google.com/spreadsheets/d/11923uPwbBZFjjGgGUA6NLw09EwE0CqkOc4q9oUmW1yo/edit?usp=sharing"",""นครสวรรค์!L248"")"),0)</f>
        <v>0</v>
      </c>
      <c r="M353" s="178"/>
      <c r="N353" s="178">
        <f ca="1">IFERROR(__xludf.DUMMYFUNCTION("IMPORTRANGE(""https://docs.google.com/spreadsheets/d/11923uPwbBZFjjGgGUA6NLw09EwE0CqkOc4q9oUmW1yo/edit?usp=sharing"",""นครสวรรค์!M248"")"),0)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IFERROR(__xludf.DUMMYFUNCTION("IMPORTRANGE(""https://docs.google.com/spreadsheets/d/11923uPwbBZFjjGgGUA6NLw09EwE0CqkOc4q9oUmW1yo/edit?usp=sharing"",""นครสวรรค์!L249"")"),354030)</f>
        <v>354030</v>
      </c>
      <c r="M354" s="178"/>
      <c r="N354" s="175">
        <f ca="1">IFERROR(__xludf.DUMMYFUNCTION("IMPORTRANGE(""https://docs.google.com/spreadsheets/d/11923uPwbBZFjjGgGUA6NLw09EwE0CqkOc4q9oUmW1yo/edit?usp=sharing"",""นครสวรรค์!M249"")"),124900)</f>
        <v>124900</v>
      </c>
      <c r="O354" s="178">
        <f t="shared" ca="1" si="105"/>
        <v>35.279496087902153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IFERROR(__xludf.DUMMYFUNCTION("IMPORTRANGE(""https://docs.google.com/spreadsheets/d/11923uPwbBZFjjGgGUA6NLw09EwE0CqkOc4q9oUmW1yo/edit?usp=sharing"",""นครสวรรค์!M250"")"),67500)</f>
        <v>67500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IFERROR(__xludf.DUMMYFUNCTION("IMPORTRANGE(""https://docs.google.com/spreadsheets/d/11923uPwbBZFjjGgGUA6NLw09EwE0CqkOc4q9oUmW1yo/edit?usp=sharing"",""นครสวรรค์!M251"")"),30000)</f>
        <v>30000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IFERROR(__xludf.DUMMYFUNCTION("IMPORTRANGE(""https://docs.google.com/spreadsheets/d/11923uPwbBZFjjGgGUA6NLw09EwE0CqkOc4q9oUmW1yo/edit?usp=sharing"",""นครสวรรค์!M252"")"),22000)</f>
        <v>22000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IFERROR(__xludf.DUMMYFUNCTION("IMPORTRANGE(""https://docs.google.com/spreadsheets/d/11923uPwbBZFjjGgGUA6NLw09EwE0CqkOc4q9oUmW1yo/edit?usp=sharing"",""นครสวรรค์!M253"")"),5400)</f>
        <v>5400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IFERROR(__xludf.DUMMYFUNCTION("IMPORTRANGE(""https://docs.google.com/spreadsheets/d/11923uPwbBZFjjGgGUA6NLw09EwE0CqkOc4q9oUmW1yo/edit?usp=sharing"",""นครสวรรค์!J255"")"),0)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IFERROR(__xludf.DUMMYFUNCTION("IMPORTRANGE(""https://docs.google.com/spreadsheets/d/11923uPwbBZFjjGgGUA6NLw09EwE0CqkOc4q9oUmW1yo/edit?usp=sharing"",""นครสวรรค์!J256"")"),1)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IFERROR(__xludf.DUMMYFUNCTION("IMPORTRANGE(""https://docs.google.com/spreadsheets/d/11923uPwbBZFjjGgGUA6NLw09EwE0CqkOc4q9oUmW1yo/edit?usp=sharing"",""นครสวรรค์!J257"")"),1)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IFERROR(__xludf.DUMMYFUNCTION("IMPORTRANGE(""https://docs.google.com/spreadsheets/d/11923uPwbBZFjjGgGUA6NLw09EwE0CqkOc4q9oUmW1yo/edit?usp=sharing"",""นครสวรรค์!J258"")"),1)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IFERROR(__xludf.DUMMYFUNCTION("IMPORTRANGE(""https://docs.google.com/spreadsheets/d/11923uPwbBZFjjGgGUA6NLw09EwE0CqkOc4q9oUmW1yo/edit?usp=sharing"",""นครสวรรค์!J166"")"),0)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IFERROR(__xludf.DUMMYFUNCTION("IMPORTRANGE(""https://docs.google.com/spreadsheets/d/11923uPwbBZFjjGgGUA6NLw09EwE0CqkOc4q9oUmW1yo/edit?usp=sharing"",""นครสวรรค์!J166"")"),0)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IFERROR(__xludf.DUMMYFUNCTION("IMPORTRANGE(""https://docs.google.com/spreadsheets/d/11923uPwbBZFjjGgGUA6NLw09EwE0CqkOc4q9oUmW1yo/edit?usp=sharing"",""นครสวรรค์!J166"")"),0)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IFERROR(__xludf.DUMMYFUNCTION("IMPORTRANGE(""https://docs.google.com/spreadsheets/d/11923uPwbBZFjjGgGUA6NLw09EwE0CqkOc4q9oUmW1yo/edit?usp=sharing"",""นครสวรรค์!J166"")"),0)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IFERROR(__xludf.DUMMYFUNCTION("IMPORTRANGE(""https://docs.google.com/spreadsheets/d/11923uPwbBZFjjGgGUA6NLw09EwE0CqkOc4q9oUmW1yo/edit?usp=sharing"",""นครสวรรค์!I263"")"),55)</f>
        <v>55</v>
      </c>
      <c r="J368" s="197">
        <f ca="1">IFERROR(__xludf.DUMMYFUNCTION("IMPORTRANGE(""https://docs.google.com/spreadsheets/d/11923uPwbBZFjjGgGUA6NLw09EwE0CqkOc4q9oUmW1yo/edit?usp=sharing"",""นครสวรรค์!J263"")"),55)</f>
        <v>55</v>
      </c>
      <c r="K368" s="171">
        <f t="shared" ca="1" si="106"/>
        <v>100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IFERROR(__xludf.DUMMYFUNCTION("IMPORTRANGE(""https://docs.google.com/spreadsheets/d/11923uPwbBZFjjGgGUA6NLw09EwE0CqkOc4q9oUmW1yo/edit?usp=sharing"",""นครสวรรค์!I164"")"),0)</f>
        <v>0</v>
      </c>
      <c r="J369" s="213">
        <f ca="1">IFERROR(__xludf.DUMMYFUNCTION("IMPORTRANGE(""https://docs.google.com/spreadsheets/d/11923uPwbBZFjjGgGUA6NLw09EwE0CqkOc4q9oUmW1yo/edit?usp=sharing"",""นครสวรรค์!J164"")"),0)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IFERROR(__xludf.DUMMYFUNCTION("IMPORTRANGE(""https://docs.google.com/spreadsheets/d/11923uPwbBZFjjGgGUA6NLw09EwE0CqkOc4q9oUmW1yo/edit?usp=sharing"",""นครสวรรค์!I265"")"),55)</f>
        <v>55</v>
      </c>
      <c r="J370" s="213">
        <f ca="1">IFERROR(__xludf.DUMMYFUNCTION("IMPORTRANGE(""https://docs.google.com/spreadsheets/d/11923uPwbBZFjjGgGUA6NLw09EwE0CqkOc4q9oUmW1yo/edit?usp=sharing"",""นครสวรรค์!J265"")"),55)</f>
        <v>55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IFERROR(__xludf.DUMMYFUNCTION("IMPORTRANGE(""https://docs.google.com/spreadsheets/d/11923uPwbBZFjjGgGUA6NLw09EwE0CqkOc4q9oUmW1yo/edit?usp=sharing"",""นครสวรรค์!I164"")"),0)</f>
        <v>0</v>
      </c>
      <c r="J371" s="198">
        <f ca="1">IFERROR(__xludf.DUMMYFUNCTION("IMPORTRANGE(""https://docs.google.com/spreadsheets/d/11923uPwbBZFjjGgGUA6NLw09EwE0CqkOc4q9oUmW1yo/edit?usp=sharing"",""นครสวรรค์!J164"")"),0)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IFERROR(__xludf.DUMMYFUNCTION("IMPORTRANGE(""https://docs.google.com/spreadsheets/d/11923uPwbBZFjjGgGUA6NLw09EwE0CqkOc4q9oUmW1yo/edit?usp=sharing"",""นครสวรรค์!I267"")"),55)</f>
        <v>55</v>
      </c>
      <c r="J372" s="198">
        <f ca="1">IFERROR(__xludf.DUMMYFUNCTION("IMPORTRANGE(""https://docs.google.com/spreadsheets/d/11923uPwbBZFjjGgGUA6NLw09EwE0CqkOc4q9oUmW1yo/edit?usp=sharing"",""นครสวรรค์!J267"")"),55)</f>
        <v>55</v>
      </c>
      <c r="K372" s="171">
        <f t="shared" ca="1" si="106"/>
        <v>100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IFERROR(__xludf.DUMMYFUNCTION("IMPORTRANGE(""https://docs.google.com/spreadsheets/d/11923uPwbBZFjjGgGUA6NLw09EwE0CqkOc4q9oUmW1yo/edit?usp=sharing"",""นครสวรรค์!I164"")"),0)</f>
        <v>0</v>
      </c>
      <c r="J373" s="213">
        <f ca="1">IFERROR(__xludf.DUMMYFUNCTION("IMPORTRANGE(""https://docs.google.com/spreadsheets/d/11923uPwbBZFjjGgGUA6NLw09EwE0CqkOc4q9oUmW1yo/edit?usp=sharing"",""นครสวรรค์!J164"")"),0)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IFERROR(__xludf.DUMMYFUNCTION("IMPORTRANGE(""https://docs.google.com/spreadsheets/d/11923uPwbBZFjjGgGUA6NLw09EwE0CqkOc4q9oUmW1yo/edit?usp=sharing"",""นครสวรรค์!I164"")"),0)</f>
        <v>0</v>
      </c>
      <c r="J374" s="197">
        <f ca="1">IFERROR(__xludf.DUMMYFUNCTION("IMPORTRANGE(""https://docs.google.com/spreadsheets/d/11923uPwbBZFjjGgGUA6NLw09EwE0CqkOc4q9oUmW1yo/edit?usp=sharing"",""นครสวรรค์!J164"")"),0)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IFERROR(__xludf.DUMMYFUNCTION("IMPORTRANGE(""https://docs.google.com/spreadsheets/d/11923uPwbBZFjjGgGUA6NLw09EwE0CqkOc4q9oUmW1yo/edit?usp=sharing"",""นครสวรรค์!I270"")"),110)</f>
        <v>110</v>
      </c>
      <c r="J375" s="197">
        <f ca="1">IFERROR(__xludf.DUMMYFUNCTION("IMPORTRANGE(""https://docs.google.com/spreadsheets/d/11923uPwbBZFjjGgGUA6NLw09EwE0CqkOc4q9oUmW1yo/edit?usp=sharing"",""นครสวรรค์!J270"")"),40)</f>
        <v>40</v>
      </c>
      <c r="K375" s="171">
        <f t="shared" ref="K375:K377" ca="1" si="107">IF(I375&gt;0,J375*100/I375,0)</f>
        <v>36.363636363636367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IFERROR(__xludf.DUMMYFUNCTION("IMPORTRANGE(""https://docs.google.com/spreadsheets/d/11923uPwbBZFjjGgGUA6NLw09EwE0CqkOc4q9oUmW1yo/edit?usp=sharing"",""นครสวรรค์!I271"")"),40)</f>
        <v>40</v>
      </c>
      <c r="J376" s="198">
        <f ca="1">IFERROR(__xludf.DUMMYFUNCTION("IMPORTRANGE(""https://docs.google.com/spreadsheets/d/11923uPwbBZFjjGgGUA6NLw09EwE0CqkOc4q9oUmW1yo/edit?usp=sharing"",""นครสวรรค์!J271"")"),40)</f>
        <v>40</v>
      </c>
      <c r="K376" s="171">
        <f t="shared" ca="1" si="107"/>
        <v>100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IFERROR(__xludf.DUMMYFUNCTION("IMPORTRANGE(""https://docs.google.com/spreadsheets/d/11923uPwbBZFjjGgGUA6NLw09EwE0CqkOc4q9oUmW1yo/edit?usp=sharing"",""นครสวรรค์!I272"")"),70)</f>
        <v>70</v>
      </c>
      <c r="J377" s="213">
        <f ca="1">IFERROR(__xludf.DUMMYFUNCTION("IMPORTRANGE(""https://docs.google.com/spreadsheets/d/11923uPwbBZFjjGgGUA6NLw09EwE0CqkOc4q9oUmW1yo/edit?usp=sharing"",""นครสวรรค์!J272"")"),0)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IFERROR(__xludf.DUMMYFUNCTION("IMPORTRANGE(""https://docs.google.com/spreadsheets/d/11923uPwbBZFjjGgGUA6NLw09EwE0CqkOc4q9oUmW1yo/edit?usp=sharing"",""นครสวรรค์!J273"")"),0)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IFERROR(__xludf.DUMMYFUNCTION("IMPORTRANGE(""https://docs.google.com/spreadsheets/d/11923uPwbBZFjjGgGUA6NLw09EwE0CqkOc4q9oUmW1yo/edit?usp=sharing"",""นครสวรรค์!J274"")"),0)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IFERROR(__xludf.DUMMYFUNCTION("IMPORTRANGE(""https://docs.google.com/spreadsheets/d/11923uPwbBZFjjGgGUA6NLw09EwE0CqkOc4q9oUmW1yo/edit?usp=sharing"",""นครสวรรค์!I275"")"),1000)</f>
        <v>1000</v>
      </c>
      <c r="J380" s="379">
        <f ca="1">IFERROR(__xludf.DUMMYFUNCTION("IMPORTRANGE(""https://docs.google.com/spreadsheets/d/11923uPwbBZFjjGgGUA6NLw09EwE0CqkOc4q9oUmW1yo/edit?usp=sharing"",""นครสวรรค์!J275"")"),0)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IFERROR(__xludf.DUMMYFUNCTION("IMPORTRANGE(""https://docs.google.com/spreadsheets/d/11923uPwbBZFjjGgGUA6NLw09EwE0CqkOc4q9oUmW1yo/edit?usp=sharing"",""นครสวรรค์!L275"")"),1028520)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IFERROR(__xludf.DUMMYFUNCTION("IMPORTRANGE(""https://docs.google.com/spreadsheets/d/11923uPwbBZFjjGgGUA6NLw09EwE0CqkOc4q9oUmW1yo/edit?usp=sharing"",""นครสวรรค์!M275"")"),21633)</f>
        <v>21633</v>
      </c>
      <c r="O380" s="381">
        <f ca="1">+IF(L380&gt;0,N380*100/L380,0)</f>
        <v>2.1033134990082836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IFERROR(__xludf.DUMMYFUNCTION("IMPORTRANGE(""https://docs.google.com/spreadsheets/d/11923uPwbBZFjjGgGUA6NLw09EwE0CqkOc4q9oUmW1yo/edit?usp=sharing"",""นครสวรรค์!I276"")"),100)</f>
        <v>100</v>
      </c>
      <c r="J381" s="379">
        <f ca="1">IFERROR(__xludf.DUMMYFUNCTION("IMPORTRANGE(""https://docs.google.com/spreadsheets/d/11923uPwbBZFjjGgGUA6NLw09EwE0CqkOc4q9oUmW1yo/edit?usp=sharing"",""นครสวรรค์!J276"")"),0)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IFERROR(__xludf.DUMMYFUNCTION("IMPORTRANGE(""https://docs.google.com/spreadsheets/d/11923uPwbBZFjjGgGUA6NLw09EwE0CqkOc4q9oUmW1yo/edit?usp=sharing"",""นครสวรรค์!L277"")"),0)</f>
        <v>0</v>
      </c>
      <c r="M382" s="172"/>
      <c r="N382" s="172">
        <f ca="1">IFERROR(__xludf.DUMMYFUNCTION("IMPORTRANGE(""https://docs.google.com/spreadsheets/d/11923uPwbBZFjjGgGUA6NLw09EwE0CqkOc4q9oUmW1yo/edit?usp=sharing"",""นครสวรรค์!M277"")"),0)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IFERROR(__xludf.DUMMYFUNCTION("IMPORTRANGE(""https://docs.google.com/spreadsheets/d/11923uPwbBZFjjGgGUA6NLw09EwE0CqkOc4q9oUmW1yo/edit?usp=sharing"",""นครสวรรค์!L278"")"),1028520)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IFERROR(__xludf.DUMMYFUNCTION("IMPORTRANGE(""https://docs.google.com/spreadsheets/d/11923uPwbBZFjjGgGUA6NLw09EwE0CqkOc4q9oUmW1yo/edit?usp=sharing"",""นครสวรรค์!M278"")"),21633)</f>
        <v>21633</v>
      </c>
      <c r="O383" s="173">
        <f t="shared" ca="1" si="109"/>
        <v>2.1033134990082836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IFERROR(__xludf.DUMMYFUNCTION("IMPORTRANGE(""https://docs.google.com/spreadsheets/d/11923uPwbBZFjjGgGUA6NLw09EwE0CqkOc4q9oUmW1yo/edit?usp=sharing"",""นครสวรรค์!L279"")"),0)</f>
        <v>0</v>
      </c>
      <c r="M384" s="178"/>
      <c r="N384" s="178">
        <f ca="1">IFERROR(__xludf.DUMMYFUNCTION("IMPORTRANGE(""https://docs.google.com/spreadsheets/d/11923uPwbBZFjjGgGUA6NLw09EwE0CqkOc4q9oUmW1yo/edit?usp=sharing"",""นครสวรรค์!M279"")"),0)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IFERROR(__xludf.DUMMYFUNCTION("IMPORTRANGE(""https://docs.google.com/spreadsheets/d/11923uPwbBZFjjGgGUA6NLw09EwE0CqkOc4q9oUmW1yo/edit?usp=sharing"",""นครสวรรค์!L280"")"),1028520)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IFERROR(__xludf.DUMMYFUNCTION("IMPORTRANGE(""https://docs.google.com/spreadsheets/d/11923uPwbBZFjjGgGUA6NLw09EwE0CqkOc4q9oUmW1yo/edit?usp=sharing"",""นครสวรรค์!M280"")"),21633)</f>
        <v>21633</v>
      </c>
      <c r="O385" s="178">
        <f t="shared" ca="1" si="109"/>
        <v>2.1033134990082836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IFERROR(__xludf.DUMMYFUNCTION("IMPORTRANGE(""https://docs.google.com/spreadsheets/d/11923uPwbBZFjjGgGUA6NLw09EwE0CqkOc4q9oUmW1yo/edit?usp=sharing"",""นครสวรรค์!M281"")"),0)</f>
        <v>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IFERROR(__xludf.DUMMYFUNCTION("IMPORTRANGE(""https://docs.google.com/spreadsheets/d/11923uPwbBZFjjGgGUA6NLw09EwE0CqkOc4q9oUmW1yo/edit?usp=sharing"",""นครสวรรค์!M282"")"),0)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IFERROR(__xludf.DUMMYFUNCTION("IMPORTRANGE(""https://docs.google.com/spreadsheets/d/11923uPwbBZFjjGgGUA6NLw09EwE0CqkOc4q9oUmW1yo/edit?usp=sharing"",""นครสวรรค์!M283"")"),21633)</f>
        <v>21633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IFERROR(__xludf.DUMMYFUNCTION("IMPORTRANGE(""https://docs.google.com/spreadsheets/d/11923uPwbBZFjjGgGUA6NLw09EwE0CqkOc4q9oUmW1yo/edit?usp=sharing"",""นครสวรรค์!M284"")"),0)</f>
        <v>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IFERROR(__xludf.DUMMYFUNCTION("IMPORTRANGE(""https://docs.google.com/spreadsheets/d/11923uPwbBZFjjGgGUA6NLw09EwE0CqkOc4q9oUmW1yo/edit?usp=sharing"",""นครสวรรค์!J286"")"),0)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IFERROR(__xludf.DUMMYFUNCTION("IMPORTRANGE(""https://docs.google.com/spreadsheets/d/11923uPwbBZFjjGgGUA6NLw09EwE0CqkOc4q9oUmW1yo/edit?usp=sharing"",""นครสวรรค์!J287"")"),1)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IFERROR(__xludf.DUMMYFUNCTION("IMPORTRANGE(""https://docs.google.com/spreadsheets/d/11923uPwbBZFjjGgGUA6NLw09EwE0CqkOc4q9oUmW1yo/edit?usp=sharing"",""นครสวรรค์!J288"")"),1)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IFERROR(__xludf.DUMMYFUNCTION("IMPORTRANGE(""https://docs.google.com/spreadsheets/d/11923uPwbBZFjjGgGUA6NLw09EwE0CqkOc4q9oUmW1yo/edit?usp=sharing"",""นครสวรรค์!J289"")"),1)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IFERROR(__xludf.DUMMYFUNCTION("IMPORTRANGE(""https://docs.google.com/spreadsheets/d/11923uPwbBZFjjGgGUA6NLw09EwE0CqkOc4q9oUmW1yo/edit?usp=sharing"",""นครสวรรค์!I291"")"),100)</f>
        <v>100</v>
      </c>
      <c r="J396" s="207">
        <f ca="1">IFERROR(__xludf.DUMMYFUNCTION("IMPORTRANGE(""https://docs.google.com/spreadsheets/d/11923uPwbBZFjjGgGUA6NLw09EwE0CqkOc4q9oUmW1yo/edit?usp=sharing"",""นครสวรรค์!J291"")"),0)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IFERROR(__xludf.DUMMYFUNCTION("IMPORTRANGE(""https://docs.google.com/spreadsheets/d/11923uPwbBZFjjGgGUA6NLw09EwE0CqkOc4q9oUmW1yo/edit?usp=sharing"",""นครสวรรค์!I292"")"),1000)</f>
        <v>1000</v>
      </c>
      <c r="J397" s="207">
        <f ca="1">IFERROR(__xludf.DUMMYFUNCTION("IMPORTRANGE(""https://docs.google.com/spreadsheets/d/11923uPwbBZFjjGgGUA6NLw09EwE0CqkOc4q9oUmW1yo/edit?usp=sharing"",""นครสวรรค์!J292"")"),0)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IFERROR(__xludf.DUMMYFUNCTION("IMPORTRANGE(""https://docs.google.com/spreadsheets/d/11923uPwbBZFjjGgGUA6NLw09EwE0CqkOc4q9oUmW1yo/edit?usp=sharing"",""นครสวรรค์!I293"")"),100)</f>
        <v>100</v>
      </c>
      <c r="J398" s="207">
        <f ca="1">IFERROR(__xludf.DUMMYFUNCTION("IMPORTRANGE(""https://docs.google.com/spreadsheets/d/11923uPwbBZFjjGgGUA6NLw09EwE0CqkOc4q9oUmW1yo/edit?usp=sharing"",""นครสวรรค์!J293"")"),0)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IFERROR(__xludf.DUMMYFUNCTION("IMPORTRANGE(""https://docs.google.com/spreadsheets/d/11923uPwbBZFjjGgGUA6NLw09EwE0CqkOc4q9oUmW1yo/edit?usp=sharing"",""นครสวรรค์!J294"")"),0)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IFERROR(__xludf.DUMMYFUNCTION("IMPORTRANGE(""https://docs.google.com/spreadsheets/d/11923uPwbBZFjjGgGUA6NLw09EwE0CqkOc4q9oUmW1yo/edit?usp=sharing"",""นครสวรรค์!J295"")"),0)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IFERROR(__xludf.DUMMYFUNCTION("IMPORTRANGE(""https://docs.google.com/spreadsheets/d/11923uPwbBZFjjGgGUA6NLw09EwE0CqkOc4q9oUmW1yo/edit?usp=sharing"",""นครสวรรค์!I296"")"),135)</f>
        <v>135</v>
      </c>
      <c r="J401" s="379">
        <f ca="1">IFERROR(__xludf.DUMMYFUNCTION("IMPORTRANGE(""https://docs.google.com/spreadsheets/d/11923uPwbBZFjjGgGUA6NLw09EwE0CqkOc4q9oUmW1yo/edit?usp=sharing"",""นครสวรรค์!J296"")"),105)</f>
        <v>105</v>
      </c>
      <c r="K401" s="380">
        <f t="shared" ref="K401:K402" ca="1" si="111">IF(I401&gt;0,J401*100/I401,0)</f>
        <v>77.777777777777771</v>
      </c>
      <c r="L401" s="381">
        <f ca="1">IFERROR(__xludf.DUMMYFUNCTION("IMPORTRANGE(""https://docs.google.com/spreadsheets/d/11923uPwbBZFjjGgGUA6NLw09EwE0CqkOc4q9oUmW1yo/edit?usp=sharing"",""นครสวรรค์!L296"")"),159950)</f>
        <v>159950</v>
      </c>
      <c r="M401" s="381"/>
      <c r="N401" s="381">
        <f ca="1">IFERROR(__xludf.DUMMYFUNCTION("IMPORTRANGE(""https://docs.google.com/spreadsheets/d/11923uPwbBZFjjGgGUA6NLw09EwE0CqkOc4q9oUmW1yo/edit?usp=sharing"",""นครสวรรค์!M296"")"),95085)</f>
        <v>95085</v>
      </c>
      <c r="O401" s="381">
        <f ca="1">+IF(L401&gt;0,N401*100/L401,0)</f>
        <v>59.4467020944045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IFERROR(__xludf.DUMMYFUNCTION("IMPORTRANGE(""https://docs.google.com/spreadsheets/d/11923uPwbBZFjjGgGUA6NLw09EwE0CqkOc4q9oUmW1yo/edit?usp=sharing"",""นครสวรรค์!I297"")"),45)</f>
        <v>45</v>
      </c>
      <c r="J402" s="379">
        <f ca="1">IFERROR(__xludf.DUMMYFUNCTION("IMPORTRANGE(""https://docs.google.com/spreadsheets/d/11923uPwbBZFjjGgGUA6NLw09EwE0CqkOc4q9oUmW1yo/edit?usp=sharing"",""นครสวรรค์!J297"")"),35)</f>
        <v>35</v>
      </c>
      <c r="K402" s="380">
        <f t="shared" ca="1" si="111"/>
        <v>77.777777777777771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IFERROR(__xludf.DUMMYFUNCTION("IMPORTRANGE(""https://docs.google.com/spreadsheets/d/11923uPwbBZFjjGgGUA6NLw09EwE0CqkOc4q9oUmW1yo/edit?usp=sharing"",""นครสวรรค์!L298"")"),0)</f>
        <v>0</v>
      </c>
      <c r="M403" s="172"/>
      <c r="N403" s="178">
        <f ca="1">IFERROR(__xludf.DUMMYFUNCTION("IMPORTRANGE(""https://docs.google.com/spreadsheets/d/11923uPwbBZFjjGgGUA6NLw09EwE0CqkOc4q9oUmW1yo/edit?usp=sharing"",""นครสวรรค์!M298"")"),0)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IFERROR(__xludf.DUMMYFUNCTION("IMPORTRANGE(""https://docs.google.com/spreadsheets/d/11923uPwbBZFjjGgGUA6NLw09EwE0CqkOc4q9oUmW1yo/edit?usp=sharing"",""นครสวรรค์!L299"")"),159950)</f>
        <v>159950</v>
      </c>
      <c r="M404" s="173"/>
      <c r="N404" s="178">
        <f ca="1">IFERROR(__xludf.DUMMYFUNCTION("IMPORTRANGE(""https://docs.google.com/spreadsheets/d/11923uPwbBZFjjGgGUA6NLw09EwE0CqkOc4q9oUmW1yo/edit?usp=sharing"",""นครสวรรค์!M299"")"),95085)</f>
        <v>95085</v>
      </c>
      <c r="O404" s="178">
        <f t="shared" ca="1" si="112"/>
        <v>59.4467020944045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IFERROR(__xludf.DUMMYFUNCTION("IMPORTRANGE(""https://docs.google.com/spreadsheets/d/11923uPwbBZFjjGgGUA6NLw09EwE0CqkOc4q9oUmW1yo/edit?usp=sharing"",""นครสวรรค์!L300"")"),0)</f>
        <v>0</v>
      </c>
      <c r="M405" s="178"/>
      <c r="N405" s="178">
        <f ca="1">IFERROR(__xludf.DUMMYFUNCTION("IMPORTRANGE(""https://docs.google.com/spreadsheets/d/11923uPwbBZFjjGgGUA6NLw09EwE0CqkOc4q9oUmW1yo/edit?usp=sharing"",""นครสวรรค์!M300"")"),0)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IFERROR(__xludf.DUMMYFUNCTION("IMPORTRANGE(""https://docs.google.com/spreadsheets/d/11923uPwbBZFjjGgGUA6NLw09EwE0CqkOc4q9oUmW1yo/edit?usp=sharing"",""นครสวรรค์!L301"")"),159950)</f>
        <v>159950</v>
      </c>
      <c r="M406" s="178"/>
      <c r="N406" s="178">
        <f ca="1">IFERROR(__xludf.DUMMYFUNCTION("IMPORTRANGE(""https://docs.google.com/spreadsheets/d/11923uPwbBZFjjGgGUA6NLw09EwE0CqkOc4q9oUmW1yo/edit?usp=sharing"",""นครสวรรค์!M301"")"),95085)</f>
        <v>95085</v>
      </c>
      <c r="O406" s="178">
        <f t="shared" ca="1" si="112"/>
        <v>59.4467020944045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IFERROR(__xludf.DUMMYFUNCTION("IMPORTRANGE(""https://docs.google.com/spreadsheets/d/11923uPwbBZFjjGgGUA6NLw09EwE0CqkOc4q9oUmW1yo/edit?usp=sharing"",""นครสวรรค์!M302"")"),77885)</f>
        <v>77885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IFERROR(__xludf.DUMMYFUNCTION("IMPORTRANGE(""https://docs.google.com/spreadsheets/d/11923uPwbBZFjjGgGUA6NLw09EwE0CqkOc4q9oUmW1yo/edit?usp=sharing"",""นครสวรรค์!M303"")"),15000)</f>
        <v>15000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IFERROR(__xludf.DUMMYFUNCTION("IMPORTRANGE(""https://docs.google.com/spreadsheets/d/11923uPwbBZFjjGgGUA6NLw09EwE0CqkOc4q9oUmW1yo/edit?usp=sharing"",""นครสวรรค์!M304"")"),0)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IFERROR(__xludf.DUMMYFUNCTION("IMPORTRANGE(""https://docs.google.com/spreadsheets/d/11923uPwbBZFjjGgGUA6NLw09EwE0CqkOc4q9oUmW1yo/edit?usp=sharing"",""นครสวรรค์!M305"")"),2200)</f>
        <v>2200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IFERROR(__xludf.DUMMYFUNCTION("IMPORTRANGE(""https://docs.google.com/spreadsheets/d/11923uPwbBZFjjGgGUA6NLw09EwE0CqkOc4q9oUmW1yo/edit?usp=sharing"",""นครสวรรค์!J307"")"),0)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IFERROR(__xludf.DUMMYFUNCTION("IMPORTRANGE(""https://docs.google.com/spreadsheets/d/11923uPwbBZFjjGgGUA6NLw09EwE0CqkOc4q9oUmW1yo/edit?usp=sharing"",""นครสวรรค์!J308"")"),1)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IFERROR(__xludf.DUMMYFUNCTION("IMPORTRANGE(""https://docs.google.com/spreadsheets/d/11923uPwbBZFjjGgGUA6NLw09EwE0CqkOc4q9oUmW1yo/edit?usp=sharing"",""นครสวรรค์!J309"")"),1)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IFERROR(__xludf.DUMMYFUNCTION("IMPORTRANGE(""https://docs.google.com/spreadsheets/d/11923uPwbBZFjjGgGUA6NLw09EwE0CqkOc4q9oUmW1yo/edit?usp=sharing"",""นครสวรรค์!J310"")"),1)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IFERROR(__xludf.DUMMYFUNCTION("IMPORTRANGE(""https://docs.google.com/spreadsheets/d/11923uPwbBZFjjGgGUA6NLw09EwE0CqkOc4q9oUmW1yo/edit?usp=sharing"",""นครสวรรค์!I311"")"),45)</f>
        <v>45</v>
      </c>
      <c r="J416" s="210">
        <f ca="1">IFERROR(__xludf.DUMMYFUNCTION("IMPORTRANGE(""https://docs.google.com/spreadsheets/d/11923uPwbBZFjjGgGUA6NLw09EwE0CqkOc4q9oUmW1yo/edit?usp=sharing"",""นครสวรรค์!J311"")"),35)</f>
        <v>35</v>
      </c>
      <c r="K416" s="211">
        <f t="shared" ref="K416:K432" ca="1" si="113">IF(I416&gt;0,J416*100/I416,0)</f>
        <v>77.777777777777771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IFERROR(__xludf.DUMMYFUNCTION("IMPORTRANGE(""https://docs.google.com/spreadsheets/d/11923uPwbBZFjjGgGUA6NLw09EwE0CqkOc4q9oUmW1yo/edit?usp=sharing"",""นครสวรรค์!I312"")"),10)</f>
        <v>10</v>
      </c>
      <c r="J417" s="400">
        <f ca="1">IFERROR(__xludf.DUMMYFUNCTION("IMPORTRANGE(""https://docs.google.com/spreadsheets/d/11923uPwbBZFjjGgGUA6NLw09EwE0CqkOc4q9oUmW1yo/edit?usp=sharing"",""นครสวรรค์!J312"")"),10)</f>
        <v>10</v>
      </c>
      <c r="K417" s="211">
        <f t="shared" ca="1" si="113"/>
        <v>100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IFERROR(__xludf.DUMMYFUNCTION("IMPORTRANGE(""https://docs.google.com/spreadsheets/d/11923uPwbBZFjjGgGUA6NLw09EwE0CqkOc4q9oUmW1yo/edit?usp=sharing"",""นครสวรรค์!I313"")"),30)</f>
        <v>30</v>
      </c>
      <c r="J418" s="401">
        <f ca="1">IFERROR(__xludf.DUMMYFUNCTION("IMPORTRANGE(""https://docs.google.com/spreadsheets/d/11923uPwbBZFjjGgGUA6NLw09EwE0CqkOc4q9oUmW1yo/edit?usp=sharing"",""นครสวรรค์!J313"")"),30)</f>
        <v>30</v>
      </c>
      <c r="K418" s="211">
        <f t="shared" ca="1" si="113"/>
        <v>100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IFERROR(__xludf.DUMMYFUNCTION("IMPORTRANGE(""https://docs.google.com/spreadsheets/d/11923uPwbBZFjjGgGUA6NLw09EwE0CqkOc4q9oUmW1yo/edit?usp=sharing"",""นครสวรรค์!I314"")"),10)</f>
        <v>10</v>
      </c>
      <c r="J419" s="402">
        <f ca="1">IFERROR(__xludf.DUMMYFUNCTION("IMPORTRANGE(""https://docs.google.com/spreadsheets/d/11923uPwbBZFjjGgGUA6NLw09EwE0CqkOc4q9oUmW1yo/edit?usp=sharing"",""นครสวรรค์!J314"")"),10)</f>
        <v>10</v>
      </c>
      <c r="K419" s="171">
        <f t="shared" ca="1" si="113"/>
        <v>100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IFERROR(__xludf.DUMMYFUNCTION("IMPORTRANGE(""https://docs.google.com/spreadsheets/d/11923uPwbBZFjjGgGUA6NLw09EwE0CqkOc4q9oUmW1yo/edit?usp=sharing"",""นครสวรรค์!I315"")"),10)</f>
        <v>10</v>
      </c>
      <c r="J420" s="402">
        <f ca="1">IFERROR(__xludf.DUMMYFUNCTION("IMPORTRANGE(""https://docs.google.com/spreadsheets/d/11923uPwbBZFjjGgGUA6NLw09EwE0CqkOc4q9oUmW1yo/edit?usp=sharing"",""นครสวรรค์!J315"")"),10)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IFERROR(__xludf.DUMMYFUNCTION("IMPORTRANGE(""https://docs.google.com/spreadsheets/d/11923uPwbBZFjjGgGUA6NLw09EwE0CqkOc4q9oUmW1yo/edit?usp=sharing"",""นครสวรรค์!I316"")"),25)</f>
        <v>25</v>
      </c>
      <c r="J421" s="400">
        <f ca="1">IFERROR(__xludf.DUMMYFUNCTION("IMPORTRANGE(""https://docs.google.com/spreadsheets/d/11923uPwbBZFjjGgGUA6NLw09EwE0CqkOc4q9oUmW1yo/edit?usp=sharing"",""นครสวรรค์!J316"")"),25)</f>
        <v>25</v>
      </c>
      <c r="K421" s="211">
        <f t="shared" ca="1" si="113"/>
        <v>100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IFERROR(__xludf.DUMMYFUNCTION("IMPORTRANGE(""https://docs.google.com/spreadsheets/d/11923uPwbBZFjjGgGUA6NLw09EwE0CqkOc4q9oUmW1yo/edit?usp=sharing"",""นครสวรรค์!I317"")"),75)</f>
        <v>75</v>
      </c>
      <c r="J422" s="401">
        <f ca="1">IFERROR(__xludf.DUMMYFUNCTION("IMPORTRANGE(""https://docs.google.com/spreadsheets/d/11923uPwbBZFjjGgGUA6NLw09EwE0CqkOc4q9oUmW1yo/edit?usp=sharing"",""นครสวรรค์!J317"")"),75)</f>
        <v>75</v>
      </c>
      <c r="K422" s="211">
        <f t="shared" ca="1" si="113"/>
        <v>100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IFERROR(__xludf.DUMMYFUNCTION("IMPORTRANGE(""https://docs.google.com/spreadsheets/d/11923uPwbBZFjjGgGUA6NLw09EwE0CqkOc4q9oUmW1yo/edit?usp=sharing"",""นครสวรรค์!I318"")"),25)</f>
        <v>25</v>
      </c>
      <c r="J423" s="402">
        <f ca="1">IFERROR(__xludf.DUMMYFUNCTION("IMPORTRANGE(""https://docs.google.com/spreadsheets/d/11923uPwbBZFjjGgGUA6NLw09EwE0CqkOc4q9oUmW1yo/edit?usp=sharing"",""นครสวรรค์!J318"")"),25)</f>
        <v>25</v>
      </c>
      <c r="K423" s="171">
        <f t="shared" ca="1" si="113"/>
        <v>100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IFERROR(__xludf.DUMMYFUNCTION("IMPORTRANGE(""https://docs.google.com/spreadsheets/d/11923uPwbBZFjjGgGUA6NLw09EwE0CqkOc4q9oUmW1yo/edit?usp=sharing"",""นครสวรรค์!I319"")"),25)</f>
        <v>25</v>
      </c>
      <c r="J424" s="402">
        <f ca="1">IFERROR(__xludf.DUMMYFUNCTION("IMPORTRANGE(""https://docs.google.com/spreadsheets/d/11923uPwbBZFjjGgGUA6NLw09EwE0CqkOc4q9oUmW1yo/edit?usp=sharing"",""นครสวรรค์!J319"")"),25)</f>
        <v>25</v>
      </c>
      <c r="K424" s="171">
        <f t="shared" ca="1" si="113"/>
        <v>100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IFERROR(__xludf.DUMMYFUNCTION("IMPORTRANGE(""https://docs.google.com/spreadsheets/d/11923uPwbBZFjjGgGUA6NLw09EwE0CqkOc4q9oUmW1yo/edit?usp=sharing"",""นครสวรรค์!I320"")"),25)</f>
        <v>25</v>
      </c>
      <c r="J425" s="402">
        <f ca="1">IFERROR(__xludf.DUMMYFUNCTION("IMPORTRANGE(""https://docs.google.com/spreadsheets/d/11923uPwbBZFjjGgGUA6NLw09EwE0CqkOc4q9oUmW1yo/edit?usp=sharing"",""นครสวรรค์!J320"")"),25)</f>
        <v>25</v>
      </c>
      <c r="K425" s="171">
        <f t="shared" ca="1" si="113"/>
        <v>100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IFERROR(__xludf.DUMMYFUNCTION("IMPORTRANGE(""https://docs.google.com/spreadsheets/d/11923uPwbBZFjjGgGUA6NLw09EwE0CqkOc4q9oUmW1yo/edit?usp=sharing"",""นครสวรรค์!I321"")"),10)</f>
        <v>10</v>
      </c>
      <c r="J426" s="400">
        <f ca="1">IFERROR(__xludf.DUMMYFUNCTION("IMPORTRANGE(""https://docs.google.com/spreadsheets/d/11923uPwbBZFjjGgGUA6NLw09EwE0CqkOc4q9oUmW1yo/edit?usp=sharing"",""นครสวรรค์!J321"")"),0)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IFERROR(__xludf.DUMMYFUNCTION("IMPORTRANGE(""https://docs.google.com/spreadsheets/d/11923uPwbBZFjjGgGUA6NLw09EwE0CqkOc4q9oUmW1yo/edit?usp=sharing"",""นครสวรรค์!I322"")"),30)</f>
        <v>30</v>
      </c>
      <c r="J427" s="401">
        <f ca="1">IFERROR(__xludf.DUMMYFUNCTION("IMPORTRANGE(""https://docs.google.com/spreadsheets/d/11923uPwbBZFjjGgGUA6NLw09EwE0CqkOc4q9oUmW1yo/edit?usp=sharing"",""นครสวรรค์!J322"")"),0)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IFERROR(__xludf.DUMMYFUNCTION("IMPORTRANGE(""https://docs.google.com/spreadsheets/d/11923uPwbBZFjjGgGUA6NLw09EwE0CqkOc4q9oUmW1yo/edit?usp=sharing"",""นครสวรรค์!I323"")"),10)</f>
        <v>10</v>
      </c>
      <c r="J428" s="402">
        <f ca="1">IFERROR(__xludf.DUMMYFUNCTION("IMPORTRANGE(""https://docs.google.com/spreadsheets/d/11923uPwbBZFjjGgGUA6NLw09EwE0CqkOc4q9oUmW1yo/edit?usp=sharing"",""นครสวรรค์!J323"")"),0)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IFERROR(__xludf.DUMMYFUNCTION("IMPORTRANGE(""https://docs.google.com/spreadsheets/d/11923uPwbBZFjjGgGUA6NLw09EwE0CqkOc4q9oUmW1yo/edit?usp=sharing"",""นครสวรรค์!I324"")"),10)</f>
        <v>10</v>
      </c>
      <c r="J429" s="402">
        <f ca="1">IFERROR(__xludf.DUMMYFUNCTION("IMPORTRANGE(""https://docs.google.com/spreadsheets/d/11923uPwbBZFjjGgGUA6NLw09EwE0CqkOc4q9oUmW1yo/edit?usp=sharing"",""นครสวรรค์!J324"")"),0)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IFERROR(__xludf.DUMMYFUNCTION("IMPORTRANGE(""https://docs.google.com/spreadsheets/d/11923uPwbBZFjjGgGUA6NLw09EwE0CqkOc4q9oUmW1yo/edit?usp=sharing"",""นครสวรรค์!I325"")"),35)</f>
        <v>35</v>
      </c>
      <c r="J430" s="400">
        <f ca="1">IFERROR(__xludf.DUMMYFUNCTION("IMPORTRANGE(""https://docs.google.com/spreadsheets/d/11923uPwbBZFjjGgGUA6NLw09EwE0CqkOc4q9oUmW1yo/edit?usp=sharing"",""นครสวรรค์!J325"")"),0)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IFERROR(__xludf.DUMMYFUNCTION("IMPORTRANGE(""https://docs.google.com/spreadsheets/d/11923uPwbBZFjjGgGUA6NLw09EwE0CqkOc4q9oUmW1yo/edit?usp=sharing"",""นครสวรรค์!I326"")"),10)</f>
        <v>10</v>
      </c>
      <c r="J431" s="402">
        <f ca="1">IFERROR(__xludf.DUMMYFUNCTION("IMPORTRANGE(""https://docs.google.com/spreadsheets/d/11923uPwbBZFjjGgGUA6NLw09EwE0CqkOc4q9oUmW1yo/edit?usp=sharing"",""นครสวรรค์!J326"")"),10)</f>
        <v>10</v>
      </c>
      <c r="K431" s="171">
        <f t="shared" ca="1" si="113"/>
        <v>100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IFERROR(__xludf.DUMMYFUNCTION("IMPORTRANGE(""https://docs.google.com/spreadsheets/d/11923uPwbBZFjjGgGUA6NLw09EwE0CqkOc4q9oUmW1yo/edit?usp=sharing"",""นครสวรรค์!I327"")"),25)</f>
        <v>25</v>
      </c>
      <c r="J432" s="402">
        <f ca="1">IFERROR(__xludf.DUMMYFUNCTION("IMPORTRANGE(""https://docs.google.com/spreadsheets/d/11923uPwbBZFjjGgGUA6NLw09EwE0CqkOc4q9oUmW1yo/edit?usp=sharing"",""นครสวรรค์!J327"")"),0)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IFERROR(__xludf.DUMMYFUNCTION("IMPORTRANGE(""https://docs.google.com/spreadsheets/d/11923uPwbBZFjjGgGUA6NLw09EwE0CqkOc4q9oUmW1yo/edit?usp=sharing"",""นครสวรรค์!J328"")"),0)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IFERROR(__xludf.DUMMYFUNCTION("IMPORTRANGE(""https://docs.google.com/spreadsheets/d/11923uPwbBZFjjGgGUA6NLw09EwE0CqkOc4q9oUmW1yo/edit?usp=sharing"",""นครสวรรค์!J329"")"),0)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IFERROR(__xludf.DUMMYFUNCTION("IMPORTRANGE(""https://docs.google.com/spreadsheets/d/11923uPwbBZFjjGgGUA6NLw09EwE0CqkOc4q9oUmW1yo/edit?usp=sharing"",""นครสวรรค์!I330"")"),15)</f>
        <v>15</v>
      </c>
      <c r="J435" s="418">
        <f ca="1">IFERROR(__xludf.DUMMYFUNCTION("IMPORTRANGE(""https://docs.google.com/spreadsheets/d/11923uPwbBZFjjGgGUA6NLw09EwE0CqkOc4q9oUmW1yo/edit?usp=sharing"",""นครสวรรค์!J330"")"),15)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IFERROR(__xludf.DUMMYFUNCTION("IMPORTRANGE(""https://docs.google.com/spreadsheets/d/11923uPwbBZFjjGgGUA6NLw09EwE0CqkOc4q9oUmW1yo/edit?usp=sharing"",""นครสวรรค์!L330"")"),83000)</f>
        <v>83000</v>
      </c>
      <c r="M435" s="420"/>
      <c r="N435" s="420">
        <f ca="1">IFERROR(__xludf.DUMMYFUNCTION("IMPORTRANGE(""https://docs.google.com/spreadsheets/d/11923uPwbBZFjjGgGUA6NLw09EwE0CqkOc4q9oUmW1yo/edit?usp=sharing"",""นครสวรรค์!M330"")"),64242)</f>
        <v>64242</v>
      </c>
      <c r="O435" s="420">
        <f t="shared" ref="O435:O439" ca="1" si="114">+IF(L435&gt;0,N435*100/L435,0)</f>
        <v>77.400000000000006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IFERROR(__xludf.DUMMYFUNCTION("IMPORTRANGE(""https://docs.google.com/spreadsheets/d/11923uPwbBZFjjGgGUA6NLw09EwE0CqkOc4q9oUmW1yo/edit?usp=sharing"",""นครสวรรค์!L331"")"),0)</f>
        <v>0</v>
      </c>
      <c r="M436" s="172"/>
      <c r="N436" s="178">
        <f ca="1">IFERROR(__xludf.DUMMYFUNCTION("IMPORTRANGE(""https://docs.google.com/spreadsheets/d/11923uPwbBZFjjGgGUA6NLw09EwE0CqkOc4q9oUmW1yo/edit?usp=sharing"",""นครสวรรค์!M331"")"),0)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IFERROR(__xludf.DUMMYFUNCTION("IMPORTRANGE(""https://docs.google.com/spreadsheets/d/11923uPwbBZFjjGgGUA6NLw09EwE0CqkOc4q9oUmW1yo/edit?usp=sharing"",""นครสวรรค์!L332"")"),83000)</f>
        <v>83000</v>
      </c>
      <c r="M437" s="173"/>
      <c r="N437" s="178">
        <f ca="1">IFERROR(__xludf.DUMMYFUNCTION("IMPORTRANGE(""https://docs.google.com/spreadsheets/d/11923uPwbBZFjjGgGUA6NLw09EwE0CqkOc4q9oUmW1yo/edit?usp=sharing"",""นครสวรรค์!M332"")"),64242)</f>
        <v>64242</v>
      </c>
      <c r="O437" s="178">
        <f t="shared" ca="1" si="114"/>
        <v>77.400000000000006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IFERROR(__xludf.DUMMYFUNCTION("IMPORTRANGE(""https://docs.google.com/spreadsheets/d/11923uPwbBZFjjGgGUA6NLw09EwE0CqkOc4q9oUmW1yo/edit?usp=sharing"",""นครสวรรค์!L333"")"),0)</f>
        <v>0</v>
      </c>
      <c r="M438" s="178"/>
      <c r="N438" s="178">
        <f ca="1">IFERROR(__xludf.DUMMYFUNCTION("IMPORTRANGE(""https://docs.google.com/spreadsheets/d/11923uPwbBZFjjGgGUA6NLw09EwE0CqkOc4q9oUmW1yo/edit?usp=sharing"",""นครสวรรค์!M333"")"),0)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IFERROR(__xludf.DUMMYFUNCTION("IMPORTRANGE(""https://docs.google.com/spreadsheets/d/11923uPwbBZFjjGgGUA6NLw09EwE0CqkOc4q9oUmW1yo/edit?usp=sharing"",""นครสวรรค์!L334"")"),83000)</f>
        <v>83000</v>
      </c>
      <c r="M439" s="178"/>
      <c r="N439" s="178">
        <f ca="1">IFERROR(__xludf.DUMMYFUNCTION("IMPORTRANGE(""https://docs.google.com/spreadsheets/d/11923uPwbBZFjjGgGUA6NLw09EwE0CqkOc4q9oUmW1yo/edit?usp=sharing"",""นครสวรรค์!M334"")"),64242)</f>
        <v>64242</v>
      </c>
      <c r="O439" s="178">
        <f t="shared" ca="1" si="114"/>
        <v>77.400000000000006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IFERROR(__xludf.DUMMYFUNCTION("IMPORTRANGE(""https://docs.google.com/spreadsheets/d/11923uPwbBZFjjGgGUA6NLw09EwE0CqkOc4q9oUmW1yo/edit?usp=sharing"",""นครสวรรค์!M335"")"),61802)</f>
        <v>61802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IFERROR(__xludf.DUMMYFUNCTION("IMPORTRANGE(""https://docs.google.com/spreadsheets/d/11923uPwbBZFjjGgGUA6NLw09EwE0CqkOc4q9oUmW1yo/edit?usp=sharing"",""นครสวรรค์!M336"")"),0)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IFERROR(__xludf.DUMMYFUNCTION("IMPORTRANGE(""https://docs.google.com/spreadsheets/d/11923uPwbBZFjjGgGUA6NLw09EwE0CqkOc4q9oUmW1yo/edit?usp=sharing"",""นครสวรรค์!M337"")"),0)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IFERROR(__xludf.DUMMYFUNCTION("IMPORTRANGE(""https://docs.google.com/spreadsheets/d/11923uPwbBZFjjGgGUA6NLw09EwE0CqkOc4q9oUmW1yo/edit?usp=sharing"",""นครสวรรค์!M338"")"),2440)</f>
        <v>2440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IFERROR(__xludf.DUMMYFUNCTION("IMPORTRANGE(""https://docs.google.com/spreadsheets/d/11923uPwbBZFjjGgGUA6NLw09EwE0CqkOc4q9oUmW1yo/edit?usp=sharing"",""นครสวรรค์!J340"")"),0)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IFERROR(__xludf.DUMMYFUNCTION("IMPORTRANGE(""https://docs.google.com/spreadsheets/d/11923uPwbBZFjjGgGUA6NLw09EwE0CqkOc4q9oUmW1yo/edit?usp=sharing"",""นครสวรรค์!J341"")"),1)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IFERROR(__xludf.DUMMYFUNCTION("IMPORTRANGE(""https://docs.google.com/spreadsheets/d/11923uPwbBZFjjGgGUA6NLw09EwE0CqkOc4q9oUmW1yo/edit?usp=sharing"",""นครสวรรค์!J342"")"),1)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IFERROR(__xludf.DUMMYFUNCTION("IMPORTRANGE(""https://docs.google.com/spreadsheets/d/11923uPwbBZFjjGgGUA6NLw09EwE0CqkOc4q9oUmW1yo/edit?usp=sharing"",""นครสวรรค์!J343"")"),1)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IFERROR(__xludf.DUMMYFUNCTION("IMPORTRANGE(""https://docs.google.com/spreadsheets/d/11923uPwbBZFjjGgGUA6NLw09EwE0CqkOc4q9oUmW1yo/edit?usp=sharing"",""นครสวรรค์!I344"")"),15)</f>
        <v>15</v>
      </c>
      <c r="J449" s="210">
        <f ca="1">IFERROR(__xludf.DUMMYFUNCTION("IMPORTRANGE(""https://docs.google.com/spreadsheets/d/11923uPwbBZFjjGgGUA6NLw09EwE0CqkOc4q9oUmW1yo/edit?usp=sharing"",""นครสวรรค์!J344"")"),15)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IFERROR(__xludf.DUMMYFUNCTION("IMPORTRANGE(""https://docs.google.com/spreadsheets/d/11923uPwbBZFjjGgGUA6NLw09EwE0CqkOc4q9oUmW1yo/edit?usp=sharing"",""นครสวรรค์!I345"")"),15)</f>
        <v>15</v>
      </c>
      <c r="J450" s="198">
        <f ca="1">IFERROR(__xludf.DUMMYFUNCTION("IMPORTRANGE(""https://docs.google.com/spreadsheets/d/11923uPwbBZFjjGgGUA6NLw09EwE0CqkOc4q9oUmW1yo/edit?usp=sharing"",""นครสวรรค์!J345"")"),15)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IFERROR(__xludf.DUMMYFUNCTION("IMPORTRANGE(""https://docs.google.com/spreadsheets/d/11923uPwbBZFjjGgGUA6NLw09EwE0CqkOc4q9oUmW1yo/edit?usp=sharing"",""นครสวรรค์!I346"")"),0)</f>
        <v>0</v>
      </c>
      <c r="J451" s="197">
        <f ca="1">IFERROR(__xludf.DUMMYFUNCTION("IMPORTRANGE(""https://docs.google.com/spreadsheets/d/11923uPwbBZFjjGgGUA6NLw09EwE0CqkOc4q9oUmW1yo/edit?usp=sharing"",""นครสวรรค์!J346"")"),0)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IFERROR(__xludf.DUMMYFUNCTION("IMPORTRANGE(""https://docs.google.com/spreadsheets/d/11923uPwbBZFjjGgGUA6NLw09EwE0CqkOc4q9oUmW1yo/edit?usp=sharing"",""นครสวรรค์!I347"")"),0)</f>
        <v>0</v>
      </c>
      <c r="J452" s="197">
        <f ca="1">IFERROR(__xludf.DUMMYFUNCTION("IMPORTRANGE(""https://docs.google.com/spreadsheets/d/11923uPwbBZFjjGgGUA6NLw09EwE0CqkOc4q9oUmW1yo/edit?usp=sharing"",""นครสวรรค์!J347"")"),0)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IFERROR(__xludf.DUMMYFUNCTION("IMPORTRANGE(""https://docs.google.com/spreadsheets/d/11923uPwbBZFjjGgGUA6NLw09EwE0CqkOc4q9oUmW1yo/edit?usp=sharing"",""นครสวรรค์!J348"")"),0)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IFERROR(__xludf.DUMMYFUNCTION("IMPORTRANGE(""https://docs.google.com/spreadsheets/d/11923uPwbBZFjjGgGUA6NLw09EwE0CqkOc4q9oUmW1yo/edit?usp=sharing"",""นครสวรรค์!J349"")"),0)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IFERROR(__xludf.DUMMYFUNCTION("IMPORTRANGE(""https://docs.google.com/spreadsheets/d/11923uPwbBZFjjGgGUA6NLw09EwE0CqkOc4q9oUmW1yo/edit?usp=sharing"",""นครสวรรค์!I350"")"),40137)</f>
        <v>40137</v>
      </c>
      <c r="J455" s="379">
        <f ca="1">IFERROR(__xludf.DUMMYFUNCTION("IMPORTRANGE(""https://docs.google.com/spreadsheets/d/11923uPwbBZFjjGgGUA6NLw09EwE0CqkOc4q9oUmW1yo/edit?usp=sharing"",""นครสวรรค์!J350"")"),0)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IFERROR(__xludf.DUMMYFUNCTION("IMPORTRANGE(""https://docs.google.com/spreadsheets/d/11923uPwbBZFjjGgGUA6NLw09EwE0CqkOc4q9oUmW1yo/edit?usp=sharing"",""นครสวรรค์!L350"")"),270063)</f>
        <v>270063</v>
      </c>
      <c r="M455" s="381"/>
      <c r="N455" s="381">
        <f ca="1">IFERROR(__xludf.DUMMYFUNCTION("IMPORTRANGE(""https://docs.google.com/spreadsheets/d/11923uPwbBZFjjGgGUA6NLw09EwE0CqkOc4q9oUmW1yo/edit?usp=sharing"",""นครสวรรค์!M350"")"),33066)</f>
        <v>33066</v>
      </c>
      <c r="O455" s="381">
        <f t="shared" ref="O455:O459" ca="1" si="116">+IF(L455&gt;0,N455*100/L455,0)</f>
        <v>12.243809777718532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IFERROR(__xludf.DUMMYFUNCTION("IMPORTRANGE(""https://docs.google.com/spreadsheets/d/11923uPwbBZFjjGgGUA6NLw09EwE0CqkOc4q9oUmW1yo/edit?usp=sharing"",""นครสวรรค์!L351"")"),0)</f>
        <v>0</v>
      </c>
      <c r="M456" s="172"/>
      <c r="N456" s="178">
        <f ca="1">IFERROR(__xludf.DUMMYFUNCTION("IMPORTRANGE(""https://docs.google.com/spreadsheets/d/11923uPwbBZFjjGgGUA6NLw09EwE0CqkOc4q9oUmW1yo/edit?usp=sharing"",""นครสวรรค์!M351"")"),0)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IFERROR(__xludf.DUMMYFUNCTION("IMPORTRANGE(""https://docs.google.com/spreadsheets/d/11923uPwbBZFjjGgGUA6NLw09EwE0CqkOc4q9oUmW1yo/edit?usp=sharing"",""นครสวรรค์!L352"")"),270063)</f>
        <v>270063</v>
      </c>
      <c r="M457" s="173"/>
      <c r="N457" s="178">
        <f ca="1">IFERROR(__xludf.DUMMYFUNCTION("IMPORTRANGE(""https://docs.google.com/spreadsheets/d/11923uPwbBZFjjGgGUA6NLw09EwE0CqkOc4q9oUmW1yo/edit?usp=sharing"",""นครสวรรค์!M352"")"),33066)</f>
        <v>33066</v>
      </c>
      <c r="O457" s="178">
        <f t="shared" ca="1" si="116"/>
        <v>12.243809777718532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IFERROR(__xludf.DUMMYFUNCTION("IMPORTRANGE(""https://docs.google.com/spreadsheets/d/11923uPwbBZFjjGgGUA6NLw09EwE0CqkOc4q9oUmW1yo/edit?usp=sharing"",""นครสวรรค์!L353"")"),0)</f>
        <v>0</v>
      </c>
      <c r="M458" s="178"/>
      <c r="N458" s="178">
        <f ca="1">IFERROR(__xludf.DUMMYFUNCTION("IMPORTRANGE(""https://docs.google.com/spreadsheets/d/11923uPwbBZFjjGgGUA6NLw09EwE0CqkOc4q9oUmW1yo/edit?usp=sharing"",""นครสวรรค์!M353"")"),0)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IFERROR(__xludf.DUMMYFUNCTION("IMPORTRANGE(""https://docs.google.com/spreadsheets/d/11923uPwbBZFjjGgGUA6NLw09EwE0CqkOc4q9oUmW1yo/edit?usp=sharing"",""นครสวรรค์!L354"")"),270063)</f>
        <v>270063</v>
      </c>
      <c r="M459" s="178"/>
      <c r="N459" s="178">
        <f ca="1">IFERROR(__xludf.DUMMYFUNCTION("IMPORTRANGE(""https://docs.google.com/spreadsheets/d/11923uPwbBZFjjGgGUA6NLw09EwE0CqkOc4q9oUmW1yo/edit?usp=sharing"",""นครสวรรค์!M354"")"),33066)</f>
        <v>33066</v>
      </c>
      <c r="O459" s="178">
        <f t="shared" ca="1" si="116"/>
        <v>12.243809777718532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IFERROR(__xludf.DUMMYFUNCTION("IMPORTRANGE(""https://docs.google.com/spreadsheets/d/11923uPwbBZFjjGgGUA6NLw09EwE0CqkOc4q9oUmW1yo/edit?usp=sharing"",""นครสวรรค์!M355"")"),0)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IFERROR(__xludf.DUMMYFUNCTION("IMPORTRANGE(""https://docs.google.com/spreadsheets/d/11923uPwbBZFjjGgGUA6NLw09EwE0CqkOc4q9oUmW1yo/edit?usp=sharing"",""นครสวรรค์!M356"")"),0)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IFERROR(__xludf.DUMMYFUNCTION("IMPORTRANGE(""https://docs.google.com/spreadsheets/d/11923uPwbBZFjjGgGUA6NLw09EwE0CqkOc4q9oUmW1yo/edit?usp=sharing"",""นครสวรรค์!M357"")"),0)</f>
        <v>0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IFERROR(__xludf.DUMMYFUNCTION("IMPORTRANGE(""https://docs.google.com/spreadsheets/d/11923uPwbBZFjjGgGUA6NLw09EwE0CqkOc4q9oUmW1yo/edit?usp=sharing"",""นครสวรรค์!M358"")"),33066)</f>
        <v>33066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IFERROR(__xludf.DUMMYFUNCTION("IMPORTRANGE(""https://docs.google.com/spreadsheets/d/11923uPwbBZFjjGgGUA6NLw09EwE0CqkOc4q9oUmW1yo/edit?usp=sharing"",""นครสวรรค์!I359"")"),40137)</f>
        <v>40137</v>
      </c>
      <c r="J464" s="276">
        <f ca="1">IFERROR(__xludf.DUMMYFUNCTION("IMPORTRANGE(""https://docs.google.com/spreadsheets/d/11923uPwbBZFjjGgGUA6NLw09EwE0CqkOc4q9oUmW1yo/edit?usp=sharing"",""นครสวรรค์!J359"")"),0)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IFERROR(__xludf.DUMMYFUNCTION("IMPORTRANGE(""https://docs.google.com/spreadsheets/d/11923uPwbBZFjjGgGUA6NLw09EwE0CqkOc4q9oUmW1yo/edit?usp=sharing"",""นครสวรรค์!I360"")"),40137)</f>
        <v>40137</v>
      </c>
      <c r="J465" s="428">
        <f ca="1">IFERROR(__xludf.DUMMYFUNCTION("IMPORTRANGE(""https://docs.google.com/spreadsheets/d/11923uPwbBZFjjGgGUA6NLw09EwE0CqkOc4q9oUmW1yo/edit?usp=sharing"",""นครสวรรค์!J360"")"),45977)</f>
        <v>45977</v>
      </c>
      <c r="K465" s="211">
        <f t="shared" ca="1" si="117"/>
        <v>114.55016568253731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IFERROR(__xludf.DUMMYFUNCTION("IMPORTRANGE(""https://docs.google.com/spreadsheets/d/11923uPwbBZFjjGgGUA6NLw09EwE0CqkOc4q9oUmW1yo/edit?usp=sharing"",""นครสวรรค์!I361"")"),3128)</f>
        <v>3128</v>
      </c>
      <c r="J466" s="428">
        <f ca="1">IFERROR(__xludf.DUMMYFUNCTION("IMPORTRANGE(""https://docs.google.com/spreadsheets/d/11923uPwbBZFjjGgGUA6NLw09EwE0CqkOc4q9oUmW1yo/edit?usp=sharing"",""นครสวรรค์!J361"")"),3447)</f>
        <v>3447</v>
      </c>
      <c r="K466" s="211">
        <f t="shared" ca="1" si="117"/>
        <v>110.19820971867007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IFERROR(__xludf.DUMMYFUNCTION("IMPORTRANGE(""https://docs.google.com/spreadsheets/d/11923uPwbBZFjjGgGUA6NLw09EwE0CqkOc4q9oUmW1yo/edit?usp=sharing"",""นครสวรรค์!I362"")"),0)</f>
        <v>0</v>
      </c>
      <c r="J467" s="198">
        <f ca="1">IFERROR(__xludf.DUMMYFUNCTION("IMPORTRANGE(""https://docs.google.com/spreadsheets/d/11923uPwbBZFjjGgGUA6NLw09EwE0CqkOc4q9oUmW1yo/edit?usp=sharing"",""นครสวรรค์!J362"")"),33426)</f>
        <v>33426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IFERROR(__xludf.DUMMYFUNCTION("IMPORTRANGE(""https://docs.google.com/spreadsheets/d/11923uPwbBZFjjGgGUA6NLw09EwE0CqkOc4q9oUmW1yo/edit?usp=sharing"",""นครสวรรค์!I363"")"),0)</f>
        <v>0</v>
      </c>
      <c r="J468" s="198">
        <f ca="1">IFERROR(__xludf.DUMMYFUNCTION("IMPORTRANGE(""https://docs.google.com/spreadsheets/d/11923uPwbBZFjjGgGUA6NLw09EwE0CqkOc4q9oUmW1yo/edit?usp=sharing"",""นครสวรรค์!J363"")"),2614)</f>
        <v>2614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IFERROR(__xludf.DUMMYFUNCTION("IMPORTRANGE(""https://docs.google.com/spreadsheets/d/11923uPwbBZFjjGgGUA6NLw09EwE0CqkOc4q9oUmW1yo/edit?usp=sharing"",""นครสวรรค์!I364"")"),0)</f>
        <v>0</v>
      </c>
      <c r="J469" s="198">
        <f ca="1">IFERROR(__xludf.DUMMYFUNCTION("IMPORTRANGE(""https://docs.google.com/spreadsheets/d/11923uPwbBZFjjGgGUA6NLw09EwE0CqkOc4q9oUmW1yo/edit?usp=sharing"",""นครสวรรค์!J364"")"),11005)</f>
        <v>11005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IFERROR(__xludf.DUMMYFUNCTION("IMPORTRANGE(""https://docs.google.com/spreadsheets/d/11923uPwbBZFjjGgGUA6NLw09EwE0CqkOc4q9oUmW1yo/edit?usp=sharing"",""นครสวรรค์!I365"")"),0)</f>
        <v>0</v>
      </c>
      <c r="J470" s="198">
        <f ca="1">IFERROR(__xludf.DUMMYFUNCTION("IMPORTRANGE(""https://docs.google.com/spreadsheets/d/11923uPwbBZFjjGgGUA6NLw09EwE0CqkOc4q9oUmW1yo/edit?usp=sharing"",""นครสวรรค์!J365"")"),695)</f>
        <v>695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IFERROR(__xludf.DUMMYFUNCTION("IMPORTRANGE(""https://docs.google.com/spreadsheets/d/11923uPwbBZFjjGgGUA6NLw09EwE0CqkOc4q9oUmW1yo/edit?usp=sharing"",""นครสวรรค์!I366"")"),0)</f>
        <v>0</v>
      </c>
      <c r="J471" s="198">
        <f ca="1">IFERROR(__xludf.DUMMYFUNCTION("IMPORTRANGE(""https://docs.google.com/spreadsheets/d/11923uPwbBZFjjGgGUA6NLw09EwE0CqkOc4q9oUmW1yo/edit?usp=sharing"",""นครสวรรค์!J366"")"),1546)</f>
        <v>1546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IFERROR(__xludf.DUMMYFUNCTION("IMPORTRANGE(""https://docs.google.com/spreadsheets/d/11923uPwbBZFjjGgGUA6NLw09EwE0CqkOc4q9oUmW1yo/edit?usp=sharing"",""นครสวรรค์!I367"")"),0)</f>
        <v>0</v>
      </c>
      <c r="J472" s="198">
        <f ca="1">IFERROR(__xludf.DUMMYFUNCTION("IMPORTRANGE(""https://docs.google.com/spreadsheets/d/11923uPwbBZFjjGgGUA6NLw09EwE0CqkOc4q9oUmW1yo/edit?usp=sharing"",""นครสวรรค์!J367"")"),138)</f>
        <v>138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IFERROR(__xludf.DUMMYFUNCTION("IMPORTRANGE(""https://docs.google.com/spreadsheets/d/11923uPwbBZFjjGgGUA6NLw09EwE0CqkOc4q9oUmW1yo/edit?usp=sharing"",""นครสวรรค์!I368"")"),40137)</f>
        <v>40137</v>
      </c>
      <c r="J473" s="428">
        <f ca="1">IFERROR(__xludf.DUMMYFUNCTION("IMPORTRANGE(""https://docs.google.com/spreadsheets/d/11923uPwbBZFjjGgGUA6NLw09EwE0CqkOc4q9oUmW1yo/edit?usp=sharing"",""นครสวรรค์!J368"")"),0)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IFERROR(__xludf.DUMMYFUNCTION("IMPORTRANGE(""https://docs.google.com/spreadsheets/d/11923uPwbBZFjjGgGUA6NLw09EwE0CqkOc4q9oUmW1yo/edit?usp=sharing"",""นครสวรรค์!I369"")"),3128)</f>
        <v>3128</v>
      </c>
      <c r="J474" s="428">
        <f ca="1">IFERROR(__xludf.DUMMYFUNCTION("IMPORTRANGE(""https://docs.google.com/spreadsheets/d/11923uPwbBZFjjGgGUA6NLw09EwE0CqkOc4q9oUmW1yo/edit?usp=sharing"",""นครสวรรค์!J369"")"),0)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IFERROR(__xludf.DUMMYFUNCTION("IMPORTRANGE(""https://docs.google.com/spreadsheets/d/11923uPwbBZFjjGgGUA6NLw09EwE0CqkOc4q9oUmW1yo/edit?usp=sharing"",""นครสวรรค์!I370"")"),0)</f>
        <v>0</v>
      </c>
      <c r="J475" s="198">
        <f ca="1">IFERROR(__xludf.DUMMYFUNCTION("IMPORTRANGE(""https://docs.google.com/spreadsheets/d/11923uPwbBZFjjGgGUA6NLw09EwE0CqkOc4q9oUmW1yo/edit?usp=sharing"",""นครสวรรค์!J370"")"),0)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IFERROR(__xludf.DUMMYFUNCTION("IMPORTRANGE(""https://docs.google.com/spreadsheets/d/11923uPwbBZFjjGgGUA6NLw09EwE0CqkOc4q9oUmW1yo/edit?usp=sharing"",""นครสวรรค์!I371"")"),0)</f>
        <v>0</v>
      </c>
      <c r="J476" s="198">
        <f ca="1">IFERROR(__xludf.DUMMYFUNCTION("IMPORTRANGE(""https://docs.google.com/spreadsheets/d/11923uPwbBZFjjGgGUA6NLw09EwE0CqkOc4q9oUmW1yo/edit?usp=sharing"",""นครสวรรค์!J371"")"),0)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IFERROR(__xludf.DUMMYFUNCTION("IMPORTRANGE(""https://docs.google.com/spreadsheets/d/11923uPwbBZFjjGgGUA6NLw09EwE0CqkOc4q9oUmW1yo/edit?usp=sharing"",""นครสวรรค์!I372"")"),0)</f>
        <v>0</v>
      </c>
      <c r="J477" s="198">
        <f ca="1">IFERROR(__xludf.DUMMYFUNCTION("IMPORTRANGE(""https://docs.google.com/spreadsheets/d/11923uPwbBZFjjGgGUA6NLw09EwE0CqkOc4q9oUmW1yo/edit?usp=sharing"",""นครสวรรค์!J372"")"),0)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IFERROR(__xludf.DUMMYFUNCTION("IMPORTRANGE(""https://docs.google.com/spreadsheets/d/11923uPwbBZFjjGgGUA6NLw09EwE0CqkOc4q9oUmW1yo/edit?usp=sharing"",""นครสวรรค์!I373"")"),0)</f>
        <v>0</v>
      </c>
      <c r="J478" s="198">
        <f ca="1">IFERROR(__xludf.DUMMYFUNCTION("IMPORTRANGE(""https://docs.google.com/spreadsheets/d/11923uPwbBZFjjGgGUA6NLw09EwE0CqkOc4q9oUmW1yo/edit?usp=sharing"",""นครสวรรค์!J373"")"),0)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IFERROR(__xludf.DUMMYFUNCTION("IMPORTRANGE(""https://docs.google.com/spreadsheets/d/11923uPwbBZFjjGgGUA6NLw09EwE0CqkOc4q9oUmW1yo/edit?usp=sharing"",""นครสวรรค์!I374"")"),0)</f>
        <v>0</v>
      </c>
      <c r="J479" s="198">
        <f ca="1">IFERROR(__xludf.DUMMYFUNCTION("IMPORTRANGE(""https://docs.google.com/spreadsheets/d/11923uPwbBZFjjGgGUA6NLw09EwE0CqkOc4q9oUmW1yo/edit?usp=sharing"",""นครสวรรค์!J374"")"),0)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IFERROR(__xludf.DUMMYFUNCTION("IMPORTRANGE(""https://docs.google.com/spreadsheets/d/11923uPwbBZFjjGgGUA6NLw09EwE0CqkOc4q9oUmW1yo/edit?usp=sharing"",""นครสวรรค์!I375"")"),0)</f>
        <v>0</v>
      </c>
      <c r="J480" s="198">
        <f ca="1">IFERROR(__xludf.DUMMYFUNCTION("IMPORTRANGE(""https://docs.google.com/spreadsheets/d/11923uPwbBZFjjGgGUA6NLw09EwE0CqkOc4q9oUmW1yo/edit?usp=sharing"",""นครสวรรค์!J375"")"),0)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IFERROR(__xludf.DUMMYFUNCTION("IMPORTRANGE(""https://docs.google.com/spreadsheets/d/11923uPwbBZFjjGgGUA6NLw09EwE0CqkOc4q9oUmW1yo/edit?usp=sharing"",""นครสวรรค์!I376"")"),40137)</f>
        <v>40137</v>
      </c>
      <c r="J481" s="428">
        <f ca="1">IFERROR(__xludf.DUMMYFUNCTION("IMPORTRANGE(""https://docs.google.com/spreadsheets/d/11923uPwbBZFjjGgGUA6NLw09EwE0CqkOc4q9oUmW1yo/edit?usp=sharing"",""นครสวรรค์!J376"")"),0)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IFERROR(__xludf.DUMMYFUNCTION("IMPORTRANGE(""https://docs.google.com/spreadsheets/d/11923uPwbBZFjjGgGUA6NLw09EwE0CqkOc4q9oUmW1yo/edit?usp=sharing"",""นครสวรรค์!I377"")"),3128)</f>
        <v>3128</v>
      </c>
      <c r="J482" s="428">
        <f ca="1">IFERROR(__xludf.DUMMYFUNCTION("IMPORTRANGE(""https://docs.google.com/spreadsheets/d/11923uPwbBZFjjGgGUA6NLw09EwE0CqkOc4q9oUmW1yo/edit?usp=sharing"",""นครสวรรค์!J377"")"),0)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IFERROR(__xludf.DUMMYFUNCTION("IMPORTRANGE(""https://docs.google.com/spreadsheets/d/11923uPwbBZFjjGgGUA6NLw09EwE0CqkOc4q9oUmW1yo/edit?usp=sharing"",""นครสวรรค์!I378"")"),0)</f>
        <v>0</v>
      </c>
      <c r="J483" s="198">
        <f ca="1">IFERROR(__xludf.DUMMYFUNCTION("IMPORTRANGE(""https://docs.google.com/spreadsheets/d/11923uPwbBZFjjGgGUA6NLw09EwE0CqkOc4q9oUmW1yo/edit?usp=sharing"",""นครสวรรค์!J378"")"),0)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IFERROR(__xludf.DUMMYFUNCTION("IMPORTRANGE(""https://docs.google.com/spreadsheets/d/11923uPwbBZFjjGgGUA6NLw09EwE0CqkOc4q9oUmW1yo/edit?usp=sharing"",""นครสวรรค์!I379"")"),0)</f>
        <v>0</v>
      </c>
      <c r="J484" s="198">
        <f ca="1">IFERROR(__xludf.DUMMYFUNCTION("IMPORTRANGE(""https://docs.google.com/spreadsheets/d/11923uPwbBZFjjGgGUA6NLw09EwE0CqkOc4q9oUmW1yo/edit?usp=sharing"",""นครสวรรค์!J379"")"),0)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IFERROR(__xludf.DUMMYFUNCTION("IMPORTRANGE(""https://docs.google.com/spreadsheets/d/11923uPwbBZFjjGgGUA6NLw09EwE0CqkOc4q9oUmW1yo/edit?usp=sharing"",""นครสวรรค์!I380"")"),0)</f>
        <v>0</v>
      </c>
      <c r="J485" s="198">
        <f ca="1">IFERROR(__xludf.DUMMYFUNCTION("IMPORTRANGE(""https://docs.google.com/spreadsheets/d/11923uPwbBZFjjGgGUA6NLw09EwE0CqkOc4q9oUmW1yo/edit?usp=sharing"",""นครสวรรค์!J380"")"),0)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IFERROR(__xludf.DUMMYFUNCTION("IMPORTRANGE(""https://docs.google.com/spreadsheets/d/11923uPwbBZFjjGgGUA6NLw09EwE0CqkOc4q9oUmW1yo/edit?usp=sharing"",""นครสวรรค์!I381"")"),0)</f>
        <v>0</v>
      </c>
      <c r="J486" s="198">
        <f ca="1">IFERROR(__xludf.DUMMYFUNCTION("IMPORTRANGE(""https://docs.google.com/spreadsheets/d/11923uPwbBZFjjGgGUA6NLw09EwE0CqkOc4q9oUmW1yo/edit?usp=sharing"",""นครสวรรค์!J381"")"),0)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IFERROR(__xludf.DUMMYFUNCTION("IMPORTRANGE(""https://docs.google.com/spreadsheets/d/11923uPwbBZFjjGgGUA6NLw09EwE0CqkOc4q9oUmW1yo/edit?usp=sharing"",""นครสวรรค์!I382"")"),0)</f>
        <v>0</v>
      </c>
      <c r="J487" s="428">
        <f ca="1">IFERROR(__xludf.DUMMYFUNCTION("IMPORTRANGE(""https://docs.google.com/spreadsheets/d/11923uPwbBZFjjGgGUA6NLw09EwE0CqkOc4q9oUmW1yo/edit?usp=sharing"",""นครสวรรค์!J382"")"),0)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IFERROR(__xludf.DUMMYFUNCTION("IMPORTRANGE(""https://docs.google.com/spreadsheets/d/11923uPwbBZFjjGgGUA6NLw09EwE0CqkOc4q9oUmW1yo/edit?usp=sharing"",""นครสวรรค์!I383"")"),0)</f>
        <v>0</v>
      </c>
      <c r="J488" s="428">
        <f ca="1">IFERROR(__xludf.DUMMYFUNCTION("IMPORTRANGE(""https://docs.google.com/spreadsheets/d/11923uPwbBZFjjGgGUA6NLw09EwE0CqkOc4q9oUmW1yo/edit?usp=sharing"",""นครสวรรค์!J383"")"),0)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IFERROR(__xludf.DUMMYFUNCTION("IMPORTRANGE(""https://docs.google.com/spreadsheets/d/11923uPwbBZFjjGgGUA6NLw09EwE0CqkOc4q9oUmW1yo/edit?usp=sharing"",""นครสวรรค์!I384"")"),0)</f>
        <v>0</v>
      </c>
      <c r="J489" s="198">
        <f ca="1">IFERROR(__xludf.DUMMYFUNCTION("IMPORTRANGE(""https://docs.google.com/spreadsheets/d/11923uPwbBZFjjGgGUA6NLw09EwE0CqkOc4q9oUmW1yo/edit?usp=sharing"",""นครสวรรค์!J384"")"),0)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IFERROR(__xludf.DUMMYFUNCTION("IMPORTRANGE(""https://docs.google.com/spreadsheets/d/11923uPwbBZFjjGgGUA6NLw09EwE0CqkOc4q9oUmW1yo/edit?usp=sharing"",""นครสวรรค์!I385"")"),0)</f>
        <v>0</v>
      </c>
      <c r="J490" s="198">
        <f ca="1">IFERROR(__xludf.DUMMYFUNCTION("IMPORTRANGE(""https://docs.google.com/spreadsheets/d/11923uPwbBZFjjGgGUA6NLw09EwE0CqkOc4q9oUmW1yo/edit?usp=sharing"",""นครสวรรค์!J385"")"),0)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IFERROR(__xludf.DUMMYFUNCTION("IMPORTRANGE(""https://docs.google.com/spreadsheets/d/11923uPwbBZFjjGgGUA6NLw09EwE0CqkOc4q9oUmW1yo/edit?usp=sharing"",""นครสวรรค์!I386"")"),0)</f>
        <v>0</v>
      </c>
      <c r="J491" s="198">
        <f ca="1">IFERROR(__xludf.DUMMYFUNCTION("IMPORTRANGE(""https://docs.google.com/spreadsheets/d/11923uPwbBZFjjGgGUA6NLw09EwE0CqkOc4q9oUmW1yo/edit?usp=sharing"",""นครสวรรค์!J386"")"),0)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IFERROR(__xludf.DUMMYFUNCTION("IMPORTRANGE(""https://docs.google.com/spreadsheets/d/11923uPwbBZFjjGgGUA6NLw09EwE0CqkOc4q9oUmW1yo/edit?usp=sharing"",""นครสวรรค์!I387"")"),0)</f>
        <v>0</v>
      </c>
      <c r="J492" s="198">
        <f ca="1">IFERROR(__xludf.DUMMYFUNCTION("IMPORTRANGE(""https://docs.google.com/spreadsheets/d/11923uPwbBZFjjGgGUA6NLw09EwE0CqkOc4q9oUmW1yo/edit?usp=sharing"",""นครสวรรค์!J387"")"),0)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IFERROR(__xludf.DUMMYFUNCTION("IMPORTRANGE(""https://docs.google.com/spreadsheets/d/11923uPwbBZFjjGgGUA6NLw09EwE0CqkOc4q9oUmW1yo/edit?usp=sharing"",""นครสวรรค์!I388"")"),0)</f>
        <v>0</v>
      </c>
      <c r="J493" s="198">
        <f ca="1">IFERROR(__xludf.DUMMYFUNCTION("IMPORTRANGE(""https://docs.google.com/spreadsheets/d/11923uPwbBZFjjGgGUA6NLw09EwE0CqkOc4q9oUmW1yo/edit?usp=sharing"",""นครสวรรค์!J388"")"),0)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IFERROR(__xludf.DUMMYFUNCTION("IMPORTRANGE(""https://docs.google.com/spreadsheets/d/11923uPwbBZFjjGgGUA6NLw09EwE0CqkOc4q9oUmW1yo/edit?usp=sharing"",""นครสวรรค์!I389"")"),0)</f>
        <v>0</v>
      </c>
      <c r="J494" s="444">
        <f ca="1">IFERROR(__xludf.DUMMYFUNCTION("IMPORTRANGE(""https://docs.google.com/spreadsheets/d/11923uPwbBZFjjGgGUA6NLw09EwE0CqkOc4q9oUmW1yo/edit?usp=sharing"",""นครสวรรค์!J389"")"),0)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IFERROR(__xludf.DUMMYFUNCTION("IMPORTRANGE(""https://docs.google.com/spreadsheets/d/11923uPwbBZFjjGgGUA6NLw09EwE0CqkOc4q9oUmW1yo/edit?usp=sharing"",""นครสวรรค์!I390"")"),0)</f>
        <v>0</v>
      </c>
      <c r="J495" s="444">
        <f ca="1">IFERROR(__xludf.DUMMYFUNCTION("IMPORTRANGE(""https://docs.google.com/spreadsheets/d/11923uPwbBZFjjGgGUA6NLw09EwE0CqkOc4q9oUmW1yo/edit?usp=sharing"",""นครสวรรค์!J390"")"),0)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IFERROR(__xludf.DUMMYFUNCTION("IMPORTRANGE(""https://docs.google.com/spreadsheets/d/11923uPwbBZFjjGgGUA6NLw09EwE0CqkOc4q9oUmW1yo/edit?usp=sharing"",""นครสวรรค์!I391"")"),0)</f>
        <v>0</v>
      </c>
      <c r="J496" s="444">
        <f ca="1">IFERROR(__xludf.DUMMYFUNCTION("IMPORTRANGE(""https://docs.google.com/spreadsheets/d/11923uPwbBZFjjGgGUA6NLw09EwE0CqkOc4q9oUmW1yo/edit?usp=sharing"",""นครสวรรค์!J391"")"),0)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IFERROR(__xludf.DUMMYFUNCTION("IMPORTRANGE(""https://docs.google.com/spreadsheets/d/11923uPwbBZFjjGgGUA6NLw09EwE0CqkOc4q9oUmW1yo/edit?usp=sharing"",""นครสวรรค์!I392"")"),1984)</f>
        <v>1984</v>
      </c>
      <c r="J497" s="451">
        <f ca="1">IFERROR(__xludf.DUMMYFUNCTION("IMPORTRANGE(""https://docs.google.com/spreadsheets/d/11923uPwbBZFjjGgGUA6NLw09EwE0CqkOc4q9oUmW1yo/edit?usp=sharing"",""นครสวรรค์!J392"")"),0)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IFERROR(__xludf.DUMMYFUNCTION("IMPORTRANGE(""https://docs.google.com/spreadsheets/d/11923uPwbBZFjjGgGUA6NLw09EwE0CqkOc4q9oUmW1yo/edit?usp=sharing"",""นครสวรรค์!I393"")"),1984)</f>
        <v>1984</v>
      </c>
      <c r="J498" s="428">
        <f ca="1">IFERROR(__xludf.DUMMYFUNCTION("IMPORTRANGE(""https://docs.google.com/spreadsheets/d/11923uPwbBZFjjGgGUA6NLw09EwE0CqkOc4q9oUmW1yo/edit?usp=sharing"",""นครสวรรค์!J393"")"),0)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IFERROR(__xludf.DUMMYFUNCTION("IMPORTRANGE(""https://docs.google.com/spreadsheets/d/11923uPwbBZFjjGgGUA6NLw09EwE0CqkOc4q9oUmW1yo/edit?usp=sharing"",""นครสวรรค์!I394"")"),117)</f>
        <v>117</v>
      </c>
      <c r="J499" s="428">
        <f ca="1">IFERROR(__xludf.DUMMYFUNCTION("IMPORTRANGE(""https://docs.google.com/spreadsheets/d/11923uPwbBZFjjGgGUA6NLw09EwE0CqkOc4q9oUmW1yo/edit?usp=sharing"",""นครสวรรค์!J394"")"),0)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IFERROR(__xludf.DUMMYFUNCTION("IMPORTRANGE(""https://docs.google.com/spreadsheets/d/11923uPwbBZFjjGgGUA6NLw09EwE0CqkOc4q9oUmW1yo/edit?usp=sharing"",""นครสวรรค์!I395"")"),0)</f>
        <v>0</v>
      </c>
      <c r="J500" s="170">
        <f ca="1">IFERROR(__xludf.DUMMYFUNCTION("IMPORTRANGE(""https://docs.google.com/spreadsheets/d/11923uPwbBZFjjGgGUA6NLw09EwE0CqkOc4q9oUmW1yo/edit?usp=sharing"",""นครสวรรค์!J395"")"),0)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IFERROR(__xludf.DUMMYFUNCTION("IMPORTRANGE(""https://docs.google.com/spreadsheets/d/11923uPwbBZFjjGgGUA6NLw09EwE0CqkOc4q9oUmW1yo/edit?usp=sharing"",""นครสวรรค์!I396"")"),0)</f>
        <v>0</v>
      </c>
      <c r="J501" s="170">
        <f ca="1">IFERROR(__xludf.DUMMYFUNCTION("IMPORTRANGE(""https://docs.google.com/spreadsheets/d/11923uPwbBZFjjGgGUA6NLw09EwE0CqkOc4q9oUmW1yo/edit?usp=sharing"",""นครสวรรค์!J396"")"),0)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IFERROR(__xludf.DUMMYFUNCTION("IMPORTRANGE(""https://docs.google.com/spreadsheets/d/11923uPwbBZFjjGgGUA6NLw09EwE0CqkOc4q9oUmW1yo/edit?usp=sharing"",""นครสวรรค์!I397"")"),0)</f>
        <v>0</v>
      </c>
      <c r="J502" s="198">
        <f ca="1">IFERROR(__xludf.DUMMYFUNCTION("IMPORTRANGE(""https://docs.google.com/spreadsheets/d/11923uPwbBZFjjGgGUA6NLw09EwE0CqkOc4q9oUmW1yo/edit?usp=sharing"",""นครสวรรค์!J397"")"),0)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IFERROR(__xludf.DUMMYFUNCTION("IMPORTRANGE(""https://docs.google.com/spreadsheets/d/11923uPwbBZFjjGgGUA6NLw09EwE0CqkOc4q9oUmW1yo/edit?usp=sharing"",""นครสวรรค์!I398"")"),0)</f>
        <v>0</v>
      </c>
      <c r="J503" s="207">
        <f ca="1">IFERROR(__xludf.DUMMYFUNCTION("IMPORTRANGE(""https://docs.google.com/spreadsheets/d/11923uPwbBZFjjGgGUA6NLw09EwE0CqkOc4q9oUmW1yo/edit?usp=sharing"",""นครสวรรค์!J398"")"),0)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IFERROR(__xludf.DUMMYFUNCTION("IMPORTRANGE(""https://docs.google.com/spreadsheets/d/11923uPwbBZFjjGgGUA6NLw09EwE0CqkOc4q9oUmW1yo/edit?usp=sharing"",""นครสวรรค์!I399"")"),0)</f>
        <v>0</v>
      </c>
      <c r="J504" s="198">
        <f ca="1">IFERROR(__xludf.DUMMYFUNCTION("IMPORTRANGE(""https://docs.google.com/spreadsheets/d/11923uPwbBZFjjGgGUA6NLw09EwE0CqkOc4q9oUmW1yo/edit?usp=sharing"",""นครสวรรค์!J399"")"),0)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IFERROR(__xludf.DUMMYFUNCTION("IMPORTRANGE(""https://docs.google.com/spreadsheets/d/11923uPwbBZFjjGgGUA6NLw09EwE0CqkOc4q9oUmW1yo/edit?usp=sharing"",""นครสวรรค์!I400"")"),0)</f>
        <v>0</v>
      </c>
      <c r="J505" s="207">
        <f ca="1">IFERROR(__xludf.DUMMYFUNCTION("IMPORTRANGE(""https://docs.google.com/spreadsheets/d/11923uPwbBZFjjGgGUA6NLw09EwE0CqkOc4q9oUmW1yo/edit?usp=sharing"",""นครสวรรค์!J400"")"),0)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IFERROR(__xludf.DUMMYFUNCTION("IMPORTRANGE(""https://docs.google.com/spreadsheets/d/11923uPwbBZFjjGgGUA6NLw09EwE0CqkOc4q9oUmW1yo/edit?usp=sharing"",""นครสวรรค์!I401"")"),0)</f>
        <v>0</v>
      </c>
      <c r="J506" s="198">
        <f ca="1">IFERROR(__xludf.DUMMYFUNCTION("IMPORTRANGE(""https://docs.google.com/spreadsheets/d/11923uPwbBZFjjGgGUA6NLw09EwE0CqkOc4q9oUmW1yo/edit?usp=sharing"",""นครสวรรค์!J401"")"),0)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IFERROR(__xludf.DUMMYFUNCTION("IMPORTRANGE(""https://docs.google.com/spreadsheets/d/11923uPwbBZFjjGgGUA6NLw09EwE0CqkOc4q9oUmW1yo/edit?usp=sharing"",""นครสวรรค์!I402"")"),0)</f>
        <v>0</v>
      </c>
      <c r="J507" s="207">
        <f ca="1">IFERROR(__xludf.DUMMYFUNCTION("IMPORTRANGE(""https://docs.google.com/spreadsheets/d/11923uPwbBZFjjGgGUA6NLw09EwE0CqkOc4q9oUmW1yo/edit?usp=sharing"",""นครสวรรค์!J402"")"),0)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IFERROR(__xludf.DUMMYFUNCTION("IMPORTRANGE(""https://docs.google.com/spreadsheets/d/11923uPwbBZFjjGgGUA6NLw09EwE0CqkOc4q9oUmW1yo/edit?usp=sharing"",""นครสวรรค์!I403"")"),0)</f>
        <v>0</v>
      </c>
      <c r="J508" s="170">
        <f ca="1">IFERROR(__xludf.DUMMYFUNCTION("IMPORTRANGE(""https://docs.google.com/spreadsheets/d/11923uPwbBZFjjGgGUA6NLw09EwE0CqkOc4q9oUmW1yo/edit?usp=sharing"",""นครสวรรค์!J403"")"),0)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IFERROR(__xludf.DUMMYFUNCTION("IMPORTRANGE(""https://docs.google.com/spreadsheets/d/11923uPwbBZFjjGgGUA6NLw09EwE0CqkOc4q9oUmW1yo/edit?usp=sharing"",""นครสวรรค์!I404"")"),0)</f>
        <v>0</v>
      </c>
      <c r="J509" s="170">
        <f ca="1">IFERROR(__xludf.DUMMYFUNCTION("IMPORTRANGE(""https://docs.google.com/spreadsheets/d/11923uPwbBZFjjGgGUA6NLw09EwE0CqkOc4q9oUmW1yo/edit?usp=sharing"",""นครสวรรค์!J404"")"),0)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IFERROR(__xludf.DUMMYFUNCTION("IMPORTRANGE(""https://docs.google.com/spreadsheets/d/11923uPwbBZFjjGgGUA6NLw09EwE0CqkOc4q9oUmW1yo/edit?usp=sharing"",""นครสวรรค์!I405"")"),0)</f>
        <v>0</v>
      </c>
      <c r="J510" s="207">
        <f ca="1">IFERROR(__xludf.DUMMYFUNCTION("IMPORTRANGE(""https://docs.google.com/spreadsheets/d/11923uPwbBZFjjGgGUA6NLw09EwE0CqkOc4q9oUmW1yo/edit?usp=sharing"",""นครสวรรค์!J405"")"),0)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IFERROR(__xludf.DUMMYFUNCTION("IMPORTRANGE(""https://docs.google.com/spreadsheets/d/11923uPwbBZFjjGgGUA6NLw09EwE0CqkOc4q9oUmW1yo/edit?usp=sharing"",""นครสวรรค์!I406"")"),0)</f>
        <v>0</v>
      </c>
      <c r="J511" s="207">
        <f ca="1">IFERROR(__xludf.DUMMYFUNCTION("IMPORTRANGE(""https://docs.google.com/spreadsheets/d/11923uPwbBZFjjGgGUA6NLw09EwE0CqkOc4q9oUmW1yo/edit?usp=sharing"",""นครสวรรค์!J406"")"),0)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IFERROR(__xludf.DUMMYFUNCTION("IMPORTRANGE(""https://docs.google.com/spreadsheets/d/11923uPwbBZFjjGgGUA6NLw09EwE0CqkOc4q9oUmW1yo/edit?usp=sharing"",""นครสวรรค์!I407"")"),0)</f>
        <v>0</v>
      </c>
      <c r="J512" s="207">
        <f ca="1">IFERROR(__xludf.DUMMYFUNCTION("IMPORTRANGE(""https://docs.google.com/spreadsheets/d/11923uPwbBZFjjGgGUA6NLw09EwE0CqkOc4q9oUmW1yo/edit?usp=sharing"",""นครสวรรค์!J407"")"),0)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IFERROR(__xludf.DUMMYFUNCTION("IMPORTRANGE(""https://docs.google.com/spreadsheets/d/11923uPwbBZFjjGgGUA6NLw09EwE0CqkOc4q9oUmW1yo/edit?usp=sharing"",""นครสวรรค์!I408"")"),0)</f>
        <v>0</v>
      </c>
      <c r="J513" s="207">
        <f ca="1">IFERROR(__xludf.DUMMYFUNCTION("IMPORTRANGE(""https://docs.google.com/spreadsheets/d/11923uPwbBZFjjGgGUA6NLw09EwE0CqkOc4q9oUmW1yo/edit?usp=sharing"",""นครสวรรค์!J408"")"),0)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IFERROR(__xludf.DUMMYFUNCTION("IMPORTRANGE(""https://docs.google.com/spreadsheets/d/11923uPwbBZFjjGgGUA6NLw09EwE0CqkOc4q9oUmW1yo/edit?usp=sharing"",""นครสวรรค์!I409"")"),0)</f>
        <v>0</v>
      </c>
      <c r="J514" s="207">
        <f ca="1">IFERROR(__xludf.DUMMYFUNCTION("IMPORTRANGE(""https://docs.google.com/spreadsheets/d/11923uPwbBZFjjGgGUA6NLw09EwE0CqkOc4q9oUmW1yo/edit?usp=sharing"",""นครสวรรค์!J409"")"),0)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IFERROR(__xludf.DUMMYFUNCTION("IMPORTRANGE(""https://docs.google.com/spreadsheets/d/11923uPwbBZFjjGgGUA6NLw09EwE0CqkOc4q9oUmW1yo/edit?usp=sharing"",""นครสวรรค์!I410"")"),0)</f>
        <v>0</v>
      </c>
      <c r="J515" s="207">
        <f ca="1">IFERROR(__xludf.DUMMYFUNCTION("IMPORTRANGE(""https://docs.google.com/spreadsheets/d/11923uPwbBZFjjGgGUA6NLw09EwE0CqkOc4q9oUmW1yo/edit?usp=sharing"",""นครสวรรค์!J410"")"),0)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IFERROR(__xludf.DUMMYFUNCTION("IMPORTRANGE(""https://docs.google.com/spreadsheets/d/11923uPwbBZFjjGgGUA6NLw09EwE0CqkOc4q9oUmW1yo/edit?usp=sharing"",""นครสวรรค์!I411"")"),0)</f>
        <v>0</v>
      </c>
      <c r="J516" s="276">
        <f ca="1">IFERROR(__xludf.DUMMYFUNCTION("IMPORTRANGE(""https://docs.google.com/spreadsheets/d/11923uPwbBZFjjGgGUA6NLw09EwE0CqkOc4q9oUmW1yo/edit?usp=sharing"",""นครสวรรค์!J411"")"),0)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IFERROR(__xludf.DUMMYFUNCTION("IMPORTRANGE(""https://docs.google.com/spreadsheets/d/11923uPwbBZFjjGgGUA6NLw09EwE0CqkOc4q9oUmW1yo/edit?usp=sharing"",""นครสวรรค์!I412"")"),0)</f>
        <v>0</v>
      </c>
      <c r="J517" s="292">
        <f ca="1">IFERROR(__xludf.DUMMYFUNCTION("IMPORTRANGE(""https://docs.google.com/spreadsheets/d/11923uPwbBZFjjGgGUA6NLw09EwE0CqkOc4q9oUmW1yo/edit?usp=sharing"",""นครสวรรค์!J412"")"),0)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IFERROR(__xludf.DUMMYFUNCTION("IMPORTRANGE(""https://docs.google.com/spreadsheets/d/11923uPwbBZFjjGgGUA6NLw09EwE0CqkOc4q9oUmW1yo/edit?usp=sharing"",""นครสวรรค์!I413"")"),0)</f>
        <v>0</v>
      </c>
      <c r="J518" s="292">
        <f ca="1">IFERROR(__xludf.DUMMYFUNCTION("IMPORTRANGE(""https://docs.google.com/spreadsheets/d/11923uPwbBZFjjGgGUA6NLw09EwE0CqkOc4q9oUmW1yo/edit?usp=sharing"",""นครสวรรค์!J413"")"),0)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IFERROR(__xludf.DUMMYFUNCTION("IMPORTRANGE(""https://docs.google.com/spreadsheets/d/11923uPwbBZFjjGgGUA6NLw09EwE0CqkOc4q9oUmW1yo/edit?usp=sharing"",""นครสวรรค์!I414"")"),0)</f>
        <v>0</v>
      </c>
      <c r="J519" s="197">
        <f ca="1">IFERROR(__xludf.DUMMYFUNCTION("IMPORTRANGE(""https://docs.google.com/spreadsheets/d/11923uPwbBZFjjGgGUA6NLw09EwE0CqkOc4q9oUmW1yo/edit?usp=sharing"",""นครสวรรค์!J414"")"),0)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IFERROR(__xludf.DUMMYFUNCTION("IMPORTRANGE(""https://docs.google.com/spreadsheets/d/11923uPwbBZFjjGgGUA6NLw09EwE0CqkOc4q9oUmW1yo/edit?usp=sharing"",""นครสวรรค์!I415"")"),0)</f>
        <v>0</v>
      </c>
      <c r="J520" s="197">
        <f ca="1">IFERROR(__xludf.DUMMYFUNCTION("IMPORTRANGE(""https://docs.google.com/spreadsheets/d/11923uPwbBZFjjGgGUA6NLw09EwE0CqkOc4q9oUmW1yo/edit?usp=sharing"",""นครสวรรค์!J415"")"),0)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IFERROR(__xludf.DUMMYFUNCTION("IMPORTRANGE(""https://docs.google.com/spreadsheets/d/11923uPwbBZFjjGgGUA6NLw09EwE0CqkOc4q9oUmW1yo/edit?usp=sharing"",""นครสวรรค์!I416"")"),0)</f>
        <v>0</v>
      </c>
      <c r="J521" s="197">
        <f ca="1">IFERROR(__xludf.DUMMYFUNCTION("IMPORTRANGE(""https://docs.google.com/spreadsheets/d/11923uPwbBZFjjGgGUA6NLw09EwE0CqkOc4q9oUmW1yo/edit?usp=sharing"",""นครสวรรค์!J416"")"),0)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IFERROR(__xludf.DUMMYFUNCTION("IMPORTRANGE(""https://docs.google.com/spreadsheets/d/11923uPwbBZFjjGgGUA6NLw09EwE0CqkOc4q9oUmW1yo/edit?usp=sharing"",""นครสวรรค์!I417"")"),0)</f>
        <v>0</v>
      </c>
      <c r="J522" s="197">
        <f ca="1">IFERROR(__xludf.DUMMYFUNCTION("IMPORTRANGE(""https://docs.google.com/spreadsheets/d/11923uPwbBZFjjGgGUA6NLw09EwE0CqkOc4q9oUmW1yo/edit?usp=sharing"",""นครสวรรค์!J417"")"),0)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IFERROR(__xludf.DUMMYFUNCTION("IMPORTRANGE(""https://docs.google.com/spreadsheets/d/11923uPwbBZFjjGgGUA6NLw09EwE0CqkOc4q9oUmW1yo/edit?usp=sharing"",""นครสวรรค์!I418"")"),0)</f>
        <v>0</v>
      </c>
      <c r="J523" s="197">
        <f ca="1">IFERROR(__xludf.DUMMYFUNCTION("IMPORTRANGE(""https://docs.google.com/spreadsheets/d/11923uPwbBZFjjGgGUA6NLw09EwE0CqkOc4q9oUmW1yo/edit?usp=sharing"",""นครสวรรค์!J418"")"),0)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IFERROR(__xludf.DUMMYFUNCTION("IMPORTRANGE(""https://docs.google.com/spreadsheets/d/11923uPwbBZFjjGgGUA6NLw09EwE0CqkOc4q9oUmW1yo/edit?usp=sharing"",""นครสวรรค์!I419"")"),0)</f>
        <v>0</v>
      </c>
      <c r="J524" s="197">
        <f ca="1">IFERROR(__xludf.DUMMYFUNCTION("IMPORTRANGE(""https://docs.google.com/spreadsheets/d/11923uPwbBZFjjGgGUA6NLw09EwE0CqkOc4q9oUmW1yo/edit?usp=sharing"",""นครสวรรค์!J419"")"),0)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IFERROR(__xludf.DUMMYFUNCTION("IMPORTRANGE(""https://docs.google.com/spreadsheets/d/11923uPwbBZFjjGgGUA6NLw09EwE0CqkOc4q9oUmW1yo/edit?usp=sharing"",""นครสวรรค์!I420"")"),0)</f>
        <v>0</v>
      </c>
      <c r="J525" s="292">
        <f ca="1">IFERROR(__xludf.DUMMYFUNCTION("IMPORTRANGE(""https://docs.google.com/spreadsheets/d/11923uPwbBZFjjGgGUA6NLw09EwE0CqkOc4q9oUmW1yo/edit?usp=sharing"",""นครสวรรค์!J420"")"),0)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IFERROR(__xludf.DUMMYFUNCTION("IMPORTRANGE(""https://docs.google.com/spreadsheets/d/11923uPwbBZFjjGgGUA6NLw09EwE0CqkOc4q9oUmW1yo/edit?usp=sharing"",""นครสวรรค์!I421"")"),0)</f>
        <v>0</v>
      </c>
      <c r="J526" s="292">
        <f ca="1">IFERROR(__xludf.DUMMYFUNCTION("IMPORTRANGE(""https://docs.google.com/spreadsheets/d/11923uPwbBZFjjGgGUA6NLw09EwE0CqkOc4q9oUmW1yo/edit?usp=sharing"",""นครสวรรค์!J421"")"),0)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IFERROR(__xludf.DUMMYFUNCTION("IMPORTRANGE(""https://docs.google.com/spreadsheets/d/11923uPwbBZFjjGgGUA6NLw09EwE0CqkOc4q9oUmW1yo/edit?usp=sharing"",""นครสวรรค์!I422"")"),0)</f>
        <v>0</v>
      </c>
      <c r="J527" s="207">
        <f ca="1">IFERROR(__xludf.DUMMYFUNCTION("IMPORTRANGE(""https://docs.google.com/spreadsheets/d/11923uPwbBZFjjGgGUA6NLw09EwE0CqkOc4q9oUmW1yo/edit?usp=sharing"",""นครสวรรค์!J422"")"),0)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IFERROR(__xludf.DUMMYFUNCTION("IMPORTRANGE(""https://docs.google.com/spreadsheets/d/11923uPwbBZFjjGgGUA6NLw09EwE0CqkOc4q9oUmW1yo/edit?usp=sharing"",""นครสวรรค์!I423"")"),0)</f>
        <v>0</v>
      </c>
      <c r="J528" s="207">
        <f ca="1">IFERROR(__xludf.DUMMYFUNCTION("IMPORTRANGE(""https://docs.google.com/spreadsheets/d/11923uPwbBZFjjGgGUA6NLw09EwE0CqkOc4q9oUmW1yo/edit?usp=sharing"",""นครสวรรค์!J423"")"),0)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IFERROR(__xludf.DUMMYFUNCTION("IMPORTRANGE(""https://docs.google.com/spreadsheets/d/11923uPwbBZFjjGgGUA6NLw09EwE0CqkOc4q9oUmW1yo/edit?usp=sharing"",""นครสวรรค์!I424"")"),0)</f>
        <v>0</v>
      </c>
      <c r="J529" s="207">
        <f ca="1">IFERROR(__xludf.DUMMYFUNCTION("IMPORTRANGE(""https://docs.google.com/spreadsheets/d/11923uPwbBZFjjGgGUA6NLw09EwE0CqkOc4q9oUmW1yo/edit?usp=sharing"",""นครสวรรค์!J424"")"),0)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IFERROR(__xludf.DUMMYFUNCTION("IMPORTRANGE(""https://docs.google.com/spreadsheets/d/11923uPwbBZFjjGgGUA6NLw09EwE0CqkOc4q9oUmW1yo/edit?usp=sharing"",""นครสวรรค์!I425"")"),0)</f>
        <v>0</v>
      </c>
      <c r="J530" s="207">
        <f ca="1">IFERROR(__xludf.DUMMYFUNCTION("IMPORTRANGE(""https://docs.google.com/spreadsheets/d/11923uPwbBZFjjGgGUA6NLw09EwE0CqkOc4q9oUmW1yo/edit?usp=sharing"",""นครสวรรค์!J425"")"),0)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IFERROR(__xludf.DUMMYFUNCTION("IMPORTRANGE(""https://docs.google.com/spreadsheets/d/11923uPwbBZFjjGgGUA6NLw09EwE0CqkOc4q9oUmW1yo/edit?usp=sharing"",""นครสวรรค์!I426"")"),0)</f>
        <v>0</v>
      </c>
      <c r="J531" s="207">
        <f ca="1">IFERROR(__xludf.DUMMYFUNCTION("IMPORTRANGE(""https://docs.google.com/spreadsheets/d/11923uPwbBZFjjGgGUA6NLw09EwE0CqkOc4q9oUmW1yo/edit?usp=sharing"",""นครสวรรค์!J426"")"),0)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IFERROR(__xludf.DUMMYFUNCTION("IMPORTRANGE(""https://docs.google.com/spreadsheets/d/11923uPwbBZFjjGgGUA6NLw09EwE0CqkOc4q9oUmW1yo/edit?usp=sharing"",""นครสวรรค์!I427"")"),0)</f>
        <v>0</v>
      </c>
      <c r="J532" s="474">
        <f ca="1">IFERROR(__xludf.DUMMYFUNCTION("IMPORTRANGE(""https://docs.google.com/spreadsheets/d/11923uPwbBZFjjGgGUA6NLw09EwE0CqkOc4q9oUmW1yo/edit?usp=sharing"",""นครสวรรค์!J427"")"),0)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IFERROR(__xludf.DUMMYFUNCTION("IMPORTRANGE(""https://docs.google.com/spreadsheets/d/11923uPwbBZFjjGgGUA6NLw09EwE0CqkOc4q9oUmW1yo/edit?usp=sharing"",""นครสวรรค์!I428"")"),22)</f>
        <v>22</v>
      </c>
      <c r="J533" s="418">
        <f ca="1">IFERROR(__xludf.DUMMYFUNCTION("IMPORTRANGE(""https://docs.google.com/spreadsheets/d/11923uPwbBZFjjGgGUA6NLw09EwE0CqkOc4q9oUmW1yo/edit?usp=sharing"",""นครสวรรค์!J428"")"),22)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IFERROR(__xludf.DUMMYFUNCTION("IMPORTRANGE(""https://docs.google.com/spreadsheets/d/11923uPwbBZFjjGgGUA6NLw09EwE0CqkOc4q9oUmW1yo/edit?usp=sharing"",""นครสวรรค์!L428"")"),34340)</f>
        <v>34340</v>
      </c>
      <c r="M533" s="420"/>
      <c r="N533" s="420">
        <f ca="1">IFERROR(__xludf.DUMMYFUNCTION("IMPORTRANGE(""https://docs.google.com/spreadsheets/d/11923uPwbBZFjjGgGUA6NLw09EwE0CqkOc4q9oUmW1yo/edit?usp=sharing"",""นครสวรรค์!M428"")"),19715)</f>
        <v>19715</v>
      </c>
      <c r="O533" s="420">
        <f t="shared" ref="O533:O537" ca="1" si="118">+IF(L533&gt;0,N533*100/L533,0)</f>
        <v>57.411182294700055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IFERROR(__xludf.DUMMYFUNCTION("IMPORTRANGE(""https://docs.google.com/spreadsheets/d/11923uPwbBZFjjGgGUA6NLw09EwE0CqkOc4q9oUmW1yo/edit?usp=sharing"",""นครสวรรค์!L429"")"),0)</f>
        <v>0</v>
      </c>
      <c r="M534" s="172"/>
      <c r="N534" s="178">
        <f ca="1">IFERROR(__xludf.DUMMYFUNCTION("IMPORTRANGE(""https://docs.google.com/spreadsheets/d/11923uPwbBZFjjGgGUA6NLw09EwE0CqkOc4q9oUmW1yo/edit?usp=sharing"",""นครสวรรค์!M429"")"),0)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IFERROR(__xludf.DUMMYFUNCTION("IMPORTRANGE(""https://docs.google.com/spreadsheets/d/11923uPwbBZFjjGgGUA6NLw09EwE0CqkOc4q9oUmW1yo/edit?usp=sharing"",""นครสวรรค์!L430"")"),34340)</f>
        <v>34340</v>
      </c>
      <c r="M535" s="173"/>
      <c r="N535" s="178">
        <f ca="1">IFERROR(__xludf.DUMMYFUNCTION("IMPORTRANGE(""https://docs.google.com/spreadsheets/d/11923uPwbBZFjjGgGUA6NLw09EwE0CqkOc4q9oUmW1yo/edit?usp=sharing"",""นครสวรรค์!M430"")"),19715)</f>
        <v>19715</v>
      </c>
      <c r="O535" s="178">
        <f t="shared" ca="1" si="118"/>
        <v>57.411182294700055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IFERROR(__xludf.DUMMYFUNCTION("IMPORTRANGE(""https://docs.google.com/spreadsheets/d/11923uPwbBZFjjGgGUA6NLw09EwE0CqkOc4q9oUmW1yo/edit?usp=sharing"",""นครสวรรค์!L431"")"),0)</f>
        <v>0</v>
      </c>
      <c r="M536" s="178"/>
      <c r="N536" s="178">
        <f ca="1">IFERROR(__xludf.DUMMYFUNCTION("IMPORTRANGE(""https://docs.google.com/spreadsheets/d/11923uPwbBZFjjGgGUA6NLw09EwE0CqkOc4q9oUmW1yo/edit?usp=sharing"",""นครสวรรค์!M431"")"),0)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IFERROR(__xludf.DUMMYFUNCTION("IMPORTRANGE(""https://docs.google.com/spreadsheets/d/11923uPwbBZFjjGgGUA6NLw09EwE0CqkOc4q9oUmW1yo/edit?usp=sharing"",""นครสวรรค์!L432"")"),34340)</f>
        <v>34340</v>
      </c>
      <c r="M537" s="178"/>
      <c r="N537" s="178">
        <f ca="1">IFERROR(__xludf.DUMMYFUNCTION("IMPORTRANGE(""https://docs.google.com/spreadsheets/d/11923uPwbBZFjjGgGUA6NLw09EwE0CqkOc4q9oUmW1yo/edit?usp=sharing"",""นครสวรรค์!M432"")"),19715)</f>
        <v>19715</v>
      </c>
      <c r="O537" s="178">
        <f t="shared" ca="1" si="118"/>
        <v>57.411182294700055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IFERROR(__xludf.DUMMYFUNCTION("IMPORTRANGE(""https://docs.google.com/spreadsheets/d/11923uPwbBZFjjGgGUA6NLw09EwE0CqkOc4q9oUmW1yo/edit?usp=sharing"",""นครสวรรค์!M433"")"),18740)</f>
        <v>18740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IFERROR(__xludf.DUMMYFUNCTION("IMPORTRANGE(""https://docs.google.com/spreadsheets/d/11923uPwbBZFjjGgGUA6NLw09EwE0CqkOc4q9oUmW1yo/edit?usp=sharing"",""นครสวรรค์!M434"")"),0)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IFERROR(__xludf.DUMMYFUNCTION("IMPORTRANGE(""https://docs.google.com/spreadsheets/d/11923uPwbBZFjjGgGUA6NLw09EwE0CqkOc4q9oUmW1yo/edit?usp=sharing"",""นครสวรรค์!M435"")"),0)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IFERROR(__xludf.DUMMYFUNCTION("IMPORTRANGE(""https://docs.google.com/spreadsheets/d/11923uPwbBZFjjGgGUA6NLw09EwE0CqkOc4q9oUmW1yo/edit?usp=sharing"",""นครสวรรค์!M436"")"),975)</f>
        <v>975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IFERROR(__xludf.DUMMYFUNCTION("IMPORTRANGE(""https://docs.google.com/spreadsheets/d/11923uPwbBZFjjGgGUA6NLw09EwE0CqkOc4q9oUmW1yo/edit?usp=sharing"",""นครสวรรค์!J438"")"),0)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IFERROR(__xludf.DUMMYFUNCTION("IMPORTRANGE(""https://docs.google.com/spreadsheets/d/11923uPwbBZFjjGgGUA6NLw09EwE0CqkOc4q9oUmW1yo/edit?usp=sharing"",""นครสวรรค์!J439"")"),1)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IFERROR(__xludf.DUMMYFUNCTION("IMPORTRANGE(""https://docs.google.com/spreadsheets/d/11923uPwbBZFjjGgGUA6NLw09EwE0CqkOc4q9oUmW1yo/edit?usp=sharing"",""นครสวรรค์!J440"")"),1)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IFERROR(__xludf.DUMMYFUNCTION("IMPORTRANGE(""https://docs.google.com/spreadsheets/d/11923uPwbBZFjjGgGUA6NLw09EwE0CqkOc4q9oUmW1yo/edit?usp=sharing"",""นครสวรรค์!J441"")"),1)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IFERROR(__xludf.DUMMYFUNCTION("IMPORTRANGE(""https://docs.google.com/spreadsheets/d/11923uPwbBZFjjGgGUA6NLw09EwE0CqkOc4q9oUmW1yo/edit?usp=sharing"",""นครสวรรค์!I442"")"),22)</f>
        <v>22</v>
      </c>
      <c r="J547" s="198">
        <f ca="1">IFERROR(__xludf.DUMMYFUNCTION("IMPORTRANGE(""https://docs.google.com/spreadsheets/d/11923uPwbBZFjjGgGUA6NLw09EwE0CqkOc4q9oUmW1yo/edit?usp=sharing"",""นครสวรรค์!J442"")"),22)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IFERROR(__xludf.DUMMYFUNCTION("IMPORTRANGE(""https://docs.google.com/spreadsheets/d/11923uPwbBZFjjGgGUA6NLw09EwE0CqkOc4q9oUmW1yo/edit?usp=sharing"",""นครสวรรค์!J166"")"),0)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IFERROR(__xludf.DUMMYFUNCTION("IMPORTRANGE(""https://docs.google.com/spreadsheets/d/11923uPwbBZFjjGgGUA6NLw09EwE0CqkOc4q9oUmW1yo/edit?usp=sharing"",""นครสวรรค์!J444"")"),0)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IFERROR(__xludf.DUMMYFUNCTION("IMPORTRANGE(""https://docs.google.com/spreadsheets/d/11923uPwbBZFjjGgGUA6NLw09EwE0CqkOc4q9oUmW1yo/edit?usp=sharing"",""นครสวรรค์!J445"")"),0)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IFERROR(__xludf.DUMMYFUNCTION("IMPORTRANGE(""https://docs.google.com/spreadsheets/d/11923uPwbBZFjjGgGUA6NLw09EwE0CqkOc4q9oUmW1yo/edit?usp=sharing"",""นครสวรรค์!I446"")"),0)</f>
        <v>0</v>
      </c>
      <c r="J551" s="418">
        <f ca="1">IFERROR(__xludf.DUMMYFUNCTION("IMPORTRANGE(""https://docs.google.com/spreadsheets/d/11923uPwbBZFjjGgGUA6NLw09EwE0CqkOc4q9oUmW1yo/edit?usp=sharing"",""นครสวรรค์!J446"")"),0)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IFERROR(__xludf.DUMMYFUNCTION("IMPORTRANGE(""https://docs.google.com/spreadsheets/d/11923uPwbBZFjjGgGUA6NLw09EwE0CqkOc4q9oUmW1yo/edit?usp=sharing"",""นครสวรรค์!L446"")"),0)</f>
        <v>0</v>
      </c>
      <c r="M551" s="420"/>
      <c r="N551" s="420">
        <f ca="1">IFERROR(__xludf.DUMMYFUNCTION("IMPORTRANGE(""https://docs.google.com/spreadsheets/d/11923uPwbBZFjjGgGUA6NLw09EwE0CqkOc4q9oUmW1yo/edit?usp=sharing"",""นครสวรรค์!M446"")"),0)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IFERROR(__xludf.DUMMYFUNCTION("IMPORTRANGE(""https://docs.google.com/spreadsheets/d/11923uPwbBZFjjGgGUA6NLw09EwE0CqkOc4q9oUmW1yo/edit?usp=sharing"",""นครสวรรค์!L447"")"),0)</f>
        <v>0</v>
      </c>
      <c r="M552" s="172"/>
      <c r="N552" s="178">
        <f ca="1">IFERROR(__xludf.DUMMYFUNCTION("IMPORTRANGE(""https://docs.google.com/spreadsheets/d/11923uPwbBZFjjGgGUA6NLw09EwE0CqkOc4q9oUmW1yo/edit?usp=sharing"",""นครสวรรค์!M447"")"),0)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IFERROR(__xludf.DUMMYFUNCTION("IMPORTRANGE(""https://docs.google.com/spreadsheets/d/11923uPwbBZFjjGgGUA6NLw09EwE0CqkOc4q9oUmW1yo/edit?usp=sharing"",""นครสวรรค์!L448"")"),0)</f>
        <v>0</v>
      </c>
      <c r="M553" s="173"/>
      <c r="N553" s="178">
        <f ca="1">IFERROR(__xludf.DUMMYFUNCTION("IMPORTRANGE(""https://docs.google.com/spreadsheets/d/11923uPwbBZFjjGgGUA6NLw09EwE0CqkOc4q9oUmW1yo/edit?usp=sharing"",""นครสวรรค์!M448"")"),0)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IFERROR(__xludf.DUMMYFUNCTION("IMPORTRANGE(""https://docs.google.com/spreadsheets/d/11923uPwbBZFjjGgGUA6NLw09EwE0CqkOc4q9oUmW1yo/edit?usp=sharing"",""นครสวรรค์!L449"")"),0)</f>
        <v>0</v>
      </c>
      <c r="M554" s="178"/>
      <c r="N554" s="178">
        <f ca="1">IFERROR(__xludf.DUMMYFUNCTION("IMPORTRANGE(""https://docs.google.com/spreadsheets/d/11923uPwbBZFjjGgGUA6NLw09EwE0CqkOc4q9oUmW1yo/edit?usp=sharing"",""นครสวรรค์!M449"")"),0)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IFERROR(__xludf.DUMMYFUNCTION("IMPORTRANGE(""https://docs.google.com/spreadsheets/d/11923uPwbBZFjjGgGUA6NLw09EwE0CqkOc4q9oUmW1yo/edit?usp=sharing"",""นครสวรรค์!L450"")"),0)</f>
        <v>0</v>
      </c>
      <c r="M555" s="178"/>
      <c r="N555" s="178">
        <f ca="1">IFERROR(__xludf.DUMMYFUNCTION("IMPORTRANGE(""https://docs.google.com/spreadsheets/d/11923uPwbBZFjjGgGUA6NLw09EwE0CqkOc4q9oUmW1yo/edit?usp=sharing"",""นครสวรรค์!M450"")"),0)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IFERROR(__xludf.DUMMYFUNCTION("IMPORTRANGE(""https://docs.google.com/spreadsheets/d/11923uPwbBZFjjGgGUA6NLw09EwE0CqkOc4q9oUmW1yo/edit?usp=sharing"",""นครสวรรค์!M451"")"),0)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IFERROR(__xludf.DUMMYFUNCTION("IMPORTRANGE(""https://docs.google.com/spreadsheets/d/11923uPwbBZFjjGgGUA6NLw09EwE0CqkOc4q9oUmW1yo/edit?usp=sharing"",""นครสวรรค์!M452"")"),0)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IFERROR(__xludf.DUMMYFUNCTION("IMPORTRANGE(""https://docs.google.com/spreadsheets/d/11923uPwbBZFjjGgGUA6NLw09EwE0CqkOc4q9oUmW1yo/edit?usp=sharing"",""นครสวรรค์!M453"")"),0)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IFERROR(__xludf.DUMMYFUNCTION("IMPORTRANGE(""https://docs.google.com/spreadsheets/d/11923uPwbBZFjjGgGUA6NLw09EwE0CqkOc4q9oUmW1yo/edit?usp=sharing"",""นครสวรรค์!M454"")"),0)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IFERROR(__xludf.DUMMYFUNCTION("IMPORTRANGE(""https://docs.google.com/spreadsheets/d/11923uPwbBZFjjGgGUA6NLw09EwE0CqkOc4q9oUmW1yo/edit?usp=sharing"",""นครสวรรค์!I455"")"),0)</f>
        <v>0</v>
      </c>
      <c r="J560" s="170">
        <f ca="1">IFERROR(__xludf.DUMMYFUNCTION("IMPORTRANGE(""https://docs.google.com/spreadsheets/d/11923uPwbBZFjjGgGUA6NLw09EwE0CqkOc4q9oUmW1yo/edit?usp=sharing"",""นครสวรรค์!J455"")"),0)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IFERROR(__xludf.DUMMYFUNCTION("IMPORTRANGE(""https://docs.google.com/spreadsheets/d/11923uPwbBZFjjGgGUA6NLw09EwE0CqkOc4q9oUmW1yo/edit?usp=sharing"",""นครสวรรค์!I456"")"),0)</f>
        <v>0</v>
      </c>
      <c r="J561" s="213">
        <f ca="1">IFERROR(__xludf.DUMMYFUNCTION("IMPORTRANGE(""https://docs.google.com/spreadsheets/d/11923uPwbBZFjjGgGUA6NLw09EwE0CqkOc4q9oUmW1yo/edit?usp=sharing"",""นครสวรรค์!J456"")"),0)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IFERROR(__xludf.DUMMYFUNCTION("IMPORTRANGE(""https://docs.google.com/spreadsheets/d/11923uPwbBZFjjGgGUA6NLw09EwE0CqkOc4q9oUmW1yo/edit?usp=sharing"",""นครสวรรค์!I457"")"),"")</f>
        <v/>
      </c>
      <c r="J562" s="213" t="str">
        <f ca="1">IFERROR(__xludf.DUMMYFUNCTION("IMPORTRANGE(""https://docs.google.com/spreadsheets/d/11923uPwbBZFjjGgGUA6NLw09EwE0CqkOc4q9oUmW1yo/edit?usp=sharing"",""นครสวรรค์!J457"")"),"")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IFERROR(__xludf.DUMMYFUNCTION("IMPORTRANGE(""https://docs.google.com/spreadsheets/d/11923uPwbBZFjjGgGUA6NLw09EwE0CqkOc4q9oUmW1yo/edit?usp=sharing"",""นครสวรรค์!I458"")"),"")</f>
        <v/>
      </c>
      <c r="J563" s="197" t="str">
        <f ca="1">IFERROR(__xludf.DUMMYFUNCTION("IMPORTRANGE(""https://docs.google.com/spreadsheets/d/11923uPwbBZFjjGgGUA6NLw09EwE0CqkOc4q9oUmW1yo/edit?usp=sharing"",""นครสวรรค์!J458"")"),"")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IFERROR(__xludf.DUMMYFUNCTION("IMPORTRANGE(""https://docs.google.com/spreadsheets/d/11923uPwbBZFjjGgGUA6NLw09EwE0CqkOc4q9oUmW1yo/edit?usp=sharing"",""นครสวรรค์!I459"")"),2750)</f>
        <v>2750</v>
      </c>
      <c r="J564" s="379">
        <f ca="1">IFERROR(__xludf.DUMMYFUNCTION("IMPORTRANGE(""https://docs.google.com/spreadsheets/d/11923uPwbBZFjjGgGUA6NLw09EwE0CqkOc4q9oUmW1yo/edit?usp=sharing"",""นครสวรรค์!J459"")"),1111)</f>
        <v>1111</v>
      </c>
      <c r="K564" s="380">
        <f t="shared" ca="1" si="121"/>
        <v>40.4</v>
      </c>
      <c r="L564" s="381">
        <f ca="1">IFERROR(__xludf.DUMMYFUNCTION("IMPORTRANGE(""https://docs.google.com/spreadsheets/d/11923uPwbBZFjjGgGUA6NLw09EwE0CqkOc4q9oUmW1yo/edit?usp=sharing"",""นครสวรรค์!L459"")"),140160)</f>
        <v>140160</v>
      </c>
      <c r="M564" s="381"/>
      <c r="N564" s="381">
        <f ca="1">IFERROR(__xludf.DUMMYFUNCTION("IMPORTRANGE(""https://docs.google.com/spreadsheets/d/11923uPwbBZFjjGgGUA6NLw09EwE0CqkOc4q9oUmW1yo/edit?usp=sharing"",""นครสวรรค์!M459"")"),21266)</f>
        <v>21266</v>
      </c>
      <c r="O564" s="381">
        <f t="shared" ref="O564:O568" ca="1" si="122">+IF(L564&gt;0,N564*100/L564,0)</f>
        <v>15.172659817351597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IFERROR(__xludf.DUMMYFUNCTION("IMPORTRANGE(""https://docs.google.com/spreadsheets/d/11923uPwbBZFjjGgGUA6NLw09EwE0CqkOc4q9oUmW1yo/edit?usp=sharing"",""นครสวรรค์!L460"")"),0)</f>
        <v>0</v>
      </c>
      <c r="M565" s="172"/>
      <c r="N565" s="178">
        <f ca="1">IFERROR(__xludf.DUMMYFUNCTION("IMPORTRANGE(""https://docs.google.com/spreadsheets/d/11923uPwbBZFjjGgGUA6NLw09EwE0CqkOc4q9oUmW1yo/edit?usp=sharing"",""นครสวรรค์!M460"")"),0)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IFERROR(__xludf.DUMMYFUNCTION("IMPORTRANGE(""https://docs.google.com/spreadsheets/d/11923uPwbBZFjjGgGUA6NLw09EwE0CqkOc4q9oUmW1yo/edit?usp=sharing"",""นครสวรรค์!L461"")"),140160)</f>
        <v>140160</v>
      </c>
      <c r="M566" s="173"/>
      <c r="N566" s="178">
        <f ca="1">IFERROR(__xludf.DUMMYFUNCTION("IMPORTRANGE(""https://docs.google.com/spreadsheets/d/11923uPwbBZFjjGgGUA6NLw09EwE0CqkOc4q9oUmW1yo/edit?usp=sharing"",""นครสวรรค์!M461"")"),21266)</f>
        <v>21266</v>
      </c>
      <c r="O566" s="178">
        <f t="shared" ca="1" si="122"/>
        <v>15.172659817351597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IFERROR(__xludf.DUMMYFUNCTION("IMPORTRANGE(""https://docs.google.com/spreadsheets/d/11923uPwbBZFjjGgGUA6NLw09EwE0CqkOc4q9oUmW1yo/edit?usp=sharing"",""นครสวรรค์!L462"")"),0)</f>
        <v>0</v>
      </c>
      <c r="M567" s="178"/>
      <c r="N567" s="178">
        <f ca="1">IFERROR(__xludf.DUMMYFUNCTION("IMPORTRANGE(""https://docs.google.com/spreadsheets/d/11923uPwbBZFjjGgGUA6NLw09EwE0CqkOc4q9oUmW1yo/edit?usp=sharing"",""นครสวรรค์!M462"")"),0)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IFERROR(__xludf.DUMMYFUNCTION("IMPORTRANGE(""https://docs.google.com/spreadsheets/d/11923uPwbBZFjjGgGUA6NLw09EwE0CqkOc4q9oUmW1yo/edit?usp=sharing"",""นครสวรรค์!L463"")"),140160)</f>
        <v>140160</v>
      </c>
      <c r="M568" s="178"/>
      <c r="N568" s="178">
        <f ca="1">IFERROR(__xludf.DUMMYFUNCTION("IMPORTRANGE(""https://docs.google.com/spreadsheets/d/11923uPwbBZFjjGgGUA6NLw09EwE0CqkOc4q9oUmW1yo/edit?usp=sharing"",""นครสวรรค์!M463"")"),21266)</f>
        <v>21266</v>
      </c>
      <c r="O568" s="178">
        <f t="shared" ca="1" si="122"/>
        <v>15.172659817351597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IFERROR(__xludf.DUMMYFUNCTION("IMPORTRANGE(""https://docs.google.com/spreadsheets/d/11923uPwbBZFjjGgGUA6NLw09EwE0CqkOc4q9oUmW1yo/edit?usp=sharing"",""นครสวรรค์!M464"")"),0)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IFERROR(__xludf.DUMMYFUNCTION("IMPORTRANGE(""https://docs.google.com/spreadsheets/d/11923uPwbBZFjjGgGUA6NLw09EwE0CqkOc4q9oUmW1yo/edit?usp=sharing"",""นครสวรรค์!M465"")"),0)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IFERROR(__xludf.DUMMYFUNCTION("IMPORTRANGE(""https://docs.google.com/spreadsheets/d/11923uPwbBZFjjGgGUA6NLw09EwE0CqkOc4q9oUmW1yo/edit?usp=sharing"",""นครสวรรค์!M466"")"),21266)</f>
        <v>21266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IFERROR(__xludf.DUMMYFUNCTION("IMPORTRANGE(""https://docs.google.com/spreadsheets/d/11923uPwbBZFjjGgGUA6NLw09EwE0CqkOc4q9oUmW1yo/edit?usp=sharing"",""นครสวรรค์!M467"")"),0)</f>
        <v>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IFERROR(__xludf.DUMMYFUNCTION("IMPORTRANGE(""https://docs.google.com/spreadsheets/d/11923uPwbBZFjjGgGUA6NLw09EwE0CqkOc4q9oUmW1yo/edit?usp=sharing"",""นครสวรรค์!I468"")"),2750)</f>
        <v>2750</v>
      </c>
      <c r="J573" s="428">
        <f ca="1">IFERROR(__xludf.DUMMYFUNCTION("IMPORTRANGE(""https://docs.google.com/spreadsheets/d/11923uPwbBZFjjGgGUA6NLw09EwE0CqkOc4q9oUmW1yo/edit?usp=sharing"",""นครสวรรค์!J468"")"),1111)</f>
        <v>1111</v>
      </c>
      <c r="K573" s="211">
        <f ca="1">IF(I573&gt;0,J573*100/I573,0)</f>
        <v>40.4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IFERROR(__xludf.DUMMYFUNCTION("IMPORTRANGE(""https://docs.google.com/spreadsheets/d/11923uPwbBZFjjGgGUA6NLw09EwE0CqkOc4q9oUmW1yo/edit?usp=sharing"",""นครสวรรค์!I470"")"),7)</f>
        <v>7</v>
      </c>
      <c r="J575" s="207">
        <f ca="1">IFERROR(__xludf.DUMMYFUNCTION("IMPORTRANGE(""https://docs.google.com/spreadsheets/d/11923uPwbBZFjjGgGUA6NLw09EwE0CqkOc4q9oUmW1yo/edit?usp=sharing"",""นครสวรรค์!J470"")"),4)</f>
        <v>4</v>
      </c>
      <c r="K575" s="171">
        <f t="shared" ref="K575:K579" ca="1" si="123">IF(I575&gt;0,J575*100/I575,0)</f>
        <v>57.142857142857146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IFERROR(__xludf.DUMMYFUNCTION("IMPORTRANGE(""https://docs.google.com/spreadsheets/d/11923uPwbBZFjjGgGUA6NLw09EwE0CqkOc4q9oUmW1yo/edit?usp=sharing"",""นครสวรรค์!I471"")"),0)</f>
        <v>0</v>
      </c>
      <c r="J576" s="207">
        <f ca="1">IFERROR(__xludf.DUMMYFUNCTION("IMPORTRANGE(""https://docs.google.com/spreadsheets/d/11923uPwbBZFjjGgGUA6NLw09EwE0CqkOc4q9oUmW1yo/edit?usp=sharing"",""นครสวรรค์!J471"")"),190)</f>
        <v>190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IFERROR(__xludf.DUMMYFUNCTION("IMPORTRANGE(""https://docs.google.com/spreadsheets/d/11923uPwbBZFjjGgGUA6NLw09EwE0CqkOc4q9oUmW1yo/edit?usp=sharing"",""นครสวรรค์!I472"")"),0)</f>
        <v>0</v>
      </c>
      <c r="J577" s="198">
        <f ca="1">IFERROR(__xludf.DUMMYFUNCTION("IMPORTRANGE(""https://docs.google.com/spreadsheets/d/11923uPwbBZFjjGgGUA6NLw09EwE0CqkOc4q9oUmW1yo/edit?usp=sharing"",""นครสวรรค์!J472"")"),913)</f>
        <v>913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IFERROR(__xludf.DUMMYFUNCTION("IMPORTRANGE(""https://docs.google.com/spreadsheets/d/11923uPwbBZFjjGgGUA6NLw09EwE0CqkOc4q9oUmW1yo/edit?usp=sharing"",""นครสวรรค์!I473"")"),0)</f>
        <v>0</v>
      </c>
      <c r="J578" s="207">
        <f ca="1">IFERROR(__xludf.DUMMYFUNCTION("IMPORTRANGE(""https://docs.google.com/spreadsheets/d/11923uPwbBZFjjGgGUA6NLw09EwE0CqkOc4q9oUmW1yo/edit?usp=sharing"",""นครสวรรค์!J473"")"),8)</f>
        <v>8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IFERROR(__xludf.DUMMYFUNCTION("IMPORTRANGE(""https://docs.google.com/spreadsheets/d/11923uPwbBZFjjGgGUA6NLw09EwE0CqkOc4q9oUmW1yo/edit?usp=sharing"",""นครสวรรค์!I474"")"),0)</f>
        <v>0</v>
      </c>
      <c r="J579" s="207">
        <f ca="1">IFERROR(__xludf.DUMMYFUNCTION("IMPORTRANGE(""https://docs.google.com/spreadsheets/d/11923uPwbBZFjjGgGUA6NLw09EwE0CqkOc4q9oUmW1yo/edit?usp=sharing"",""นครสวรรค์!J474"")"),0)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IFERROR(__xludf.DUMMYFUNCTION("IMPORTRANGE(""https://docs.google.com/spreadsheets/d/11923uPwbBZFjjGgGUA6NLw09EwE0CqkOc4q9oUmW1yo/edit?usp=sharing"",""นครสวรรค์!I475"")"),0)</f>
        <v>0</v>
      </c>
      <c r="J580" s="379">
        <f ca="1">IFERROR(__xludf.DUMMYFUNCTION("IMPORTRANGE(""https://docs.google.com/spreadsheets/d/11923uPwbBZFjjGgGUA6NLw09EwE0CqkOc4q9oUmW1yo/edit?usp=sharing"",""นครสวรรค์!J475"")"),0)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IFERROR(__xludf.DUMMYFUNCTION("IMPORTRANGE(""https://docs.google.com/spreadsheets/d/11923uPwbBZFjjGgGUA6NLw09EwE0CqkOc4q9oUmW1yo/edit?usp=sharing"",""นครสวรรค์!L475"")"),0)</f>
        <v>0</v>
      </c>
      <c r="M580" s="381"/>
      <c r="N580" s="381">
        <f ca="1">IFERROR(__xludf.DUMMYFUNCTION("IMPORTRANGE(""https://docs.google.com/spreadsheets/d/11923uPwbBZFjjGgGUA6NLw09EwE0CqkOc4q9oUmW1yo/edit?usp=sharing"",""นครสวรรค์!M475"")"),0)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IFERROR(__xludf.DUMMYFUNCTION("IMPORTRANGE(""https://docs.google.com/spreadsheets/d/11923uPwbBZFjjGgGUA6NLw09EwE0CqkOc4q9oUmW1yo/edit?usp=sharing"",""นครสวรรค์!L476"")"),0)</f>
        <v>0</v>
      </c>
      <c r="M581" s="172"/>
      <c r="N581" s="178">
        <f ca="1">IFERROR(__xludf.DUMMYFUNCTION("IMPORTRANGE(""https://docs.google.com/spreadsheets/d/11923uPwbBZFjjGgGUA6NLw09EwE0CqkOc4q9oUmW1yo/edit?usp=sharing"",""นครสวรรค์!M476"")"),0)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IFERROR(__xludf.DUMMYFUNCTION("IMPORTRANGE(""https://docs.google.com/spreadsheets/d/11923uPwbBZFjjGgGUA6NLw09EwE0CqkOc4q9oUmW1yo/edit?usp=sharing"",""นครสวรรค์!L477"")"),0)</f>
        <v>0</v>
      </c>
      <c r="M582" s="173"/>
      <c r="N582" s="178">
        <f ca="1">IFERROR(__xludf.DUMMYFUNCTION("IMPORTRANGE(""https://docs.google.com/spreadsheets/d/11923uPwbBZFjjGgGUA6NLw09EwE0CqkOc4q9oUmW1yo/edit?usp=sharing"",""นครสวรรค์!M477"")"),0)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IFERROR(__xludf.DUMMYFUNCTION("IMPORTRANGE(""https://docs.google.com/spreadsheets/d/11923uPwbBZFjjGgGUA6NLw09EwE0CqkOc4q9oUmW1yo/edit?usp=sharing"",""นครสวรรค์!L478"")"),0)</f>
        <v>0</v>
      </c>
      <c r="M583" s="178"/>
      <c r="N583" s="178">
        <f ca="1">IFERROR(__xludf.DUMMYFUNCTION("IMPORTRANGE(""https://docs.google.com/spreadsheets/d/11923uPwbBZFjjGgGUA6NLw09EwE0CqkOc4q9oUmW1yo/edit?usp=sharing"",""นครสวรรค์!M478"")"),0)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IFERROR(__xludf.DUMMYFUNCTION("IMPORTRANGE(""https://docs.google.com/spreadsheets/d/11923uPwbBZFjjGgGUA6NLw09EwE0CqkOc4q9oUmW1yo/edit?usp=sharing"",""นครสวรรค์!L479"")"),0)</f>
        <v>0</v>
      </c>
      <c r="M584" s="178"/>
      <c r="N584" s="178">
        <f ca="1">IFERROR(__xludf.DUMMYFUNCTION("IMPORTRANGE(""https://docs.google.com/spreadsheets/d/11923uPwbBZFjjGgGUA6NLw09EwE0CqkOc4q9oUmW1yo/edit?usp=sharing"",""นครสวรรค์!M479"")"),0)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IFERROR(__xludf.DUMMYFUNCTION("IMPORTRANGE(""https://docs.google.com/spreadsheets/d/11923uPwbBZFjjGgGUA6NLw09EwE0CqkOc4q9oUmW1yo/edit?usp=sharing"",""นครสวรรค์!M480"")"),0)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IFERROR(__xludf.DUMMYFUNCTION("IMPORTRANGE(""https://docs.google.com/spreadsheets/d/11923uPwbBZFjjGgGUA6NLw09EwE0CqkOc4q9oUmW1yo/edit?usp=sharing"",""นครสวรรค์!M481"")"),0)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IFERROR(__xludf.DUMMYFUNCTION("IMPORTRANGE(""https://docs.google.com/spreadsheets/d/11923uPwbBZFjjGgGUA6NLw09EwE0CqkOc4q9oUmW1yo/edit?usp=sharing"",""นครสวรรค์!M482"")"),0)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IFERROR(__xludf.DUMMYFUNCTION("IMPORTRANGE(""https://docs.google.com/spreadsheets/d/11923uPwbBZFjjGgGUA6NLw09EwE0CqkOc4q9oUmW1yo/edit?usp=sharing"",""นครสวรรค์!M483"")"),0)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IFERROR(__xludf.DUMMYFUNCTION("IMPORTRANGE(""https://docs.google.com/spreadsheets/d/11923uPwbBZFjjGgGUA6NLw09EwE0CqkOc4q9oUmW1yo/edit?usp=sharing"",""นครสวรรค์!I484"")"),0)</f>
        <v>0</v>
      </c>
      <c r="J589" s="197">
        <f ca="1">IFERROR(__xludf.DUMMYFUNCTION("IMPORTRANGE(""https://docs.google.com/spreadsheets/d/11923uPwbBZFjjGgGUA6NLw09EwE0CqkOc4q9oUmW1yo/edit?usp=sharing"",""นครสวรรค์!J484"")"),0)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IFERROR(__xludf.DUMMYFUNCTION("IMPORTRANGE(""https://docs.google.com/spreadsheets/d/11923uPwbBZFjjGgGUA6NLw09EwE0CqkOc4q9oUmW1yo/edit?usp=sharing"",""นครสวรรค์!I485"")"),0)</f>
        <v>0</v>
      </c>
      <c r="J590" s="197">
        <f ca="1">IFERROR(__xludf.DUMMYFUNCTION("IMPORTRANGE(""https://docs.google.com/spreadsheets/d/11923uPwbBZFjjGgGUA6NLw09EwE0CqkOc4q9oUmW1yo/edit?usp=sharing"",""นครสวรรค์!J485"")"),0)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IFERROR(__xludf.DUMMYFUNCTION("IMPORTRANGE(""https://docs.google.com/spreadsheets/d/11923uPwbBZFjjGgGUA6NLw09EwE0CqkOc4q9oUmW1yo/edit?usp=sharing"",""นครสวรรค์!I486"")"),0)</f>
        <v>0</v>
      </c>
      <c r="J591" s="197">
        <f ca="1">IFERROR(__xludf.DUMMYFUNCTION("IMPORTRANGE(""https://docs.google.com/spreadsheets/d/11923uPwbBZFjjGgGUA6NLw09EwE0CqkOc4q9oUmW1yo/edit?usp=sharing"",""นครสวรรค์!J486"")"),0)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IFERROR(__xludf.DUMMYFUNCTION("IMPORTRANGE(""https://docs.google.com/spreadsheets/d/11923uPwbBZFjjGgGUA6NLw09EwE0CqkOc4q9oUmW1yo/edit?usp=sharing"",""นครสวรรค์!I487"")"),0)</f>
        <v>0</v>
      </c>
      <c r="J592" s="197">
        <f ca="1">IFERROR(__xludf.DUMMYFUNCTION("IMPORTRANGE(""https://docs.google.com/spreadsheets/d/11923uPwbBZFjjGgGUA6NLw09EwE0CqkOc4q9oUmW1yo/edit?usp=sharing"",""นครสวรรค์!J487"")"),0)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IFERROR(__xludf.DUMMYFUNCTION("IMPORTRANGE(""https://docs.google.com/spreadsheets/d/11923uPwbBZFjjGgGUA6NLw09EwE0CqkOc4q9oUmW1yo/edit?usp=sharing"",""นครสวรรค์!I488"")"),0)</f>
        <v>0</v>
      </c>
      <c r="J593" s="197">
        <f ca="1">IFERROR(__xludf.DUMMYFUNCTION("IMPORTRANGE(""https://docs.google.com/spreadsheets/d/11923uPwbBZFjjGgGUA6NLw09EwE0CqkOc4q9oUmW1yo/edit?usp=sharing"",""นครสวรรค์!J488"")"),0)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IFERROR(__xludf.DUMMYFUNCTION("IMPORTRANGE(""https://docs.google.com/spreadsheets/d/11923uPwbBZFjjGgGUA6NLw09EwE0CqkOc4q9oUmW1yo/edit?usp=sharing"",""นครสวรรค์!I489"")"),0)</f>
        <v>0</v>
      </c>
      <c r="J594" s="197">
        <f ca="1">IFERROR(__xludf.DUMMYFUNCTION("IMPORTRANGE(""https://docs.google.com/spreadsheets/d/11923uPwbBZFjjGgGUA6NLw09EwE0CqkOc4q9oUmW1yo/edit?usp=sharing"",""นครสวรรค์!J489"")"),0)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IFERROR(__xludf.DUMMYFUNCTION("IMPORTRANGE(""https://docs.google.com/spreadsheets/d/11923uPwbBZFjjGgGUA6NLw09EwE0CqkOc4q9oUmW1yo/edit?usp=sharing"",""นครสวรรค์!I490"")"),0)</f>
        <v>0</v>
      </c>
      <c r="J595" s="197">
        <f ca="1">IFERROR(__xludf.DUMMYFUNCTION("IMPORTRANGE(""https://docs.google.com/spreadsheets/d/11923uPwbBZFjjGgGUA6NLw09EwE0CqkOc4q9oUmW1yo/edit?usp=sharing"",""นครสวรรค์!J490"")"),0)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IFERROR(__xludf.DUMMYFUNCTION("IMPORTRANGE(""https://docs.google.com/spreadsheets/d/11923uPwbBZFjjGgGUA6NLw09EwE0CqkOc4q9oUmW1yo/edit?usp=sharing"",""นครสวรรค์!I491"")"),0)</f>
        <v>0</v>
      </c>
      <c r="J596" s="250">
        <f ca="1">IFERROR(__xludf.DUMMYFUNCTION("IMPORTRANGE(""https://docs.google.com/spreadsheets/d/11923uPwbBZFjjGgGUA6NLw09EwE0CqkOc4q9oUmW1yo/edit?usp=sharing"",""นครสวรรค์!J491"")"),0)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IFERROR(__xludf.DUMMYFUNCTION("IMPORTRANGE(""https://docs.google.com/spreadsheets/d/11923uPwbBZFjjGgGUA6NLw09EwE0CqkOc4q9oUmW1yo/edit?usp=sharing"",""นครสวรรค์!I492"")"),50)</f>
        <v>50</v>
      </c>
      <c r="J597" s="495">
        <f ca="1">IFERROR(__xludf.DUMMYFUNCTION("IMPORTRANGE(""https://docs.google.com/spreadsheets/d/11923uPwbBZFjjGgGUA6NLw09EwE0CqkOc4q9oUmW1yo/edit?usp=sharing"",""นครสวรรค์!J492"")"),0)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IFERROR(__xludf.DUMMYFUNCTION("IMPORTRANGE(""https://docs.google.com/spreadsheets/d/11923uPwbBZFjjGgGUA6NLw09EwE0CqkOc4q9oUmW1yo/edit?usp=sharing"",""นครสวรรค์!L492"")"),5350)</f>
        <v>5350</v>
      </c>
      <c r="M597" s="420"/>
      <c r="N597" s="420">
        <f ca="1">IFERROR(__xludf.DUMMYFUNCTION("IMPORTRANGE(""https://docs.google.com/spreadsheets/d/11923uPwbBZFjjGgGUA6NLw09EwE0CqkOc4q9oUmW1yo/edit?usp=sharing"",""นครสวรรค์!M492"")"),800)</f>
        <v>800</v>
      </c>
      <c r="O597" s="420">
        <f t="shared" ref="O597:O601" ca="1" si="126">+IF(L597&gt;0,N597*100/L597,0)</f>
        <v>14.953271028037383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IFERROR(__xludf.DUMMYFUNCTION("IMPORTRANGE(""https://docs.google.com/spreadsheets/d/11923uPwbBZFjjGgGUA6NLw09EwE0CqkOc4q9oUmW1yo/edit?usp=sharing"",""นครสวรรค์!L493"")"),0)</f>
        <v>0</v>
      </c>
      <c r="M598" s="172"/>
      <c r="N598" s="178">
        <f ca="1">IFERROR(__xludf.DUMMYFUNCTION("IMPORTRANGE(""https://docs.google.com/spreadsheets/d/11923uPwbBZFjjGgGUA6NLw09EwE0CqkOc4q9oUmW1yo/edit?usp=sharing"",""นครสวรรค์!M493"")"),0)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IFERROR(__xludf.DUMMYFUNCTION("IMPORTRANGE(""https://docs.google.com/spreadsheets/d/11923uPwbBZFjjGgGUA6NLw09EwE0CqkOc4q9oUmW1yo/edit?usp=sharing"",""นครสวรรค์!L494"")"),5350)</f>
        <v>5350</v>
      </c>
      <c r="M599" s="173"/>
      <c r="N599" s="178">
        <f ca="1">IFERROR(__xludf.DUMMYFUNCTION("IMPORTRANGE(""https://docs.google.com/spreadsheets/d/11923uPwbBZFjjGgGUA6NLw09EwE0CqkOc4q9oUmW1yo/edit?usp=sharing"",""นครสวรรค์!M494"")"),800)</f>
        <v>800</v>
      </c>
      <c r="O599" s="178">
        <f t="shared" ca="1" si="126"/>
        <v>14.953271028037383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IFERROR(__xludf.DUMMYFUNCTION("IMPORTRANGE(""https://docs.google.com/spreadsheets/d/11923uPwbBZFjjGgGUA6NLw09EwE0CqkOc4q9oUmW1yo/edit?usp=sharing"",""นครสวรรค์!L495"")"),0)</f>
        <v>0</v>
      </c>
      <c r="M600" s="178"/>
      <c r="N600" s="178">
        <f ca="1">IFERROR(__xludf.DUMMYFUNCTION("IMPORTRANGE(""https://docs.google.com/spreadsheets/d/11923uPwbBZFjjGgGUA6NLw09EwE0CqkOc4q9oUmW1yo/edit?usp=sharing"",""นครสวรรค์!M495"")"),0)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IFERROR(__xludf.DUMMYFUNCTION("IMPORTRANGE(""https://docs.google.com/spreadsheets/d/11923uPwbBZFjjGgGUA6NLw09EwE0CqkOc4q9oUmW1yo/edit?usp=sharing"",""นครสวรรค์!L496"")"),5350)</f>
        <v>5350</v>
      </c>
      <c r="M601" s="178"/>
      <c r="N601" s="178">
        <f ca="1">IFERROR(__xludf.DUMMYFUNCTION("IMPORTRANGE(""https://docs.google.com/spreadsheets/d/11923uPwbBZFjjGgGUA6NLw09EwE0CqkOc4q9oUmW1yo/edit?usp=sharing"",""นครสวรรค์!M496"")"),800)</f>
        <v>800</v>
      </c>
      <c r="O601" s="178">
        <f t="shared" ca="1" si="126"/>
        <v>14.953271028037383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IFERROR(__xludf.DUMMYFUNCTION("IMPORTRANGE(""https://docs.google.com/spreadsheets/d/11923uPwbBZFjjGgGUA6NLw09EwE0CqkOc4q9oUmW1yo/edit?usp=sharing"",""นครสวรรค์!M497"")"),0)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IFERROR(__xludf.DUMMYFUNCTION("IMPORTRANGE(""https://docs.google.com/spreadsheets/d/11923uPwbBZFjjGgGUA6NLw09EwE0CqkOc4q9oUmW1yo/edit?usp=sharing"",""นครสวรรค์!M498"")"),0)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IFERROR(__xludf.DUMMYFUNCTION("IMPORTRANGE(""https://docs.google.com/spreadsheets/d/11923uPwbBZFjjGgGUA6NLw09EwE0CqkOc4q9oUmW1yo/edit?usp=sharing"",""นครสวรรค์!M499"")"),0)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IFERROR(__xludf.DUMMYFUNCTION("IMPORTRANGE(""https://docs.google.com/spreadsheets/d/11923uPwbBZFjjGgGUA6NLw09EwE0CqkOc4q9oUmW1yo/edit?usp=sharing"",""นครสวรรค์!M500"")"),800)</f>
        <v>800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IFERROR(__xludf.DUMMYFUNCTION("IMPORTRANGE(""https://docs.google.com/spreadsheets/d/11923uPwbBZFjjGgGUA6NLw09EwE0CqkOc4q9oUmW1yo/edit?usp=sharing"",""นครสวรรค์!J502"")"),0)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IFERROR(__xludf.DUMMYFUNCTION("IMPORTRANGE(""https://docs.google.com/spreadsheets/d/11923uPwbBZFjjGgGUA6NLw09EwE0CqkOc4q9oUmW1yo/edit?usp=sharing"",""นครสวรรค์!J503"")"),1)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IFERROR(__xludf.DUMMYFUNCTION("IMPORTRANGE(""https://docs.google.com/spreadsheets/d/11923uPwbBZFjjGgGUA6NLw09EwE0CqkOc4q9oUmW1yo/edit?usp=sharing"",""นครสวรรค์!J166"")"),0)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IFERROR(__xludf.DUMMYFUNCTION("IMPORTRANGE(""https://docs.google.com/spreadsheets/d/11923uPwbBZFjjGgGUA6NLw09EwE0CqkOc4q9oUmW1yo/edit?usp=sharing"",""นครสวรรค์!J166"")"),0)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IFERROR(__xludf.DUMMYFUNCTION("IMPORTRANGE(""https://docs.google.com/spreadsheets/d/11923uPwbBZFjjGgGUA6NLw09EwE0CqkOc4q9oUmW1yo/edit?usp=sharing"",""นครสวรรค์!I506"")"),50)</f>
        <v>50</v>
      </c>
      <c r="J611" s="170">
        <f ca="1">IFERROR(__xludf.DUMMYFUNCTION("IMPORTRANGE(""https://docs.google.com/spreadsheets/d/11923uPwbBZFjjGgGUA6NLw09EwE0CqkOc4q9oUmW1yo/edit?usp=sharing"",""นครสวรรค์!J506"")"),0)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IFERROR(__xludf.DUMMYFUNCTION("IMPORTRANGE(""https://docs.google.com/spreadsheets/d/11923uPwbBZFjjGgGUA6NLw09EwE0CqkOc4q9oUmW1yo/edit?usp=sharing"",""นครสวรรค์!I507"")"),0)</f>
        <v>0</v>
      </c>
      <c r="J612" s="207">
        <f ca="1">IFERROR(__xludf.DUMMYFUNCTION("IMPORTRANGE(""https://docs.google.com/spreadsheets/d/11923uPwbBZFjjGgGUA6NLw09EwE0CqkOc4q9oUmW1yo/edit?usp=sharing"",""นครสวรรค์!J507"")"),14)</f>
        <v>14</v>
      </c>
      <c r="K612" s="171">
        <f t="shared" ca="1" si="127"/>
        <v>28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IFERROR(__xludf.DUMMYFUNCTION("IMPORTRANGE(""https://docs.google.com/spreadsheets/d/11923uPwbBZFjjGgGUA6NLw09EwE0CqkOc4q9oUmW1yo/edit?usp=sharing"",""นครสวรรค์!I508"")"),0)</f>
        <v>0</v>
      </c>
      <c r="J613" s="207">
        <f ca="1">IFERROR(__xludf.DUMMYFUNCTION("IMPORTRANGE(""https://docs.google.com/spreadsheets/d/11923uPwbBZFjjGgGUA6NLw09EwE0CqkOc4q9oUmW1yo/edit?usp=sharing"",""นครสวรรค์!J508"")"),0)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IFERROR(__xludf.DUMMYFUNCTION("IMPORTRANGE(""https://docs.google.com/spreadsheets/d/11923uPwbBZFjjGgGUA6NLw09EwE0CqkOc4q9oUmW1yo/edit?usp=sharing"",""นครสวรรค์!I509"")"),0)</f>
        <v>0</v>
      </c>
      <c r="J614" s="207">
        <f ca="1">IFERROR(__xludf.DUMMYFUNCTION("IMPORTRANGE(""https://docs.google.com/spreadsheets/d/11923uPwbBZFjjGgGUA6NLw09EwE0CqkOc4q9oUmW1yo/edit?usp=sharing"",""นครสวรรค์!J509"")"),0)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IFERROR(__xludf.DUMMYFUNCTION("IMPORTRANGE(""https://docs.google.com/spreadsheets/d/11923uPwbBZFjjGgGUA6NLw09EwE0CqkOc4q9oUmW1yo/edit?usp=sharing"",""นครสวรรค์!I510"")"),0)</f>
        <v>0</v>
      </c>
      <c r="J615" s="207">
        <f ca="1">IFERROR(__xludf.DUMMYFUNCTION("IMPORTRANGE(""https://docs.google.com/spreadsheets/d/11923uPwbBZFjjGgGUA6NLw09EwE0CqkOc4q9oUmW1yo/edit?usp=sharing"",""นครสวรรค์!J510"")"),0)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IFERROR(__xludf.DUMMYFUNCTION("IMPORTRANGE(""https://docs.google.com/spreadsheets/d/11923uPwbBZFjjGgGUA6NLw09EwE0CqkOc4q9oUmW1yo/edit?usp=sharing"",""นครสวรรค์!I511"")"),0)</f>
        <v>0</v>
      </c>
      <c r="J616" s="207">
        <f ca="1">IFERROR(__xludf.DUMMYFUNCTION("IMPORTRANGE(""https://docs.google.com/spreadsheets/d/11923uPwbBZFjjGgGUA6NLw09EwE0CqkOc4q9oUmW1yo/edit?usp=sharing"",""นครสวรรค์!J511"")"),0)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IFERROR(__xludf.DUMMYFUNCTION("IMPORTRANGE(""https://docs.google.com/spreadsheets/d/11923uPwbBZFjjGgGUA6NLw09EwE0CqkOc4q9oUmW1yo/edit?usp=sharing"",""นครสวรรค์!I512"")"),0)</f>
        <v>0</v>
      </c>
      <c r="J617" s="197">
        <f ca="1">IFERROR(__xludf.DUMMYFUNCTION("IMPORTRANGE(""https://docs.google.com/spreadsheets/d/11923uPwbBZFjjGgGUA6NLw09EwE0CqkOc4q9oUmW1yo/edit?usp=sharing"",""นครสวรรค์!J512"")"),0)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IFERROR(__xludf.DUMMYFUNCTION("IMPORTRANGE(""https://docs.google.com/spreadsheets/d/11923uPwbBZFjjGgGUA6NLw09EwE0CqkOc4q9oUmW1yo/edit?usp=sharing"",""นครสวรรค์!I513"")"),0)</f>
        <v>0</v>
      </c>
      <c r="J618" s="198">
        <f ca="1">IFERROR(__xludf.DUMMYFUNCTION("IMPORTRANGE(""https://docs.google.com/spreadsheets/d/11923uPwbBZFjjGgGUA6NLw09EwE0CqkOc4q9oUmW1yo/edit?usp=sharing"",""นครสวรรค์!J513"")"),0)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IFERROR(__xludf.DUMMYFUNCTION("IMPORTRANGE(""https://docs.google.com/spreadsheets/d/11923uPwbBZFjjGgGUA6NLw09EwE0CqkOc4q9oUmW1yo/edit?usp=sharing"",""นครสวรรค์!I514"")"),0)</f>
        <v>0</v>
      </c>
      <c r="J619" s="198">
        <f ca="1">IFERROR(__xludf.DUMMYFUNCTION("IMPORTRANGE(""https://docs.google.com/spreadsheets/d/11923uPwbBZFjjGgGUA6NLw09EwE0CqkOc4q9oUmW1yo/edit?usp=sharing"",""นครสวรรค์!J514"")"),0)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IFERROR(__xludf.DUMMYFUNCTION("IMPORTRANGE(""https://docs.google.com/spreadsheets/d/11923uPwbBZFjjGgGUA6NLw09EwE0CqkOc4q9oUmW1yo/edit?usp=sharing"",""นครสวรรค์!I515"")"),0)</f>
        <v>0</v>
      </c>
      <c r="J620" s="212">
        <f ca="1">IFERROR(__xludf.DUMMYFUNCTION("IMPORTRANGE(""https://docs.google.com/spreadsheets/d/11923uPwbBZFjjGgGUA6NLw09EwE0CqkOc4q9oUmW1yo/edit?usp=sharing"",""นครสวรรค์!J515"")"),0)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IFERROR(__xludf.DUMMYFUNCTION("IMPORTRANGE(""https://docs.google.com/spreadsheets/d/11923uPwbBZFjjGgGUA6NLw09EwE0CqkOc4q9oUmW1yo/edit?usp=sharing"",""นครสวรรค์!I516"")"),0)</f>
        <v>0</v>
      </c>
      <c r="J621" s="212">
        <f ca="1">IFERROR(__xludf.DUMMYFUNCTION("IMPORTRANGE(""https://docs.google.com/spreadsheets/d/11923uPwbBZFjjGgGUA6NLw09EwE0CqkOc4q9oUmW1yo/edit?usp=sharing"",""นครสวรรค์!J516"")"),0)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IFERROR(__xludf.DUMMYFUNCTION("IMPORTRANGE(""https://docs.google.com/spreadsheets/d/11923uPwbBZFjjGgGUA6NLw09EwE0CqkOc4q9oUmW1yo/edit?usp=sharing"",""นครสวรรค์!I517"")"),0)</f>
        <v>0</v>
      </c>
      <c r="J622" s="198">
        <f ca="1">IFERROR(__xludf.DUMMYFUNCTION("IMPORTRANGE(""https://docs.google.com/spreadsheets/d/11923uPwbBZFjjGgGUA6NLw09EwE0CqkOc4q9oUmW1yo/edit?usp=sharing"",""นครสวรรค์!J517"")"),0)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IFERROR(__xludf.DUMMYFUNCTION("IMPORTRANGE(""https://docs.google.com/spreadsheets/d/11923uPwbBZFjjGgGUA6NLw09EwE0CqkOc4q9oUmW1yo/edit?usp=sharing"",""นครสวรรค์!I518"")"),0)</f>
        <v>0</v>
      </c>
      <c r="J623" s="198">
        <f ca="1">IFERROR(__xludf.DUMMYFUNCTION("IMPORTRANGE(""https://docs.google.com/spreadsheets/d/11923uPwbBZFjjGgGUA6NLw09EwE0CqkOc4q9oUmW1yo/edit?usp=sharing"",""นครสวรรค์!J518"")"),0)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IFERROR(__xludf.DUMMYFUNCTION("IMPORTRANGE(""https://docs.google.com/spreadsheets/d/11923uPwbBZFjjGgGUA6NLw09EwE0CqkOc4q9oUmW1yo/edit?usp=sharing"",""นครสวรรค์!I519"")"),0)</f>
        <v>0</v>
      </c>
      <c r="J624" s="197">
        <f ca="1">IFERROR(__xludf.DUMMYFUNCTION("IMPORTRANGE(""https://docs.google.com/spreadsheets/d/11923uPwbBZFjjGgGUA6NLw09EwE0CqkOc4q9oUmW1yo/edit?usp=sharing"",""นครสวรรค์!J519"")"),0)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IFERROR(__xludf.DUMMYFUNCTION("IMPORTRANGE(""https://docs.google.com/spreadsheets/d/11923uPwbBZFjjGgGUA6NLw09EwE0CqkOc4q9oUmW1yo/edit?usp=sharing"",""นครสวรรค์!I520"")"),0)</f>
        <v>0</v>
      </c>
      <c r="J625" s="198">
        <f ca="1">IFERROR(__xludf.DUMMYFUNCTION("IMPORTRANGE(""https://docs.google.com/spreadsheets/d/11923uPwbBZFjjGgGUA6NLw09EwE0CqkOc4q9oUmW1yo/edit?usp=sharing"",""นครสวรรค์!J520"")"),0)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IFERROR(__xludf.DUMMYFUNCTION("IMPORTRANGE(""https://docs.google.com/spreadsheets/d/11923uPwbBZFjjGgGUA6NLw09EwE0CqkOc4q9oUmW1yo/edit?usp=sharing"",""นครสวรรค์!I521"")"),0)</f>
        <v>0</v>
      </c>
      <c r="J626" s="198">
        <f ca="1">IFERROR(__xludf.DUMMYFUNCTION("IMPORTRANGE(""https://docs.google.com/spreadsheets/d/11923uPwbBZFjjGgGUA6NLw09EwE0CqkOc4q9oUmW1yo/edit?usp=sharing"",""นครสวรรค์!J521"")"),0)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IFERROR(__xludf.DUMMYFUNCTION("IMPORTRANGE(""https://docs.google.com/spreadsheets/d/11923uPwbBZFjjGgGUA6NLw09EwE0CqkOc4q9oUmW1yo/edit?usp=sharing"",""นครสวรรค์!I523"")"),1200000)</f>
        <v>1200000</v>
      </c>
      <c r="J628" s="349">
        <f ca="1">IFERROR(__xludf.DUMMYFUNCTION("IMPORTRANGE(""https://docs.google.com/spreadsheets/d/11923uPwbBZFjjGgGUA6NLw09EwE0CqkOc4q9oUmW1yo/edit?usp=sharing"",""นครสวรรค์!J523"")"),0)</f>
        <v>0</v>
      </c>
      <c r="K628" s="350">
        <f t="shared" ref="K628:K635" ca="1" si="129">IF(I628&gt;0,J628*100/I628,0)</f>
        <v>0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IFERROR(__xludf.DUMMYFUNCTION("IMPORTRANGE(""https://docs.google.com/spreadsheets/d/11923uPwbBZFjjGgGUA6NLw09EwE0CqkOc4q9oUmW1yo/edit?usp=sharing"",""นครสวรรค์!I524"")"),60)</f>
        <v>60</v>
      </c>
      <c r="J629" s="349">
        <f ca="1">IFERROR(__xludf.DUMMYFUNCTION("IMPORTRANGE(""https://docs.google.com/spreadsheets/d/11923uPwbBZFjjGgGUA6NLw09EwE0CqkOc4q9oUmW1yo/edit?usp=sharing"",""นครสวรรค์!J524"")"),0)</f>
        <v>0</v>
      </c>
      <c r="K629" s="350">
        <f t="shared" ca="1" si="129"/>
        <v>0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9">
        <f ca="1">IFERROR(__xludf.DUMMYFUNCTION("IMPORTRANGE(""https://docs.google.com/spreadsheets/d/11923uPwbBZFjjGgGUA6NLw09EwE0CqkOc4q9oUmW1yo/edit?usp=sharing"",""นครสวรรค์!J525"")"),194028.72)</f>
        <v>194028.72</v>
      </c>
      <c r="K630" s="350">
        <f t="shared" ca="1" si="129"/>
        <v>3.8919119208327544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IFERROR(__xludf.DUMMYFUNCTION("IMPORTRANGE(""https://docs.google.com/spreadsheets/d/11923uPwbBZFjjGgGUA6NLw09EwE0CqkOc4q9oUmW1yo/edit?usp=sharing"",""นครสวรรค์!I526"")"),266)</f>
        <v>266</v>
      </c>
      <c r="J631" s="349">
        <f ca="1">IFERROR(__xludf.DUMMYFUNCTION("IMPORTRANGE(""https://docs.google.com/spreadsheets/d/11923uPwbBZFjjGgGUA6NLw09EwE0CqkOc4q9oUmW1yo/edit?usp=sharing"",""นครสวรรค์!J526"")"),181)</f>
        <v>181</v>
      </c>
      <c r="K631" s="350">
        <f t="shared" ca="1" si="129"/>
        <v>68.045112781954884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9">
        <f ca="1">IFERROR(__xludf.DUMMYFUNCTION("IMPORTRANGE(""https://docs.google.com/spreadsheets/d/11923uPwbBZFjjGgGUA6NLw09EwE0CqkOc4q9oUmW1yo/edit?usp=sharing"",""นครสวรรค์!J527"")"),5619555.73)</f>
        <v>5619555.7300000004</v>
      </c>
      <c r="K632" s="350">
        <f t="shared" ca="1" si="129"/>
        <v>10.936736831959394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IFERROR(__xludf.DUMMYFUNCTION("IMPORTRANGE(""https://docs.google.com/spreadsheets/d/11923uPwbBZFjjGgGUA6NLw09EwE0CqkOc4q9oUmW1yo/edit?usp=sharing"",""นครสวรรค์!I528"")"),4298)</f>
        <v>4298</v>
      </c>
      <c r="J633" s="349">
        <f ca="1">IFERROR(__xludf.DUMMYFUNCTION("IMPORTRANGE(""https://docs.google.com/spreadsheets/d/11923uPwbBZFjjGgGUA6NLw09EwE0CqkOc4q9oUmW1yo/edit?usp=sharing"",""นครสวรรค์!J528"")"),690)</f>
        <v>690</v>
      </c>
      <c r="K633" s="350">
        <f t="shared" ca="1" si="129"/>
        <v>16.053978594695206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IFERROR(__xludf.DUMMYFUNCTION("IMPORTRANGE(""https://docs.google.com/spreadsheets/d/11923uPwbBZFjjGgGUA6NLw09EwE0CqkOc4q9oUmW1yo/edit?usp=sharing"",""นครสวรรค์!I529"")"),1260000)</f>
        <v>1260000</v>
      </c>
      <c r="J634" s="349">
        <f ca="1">IFERROR(__xludf.DUMMYFUNCTION("IMPORTRANGE(""https://docs.google.com/spreadsheets/d/11923uPwbBZFjjGgGUA6NLw09EwE0CqkOc4q9oUmW1yo/edit?usp=sharing"",""นครสวรรค์!J529"")"),0)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IFERROR(__xludf.DUMMYFUNCTION("IMPORTRANGE(""https://docs.google.com/spreadsheets/d/11923uPwbBZFjjGgGUA6NLw09EwE0CqkOc4q9oUmW1yo/edit?usp=sharing"",""นครสวรรค์!I530"")"),63)</f>
        <v>63</v>
      </c>
      <c r="J635" s="519">
        <f ca="1">IFERROR(__xludf.DUMMYFUNCTION("IMPORTRANGE(""https://docs.google.com/spreadsheets/d/11923uPwbBZFjjGgGUA6NLw09EwE0CqkOc4q9oUmW1yo/edit?usp=sharing"",""นครสวรรค์!J530"")"),0)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249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13689069</v>
      </c>
      <c r="M8" s="25">
        <f t="shared" ca="1" si="0"/>
        <v>1912655</v>
      </c>
      <c r="N8" s="25">
        <f t="shared" ca="1" si="0"/>
        <v>1830686</v>
      </c>
      <c r="O8" s="24">
        <f t="shared" ref="O8:O16" ca="1" si="1">IF(L8&gt;0,N8*100/L8,0)</f>
        <v>13.373341897831036</v>
      </c>
      <c r="P8" s="24">
        <f t="shared" ref="P8:P16" ca="1" si="2">IF(M8&gt;0,N8*100/M8,0)</f>
        <v>95.71438654644983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13689069</v>
      </c>
      <c r="M10" s="32">
        <f t="shared" ca="1" si="4"/>
        <v>1912655</v>
      </c>
      <c r="N10" s="32">
        <f t="shared" ca="1" si="4"/>
        <v>1830686</v>
      </c>
      <c r="O10" s="31">
        <f t="shared" ca="1" si="1"/>
        <v>13.373341897831036</v>
      </c>
      <c r="P10" s="31">
        <f t="shared" ca="1" si="2"/>
        <v>95.71438654644983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6398069</v>
      </c>
      <c r="M12" s="40">
        <f t="shared" ca="1" si="6"/>
        <v>1912655</v>
      </c>
      <c r="N12" s="40">
        <f t="shared" ca="1" si="6"/>
        <v>1340086</v>
      </c>
      <c r="O12" s="40">
        <f t="shared" ca="1" si="1"/>
        <v>20.945163298488968</v>
      </c>
      <c r="P12" s="40">
        <f t="shared" ca="1" si="2"/>
        <v>70.064177805197488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1874000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4524069</v>
      </c>
      <c r="M14" s="40">
        <f t="shared" si="8"/>
        <v>0</v>
      </c>
      <c r="N14" s="40">
        <f t="shared" ca="1" si="8"/>
        <v>302954</v>
      </c>
      <c r="O14" s="43">
        <f t="shared" ca="1" si="1"/>
        <v>6.6964937979504731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7291000</v>
      </c>
      <c r="M16" s="40">
        <f t="shared" si="10"/>
        <v>0</v>
      </c>
      <c r="N16" s="40">
        <f t="shared" ca="1" si="10"/>
        <v>490600</v>
      </c>
      <c r="O16" s="52">
        <f t="shared" ca="1" si="1"/>
        <v>6.7288437800027427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10919075</v>
      </c>
      <c r="M18" s="25">
        <f t="shared" ca="1" si="11"/>
        <v>1912655</v>
      </c>
      <c r="N18" s="25">
        <f t="shared" ca="1" si="11"/>
        <v>1527732</v>
      </c>
      <c r="O18" s="24">
        <f t="shared" ref="O18:O20" ca="1" si="12">IF(L18&gt;0,N18*100/L18,0)</f>
        <v>13.99140494959509</v>
      </c>
      <c r="P18" s="24">
        <f t="shared" ref="P18:P26" ca="1" si="13">IF(M18&gt;0,N18*100/M18,0)</f>
        <v>79.874938240299485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10919075</v>
      </c>
      <c r="M20" s="32">
        <f t="shared" ca="1" si="15"/>
        <v>1912655</v>
      </c>
      <c r="N20" s="32">
        <f t="shared" ca="1" si="15"/>
        <v>1527732</v>
      </c>
      <c r="O20" s="31">
        <f t="shared" ca="1" si="12"/>
        <v>13.99140494959509</v>
      </c>
      <c r="P20" s="31">
        <f t="shared" ca="1" si="13"/>
        <v>79.874938240299485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3628075</v>
      </c>
      <c r="M22" s="44">
        <f t="shared" ca="1" si="18"/>
        <v>1912655</v>
      </c>
      <c r="N22" s="43">
        <f t="shared" ca="1" si="18"/>
        <v>1037132</v>
      </c>
      <c r="O22" s="43">
        <f t="shared" ca="1" si="17"/>
        <v>28.586288872198068</v>
      </c>
      <c r="P22" s="43">
        <f t="shared" ca="1" si="13"/>
        <v>54.224729499047136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1874000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1754075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7291000</v>
      </c>
      <c r="M26" s="52">
        <f t="shared" si="22"/>
        <v>0</v>
      </c>
      <c r="N26" s="52">
        <f t="shared" ca="1" si="22"/>
        <v>490600</v>
      </c>
      <c r="O26" s="52">
        <f t="shared" ca="1" si="17"/>
        <v>6.7288437800027427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2769994</v>
      </c>
      <c r="M28" s="25">
        <f t="shared" si="23"/>
        <v>0</v>
      </c>
      <c r="N28" s="25">
        <f t="shared" ca="1" si="23"/>
        <v>302954</v>
      </c>
      <c r="O28" s="24">
        <f t="shared" ref="O28:O30" ca="1" si="24">IF(L28&gt;0,N28*100/L28,0)</f>
        <v>10.936991199258916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2769994</v>
      </c>
      <c r="M30" s="32">
        <f t="shared" si="27"/>
        <v>0</v>
      </c>
      <c r="N30" s="32">
        <f t="shared" ca="1" si="27"/>
        <v>302954</v>
      </c>
      <c r="O30" s="31">
        <f t="shared" ca="1" si="24"/>
        <v>10.936991199258916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2769994</v>
      </c>
      <c r="M32" s="43">
        <f t="shared" si="30"/>
        <v>0</v>
      </c>
      <c r="N32" s="43">
        <f t="shared" ca="1" si="30"/>
        <v>302954</v>
      </c>
      <c r="O32" s="43">
        <f t="shared" ca="1" si="29"/>
        <v>10.936991199258916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2769994</v>
      </c>
      <c r="M34" s="43">
        <f t="shared" si="32"/>
        <v>0</v>
      </c>
      <c r="N34" s="43">
        <f t="shared" ca="1" si="32"/>
        <v>302954</v>
      </c>
      <c r="O34" s="43">
        <f t="shared" ca="1" si="29"/>
        <v>10.936991199258916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10919075</v>
      </c>
      <c r="M37" s="57">
        <f t="shared" ca="1" si="33"/>
        <v>1912655</v>
      </c>
      <c r="N37" s="57">
        <f t="shared" ca="1" si="33"/>
        <v>1527732</v>
      </c>
      <c r="O37" s="58">
        <f t="shared" ca="1" si="29"/>
        <v>13.99140494959509</v>
      </c>
      <c r="P37" s="58">
        <f t="shared" ca="1" si="25"/>
        <v>79.874938240299485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7540500</v>
      </c>
      <c r="M41" s="81">
        <f t="shared" ca="1" si="34"/>
        <v>370300</v>
      </c>
      <c r="N41" s="81">
        <f t="shared" ca="1" si="34"/>
        <v>258558</v>
      </c>
      <c r="O41" s="80">
        <f t="shared" ref="O41:O43" ca="1" si="35">IF(L41&gt;0,N41*100/L41,0)</f>
        <v>3.4289238114183411</v>
      </c>
      <c r="P41" s="80">
        <f t="shared" ref="P41:P43" ca="1" si="36">IF(M41&gt;0,N41*100/M41,0)</f>
        <v>69.823926546043751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7540500</v>
      </c>
      <c r="M43" s="81">
        <f t="shared" ca="1" si="38"/>
        <v>370300</v>
      </c>
      <c r="N43" s="81">
        <f t="shared" ca="1" si="38"/>
        <v>258558</v>
      </c>
      <c r="O43" s="80">
        <f t="shared" ca="1" si="35"/>
        <v>3.4289238114183411</v>
      </c>
      <c r="P43" s="80">
        <f t="shared" ca="1" si="36"/>
        <v>69.823926546043751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740500</v>
      </c>
      <c r="M45" s="93">
        <f ca="1">IFERROR(__xludf.DUMMYFUNCTION("IMPORTRANGE(""https://docs.google.com/spreadsheets/d/1Yj_ptqi66GCucihVvJfMjLAmec39IyEx_6qawtMGysU/edit?usp=sharing"",""สบก!Q25"")"),370300)</f>
        <v>370300</v>
      </c>
      <c r="N45" s="93">
        <f ca="1">IFERROR(__xludf.DUMMYFUNCTION("IMPORTRANGE(""https://docs.google.com/spreadsheets/d/1Yj_ptqi66GCucihVvJfMjLAmec39IyEx_6qawtMGysU/edit?usp=sharing"",""สบก!R25"")"),258558)</f>
        <v>258558</v>
      </c>
      <c r="O45" s="94">
        <f ca="1">IF(L45&gt;0,N45*100/L45,0)</f>
        <v>34.916677920324105</v>
      </c>
      <c r="P45" s="94">
        <f ca="1">IF(M45&gt;0,N45*100/M45,0)</f>
        <v>69.823926546043751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IFERROR(__xludf.DUMMYFUNCTION("IMPORTRANGE(""https://docs.google.com/spreadsheets/d/1Yj_ptqi66GCucihVvJfMjLAmec39IyEx_6qawtMGysU/edit?usp=sharing"",""สบก!M25"")"),740500)</f>
        <v>740500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IFERROR(__xludf.DUMMYFUNCTION("IMPORTRANGE(""https://docs.google.com/spreadsheets/d/1Yj_ptqi66GCucihVvJfMjLAmec39IyEx_6qawtMGysU/edit?usp=sharing"",""สบก!N25"")"),0)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IFERROR(__xludf.DUMMYFUNCTION("IMPORTRANGE(""https://docs.google.com/spreadsheets/d/1Yj_ptqi66GCucihVvJfMjLAmec39IyEx_6qawtMGysU/edit?usp=sharing"",""สบก!O25"")"),6800000)</f>
        <v>6800000</v>
      </c>
      <c r="M49" s="103"/>
      <c r="N49" s="93">
        <f ca="1">IFERROR(__xludf.DUMMYFUNCTION("IMPORTRANGE(""https://docs.google.com/spreadsheets/d/1Yj_ptqi66GCucihVvJfMjLAmec39IyEx_6qawtMGysU/edit?usp=sharing"",""สบก!S25"")"),0)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400000</v>
      </c>
      <c r="M53" s="127">
        <f t="shared" ca="1" si="39"/>
        <v>204500</v>
      </c>
      <c r="N53" s="127">
        <f t="shared" ca="1" si="39"/>
        <v>195510</v>
      </c>
      <c r="O53" s="126">
        <f t="shared" ref="O53:O55" ca="1" si="40">IF(L53&gt;0,N53*100/L53,0)</f>
        <v>48.877499999999998</v>
      </c>
      <c r="P53" s="126">
        <f t="shared" ref="P53:P55" ca="1" si="41">IF(M53&gt;0,N53*100/M53,0)</f>
        <v>95.603911980440103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400000</v>
      </c>
      <c r="M55" s="127">
        <f t="shared" ca="1" si="43"/>
        <v>204500</v>
      </c>
      <c r="N55" s="127">
        <f t="shared" ca="1" si="43"/>
        <v>195510</v>
      </c>
      <c r="O55" s="126">
        <f t="shared" ca="1" si="40"/>
        <v>48.877499999999998</v>
      </c>
      <c r="P55" s="126">
        <f t="shared" ca="1" si="41"/>
        <v>95.603911980440103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400000</v>
      </c>
      <c r="M57" s="93">
        <f ca="1">IFERROR(__xludf.DUMMYFUNCTION("IMPORTRANGE(""https://docs.google.com/spreadsheets/d/1Yj_ptqi66GCucihVvJfMjLAmec39IyEx_6qawtMGysU/edit?usp=sharing"",""สบก!Z25"")"),204500)</f>
        <v>204500</v>
      </c>
      <c r="N57" s="93">
        <f ca="1">IFERROR(__xludf.DUMMYFUNCTION("IMPORTRANGE(""https://docs.google.com/spreadsheets/d/1Yj_ptqi66GCucihVvJfMjLAmec39IyEx_6qawtMGysU/edit?usp=sharing"",""สบก!AA25"")"),195510)</f>
        <v>195510</v>
      </c>
      <c r="O57" s="94">
        <f ca="1">IF(L57&gt;0,N57*100/L57,0)</f>
        <v>48.877499999999998</v>
      </c>
      <c r="P57" s="94">
        <f ca="1">IF(M57&gt;0,N57*100/M57,0)</f>
        <v>95.603911980440103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IFERROR(__xludf.DUMMYFUNCTION("IMPORTRANGE(""https://docs.google.com/spreadsheets/d/1Yj_ptqi66GCucihVvJfMjLAmec39IyEx_6qawtMGysU/edit?usp=sharing"",""สบก!V25"")"),400000)</f>
        <v>400000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IFERROR(__xludf.DUMMYFUNCTION("IMPORTRANGE(""https://docs.google.com/spreadsheets/d/1Yj_ptqi66GCucihVvJfMjLAmec39IyEx_6qawtMGysU/edit?usp=sharing"",""สบก!W25"")"),0)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IFERROR(__xludf.DUMMYFUNCTION("IMPORTRANGE(""https://docs.google.com/spreadsheets/d/1Yj_ptqi66GCucihVvJfMjLAmec39IyEx_6qawtMGysU/edit?usp=sharing"",""สบก!X25"")"),0)</f>
        <v>0</v>
      </c>
      <c r="M61" s="103"/>
      <c r="N61" s="93">
        <f ca="1">IFERROR(__xludf.DUMMYFUNCTION("IMPORTRANGE(""https://docs.google.com/spreadsheets/d/1Yj_ptqi66GCucihVvJfMjLAmec39IyEx_6qawtMGysU/edit?usp=sharing"",""สบก!AB25"")"),0)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IFERROR(__xludf.DUMMYFUNCTION("IMPORTRANGE(""https://docs.google.com/spreadsheets/d/11923uPwbBZFjjGgGUA6NLw09EwE0CqkOc4q9oUmW1yo/edit?usp=sharing"",""น่าน!I9"")"),1)</f>
        <v>1</v>
      </c>
      <c r="J64" s="148">
        <f ca="1">IFERROR(__xludf.DUMMYFUNCTION("IMPORTRANGE(""https://docs.google.com/spreadsheets/d/11923uPwbBZFjjGgGUA6NLw09EwE0CqkOc4q9oUmW1yo/edit?usp=sharing"",""น่าน!J9"")"),0)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IFERROR(__xludf.DUMMYFUNCTION("IMPORTRANGE(""https://docs.google.com/spreadsheets/d/11923uPwbBZFjjGgGUA6NLw09EwE0CqkOc4q9oUmW1yo/edit?usp=sharing"",""น่าน!I10"")"),63)</f>
        <v>63</v>
      </c>
      <c r="J65" s="148">
        <f ca="1">IFERROR(__xludf.DUMMYFUNCTION("IMPORTRANGE(""https://docs.google.com/spreadsheets/d/11923uPwbBZFjjGgGUA6NLw09EwE0CqkOc4q9oUmW1yo/edit?usp=sharing"",""น่าน!J10"")"),0)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937200</v>
      </c>
      <c r="M66" s="158">
        <f t="shared" ca="1" si="45"/>
        <v>313420</v>
      </c>
      <c r="N66" s="158">
        <f t="shared" ca="1" si="45"/>
        <v>446031</v>
      </c>
      <c r="O66" s="157">
        <f t="shared" ref="O66:O68" ca="1" si="46">IF(L66&gt;0,N66*100/L66,0)</f>
        <v>47.591869398207429</v>
      </c>
      <c r="P66" s="157">
        <f t="shared" ref="P66:P68" ca="1" si="47">IF(M66&gt;0,N66*100/M66,0)</f>
        <v>142.31095654393465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937200</v>
      </c>
      <c r="M68" s="163">
        <f t="shared" ca="1" si="49"/>
        <v>313420</v>
      </c>
      <c r="N68" s="163">
        <f t="shared" ca="1" si="49"/>
        <v>446031</v>
      </c>
      <c r="O68" s="162">
        <f t="shared" ca="1" si="46"/>
        <v>47.591869398207429</v>
      </c>
      <c r="P68" s="162">
        <f t="shared" ca="1" si="47"/>
        <v>142.31095654393465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553600</v>
      </c>
      <c r="M70" s="176">
        <f ca="1">IFERROR(__xludf.DUMMYFUNCTION("IMPORTRANGE(""https://docs.google.com/spreadsheets/d/1Yj_ptqi66GCucihVvJfMjLAmec39IyEx_6qawtMGysU/edit?usp=sharing"",""สบก!AI25"")"),313420)</f>
        <v>313420</v>
      </c>
      <c r="N70" s="177">
        <f ca="1">IFERROR(__xludf.DUMMYFUNCTION("IMPORTRANGE(""https://docs.google.com/spreadsheets/d/1Yj_ptqi66GCucihVvJfMjLAmec39IyEx_6qawtMGysU/edit?usp=sharing"",""สบก!AJ25"")"),62431)</f>
        <v>62431</v>
      </c>
      <c r="O70" s="178">
        <f ca="1">IF(L70&gt;0,N70*100/L70,0)</f>
        <v>11.277276011560694</v>
      </c>
      <c r="P70" s="178">
        <f ca="1">IF(M70&gt;0,N70*100/M70,0)</f>
        <v>19.919277646608386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IFERROR(__xludf.DUMMYFUNCTION("IMPORTRANGE(""https://docs.google.com/spreadsheets/d/1Yj_ptqi66GCucihVvJfMjLAmec39IyEx_6qawtMGysU/edit?usp=sharing"",""สบก!AE25"")"),0)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IFERROR(__xludf.DUMMYFUNCTION("IMPORTRANGE(""https://docs.google.com/spreadsheets/d/1Yj_ptqi66GCucihVvJfMjLAmec39IyEx_6qawtMGysU/edit?usp=sharing"",""สบก!AF25"")"),553600)</f>
        <v>553600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IFERROR(__xludf.DUMMYFUNCTION("IMPORTRANGE(""https://docs.google.com/spreadsheets/d/1Yj_ptqi66GCucihVvJfMjLAmec39IyEx_6qawtMGysU/edit?usp=sharing"",""สบก!AG25"")"),383600)</f>
        <v>383600</v>
      </c>
      <c r="M74" s="103"/>
      <c r="N74" s="93">
        <f ca="1">IFERROR(__xludf.DUMMYFUNCTION("IMPORTRANGE(""https://docs.google.com/spreadsheets/d/1Yj_ptqi66GCucihVvJfMjLAmec39IyEx_6qawtMGysU/edit?usp=sharing"",""สบก!AK25"")"),383600)</f>
        <v>383600</v>
      </c>
      <c r="O74" s="103">
        <f ca="1">IF(L74&gt;0,N74*100/L74,0)</f>
        <v>100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IFERROR(__xludf.DUMMYFUNCTION("IMPORTRANGE(""https://docs.google.com/spreadsheets/d/11923uPwbBZFjjGgGUA6NLw09EwE0CqkOc4q9oUmW1yo/edit?usp=sharing"",""น่าน!J16"")"),0)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IFERROR(__xludf.DUMMYFUNCTION("IMPORTRANGE(""https://docs.google.com/spreadsheets/d/11923uPwbBZFjjGgGUA6NLw09EwE0CqkOc4q9oUmW1yo/edit?usp=sharing"",""น่าน!J17"")"),1)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IFERROR(__xludf.DUMMYFUNCTION("IMPORTRANGE(""https://docs.google.com/spreadsheets/d/11923uPwbBZFjjGgGUA6NLw09EwE0CqkOc4q9oUmW1yo/edit?usp=sharing"",""น่าน!J18"")"),1)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IFERROR(__xludf.DUMMYFUNCTION("IMPORTRANGE(""https://docs.google.com/spreadsheets/d/11923uPwbBZFjjGgGUA6NLw09EwE0CqkOc4q9oUmW1yo/edit?usp=sharing"",""น่าน!J19"")"),1)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IFERROR(__xludf.DUMMYFUNCTION("IMPORTRANGE(""https://docs.google.com/spreadsheets/d/11923uPwbBZFjjGgGUA6NLw09EwE0CqkOc4q9oUmW1yo/edit?usp=sharing"",""น่าน!I20"")"),1)</f>
        <v>1</v>
      </c>
      <c r="J80" s="210">
        <f ca="1">IFERROR(__xludf.DUMMYFUNCTION("IMPORTRANGE(""https://docs.google.com/spreadsheets/d/11923uPwbBZFjjGgGUA6NLw09EwE0CqkOc4q9oUmW1yo/edit?usp=sharing"",""น่าน!J20"")"),0)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IFERROR(__xludf.DUMMYFUNCTION("IMPORTRANGE(""https://docs.google.com/spreadsheets/d/11923uPwbBZFjjGgGUA6NLw09EwE0CqkOc4q9oUmW1yo/edit?usp=sharing"",""น่าน!I21"")"),63)</f>
        <v>63</v>
      </c>
      <c r="J81" s="210">
        <f ca="1">IFERROR(__xludf.DUMMYFUNCTION("IMPORTRANGE(""https://docs.google.com/spreadsheets/d/11923uPwbBZFjjGgGUA6NLw09EwE0CqkOc4q9oUmW1yo/edit?usp=sharing"",""น่าน!J21"")"),0)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IFERROR(__xludf.DUMMYFUNCTION("IMPORTRANGE(""https://docs.google.com/spreadsheets/d/11923uPwbBZFjjGgGUA6NLw09EwE0CqkOc4q9oUmW1yo/edit?usp=sharing"",""น่าน!I22"")"),0)</f>
        <v>0</v>
      </c>
      <c r="J82" s="213">
        <f ca="1">IFERROR(__xludf.DUMMYFUNCTION("IMPORTRANGE(""https://docs.google.com/spreadsheets/d/11923uPwbBZFjjGgGUA6NLw09EwE0CqkOc4q9oUmW1yo/edit?usp=sharing"",""น่าน!J22"")"),0)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IFERROR(__xludf.DUMMYFUNCTION("IMPORTRANGE(""https://docs.google.com/spreadsheets/d/11923uPwbBZFjjGgGUA6NLw09EwE0CqkOc4q9oUmW1yo/edit?usp=sharing"",""น่าน!I23"")"),0)</f>
        <v>0</v>
      </c>
      <c r="J83" s="213">
        <f ca="1">IFERROR(__xludf.DUMMYFUNCTION("IMPORTRANGE(""https://docs.google.com/spreadsheets/d/11923uPwbBZFjjGgGUA6NLw09EwE0CqkOc4q9oUmW1yo/edit?usp=sharing"",""น่าน!J23"")"),0)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IFERROR(__xludf.DUMMYFUNCTION("IMPORTRANGE(""https://docs.google.com/spreadsheets/d/11923uPwbBZFjjGgGUA6NLw09EwE0CqkOc4q9oUmW1yo/edit?usp=sharing"",""น่าน!I24"")"),0)</f>
        <v>0</v>
      </c>
      <c r="J84" s="198">
        <f ca="1">IFERROR(__xludf.DUMMYFUNCTION("IMPORTRANGE(""https://docs.google.com/spreadsheets/d/11923uPwbBZFjjGgGUA6NLw09EwE0CqkOc4q9oUmW1yo/edit?usp=sharing"",""น่าน!J24"")"),0)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IFERROR(__xludf.DUMMYFUNCTION("IMPORTRANGE(""https://docs.google.com/spreadsheets/d/11923uPwbBZFjjGgGUA6NLw09EwE0CqkOc4q9oUmW1yo/edit?usp=sharing"",""น่าน!I25"")"),0)</f>
        <v>0</v>
      </c>
      <c r="J85" s="198">
        <f ca="1">IFERROR(__xludf.DUMMYFUNCTION("IMPORTRANGE(""https://docs.google.com/spreadsheets/d/11923uPwbBZFjjGgGUA6NLw09EwE0CqkOc4q9oUmW1yo/edit?usp=sharing"",""น่าน!J25"")"),0)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IFERROR(__xludf.DUMMYFUNCTION("IMPORTRANGE(""https://docs.google.com/spreadsheets/d/11923uPwbBZFjjGgGUA6NLw09EwE0CqkOc4q9oUmW1yo/edit?usp=sharing"",""น่าน!I26"")"),1)</f>
        <v>1</v>
      </c>
      <c r="J86" s="213">
        <f ca="1">IFERROR(__xludf.DUMMYFUNCTION("IMPORTRANGE(""https://docs.google.com/spreadsheets/d/11923uPwbBZFjjGgGUA6NLw09EwE0CqkOc4q9oUmW1yo/edit?usp=sharing"",""น่าน!J26"")"),0)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IFERROR(__xludf.DUMMYFUNCTION("IMPORTRANGE(""https://docs.google.com/spreadsheets/d/11923uPwbBZFjjGgGUA6NLw09EwE0CqkOc4q9oUmW1yo/edit?usp=sharing"",""น่าน!I27"")"),63)</f>
        <v>63</v>
      </c>
      <c r="J87" s="213">
        <f ca="1">IFERROR(__xludf.DUMMYFUNCTION("IMPORTRANGE(""https://docs.google.com/spreadsheets/d/11923uPwbBZFjjGgGUA6NLw09EwE0CqkOc4q9oUmW1yo/edit?usp=sharing"",""น่าน!J27"")"),0)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IFERROR(__xludf.DUMMYFUNCTION("IMPORTRANGE(""https://docs.google.com/spreadsheets/d/11923uPwbBZFjjGgGUA6NLw09EwE0CqkOc4q9oUmW1yo/edit?usp=sharing"",""น่าน!I28"")"),0)</f>
        <v>0</v>
      </c>
      <c r="J88" s="213">
        <f ca="1">IFERROR(__xludf.DUMMYFUNCTION("IMPORTRANGE(""https://docs.google.com/spreadsheets/d/11923uPwbBZFjjGgGUA6NLw09EwE0CqkOc4q9oUmW1yo/edit?usp=sharing"",""น่าน!J28"")"),0)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IFERROR(__xludf.DUMMYFUNCTION("IMPORTRANGE(""https://docs.google.com/spreadsheets/d/11923uPwbBZFjjGgGUA6NLw09EwE0CqkOc4q9oUmW1yo/edit?usp=sharing"",""น่าน!J29"")"),0)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IFERROR(__xludf.DUMMYFUNCTION("IMPORTRANGE(""https://docs.google.com/spreadsheets/d/11923uPwbBZFjjGgGUA6NLw09EwE0CqkOc4q9oUmW1yo/edit?usp=sharing"",""น่าน!J30"")"),0)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IFERROR(__xludf.DUMMYFUNCTION("IMPORTRANGE(""https://docs.google.com/spreadsheets/d/11923uPwbBZFjjGgGUA6NLw09EwE0CqkOc4q9oUmW1yo/edit?usp=sharing"",""น่าน!I32"")"),4)</f>
        <v>4</v>
      </c>
      <c r="J92" s="148">
        <f ca="1">IFERROR(__xludf.DUMMYFUNCTION("IMPORTRANGE(""https://docs.google.com/spreadsheets/d/11923uPwbBZFjjGgGUA6NLw09EwE0CqkOc4q9oUmW1yo/edit?usp=sharing"",""น่าน!J32"")"),4)</f>
        <v>4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IFERROR(__xludf.DUMMYFUNCTION("IMPORTRANGE(""https://docs.google.com/spreadsheets/d/11923uPwbBZFjjGgGUA6NLw09EwE0CqkOc4q9oUmW1yo/edit?usp=sharing"",""น่าน!I33"")"),1)</f>
        <v>1</v>
      </c>
      <c r="J93" s="148">
        <f ca="1">IFERROR(__xludf.DUMMYFUNCTION("IMPORTRANGE(""https://docs.google.com/spreadsheets/d/11923uPwbBZFjjGgGUA6NLw09EwE0CqkOc4q9oUmW1yo/edit?usp=sharing"",""น่าน!J33"")"),0)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214500</v>
      </c>
      <c r="M94" s="158">
        <f t="shared" ca="1" si="52"/>
        <v>68730</v>
      </c>
      <c r="N94" s="158">
        <f t="shared" ca="1" si="52"/>
        <v>109674</v>
      </c>
      <c r="O94" s="157">
        <f t="shared" ref="O94:O96" ca="1" si="53">IF(L94&gt;0,N94*100/L94,0)</f>
        <v>51.130069930069929</v>
      </c>
      <c r="P94" s="157">
        <f t="shared" ref="P94:P96" ca="1" si="54">IF(M94&gt;0,N94*100/M94,0)</f>
        <v>159.57223919685725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214500</v>
      </c>
      <c r="M96" s="163">
        <f t="shared" ca="1" si="56"/>
        <v>68730</v>
      </c>
      <c r="N96" s="163">
        <f t="shared" ca="1" si="56"/>
        <v>109674</v>
      </c>
      <c r="O96" s="162">
        <f t="shared" ca="1" si="53"/>
        <v>51.130069930069929</v>
      </c>
      <c r="P96" s="162">
        <f t="shared" ca="1" si="54"/>
        <v>159.57223919685725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122100</v>
      </c>
      <c r="M98" s="176">
        <f ca="1">IFERROR(__xludf.DUMMYFUNCTION("IMPORTRANGE(""https://docs.google.com/spreadsheets/d/1Yj_ptqi66GCucihVvJfMjLAmec39IyEx_6qawtMGysU/edit?usp=sharing"",""สบก!AR25"")"),68730)</f>
        <v>68730</v>
      </c>
      <c r="N98" s="177">
        <f ca="1">IFERROR(__xludf.DUMMYFUNCTION("IMPORTRANGE(""https://docs.google.com/spreadsheets/d/1Yj_ptqi66GCucihVvJfMjLAmec39IyEx_6qawtMGysU/edit?usp=sharing"",""สบก!AS25"")"),17674)</f>
        <v>17674</v>
      </c>
      <c r="O98" s="178">
        <f ca="1">IF(L98&gt;0,N98*100/L98,0)</f>
        <v>14.475020475020475</v>
      </c>
      <c r="P98" s="178">
        <f ca="1">IF(M98&gt;0,N98*100/M98,0)</f>
        <v>25.715117124981813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IFERROR(__xludf.DUMMYFUNCTION("IMPORTRANGE(""https://docs.google.com/spreadsheets/d/1Yj_ptqi66GCucihVvJfMjLAmec39IyEx_6qawtMGysU/edit?usp=sharing"",""สบก!AN25"")"),0)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IFERROR(__xludf.DUMMYFUNCTION("IMPORTRANGE(""https://docs.google.com/spreadsheets/d/1Yj_ptqi66GCucihVvJfMjLAmec39IyEx_6qawtMGysU/edit?usp=sharing"",""สบก!AO25"")"),122100)</f>
        <v>122100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IFERROR(__xludf.DUMMYFUNCTION("IMPORTRANGE(""https://docs.google.com/spreadsheets/d/1Yj_ptqi66GCucihVvJfMjLAmec39IyEx_6qawtMGysU/edit?usp=sharing"",""สบก!AP25"")"),92400)</f>
        <v>92400</v>
      </c>
      <c r="M102" s="103"/>
      <c r="N102" s="93">
        <f ca="1">IFERROR(__xludf.DUMMYFUNCTION("IMPORTRANGE(""https://docs.google.com/spreadsheets/d/1Yj_ptqi66GCucihVvJfMjLAmec39IyEx_6qawtMGysU/edit?usp=sharing"",""สบก!AT25"")"),92000)</f>
        <v>92000</v>
      </c>
      <c r="O102" s="103">
        <f ca="1">IF(L102&gt;0,N102*100/L102,0)</f>
        <v>99.567099567099561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IFERROR(__xludf.DUMMYFUNCTION("IMPORTRANGE(""https://docs.google.com/spreadsheets/d/11923uPwbBZFjjGgGUA6NLw09EwE0CqkOc4q9oUmW1yo/edit?usp=sharing"",""น่าน!J39"")"),0)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IFERROR(__xludf.DUMMYFUNCTION("IMPORTRANGE(""https://docs.google.com/spreadsheets/d/11923uPwbBZFjjGgGUA6NLw09EwE0CqkOc4q9oUmW1yo/edit?usp=sharing"",""น่าน!J40"")"),1)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IFERROR(__xludf.DUMMYFUNCTION("IMPORTRANGE(""https://docs.google.com/spreadsheets/d/11923uPwbBZFjjGgGUA6NLw09EwE0CqkOc4q9oUmW1yo/edit?usp=sharing"",""น่าน!J41"")"),1)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IFERROR(__xludf.DUMMYFUNCTION("IMPORTRANGE(""https://docs.google.com/spreadsheets/d/11923uPwbBZFjjGgGUA6NLw09EwE0CqkOc4q9oUmW1yo/edit?usp=sharing"",""น่าน!J42"")"),1)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IFERROR(__xludf.DUMMYFUNCTION("IMPORTRANGE(""https://docs.google.com/spreadsheets/d/11923uPwbBZFjjGgGUA6NLw09EwE0CqkOc4q9oUmW1yo/edit?usp=sharing"",""น่าน!I43"")"),1)</f>
        <v>1</v>
      </c>
      <c r="J108" s="213">
        <f ca="1">IFERROR(__xludf.DUMMYFUNCTION("IMPORTRANGE(""https://docs.google.com/spreadsheets/d/11923uPwbBZFjjGgGUA6NLw09EwE0CqkOc4q9oUmW1yo/edit?usp=sharing"",""น่าน!J43"")"),1)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IFERROR(__xludf.DUMMYFUNCTION("IMPORTRANGE(""https://docs.google.com/spreadsheets/d/11923uPwbBZFjjGgGUA6NLw09EwE0CqkOc4q9oUmW1yo/edit?usp=sharing"",""น่าน!I44"")"),4)</f>
        <v>4</v>
      </c>
      <c r="J109" s="213">
        <f ca="1">IFERROR(__xludf.DUMMYFUNCTION("IMPORTRANGE(""https://docs.google.com/spreadsheets/d/11923uPwbBZFjjGgGUA6NLw09EwE0CqkOc4q9oUmW1yo/edit?usp=sharing"",""น่าน!J44"")"),4)</f>
        <v>4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IFERROR(__xludf.DUMMYFUNCTION("IMPORTRANGE(""https://docs.google.com/spreadsheets/d/11923uPwbBZFjjGgGUA6NLw09EwE0CqkOc4q9oUmW1yo/edit?usp=sharing"",""น่าน!I45"")"),4)</f>
        <v>4</v>
      </c>
      <c r="J110" s="213">
        <f ca="1">IFERROR(__xludf.DUMMYFUNCTION("IMPORTRANGE(""https://docs.google.com/spreadsheets/d/11923uPwbBZFjjGgGUA6NLw09EwE0CqkOc4q9oUmW1yo/edit?usp=sharing"",""น่าน!J45"")"),4)</f>
        <v>4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IFERROR(__xludf.DUMMYFUNCTION("IMPORTRANGE(""https://docs.google.com/spreadsheets/d/11923uPwbBZFjjGgGUA6NLw09EwE0CqkOc4q9oUmW1yo/edit?usp=sharing"",""น่าน!I46"")"),4)</f>
        <v>4</v>
      </c>
      <c r="J111" s="213">
        <f ca="1">IFERROR(__xludf.DUMMYFUNCTION("IMPORTRANGE(""https://docs.google.com/spreadsheets/d/11923uPwbBZFjjGgGUA6NLw09EwE0CqkOc4q9oUmW1yo/edit?usp=sharing"",""น่าน!J46"")"),0)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IFERROR(__xludf.DUMMYFUNCTION("IMPORTRANGE(""https://docs.google.com/spreadsheets/d/11923uPwbBZFjjGgGUA6NLw09EwE0CqkOc4q9oUmW1yo/edit?usp=sharing"",""น่าน!I47"")"),4)</f>
        <v>4</v>
      </c>
      <c r="J112" s="213">
        <f ca="1">IFERROR(__xludf.DUMMYFUNCTION("IMPORTRANGE(""https://docs.google.com/spreadsheets/d/11923uPwbBZFjjGgGUA6NLw09EwE0CqkOc4q9oUmW1yo/edit?usp=sharing"",""น่าน!J47"")"),0)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IFERROR(__xludf.DUMMYFUNCTION("IMPORTRANGE(""https://docs.google.com/spreadsheets/d/11923uPwbBZFjjGgGUA6NLw09EwE0CqkOc4q9oUmW1yo/edit?usp=sharing"",""น่าน!I48"")"),1)</f>
        <v>1</v>
      </c>
      <c r="J113" s="213">
        <f ca="1">IFERROR(__xludf.DUMMYFUNCTION("IMPORTRANGE(""https://docs.google.com/spreadsheets/d/11923uPwbBZFjjGgGUA6NLw09EwE0CqkOc4q9oUmW1yo/edit?usp=sharing"",""น่าน!J48"")"),0)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IFERROR(__xludf.DUMMYFUNCTION("IMPORTRANGE(""https://docs.google.com/spreadsheets/d/11923uPwbBZFjjGgGUA6NLw09EwE0CqkOc4q9oUmW1yo/edit?usp=sharing"",""น่าน!J49"")"),0)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IFERROR(__xludf.DUMMYFUNCTION("IMPORTRANGE(""https://docs.google.com/spreadsheets/d/11923uPwbBZFjjGgGUA6NLw09EwE0CqkOc4q9oUmW1yo/edit?usp=sharing"",""น่าน!J50"")"),0)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IFERROR(__xludf.DUMMYFUNCTION("IMPORTRANGE(""https://docs.google.com/spreadsheets/d/11923uPwbBZFjjGgGUA6NLw09EwE0CqkOc4q9oUmW1yo/edit?usp=sharing"",""น่าน!I52"")"),0)</f>
        <v>0</v>
      </c>
      <c r="J117" s="148">
        <f ca="1">IFERROR(__xludf.DUMMYFUNCTION("IMPORTRANGE(""https://docs.google.com/spreadsheets/d/11923uPwbBZFjjGgGUA6NLw09EwE0CqkOc4q9oUmW1yo/edit?usp=sharing"",""น่าน!J52"")"),0)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IFERROR(__xludf.DUMMYFUNCTION("IMPORTRANGE(""https://docs.google.com/spreadsheets/d/1Yj_ptqi66GCucihVvJfMjLAmec39IyEx_6qawtMGysU/edit?usp=sharing"",""สบก!BA25"")"),0)</f>
        <v>0</v>
      </c>
      <c r="N122" s="177">
        <f ca="1">IFERROR(__xludf.DUMMYFUNCTION("IMPORTRANGE(""https://docs.google.com/spreadsheets/d/1Yj_ptqi66GCucihVvJfMjLAmec39IyEx_6qawtMGysU/edit?usp=sharing"",""สบก!BB25"")"),0)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IFERROR(__xludf.DUMMYFUNCTION("IMPORTRANGE(""https://docs.google.com/spreadsheets/d/1Yj_ptqi66GCucihVvJfMjLAmec39IyEx_6qawtMGysU/edit?usp=sharing"",""สบก!AW25"")"),0)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IFERROR(__xludf.DUMMYFUNCTION("IMPORTRANGE(""https://docs.google.com/spreadsheets/d/1Yj_ptqi66GCucihVvJfMjLAmec39IyEx_6qawtMGysU/edit?usp=sharing"",""สบก!AX25"")"),0)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IFERROR(__xludf.DUMMYFUNCTION("IMPORTRANGE(""https://docs.google.com/spreadsheets/d/1Yj_ptqi66GCucihVvJfMjLAmec39IyEx_6qawtMGysU/edit?usp=sharing"",""สบก!AY25"")"),0)</f>
        <v>0</v>
      </c>
      <c r="M126" s="103"/>
      <c r="N126" s="93">
        <f ca="1">IFERROR(__xludf.DUMMYFUNCTION("IMPORTRANGE(""https://docs.google.com/spreadsheets/d/1Yj_ptqi66GCucihVvJfMjLAmec39IyEx_6qawtMGysU/edit?usp=sharing"",""สบก!BC25"")"),0)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250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IFERROR(__xludf.DUMMYFUNCTION("IMPORTRANGE(""https://docs.google.com/spreadsheets/d/11923uPwbBZFjjGgGUA6NLw09EwE0CqkOc4q9oUmW1yo/edit?usp=sharing"",""น่าน!J58"")"),0)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IFERROR(__xludf.DUMMYFUNCTION("IMPORTRANGE(""https://docs.google.com/spreadsheets/d/11923uPwbBZFjjGgGUA6NLw09EwE0CqkOc4q9oUmW1yo/edit?usp=sharing"",""น่าน!J59"")"),0)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IFERROR(__xludf.DUMMYFUNCTION("IMPORTRANGE(""https://docs.google.com/spreadsheets/d/11923uPwbBZFjjGgGUA6NLw09EwE0CqkOc4q9oUmW1yo/edit?usp=sharing"",""น่าน!J60"")"),0)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IFERROR(__xludf.DUMMYFUNCTION("IMPORTRANGE(""https://docs.google.com/spreadsheets/d/11923uPwbBZFjjGgGUA6NLw09EwE0CqkOc4q9oUmW1yo/edit?usp=sharing"",""น่าน!J61"")"),0)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IFERROR(__xludf.DUMMYFUNCTION("IMPORTRANGE(""https://docs.google.com/spreadsheets/d/11923uPwbBZFjjGgGUA6NLw09EwE0CqkOc4q9oUmW1yo/edit?usp=sharing"",""น่าน!I62"")"),0)</f>
        <v>0</v>
      </c>
      <c r="J132" s="213">
        <f ca="1">IFERROR(__xludf.DUMMYFUNCTION("IMPORTRANGE(""https://docs.google.com/spreadsheets/d/11923uPwbBZFjjGgGUA6NLw09EwE0CqkOc4q9oUmW1yo/edit?usp=sharing"",""น่าน!J62"")"),0)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IFERROR(__xludf.DUMMYFUNCTION("IMPORTRANGE(""https://docs.google.com/spreadsheets/d/11923uPwbBZFjjGgGUA6NLw09EwE0CqkOc4q9oUmW1yo/edit?usp=sharing"",""น่าน!I63"")"),0)</f>
        <v>0</v>
      </c>
      <c r="J133" s="213">
        <f ca="1">IFERROR(__xludf.DUMMYFUNCTION("IMPORTRANGE(""https://docs.google.com/spreadsheets/d/11923uPwbBZFjjGgGUA6NLw09EwE0CqkOc4q9oUmW1yo/edit?usp=sharing"",""น่าน!J63"")"),0)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IFERROR(__xludf.DUMMYFUNCTION("IMPORTRANGE(""https://docs.google.com/spreadsheets/d/11923uPwbBZFjjGgGUA6NLw09EwE0CqkOc4q9oUmW1yo/edit?usp=sharing"",""น่าน!J64"")"),0)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IFERROR(__xludf.DUMMYFUNCTION("IMPORTRANGE(""https://docs.google.com/spreadsheets/d/11923uPwbBZFjjGgGUA6NLw09EwE0CqkOc4q9oUmW1yo/edit?usp=sharing"",""น่าน!J65"")"),0)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IFERROR(__xludf.DUMMYFUNCTION("IMPORTRANGE(""https://docs.google.com/spreadsheets/d/11923uPwbBZFjjGgGUA6NLw09EwE0CqkOc4q9oUmW1yo/edit?usp=sharing"",""น่าน!I68"")"),90)</f>
        <v>90</v>
      </c>
      <c r="J138" s="276">
        <f ca="1">IFERROR(__xludf.DUMMYFUNCTION("IMPORTRANGE(""https://docs.google.com/spreadsheets/d/11923uPwbBZFjjGgGUA6NLw09EwE0CqkOc4q9oUmW1yo/edit?usp=sharing"",""น่าน!J68"")"),90)</f>
        <v>90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815200</v>
      </c>
      <c r="M140" s="158">
        <f t="shared" ca="1" si="64"/>
        <v>404550</v>
      </c>
      <c r="N140" s="158">
        <f t="shared" ca="1" si="64"/>
        <v>259165</v>
      </c>
      <c r="O140" s="157">
        <f t="shared" ref="O140:O142" ca="1" si="65">IF(L140&gt;0,N140*100/L140,0)</f>
        <v>31.791584887144261</v>
      </c>
      <c r="P140" s="157">
        <f t="shared" ref="P140:P142" ca="1" si="66">IF(M140&gt;0,N140*100/M140,0)</f>
        <v>64.062538623161544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815200</v>
      </c>
      <c r="M142" s="163">
        <f t="shared" ca="1" si="68"/>
        <v>404550</v>
      </c>
      <c r="N142" s="163">
        <f t="shared" ca="1" si="68"/>
        <v>259165</v>
      </c>
      <c r="O142" s="162">
        <f t="shared" ca="1" si="65"/>
        <v>31.791584887144261</v>
      </c>
      <c r="P142" s="162">
        <f t="shared" ca="1" si="66"/>
        <v>64.062538623161544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815200</v>
      </c>
      <c r="M144" s="176">
        <f ca="1">IFERROR(__xludf.DUMMYFUNCTION("IMPORTRANGE(""https://docs.google.com/spreadsheets/d/1Yj_ptqi66GCucihVvJfMjLAmec39IyEx_6qawtMGysU/edit?usp=sharing"",""สบก!BJ25"")"),404550)</f>
        <v>404550</v>
      </c>
      <c r="N144" s="177">
        <f ca="1">IFERROR(__xludf.DUMMYFUNCTION("IMPORTRANGE(""https://docs.google.com/spreadsheets/d/1Yj_ptqi66GCucihVvJfMjLAmec39IyEx_6qawtMGysU/edit?usp=sharing"",""สบก!BK25"")"),259165)</f>
        <v>259165</v>
      </c>
      <c r="O144" s="178">
        <f ca="1">IF(L144&gt;0,N144*100/L144,0)</f>
        <v>31.791584887144261</v>
      </c>
      <c r="P144" s="178">
        <f ca="1">IF(M144&gt;0,N144*100/M144,0)</f>
        <v>64.062538623161544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IFERROR(__xludf.DUMMYFUNCTION("IMPORTRANGE(""https://docs.google.com/spreadsheets/d/1Yj_ptqi66GCucihVvJfMjLAmec39IyEx_6qawtMGysU/edit?usp=sharing"",""สบก!BF25"")"),315900)</f>
        <v>315900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IFERROR(__xludf.DUMMYFUNCTION("IMPORTRANGE(""https://docs.google.com/spreadsheets/d/1Yj_ptqi66GCucihVvJfMjLAmec39IyEx_6qawtMGysU/edit?usp=sharing"",""สบก!BG25"")"),499300)</f>
        <v>499300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IFERROR(__xludf.DUMMYFUNCTION("IMPORTRANGE(""https://docs.google.com/spreadsheets/d/1Yj_ptqi66GCucihVvJfMjLAmec39IyEx_6qawtMGysU/edit?usp=sharing"",""สบก!BH25"")"),0)</f>
        <v>0</v>
      </c>
      <c r="M148" s="103"/>
      <c r="N148" s="93">
        <f ca="1">IFERROR(__xludf.DUMMYFUNCTION("IMPORTRANGE(""https://docs.google.com/spreadsheets/d/1Yj_ptqi66GCucihVvJfMjLAmec39IyEx_6qawtMGysU/edit?usp=sharing"",""สบก!BL25"")"),0)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IFERROR(__xludf.DUMMYFUNCTION("IMPORTRANGE(""https://docs.google.com/spreadsheets/d/11923uPwbBZFjjGgGUA6NLw09EwE0CqkOc4q9oUmW1yo/edit?usp=sharing"",""น่าน!I74"")"),4)</f>
        <v>4</v>
      </c>
      <c r="J149" s="284">
        <f ca="1">IFERROR(__xludf.DUMMYFUNCTION("IMPORTRANGE(""https://docs.google.com/spreadsheets/d/11923uPwbBZFjjGgGUA6NLw09EwE0CqkOc4q9oUmW1yo/edit?usp=sharing"",""น่าน!J74"")"),1)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IFERROR(__xludf.DUMMYFUNCTION("IMPORTRANGE(""https://docs.google.com/spreadsheets/d/11923uPwbBZFjjGgGUA6NLw09EwE0CqkOc4q9oUmW1yo/edit?usp=sharing"",""น่าน!J79"")"),0)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IFERROR(__xludf.DUMMYFUNCTION("IMPORTRANGE(""https://docs.google.com/spreadsheets/d/11923uPwbBZFjjGgGUA6NLw09EwE0CqkOc4q9oUmW1yo/edit?usp=sharing"",""น่าน!J80"")"),1)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IFERROR(__xludf.DUMMYFUNCTION("IMPORTRANGE(""https://docs.google.com/spreadsheets/d/11923uPwbBZFjjGgGUA6NLw09EwE0CqkOc4q9oUmW1yo/edit?usp=sharing"",""น่าน!J81"")"),1)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IFERROR(__xludf.DUMMYFUNCTION("IMPORTRANGE(""https://docs.google.com/spreadsheets/d/11923uPwbBZFjjGgGUA6NLw09EwE0CqkOc4q9oUmW1yo/edit?usp=sharing"",""น่าน!J82"")"),1)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IFERROR(__xludf.DUMMYFUNCTION("IMPORTRANGE(""https://docs.google.com/spreadsheets/d/11923uPwbBZFjjGgGUA6NLw09EwE0CqkOc4q9oUmW1yo/edit?usp=sharing"",""น่าน!I83"")"),4)</f>
        <v>4</v>
      </c>
      <c r="J158" s="198">
        <f ca="1">IFERROR(__xludf.DUMMYFUNCTION("IMPORTRANGE(""https://docs.google.com/spreadsheets/d/11923uPwbBZFjjGgGUA6NLw09EwE0CqkOc4q9oUmW1yo/edit?usp=sharing"",""น่าน!J83"")"),1)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IFERROR(__xludf.DUMMYFUNCTION("IMPORTRANGE(""https://docs.google.com/spreadsheets/d/11923uPwbBZFjjGgGUA6NLw09EwE0CqkOc4q9oUmW1yo/edit?usp=sharing"",""น่าน!J84"")"),107)</f>
        <v>107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IFERROR(__xludf.DUMMYFUNCTION("IMPORTRANGE(""https://docs.google.com/spreadsheets/d/11923uPwbBZFjjGgGUA6NLw09EwE0CqkOc4q9oUmW1yo/edit?usp=sharing"",""น่าน!J85"")"),107)</f>
        <v>107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IFERROR(__xludf.DUMMYFUNCTION("IMPORTRANGE(""https://docs.google.com/spreadsheets/d/11923uPwbBZFjjGgGUA6NLw09EwE0CqkOc4q9oUmW1yo/edit?usp=sharing"",""น่าน!J86"")"),0)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IFERROR(__xludf.DUMMYFUNCTION("IMPORTRANGE(""https://docs.google.com/spreadsheets/d/11923uPwbBZFjjGgGUA6NLw09EwE0CqkOc4q9oUmW1yo/edit?usp=sharing"",""น่าน!J87"")"),0)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IFERROR(__xludf.DUMMYFUNCTION("IMPORTRANGE(""https://docs.google.com/spreadsheets/d/11923uPwbBZFjjGgGUA6NLw09EwE0CqkOc4q9oUmW1yo/edit?usp=sharing"",""น่าน!J88"")"),0)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IFERROR(__xludf.DUMMYFUNCTION("IMPORTRANGE(""https://docs.google.com/spreadsheets/d/11923uPwbBZFjjGgGUA6NLw09EwE0CqkOc4q9oUmW1yo/edit?usp=sharing"",""น่าน!I89"")"),4)</f>
        <v>4</v>
      </c>
      <c r="J164" s="292">
        <f ca="1">IFERROR(__xludf.DUMMYFUNCTION("IMPORTRANGE(""https://docs.google.com/spreadsheets/d/11923uPwbBZFjjGgGUA6NLw09EwE0CqkOc4q9oUmW1yo/edit?usp=sharing"",""น่าน!J89"")"),0)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IFERROR(__xludf.DUMMYFUNCTION("IMPORTRANGE(""https://docs.google.com/spreadsheets/d/11923uPwbBZFjjGgGUA6NLw09EwE0CqkOc4q9oUmW1yo/edit?usp=sharing"",""น่าน!J94"")"),0)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IFERROR(__xludf.DUMMYFUNCTION("IMPORTRANGE(""https://docs.google.com/spreadsheets/d/11923uPwbBZFjjGgGUA6NLw09EwE0CqkOc4q9oUmW1yo/edit?usp=sharing"",""น่าน!J95"")"),1)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IFERROR(__xludf.DUMMYFUNCTION("IMPORTRANGE(""https://docs.google.com/spreadsheets/d/11923uPwbBZFjjGgGUA6NLw09EwE0CqkOc4q9oUmW1yo/edit?usp=sharing"",""น่าน!J96"")"),1)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IFERROR(__xludf.DUMMYFUNCTION("IMPORTRANGE(""https://docs.google.com/spreadsheets/d/11923uPwbBZFjjGgGUA6NLw09EwE0CqkOc4q9oUmW1yo/edit?usp=sharing"",""น่าน!J97"")"),1)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IFERROR(__xludf.DUMMYFUNCTION("IMPORTRANGE(""https://docs.google.com/spreadsheets/d/11923uPwbBZFjjGgGUA6NLw09EwE0CqkOc4q9oUmW1yo/edit?usp=sharing"",""น่าน!I98"")"),4)</f>
        <v>4</v>
      </c>
      <c r="J173" s="198">
        <f ca="1">IFERROR(__xludf.DUMMYFUNCTION("IMPORTRANGE(""https://docs.google.com/spreadsheets/d/11923uPwbBZFjjGgGUA6NLw09EwE0CqkOc4q9oUmW1yo/edit?usp=sharing"",""น่าน!J98"")"),0)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IFERROR(__xludf.DUMMYFUNCTION("IMPORTRANGE(""https://docs.google.com/spreadsheets/d/11923uPwbBZFjjGgGUA6NLw09EwE0CqkOc4q9oUmW1yo/edit?usp=sharing"",""น่าน!J99"")"),0)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IFERROR(__xludf.DUMMYFUNCTION("IMPORTRANGE(""https://docs.google.com/spreadsheets/d/11923uPwbBZFjjGgGUA6NLw09EwE0CqkOc4q9oUmW1yo/edit?usp=sharing"",""น่าน!J100"")"),0)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IFERROR(__xludf.DUMMYFUNCTION("IMPORTRANGE(""https://docs.google.com/spreadsheets/d/11923uPwbBZFjjGgGUA6NLw09EwE0CqkOc4q9oUmW1yo/edit?usp=sharing"",""น่าน!I101"")"),0)</f>
        <v>0</v>
      </c>
      <c r="J176" s="292">
        <f ca="1">IFERROR(__xludf.DUMMYFUNCTION("IMPORTRANGE(""https://docs.google.com/spreadsheets/d/11923uPwbBZFjjGgGUA6NLw09EwE0CqkOc4q9oUmW1yo/edit?usp=sharing"",""น่าน!J101"")"),0)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IFERROR(__xludf.DUMMYFUNCTION("IMPORTRANGE(""https://docs.google.com/spreadsheets/d/11923uPwbBZFjjGgGUA6NLw09EwE0CqkOc4q9oUmW1yo/edit?usp=sharing"",""น่าน!J106"")"),0)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IFERROR(__xludf.DUMMYFUNCTION("IMPORTRANGE(""https://docs.google.com/spreadsheets/d/11923uPwbBZFjjGgGUA6NLw09EwE0CqkOc4q9oUmW1yo/edit?usp=sharing"",""น่าน!J107"")"),0)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IFERROR(__xludf.DUMMYFUNCTION("IMPORTRANGE(""https://docs.google.com/spreadsheets/d/11923uPwbBZFjjGgGUA6NLw09EwE0CqkOc4q9oUmW1yo/edit?usp=sharing"",""น่าน!J108"")"),0)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IFERROR(__xludf.DUMMYFUNCTION("IMPORTRANGE(""https://docs.google.com/spreadsheets/d/11923uPwbBZFjjGgGUA6NLw09EwE0CqkOc4q9oUmW1yo/edit?usp=sharing"",""น่าน!J109"")"),0)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IFERROR(__xludf.DUMMYFUNCTION("IMPORTRANGE(""https://docs.google.com/spreadsheets/d/11923uPwbBZFjjGgGUA6NLw09EwE0CqkOc4q9oUmW1yo/edit?usp=sharing"",""น่าน!I110"")"),0)</f>
        <v>0</v>
      </c>
      <c r="J185" s="213">
        <f ca="1">IFERROR(__xludf.DUMMYFUNCTION("IMPORTRANGE(""https://docs.google.com/spreadsheets/d/11923uPwbBZFjjGgGUA6NLw09EwE0CqkOc4q9oUmW1yo/edit?usp=sharing"",""น่าน!J110"")"),0)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IFERROR(__xludf.DUMMYFUNCTION("IMPORTRANGE(""https://docs.google.com/spreadsheets/d/11923uPwbBZFjjGgGUA6NLw09EwE0CqkOc4q9oUmW1yo/edit?usp=sharing"",""น่าน!I111"")"),0)</f>
        <v>0</v>
      </c>
      <c r="J186" s="213">
        <f ca="1">IFERROR(__xludf.DUMMYFUNCTION("IMPORTRANGE(""https://docs.google.com/spreadsheets/d/11923uPwbBZFjjGgGUA6NLw09EwE0CqkOc4q9oUmW1yo/edit?usp=sharing"",""น่าน!J111"")"),0)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IFERROR(__xludf.DUMMYFUNCTION("IMPORTRANGE(""https://docs.google.com/spreadsheets/d/11923uPwbBZFjjGgGUA6NLw09EwE0CqkOc4q9oUmW1yo/edit?usp=sharing"",""น่าน!J112"")"),0)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IFERROR(__xludf.DUMMYFUNCTION("IMPORTRANGE(""https://docs.google.com/spreadsheets/d/11923uPwbBZFjjGgGUA6NLw09EwE0CqkOc4q9oUmW1yo/edit?usp=sharing"",""น่าน!J113"")"),0)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IFERROR(__xludf.DUMMYFUNCTION("IMPORTRANGE(""https://docs.google.com/spreadsheets/d/11923uPwbBZFjjGgGUA6NLw09EwE0CqkOc4q9oUmW1yo/edit?usp=sharing"",""น่าน!I114"")"),50000)</f>
        <v>50000</v>
      </c>
      <c r="J189" s="292">
        <f ca="1">IFERROR(__xludf.DUMMYFUNCTION("IMPORTRANGE(""https://docs.google.com/spreadsheets/d/11923uPwbBZFjjGgGUA6NLw09EwE0CqkOc4q9oUmW1yo/edit?usp=sharing"",""น่าน!J114"")"),0)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IFERROR(__xludf.DUMMYFUNCTION("IMPORTRANGE(""https://docs.google.com/spreadsheets/d/11923uPwbBZFjjGgGUA6NLw09EwE0CqkOc4q9oUmW1yo/edit?usp=sharing"",""น่าน!J119"")"),1)</f>
        <v>1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IFERROR(__xludf.DUMMYFUNCTION("IMPORTRANGE(""https://docs.google.com/spreadsheets/d/11923uPwbBZFjjGgGUA6NLw09EwE0CqkOc4q9oUmW1yo/edit?usp=sharing"",""น่าน!J120"")"),0)</f>
        <v>0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IFERROR(__xludf.DUMMYFUNCTION("IMPORTRANGE(""https://docs.google.com/spreadsheets/d/11923uPwbBZFjjGgGUA6NLw09EwE0CqkOc4q9oUmW1yo/edit?usp=sharing"",""น่าน!J121"")"),0)</f>
        <v>0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IFERROR(__xludf.DUMMYFUNCTION("IMPORTRANGE(""https://docs.google.com/spreadsheets/d/11923uPwbBZFjjGgGUA6NLw09EwE0CqkOc4q9oUmW1yo/edit?usp=sharing"",""น่าน!J122"")"),0)</f>
        <v>0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IFERROR(__xludf.DUMMYFUNCTION("IMPORTRANGE(""https://docs.google.com/spreadsheets/d/11923uPwbBZFjjGgGUA6NLw09EwE0CqkOc4q9oUmW1yo/edit?usp=sharing"",""น่าน!I124"")"),50000)</f>
        <v>50000</v>
      </c>
      <c r="J199" s="198">
        <f ca="1">IFERROR(__xludf.DUMMYFUNCTION("IMPORTRANGE(""https://docs.google.com/spreadsheets/d/11923uPwbBZFjjGgGUA6NLw09EwE0CqkOc4q9oUmW1yo/edit?usp=sharing"",""น่าน!J124"")"),0)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IFERROR(__xludf.DUMMYFUNCTION("IMPORTRANGE(""https://docs.google.com/spreadsheets/d/11923uPwbBZFjjGgGUA6NLw09EwE0CqkOc4q9oUmW1yo/edit?usp=sharing"",""น่าน!I125"")"),50000)</f>
        <v>50000</v>
      </c>
      <c r="J200" s="198">
        <f ca="1">IFERROR(__xludf.DUMMYFUNCTION("IMPORTRANGE(""https://docs.google.com/spreadsheets/d/11923uPwbBZFjjGgGUA6NLw09EwE0CqkOc4q9oUmW1yo/edit?usp=sharing"",""น่าน!J125"")"),0)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IFERROR(__xludf.DUMMYFUNCTION("IMPORTRANGE(""https://docs.google.com/spreadsheets/d/11923uPwbBZFjjGgGUA6NLw09EwE0CqkOc4q9oUmW1yo/edit?usp=sharing"",""น่าน!I126"")"),0)</f>
        <v>0</v>
      </c>
      <c r="J201" s="198">
        <f ca="1">IFERROR(__xludf.DUMMYFUNCTION("IMPORTRANGE(""https://docs.google.com/spreadsheets/d/11923uPwbBZFjjGgGUA6NLw09EwE0CqkOc4q9oUmW1yo/edit?usp=sharing"",""น่าน!J126"")"),0)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IFERROR(__xludf.DUMMYFUNCTION("IMPORTRANGE(""https://docs.google.com/spreadsheets/d/11923uPwbBZFjjGgGUA6NLw09EwE0CqkOc4q9oUmW1yo/edit?usp=sharing"",""น่าน!J127"")"),0)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IFERROR(__xludf.DUMMYFUNCTION("IMPORTRANGE(""https://docs.google.com/spreadsheets/d/11923uPwbBZFjjGgGUA6NLw09EwE0CqkOc4q9oUmW1yo/edit?usp=sharing"",""น่าน!J128"")"),0)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IFERROR(__xludf.DUMMYFUNCTION("IMPORTRANGE(""https://docs.google.com/spreadsheets/d/11923uPwbBZFjjGgGUA6NLw09EwE0CqkOc4q9oUmW1yo/edit?usp=sharing"",""น่าน!I129"")"),90)</f>
        <v>90</v>
      </c>
      <c r="J204" s="292">
        <f ca="1">IFERROR(__xludf.DUMMYFUNCTION("IMPORTRANGE(""https://docs.google.com/spreadsheets/d/11923uPwbBZFjjGgGUA6NLw09EwE0CqkOc4q9oUmW1yo/edit?usp=sharing"",""น่าน!J129"")"),90)</f>
        <v>90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IFERROR(__xludf.DUMMYFUNCTION("IMPORTRANGE(""https://docs.google.com/spreadsheets/d/11923uPwbBZFjjGgGUA6NLw09EwE0CqkOc4q9oUmW1yo/edit?usp=sharing"",""น่าน!J134"")"),0)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IFERROR(__xludf.DUMMYFUNCTION("IMPORTRANGE(""https://docs.google.com/spreadsheets/d/11923uPwbBZFjjGgGUA6NLw09EwE0CqkOc4q9oUmW1yo/edit?usp=sharing"",""น่าน!J135"")"),1)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IFERROR(__xludf.DUMMYFUNCTION("IMPORTRANGE(""https://docs.google.com/spreadsheets/d/11923uPwbBZFjjGgGUA6NLw09EwE0CqkOc4q9oUmW1yo/edit?usp=sharing"",""น่าน!J136"")"),1)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IFERROR(__xludf.DUMMYFUNCTION("IMPORTRANGE(""https://docs.google.com/spreadsheets/d/11923uPwbBZFjjGgGUA6NLw09EwE0CqkOc4q9oUmW1yo/edit?usp=sharing"",""น่าน!J137"")"),1)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IFERROR(__xludf.DUMMYFUNCTION("IMPORTRANGE(""https://docs.google.com/spreadsheets/d/11923uPwbBZFjjGgGUA6NLw09EwE0CqkOc4q9oUmW1yo/edit?usp=sharing"",""น่าน!I138"")"),90)</f>
        <v>90</v>
      </c>
      <c r="J213" s="213">
        <f ca="1">IFERROR(__xludf.DUMMYFUNCTION("IMPORTRANGE(""https://docs.google.com/spreadsheets/d/11923uPwbBZFjjGgGUA6NLw09EwE0CqkOc4q9oUmW1yo/edit?usp=sharing"",""น่าน!J138"")"),90)</f>
        <v>90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IFERROR(__xludf.DUMMYFUNCTION("IMPORTRANGE(""https://docs.google.com/spreadsheets/d/11923uPwbBZFjjGgGUA6NLw09EwE0CqkOc4q9oUmW1yo/edit?usp=sharing"",""น่าน!I140"")"),90)</f>
        <v>90</v>
      </c>
      <c r="J215" s="213">
        <f ca="1">IFERROR(__xludf.DUMMYFUNCTION("IMPORTRANGE(""https://docs.google.com/spreadsheets/d/11923uPwbBZFjjGgGUA6NLw09EwE0CqkOc4q9oUmW1yo/edit?usp=sharing"",""น่าน!J140"")"),0)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IFERROR(__xludf.DUMMYFUNCTION("IMPORTRANGE(""https://docs.google.com/spreadsheets/d/11923uPwbBZFjjGgGUA6NLw09EwE0CqkOc4q9oUmW1yo/edit?usp=sharing"",""น่าน!I141"")"),4)</f>
        <v>4</v>
      </c>
      <c r="J216" s="213">
        <f ca="1">IFERROR(__xludf.DUMMYFUNCTION("IMPORTRANGE(""https://docs.google.com/spreadsheets/d/11923uPwbBZFjjGgGUA6NLw09EwE0CqkOc4q9oUmW1yo/edit?usp=sharing"",""น่าน!J141"")"),0)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IFERROR(__xludf.DUMMYFUNCTION("IMPORTRANGE(""https://docs.google.com/spreadsheets/d/11923uPwbBZFjjGgGUA6NLw09EwE0CqkOc4q9oUmW1yo/edit?usp=sharing"",""น่าน!J142"")"),0)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IFERROR(__xludf.DUMMYFUNCTION("IMPORTRANGE(""https://docs.google.com/spreadsheets/d/11923uPwbBZFjjGgGUA6NLw09EwE0CqkOc4q9oUmW1yo/edit?usp=sharing"",""น่าน!J143"")"),0)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IFERROR(__xludf.DUMMYFUNCTION("IMPORTRANGE(""https://docs.google.com/spreadsheets/d/11923uPwbBZFjjGgGUA6NLw09EwE0CqkOc4q9oUmW1yo/edit?usp=sharing"",""น่าน!I144"")"),15)</f>
        <v>15</v>
      </c>
      <c r="J219" s="276">
        <f ca="1">IFERROR(__xludf.DUMMYFUNCTION("IMPORTRANGE(""https://docs.google.com/spreadsheets/d/11923uPwbBZFjjGgGUA6NLw09EwE0CqkOc4q9oUmW1yo/edit?usp=sharing"",""น่าน!J144"")"),15)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19076</v>
      </c>
      <c r="O220" s="157">
        <f t="shared" ref="O220:O222" ca="1" si="73">IF(L220&gt;0,N220*100/L220,0)</f>
        <v>90.300591715976324</v>
      </c>
      <c r="P220" s="157">
        <f t="shared" ref="P220:P222" ca="1" si="74">IF(M220&gt;0,N220*100/M220,0)</f>
        <v>90.300591715976324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19076</v>
      </c>
      <c r="O222" s="162">
        <f t="shared" ca="1" si="73"/>
        <v>90.300591715976324</v>
      </c>
      <c r="P222" s="162">
        <f t="shared" ca="1" si="74"/>
        <v>90.300591715976324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IFERROR(__xludf.DUMMYFUNCTION("IMPORTRANGE(""https://docs.google.com/spreadsheets/d/1Yj_ptqi66GCucihVvJfMjLAmec39IyEx_6qawtMGysU/edit?usp=sharing"",""สบก!BS25"")"),21125)</f>
        <v>21125</v>
      </c>
      <c r="N224" s="177">
        <f ca="1">IFERROR(__xludf.DUMMYFUNCTION("IMPORTRANGE(""https://docs.google.com/spreadsheets/d/1Yj_ptqi66GCucihVvJfMjLAmec39IyEx_6qawtMGysU/edit?usp=sharing"",""สบก!BT25"")"),19076)</f>
        <v>19076</v>
      </c>
      <c r="O224" s="178">
        <f ca="1">IF(L224&gt;0,N224*100/L224,0)</f>
        <v>90.300591715976324</v>
      </c>
      <c r="P224" s="178">
        <f ca="1">IF(M224&gt;0,N224*100/M224,0)</f>
        <v>90.300591715976324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IFERROR(__xludf.DUMMYFUNCTION("IMPORTRANGE(""https://docs.google.com/spreadsheets/d/1Yj_ptqi66GCucihVvJfMjLAmec39IyEx_6qawtMGysU/edit?usp=sharing"",""สบก!BO25"")"),0)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IFERROR(__xludf.DUMMYFUNCTION("IMPORTRANGE(""https://docs.google.com/spreadsheets/d/1Yj_ptqi66GCucihVvJfMjLAmec39IyEx_6qawtMGysU/edit?usp=sharing"",""สบก!BP25"")"),21125)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IFERROR(__xludf.DUMMYFUNCTION("IMPORTRANGE(""https://docs.google.com/spreadsheets/d/1Yj_ptqi66GCucihVvJfMjLAmec39IyEx_6qawtMGysU/edit?usp=sharing"",""สบก!BQ25"")"),0)</f>
        <v>0</v>
      </c>
      <c r="M228" s="103"/>
      <c r="N228" s="93">
        <f ca="1">IFERROR(__xludf.DUMMYFUNCTION("IMPORTRANGE(""https://docs.google.com/spreadsheets/d/1Yj_ptqi66GCucihVvJfMjLAmec39IyEx_6qawtMGysU/edit?usp=sharing"",""สบก!BU25"")"),0)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IFERROR(__xludf.DUMMYFUNCTION("IMPORTRANGE(""https://docs.google.com/spreadsheets/d/11923uPwbBZFjjGgGUA6NLw09EwE0CqkOc4q9oUmW1yo/edit?usp=sharing"",""น่าน!I149"")"),15)</f>
        <v>15</v>
      </c>
      <c r="J229" s="276">
        <f ca="1">IFERROR(__xludf.DUMMYFUNCTION("IMPORTRANGE(""https://docs.google.com/spreadsheets/d/11923uPwbBZFjjGgGUA6NLw09EwE0CqkOc4q9oUmW1yo/edit?usp=sharing"",""น่าน!J149"")"),15)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IFERROR(__xludf.DUMMYFUNCTION("IMPORTRANGE(""https://docs.google.com/spreadsheets/d/11923uPwbBZFjjGgGUA6NLw09EwE0CqkOc4q9oUmW1yo/edit?usp=sharing"",""น่าน!J151"")"),0)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IFERROR(__xludf.DUMMYFUNCTION("IMPORTRANGE(""https://docs.google.com/spreadsheets/d/11923uPwbBZFjjGgGUA6NLw09EwE0CqkOc4q9oUmW1yo/edit?usp=sharing"",""น่าน!J152"")"),1)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IFERROR(__xludf.DUMMYFUNCTION("IMPORTRANGE(""https://docs.google.com/spreadsheets/d/11923uPwbBZFjjGgGUA6NLw09EwE0CqkOc4q9oUmW1yo/edit?usp=sharing"",""น่าน!J153"")"),1)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IFERROR(__xludf.DUMMYFUNCTION("IMPORTRANGE(""https://docs.google.com/spreadsheets/d/11923uPwbBZFjjGgGUA6NLw09EwE0CqkOc4q9oUmW1yo/edit?usp=sharing"",""น่าน!J154"")"),1)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IFERROR(__xludf.DUMMYFUNCTION("IMPORTRANGE(""https://docs.google.com/spreadsheets/d/11923uPwbBZFjjGgGUA6NLw09EwE0CqkOc4q9oUmW1yo/edit?usp=sharing"",""น่าน!I155"")"),15)</f>
        <v>15</v>
      </c>
      <c r="J235" s="198">
        <f ca="1">IFERROR(__xludf.DUMMYFUNCTION("IMPORTRANGE(""https://docs.google.com/spreadsheets/d/11923uPwbBZFjjGgGUA6NLw09EwE0CqkOc4q9oUmW1yo/edit?usp=sharing"",""น่าน!J155"")"),15)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IFERROR(__xludf.DUMMYFUNCTION("IMPORTRANGE(""https://docs.google.com/spreadsheets/d/11923uPwbBZFjjGgGUA6NLw09EwE0CqkOc4q9oUmW1yo/edit?usp=sharing"",""น่าน!J156"")"),1)</f>
        <v>1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IFERROR(__xludf.DUMMYFUNCTION("IMPORTRANGE(""https://docs.google.com/spreadsheets/d/11923uPwbBZFjjGgGUA6NLw09EwE0CqkOc4q9oUmW1yo/edit?usp=sharing"",""น่าน!J157"")"),0)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IFERROR(__xludf.DUMMYFUNCTION("IMPORTRANGE(""https://docs.google.com/spreadsheets/d/11923uPwbBZFjjGgGUA6NLw09EwE0CqkOc4q9oUmW1yo/edit?usp=sharing"",""น่าน!I158"")"),0)</f>
        <v>0</v>
      </c>
      <c r="J238" s="276">
        <f ca="1">IFERROR(__xludf.DUMMYFUNCTION("IMPORTRANGE(""https://docs.google.com/spreadsheets/d/11923uPwbBZFjjGgGUA6NLw09EwE0CqkOc4q9oUmW1yo/edit?usp=sharing"",""น่าน!J158"")"),0)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IFERROR(__xludf.DUMMYFUNCTION("IMPORTRANGE(""https://docs.google.com/spreadsheets/d/11923uPwbBZFjjGgGUA6NLw09EwE0CqkOc4q9oUmW1yo/edit?usp=sharing"",""น่าน!J159"")"),"")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IFERROR(__xludf.DUMMYFUNCTION("IMPORTRANGE(""https://docs.google.com/spreadsheets/d/11923uPwbBZFjjGgGUA6NLw09EwE0CqkOc4q9oUmW1yo/edit?usp=sharing"",""น่าน!J161"")"),0)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IFERROR(__xludf.DUMMYFUNCTION("IMPORTRANGE(""https://docs.google.com/spreadsheets/d/11923uPwbBZFjjGgGUA6NLw09EwE0CqkOc4q9oUmW1yo/edit?usp=sharing"",""น่าน!J162"")"),0)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IFERROR(__xludf.DUMMYFUNCTION("IMPORTRANGE(""https://docs.google.com/spreadsheets/d/11923uPwbBZFjjGgGUA6NLw09EwE0CqkOc4q9oUmW1yo/edit?usp=sharing"",""น่าน!J163"")"),0)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IFERROR(__xludf.DUMMYFUNCTION("IMPORTRANGE(""https://docs.google.com/spreadsheets/d/11923uPwbBZFjjGgGUA6NLw09EwE0CqkOc4q9oUmW1yo/edit?usp=sharing"",""น่าน!I164"")"),0)</f>
        <v>0</v>
      </c>
      <c r="J244" s="197">
        <f ca="1">IFERROR(__xludf.DUMMYFUNCTION("IMPORTRANGE(""https://docs.google.com/spreadsheets/d/11923uPwbBZFjjGgGUA6NLw09EwE0CqkOc4q9oUmW1yo/edit?usp=sharing"",""น่าน!J164"")"),0)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IFERROR(__xludf.DUMMYFUNCTION("IMPORTRANGE(""https://docs.google.com/spreadsheets/d/11923uPwbBZFjjGgGUA6NLw09EwE0CqkOc4q9oUmW1yo/edit?usp=sharing"",""น่าน!J165"")"),0)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IFERROR(__xludf.DUMMYFUNCTION("IMPORTRANGE(""https://docs.google.com/spreadsheets/d/11923uPwbBZFjjGgGUA6NLw09EwE0CqkOc4q9oUmW1yo/edit?usp=sharing"",""น่าน!J166"")"),0)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IFERROR(__xludf.DUMMYFUNCTION("IMPORTRANGE(""https://docs.google.com/spreadsheets/d/11923uPwbBZFjjGgGUA6NLw09EwE0CqkOc4q9oUmW1yo/edit?usp=sharing"",""น่าน!I169"")"),0)</f>
        <v>0</v>
      </c>
      <c r="J249" s="324">
        <f ca="1">IFERROR(__xludf.DUMMYFUNCTION("IMPORTRANGE(""https://docs.google.com/spreadsheets/d/11923uPwbBZFjjGgGUA6NLw09EwE0CqkOc4q9oUmW1yo/edit?usp=sharing"",""น่าน!J169"")"),0)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IFERROR(__xludf.DUMMYFUNCTION("IMPORTRANGE(""https://docs.google.com/spreadsheets/d/1Yj_ptqi66GCucihVvJfMjLAmec39IyEx_6qawtMGysU/edit?usp=sharing"",""สบก!CB25"")"),0)</f>
        <v>0</v>
      </c>
      <c r="N254" s="177">
        <f ca="1">IFERROR(__xludf.DUMMYFUNCTION("IMPORTRANGE(""https://docs.google.com/spreadsheets/d/1Yj_ptqi66GCucihVvJfMjLAmec39IyEx_6qawtMGysU/edit?usp=sharing"",""สบก!CC25"")"),0)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IFERROR(__xludf.DUMMYFUNCTION("IMPORTRANGE(""https://docs.google.com/spreadsheets/d/1Yj_ptqi66GCucihVvJfMjLAmec39IyEx_6qawtMGysU/edit?usp=sharing"",""สบก!BX25"")"),0)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IFERROR(__xludf.DUMMYFUNCTION("IMPORTRANGE(""https://docs.google.com/spreadsheets/d/1Yj_ptqi66GCucihVvJfMjLAmec39IyEx_6qawtMGysU/edit?usp=sharing"",""สบก!BY25"")"),0)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IFERROR(__xludf.DUMMYFUNCTION("IMPORTRANGE(""https://docs.google.com/spreadsheets/d/1Yj_ptqi66GCucihVvJfMjLAmec39IyEx_6qawtMGysU/edit?usp=sharing"",""สบก!BZ25"")"),0)</f>
        <v>0</v>
      </c>
      <c r="M258" s="103"/>
      <c r="N258" s="93">
        <f ca="1">IFERROR(__xludf.DUMMYFUNCTION("IMPORTRANGE(""https://docs.google.com/spreadsheets/d/1Yj_ptqi66GCucihVvJfMjLAmec39IyEx_6qawtMGysU/edit?usp=sharing"",""สบก!CD25"")"),0)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IFERROR(__xludf.DUMMYFUNCTION("IMPORTRANGE(""https://docs.google.com/spreadsheets/d/11923uPwbBZFjjGgGUA6NLw09EwE0CqkOc4q9oUmW1yo/edit?usp=sharing"",""น่าน!J175"")"),0)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IFERROR(__xludf.DUMMYFUNCTION("IMPORTRANGE(""https://docs.google.com/spreadsheets/d/11923uPwbBZFjjGgGUA6NLw09EwE0CqkOc4q9oUmW1yo/edit?usp=sharing"",""น่าน!J176"")"),0)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IFERROR(__xludf.DUMMYFUNCTION("IMPORTRANGE(""https://docs.google.com/spreadsheets/d/11923uPwbBZFjjGgGUA6NLw09EwE0CqkOc4q9oUmW1yo/edit?usp=sharing"",""น่าน!J177"")"),0)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IFERROR(__xludf.DUMMYFUNCTION("IMPORTRANGE(""https://docs.google.com/spreadsheets/d/11923uPwbBZFjjGgGUA6NLw09EwE0CqkOc4q9oUmW1yo/edit?usp=sharing"",""น่าน!J178"")"),0)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IFERROR(__xludf.DUMMYFUNCTION("IMPORTRANGE(""https://docs.google.com/spreadsheets/d/11923uPwbBZFjjGgGUA6NLw09EwE0CqkOc4q9oUmW1yo/edit?usp=sharing"",""น่าน!I179"")"),0)</f>
        <v>0</v>
      </c>
      <c r="J264" s="198">
        <f ca="1">IFERROR(__xludf.DUMMYFUNCTION("IMPORTRANGE(""https://docs.google.com/spreadsheets/d/11923uPwbBZFjjGgGUA6NLw09EwE0CqkOc4q9oUmW1yo/edit?usp=sharing"",""น่าน!J179"")"),0)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IFERROR(__xludf.DUMMYFUNCTION("IMPORTRANGE(""https://docs.google.com/spreadsheets/d/11923uPwbBZFjjGgGUA6NLw09EwE0CqkOc4q9oUmW1yo/edit?usp=sharing"",""น่าน!I180"")"),0)</f>
        <v>0</v>
      </c>
      <c r="J265" s="198">
        <f ca="1">IFERROR(__xludf.DUMMYFUNCTION("IMPORTRANGE(""https://docs.google.com/spreadsheets/d/11923uPwbBZFjjGgGUA6NLw09EwE0CqkOc4q9oUmW1yo/edit?usp=sharing"",""น่าน!J180"")"),0)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IFERROR(__xludf.DUMMYFUNCTION("IMPORTRANGE(""https://docs.google.com/spreadsheets/d/11923uPwbBZFjjGgGUA6NLw09EwE0CqkOc4q9oUmW1yo/edit?usp=sharing"",""น่าน!I181"")"),0)</f>
        <v>0</v>
      </c>
      <c r="J266" s="198">
        <f ca="1">IFERROR(__xludf.DUMMYFUNCTION("IMPORTRANGE(""https://docs.google.com/spreadsheets/d/11923uPwbBZFjjGgGUA6NLw09EwE0CqkOc4q9oUmW1yo/edit?usp=sharing"",""น่าน!J181"")"),0)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IFERROR(__xludf.DUMMYFUNCTION("IMPORTRANGE(""https://docs.google.com/spreadsheets/d/11923uPwbBZFjjGgGUA6NLw09EwE0CqkOc4q9oUmW1yo/edit?usp=sharing"",""น่าน!I182"")"),0)</f>
        <v>0</v>
      </c>
      <c r="J267" s="198">
        <f ca="1">IFERROR(__xludf.DUMMYFUNCTION("IMPORTRANGE(""https://docs.google.com/spreadsheets/d/11923uPwbBZFjjGgGUA6NLw09EwE0CqkOc4q9oUmW1yo/edit?usp=sharing"",""น่าน!J182"")"),0)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IFERROR(__xludf.DUMMYFUNCTION("IMPORTRANGE(""https://docs.google.com/spreadsheets/d/11923uPwbBZFjjGgGUA6NLw09EwE0CqkOc4q9oUmW1yo/edit?usp=sharing"",""น่าน!J183"")"),0)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IFERROR(__xludf.DUMMYFUNCTION("IMPORTRANGE(""https://docs.google.com/spreadsheets/d/11923uPwbBZFjjGgGUA6NLw09EwE0CqkOc4q9oUmW1yo/edit?usp=sharing"",""น่าน!J184"")"),0)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IFERROR(__xludf.DUMMYFUNCTION("IMPORTRANGE(""https://docs.google.com/spreadsheets/d/11923uPwbBZFjjGgGUA6NLw09EwE0CqkOc4q9oUmW1yo/edit?usp=sharing"",""น่าน!I185"")"),15)</f>
        <v>15</v>
      </c>
      <c r="J270" s="324">
        <f ca="1">IFERROR(__xludf.DUMMYFUNCTION("IMPORTRANGE(""https://docs.google.com/spreadsheets/d/11923uPwbBZFjjGgGUA6NLw09EwE0CqkOc4q9oUmW1yo/edit?usp=sharing"",""น่าน!J185"")"),15)</f>
        <v>15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55200</v>
      </c>
      <c r="M271" s="158">
        <f t="shared" ca="1" si="83"/>
        <v>32250</v>
      </c>
      <c r="N271" s="158">
        <f t="shared" ca="1" si="83"/>
        <v>11590</v>
      </c>
      <c r="O271" s="157">
        <f t="shared" ref="O271:O273" ca="1" si="84">IF(L271&gt;0,N271*100/L271,0)</f>
        <v>20.996376811594203</v>
      </c>
      <c r="P271" s="157">
        <f t="shared" ref="P271:P273" ca="1" si="85">IF(M271&gt;0,N271*100/M271,0)</f>
        <v>35.937984496124031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55200</v>
      </c>
      <c r="M273" s="163">
        <f t="shared" ca="1" si="87"/>
        <v>32250</v>
      </c>
      <c r="N273" s="163">
        <f t="shared" ca="1" si="87"/>
        <v>11590</v>
      </c>
      <c r="O273" s="162">
        <f t="shared" ca="1" si="84"/>
        <v>20.996376811594203</v>
      </c>
      <c r="P273" s="162">
        <f t="shared" ca="1" si="85"/>
        <v>35.937984496124031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55200</v>
      </c>
      <c r="M275" s="176">
        <f ca="1">IFERROR(__xludf.DUMMYFUNCTION("IMPORTRANGE(""https://docs.google.com/spreadsheets/d/1Yj_ptqi66GCucihVvJfMjLAmec39IyEx_6qawtMGysU/edit?usp=sharing"",""สบก!CK25"")"),32250)</f>
        <v>32250</v>
      </c>
      <c r="N275" s="177">
        <f ca="1">IFERROR(__xludf.DUMMYFUNCTION("IMPORTRANGE(""https://docs.google.com/spreadsheets/d/1Yj_ptqi66GCucihVvJfMjLAmec39IyEx_6qawtMGysU/edit?usp=sharing"",""สบก!CL25"")"),11590)</f>
        <v>11590</v>
      </c>
      <c r="O275" s="178">
        <f ca="1">IF(L275&gt;0,N275*100/L275,0)</f>
        <v>20.996376811594203</v>
      </c>
      <c r="P275" s="178">
        <f ca="1">IF(M275&gt;0,N275*100/M275,0)</f>
        <v>35.937984496124031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IFERROR(__xludf.DUMMYFUNCTION("IMPORTRANGE(""https://docs.google.com/spreadsheets/d/1Yj_ptqi66GCucihVvJfMjLAmec39IyEx_6qawtMGysU/edit?usp=sharing"",""สบก!CG25"")"),0)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IFERROR(__xludf.DUMMYFUNCTION("IMPORTRANGE(""https://docs.google.com/spreadsheets/d/1Yj_ptqi66GCucihVvJfMjLAmec39IyEx_6qawtMGysU/edit?usp=sharing"",""สบก!CH25"")"),55200)</f>
        <v>55200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IFERROR(__xludf.DUMMYFUNCTION("IMPORTRANGE(""https://docs.google.com/spreadsheets/d/1Yj_ptqi66GCucihVvJfMjLAmec39IyEx_6qawtMGysU/edit?usp=sharing"",""สบก!CI25"")"),0)</f>
        <v>0</v>
      </c>
      <c r="M279" s="103"/>
      <c r="N279" s="93">
        <f ca="1">IFERROR(__xludf.DUMMYFUNCTION("IMPORTRANGE(""https://docs.google.com/spreadsheets/d/1Yj_ptqi66GCucihVvJfMjLAmec39IyEx_6qawtMGysU/edit?usp=sharing"",""สบก!CM25"")"),0)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IFERROR(__xludf.DUMMYFUNCTION("IMPORTRANGE(""https://docs.google.com/spreadsheets/d/11923uPwbBZFjjGgGUA6NLw09EwE0CqkOc4q9oUmW1yo/edit?usp=sharing"",""น่าน!J191"")"),0)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IFERROR(__xludf.DUMMYFUNCTION("IMPORTRANGE(""https://docs.google.com/spreadsheets/d/11923uPwbBZFjjGgGUA6NLw09EwE0CqkOc4q9oUmW1yo/edit?usp=sharing"",""น่าน!J192"")"),1)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IFERROR(__xludf.DUMMYFUNCTION("IMPORTRANGE(""https://docs.google.com/spreadsheets/d/11923uPwbBZFjjGgGUA6NLw09EwE0CqkOc4q9oUmW1yo/edit?usp=sharing"",""น่าน!J193"")"),1)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IFERROR(__xludf.DUMMYFUNCTION("IMPORTRANGE(""https://docs.google.com/spreadsheets/d/11923uPwbBZFjjGgGUA6NLw09EwE0CqkOc4q9oUmW1yo/edit?usp=sharing"",""น่าน!J194"")"),1)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IFERROR(__xludf.DUMMYFUNCTION("IMPORTRANGE(""https://docs.google.com/spreadsheets/d/11923uPwbBZFjjGgGUA6NLw09EwE0CqkOc4q9oUmW1yo/edit?usp=sharing"",""น่าน!I195"")"),15)</f>
        <v>15</v>
      </c>
      <c r="J285" s="198">
        <f ca="1">IFERROR(__xludf.DUMMYFUNCTION("IMPORTRANGE(""https://docs.google.com/spreadsheets/d/11923uPwbBZFjjGgGUA6NLw09EwE0CqkOc4q9oUmW1yo/edit?usp=sharing"",""น่าน!J195"")"),15)</f>
        <v>15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IFERROR(__xludf.DUMMYFUNCTION("IMPORTRANGE(""https://docs.google.com/spreadsheets/d/11923uPwbBZFjjGgGUA6NLw09EwE0CqkOc4q9oUmW1yo/edit?usp=sharing"",""น่าน!J196"")"),0)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IFERROR(__xludf.DUMMYFUNCTION("IMPORTRANGE(""https://docs.google.com/spreadsheets/d/11923uPwbBZFjjGgGUA6NLw09EwE0CqkOc4q9oUmW1yo/edit?usp=sharing"",""น่าน!J197"")"),0)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IFERROR(__xludf.DUMMYFUNCTION("IMPORTRANGE(""https://docs.google.com/spreadsheets/d/11923uPwbBZFjjGgGUA6NLw09EwE0CqkOc4q9oUmW1yo/edit?usp=sharing"",""น่าน!I199"")"),0)</f>
        <v>0</v>
      </c>
      <c r="J289" s="324">
        <f ca="1">IFERROR(__xludf.DUMMYFUNCTION("IMPORTRANGE(""https://docs.google.com/spreadsheets/d/11923uPwbBZFjjGgGUA6NLw09EwE0CqkOc4q9oUmW1yo/edit?usp=sharing"",""น่าน!J199"")"),0)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IFERROR(__xludf.DUMMYFUNCTION("IMPORTRANGE(""https://docs.google.com/spreadsheets/d/1Yj_ptqi66GCucihVvJfMjLAmec39IyEx_6qawtMGysU/edit?usp=sharing"",""สบก!CT25"")"),0)</f>
        <v>0</v>
      </c>
      <c r="N294" s="177">
        <f ca="1">IFERROR(__xludf.DUMMYFUNCTION("IMPORTRANGE(""https://docs.google.com/spreadsheets/d/1Yj_ptqi66GCucihVvJfMjLAmec39IyEx_6qawtMGysU/edit?usp=sharing"",""สบก!CU25"")"),0)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IFERROR(__xludf.DUMMYFUNCTION("IMPORTRANGE(""https://docs.google.com/spreadsheets/d/1Yj_ptqi66GCucihVvJfMjLAmec39IyEx_6qawtMGysU/edit?usp=sharing"",""สบก!CP25"")"),0)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IFERROR(__xludf.DUMMYFUNCTION("IMPORTRANGE(""https://docs.google.com/spreadsheets/d/1Yj_ptqi66GCucihVvJfMjLAmec39IyEx_6qawtMGysU/edit?usp=sharing"",""สบก!CQ25"")"),0)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IFERROR(__xludf.DUMMYFUNCTION("IMPORTRANGE(""https://docs.google.com/spreadsheets/d/1Yj_ptqi66GCucihVvJfMjLAmec39IyEx_6qawtMGysU/edit?usp=sharing"",""สบก!CR25"")"),0)</f>
        <v>0</v>
      </c>
      <c r="M298" s="103"/>
      <c r="N298" s="93">
        <f ca="1">IFERROR(__xludf.DUMMYFUNCTION("IMPORTRANGE(""https://docs.google.com/spreadsheets/d/1Yj_ptqi66GCucihVvJfMjLAmec39IyEx_6qawtMGysU/edit?usp=sharing"",""สบก!CV25"")"),0)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IFERROR(__xludf.DUMMYFUNCTION("IMPORTRANGE(""https://docs.google.com/spreadsheets/d/11923uPwbBZFjjGgGUA6NLw09EwE0CqkOc4q9oUmW1yo/edit?usp=sharing"",""น่าน!J205"")"),0)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IFERROR(__xludf.DUMMYFUNCTION("IMPORTRANGE(""https://docs.google.com/spreadsheets/d/11923uPwbBZFjjGgGUA6NLw09EwE0CqkOc4q9oUmW1yo/edit?usp=sharing"",""น่าน!J206"")"),0)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IFERROR(__xludf.DUMMYFUNCTION("IMPORTRANGE(""https://docs.google.com/spreadsheets/d/11923uPwbBZFjjGgGUA6NLw09EwE0CqkOc4q9oUmW1yo/edit?usp=sharing"",""น่าน!J207"")"),0)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IFERROR(__xludf.DUMMYFUNCTION("IMPORTRANGE(""https://docs.google.com/spreadsheets/d/11923uPwbBZFjjGgGUA6NLw09EwE0CqkOc4q9oUmW1yo/edit?usp=sharing"",""น่าน!J208"")"),0)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IFERROR(__xludf.DUMMYFUNCTION("IMPORTRANGE(""https://docs.google.com/spreadsheets/d/11923uPwbBZFjjGgGUA6NLw09EwE0CqkOc4q9oUmW1yo/edit?usp=sharing"",""น่าน!I209"")"),0)</f>
        <v>0</v>
      </c>
      <c r="J304" s="213">
        <f ca="1">IFERROR(__xludf.DUMMYFUNCTION("IMPORTRANGE(""https://docs.google.com/spreadsheets/d/11923uPwbBZFjjGgGUA6NLw09EwE0CqkOc4q9oUmW1yo/edit?usp=sharing"",""น่าน!J209"")"),0)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IFERROR(__xludf.DUMMYFUNCTION("IMPORTRANGE(""https://docs.google.com/spreadsheets/d/11923uPwbBZFjjGgGUA6NLw09EwE0CqkOc4q9oUmW1yo/edit?usp=sharing"",""น่าน!I211"")"),0)</f>
        <v>0</v>
      </c>
      <c r="J306" s="213">
        <f ca="1">IFERROR(__xludf.DUMMYFUNCTION("IMPORTRANGE(""https://docs.google.com/spreadsheets/d/11923uPwbBZFjjGgGUA6NLw09EwE0CqkOc4q9oUmW1yo/edit?usp=sharing"",""น่าน!J211"")"),0)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IFERROR(__xludf.DUMMYFUNCTION("IMPORTRANGE(""https://docs.google.com/spreadsheets/d/11923uPwbBZFjjGgGUA6NLw09EwE0CqkOc4q9oUmW1yo/edit?usp=sharing"",""น่าน!J212"")"),0)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IFERROR(__xludf.DUMMYFUNCTION("IMPORTRANGE(""https://docs.google.com/spreadsheets/d/11923uPwbBZFjjGgGUA6NLw09EwE0CqkOc4q9oUmW1yo/edit?usp=sharing"",""น่าน!J213"")"),0)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IFERROR(__xludf.DUMMYFUNCTION("IMPORTRANGE(""https://docs.google.com/spreadsheets/d/11923uPwbBZFjjGgGUA6NLw09EwE0CqkOc4q9oUmW1yo/edit?usp=sharing"",""น่าน!I214"")"),0)</f>
        <v>0</v>
      </c>
      <c r="J309" s="341">
        <f ca="1">IFERROR(__xludf.DUMMYFUNCTION("IMPORTRANGE(""https://docs.google.com/spreadsheets/d/11923uPwbBZFjjGgGUA6NLw09EwE0CqkOc4q9oUmW1yo/edit?usp=sharing"",""น่าน!J214"")"),0)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IFERROR(__xludf.DUMMYFUNCTION("IMPORTRANGE(""https://docs.google.com/spreadsheets/d/1Yj_ptqi66GCucihVvJfMjLAmec39IyEx_6qawtMGysU/edit?usp=sharing"",""สบก!DC25"")"),0)</f>
        <v>0</v>
      </c>
      <c r="N314" s="177">
        <f ca="1">IFERROR(__xludf.DUMMYFUNCTION("IMPORTRANGE(""https://docs.google.com/spreadsheets/d/1Yj_ptqi66GCucihVvJfMjLAmec39IyEx_6qawtMGysU/edit?usp=sharing"",""สบก!DD25"")"),0)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IFERROR(__xludf.DUMMYFUNCTION("IMPORTRANGE(""https://docs.google.com/spreadsheets/d/1Yj_ptqi66GCucihVvJfMjLAmec39IyEx_6qawtMGysU/edit?usp=sharing"",""สบก!CY25"")"),0)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IFERROR(__xludf.DUMMYFUNCTION("IMPORTRANGE(""https://docs.google.com/spreadsheets/d/1Yj_ptqi66GCucihVvJfMjLAmec39IyEx_6qawtMGysU/edit?usp=sharing"",""สบก!CZ25"")"),0)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IFERROR(__xludf.DUMMYFUNCTION("IMPORTRANGE(""https://docs.google.com/spreadsheets/d/1Yj_ptqi66GCucihVvJfMjLAmec39IyEx_6qawtMGysU/edit?usp=sharing"",""สบก!DA25"")"),0)</f>
        <v>0</v>
      </c>
      <c r="M318" s="103"/>
      <c r="N318" s="93">
        <f ca="1">IFERROR(__xludf.DUMMYFUNCTION("IMPORTRANGE(""https://docs.google.com/spreadsheets/d/1Yj_ptqi66GCucihVvJfMjLAmec39IyEx_6qawtMGysU/edit?usp=sharing"",""สบก!DE25"")"),0)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IFERROR(__xludf.DUMMYFUNCTION("IMPORTRANGE(""https://docs.google.com/spreadsheets/d/11923uPwbBZFjjGgGUA6NLw09EwE0CqkOc4q9oUmW1yo/edit?usp=sharing"",""น่าน!J220"")"),0)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IFERROR(__xludf.DUMMYFUNCTION("IMPORTRANGE(""https://docs.google.com/spreadsheets/d/11923uPwbBZFjjGgGUA6NLw09EwE0CqkOc4q9oUmW1yo/edit?usp=sharing"",""น่าน!J221"")"),0)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IFERROR(__xludf.DUMMYFUNCTION("IMPORTRANGE(""https://docs.google.com/spreadsheets/d/11923uPwbBZFjjGgGUA6NLw09EwE0CqkOc4q9oUmW1yo/edit?usp=sharing"",""น่าน!J222"")"),0)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IFERROR(__xludf.DUMMYFUNCTION("IMPORTRANGE(""https://docs.google.com/spreadsheets/d/11923uPwbBZFjjGgGUA6NLw09EwE0CqkOc4q9oUmW1yo/edit?usp=sharing"",""น่าน!J223"")"),0)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IFERROR(__xludf.DUMMYFUNCTION("IMPORTRANGE(""https://docs.google.com/spreadsheets/d/11923uPwbBZFjjGgGUA6NLw09EwE0CqkOc4q9oUmW1yo/edit?usp=sharing"",""น่าน!I224"")"),0)</f>
        <v>0</v>
      </c>
      <c r="J324" s="213">
        <f ca="1">IFERROR(__xludf.DUMMYFUNCTION("IMPORTRANGE(""https://docs.google.com/spreadsheets/d/11923uPwbBZFjjGgGUA6NLw09EwE0CqkOc4q9oUmW1yo/edit?usp=sharing"",""น่าน!J224"")"),0)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IFERROR(__xludf.DUMMYFUNCTION("IMPORTRANGE(""https://docs.google.com/spreadsheets/d/11923uPwbBZFjjGgGUA6NLw09EwE0CqkOc4q9oUmW1yo/edit?usp=sharing"",""น่าน!J225"")"),0)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IFERROR(__xludf.DUMMYFUNCTION("IMPORTRANGE(""https://docs.google.com/spreadsheets/d/11923uPwbBZFjjGgGUA6NLw09EwE0CqkOc4q9oUmW1yo/edit?usp=sharing"",""น่าน!J226"")"),0)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IFERROR(__xludf.DUMMYFUNCTION("IMPORTRANGE(""https://docs.google.com/spreadsheets/d/11923uPwbBZFjjGgGUA6NLw09EwE0CqkOc4q9oUmW1yo/edit?usp=sharing"",""น่าน!I228"")"),480)</f>
        <v>480</v>
      </c>
      <c r="J328" s="347">
        <f ca="1">IFERROR(__xludf.DUMMYFUNCTION("IMPORTRANGE(""https://docs.google.com/spreadsheets/d/11923uPwbBZFjjGgGUA6NLw09EwE0CqkOc4q9oUmW1yo/edit?usp=sharing"",""น่าน!J228"")"),44)</f>
        <v>44</v>
      </c>
      <c r="K328" s="325">
        <f ca="1">IF(I328&gt;0,J328*100/I328,0)</f>
        <v>9.1666666666666661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935350</v>
      </c>
      <c r="M329" s="158">
        <f t="shared" ca="1" si="98"/>
        <v>497780</v>
      </c>
      <c r="N329" s="158">
        <f t="shared" ca="1" si="98"/>
        <v>228128</v>
      </c>
      <c r="O329" s="157">
        <f t="shared" ref="O329:O331" ca="1" si="99">IF(L329&gt;0,N329*100/L329,0)</f>
        <v>24.389586785695194</v>
      </c>
      <c r="P329" s="157">
        <f t="shared" ref="P329:P331" ca="1" si="100">IF(M329&gt;0,N329*100/M329,0)</f>
        <v>45.829081120173569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935350</v>
      </c>
      <c r="M331" s="163">
        <f t="shared" ca="1" si="102"/>
        <v>497780</v>
      </c>
      <c r="N331" s="163">
        <f t="shared" ca="1" si="102"/>
        <v>228128</v>
      </c>
      <c r="O331" s="162">
        <f t="shared" ca="1" si="99"/>
        <v>24.389586785695194</v>
      </c>
      <c r="P331" s="162">
        <f t="shared" ca="1" si="100"/>
        <v>45.829081120173569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920350</v>
      </c>
      <c r="M333" s="176">
        <f ca="1">IFERROR(__xludf.DUMMYFUNCTION("IMPORTRANGE(""https://docs.google.com/spreadsheets/d/1Yj_ptqi66GCucihVvJfMjLAmec39IyEx_6qawtMGysU/edit?usp=sharing"",""สบก!DL25"")"),497780)</f>
        <v>497780</v>
      </c>
      <c r="N333" s="177">
        <f ca="1">IFERROR(__xludf.DUMMYFUNCTION("IMPORTRANGE(""https://docs.google.com/spreadsheets/d/1Yj_ptqi66GCucihVvJfMjLAmec39IyEx_6qawtMGysU/edit?usp=sharing"",""สบก!DM25"")"),213128)</f>
        <v>213128</v>
      </c>
      <c r="O333" s="178">
        <f ca="1">IF(L333&gt;0,N333*100/L333,0)</f>
        <v>23.157277122833705</v>
      </c>
      <c r="P333" s="178">
        <f ca="1">IF(M333&gt;0,N333*100/M333,0)</f>
        <v>42.815701715617344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IFERROR(__xludf.DUMMYFUNCTION("IMPORTRANGE(""https://docs.google.com/spreadsheets/d/1Yj_ptqi66GCucihVvJfMjLAmec39IyEx_6qawtMGysU/edit?usp=sharing"",""สบก!DH25"")"),417600)</f>
        <v>417600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IFERROR(__xludf.DUMMYFUNCTION("IMPORTRANGE(""https://docs.google.com/spreadsheets/d/1Yj_ptqi66GCucihVvJfMjLAmec39IyEx_6qawtMGysU/edit?usp=sharing"",""สบก!DI25"")"),502750)</f>
        <v>502750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IFERROR(__xludf.DUMMYFUNCTION("IMPORTRANGE(""https://docs.google.com/spreadsheets/d/1Yj_ptqi66GCucihVvJfMjLAmec39IyEx_6qawtMGysU/edit?usp=sharing"",""สบก!DJ25"")"),15000)</f>
        <v>15000</v>
      </c>
      <c r="M337" s="103"/>
      <c r="N337" s="93">
        <f ca="1">IFERROR(__xludf.DUMMYFUNCTION("IMPORTRANGE(""https://docs.google.com/spreadsheets/d/1Yj_ptqi66GCucihVvJfMjLAmec39IyEx_6qawtMGysU/edit?usp=sharing"",""สบก!DN25"")"),15000)</f>
        <v>15000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IFERROR(__xludf.DUMMYFUNCTION("IMPORTRANGE(""https://docs.google.com/spreadsheets/d/11923uPwbBZFjjGgGUA6NLw09EwE0CqkOc4q9oUmW1yo/edit?usp=sharing"",""น่าน!I234"")"),0)</f>
        <v>0</v>
      </c>
      <c r="J339" s="197">
        <f ca="1">IFERROR(__xludf.DUMMYFUNCTION("IMPORTRANGE(""https://docs.google.com/spreadsheets/d/11923uPwbBZFjjGgGUA6NLw09EwE0CqkOc4q9oUmW1yo/edit?usp=sharing"",""น่าน!J234"")"),131)</f>
        <v>131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IFERROR(__xludf.DUMMYFUNCTION("IMPORTRANGE(""https://docs.google.com/spreadsheets/d/11923uPwbBZFjjGgGUA6NLw09EwE0CqkOc4q9oUmW1yo/edit?usp=sharing"",""น่าน!I235"")"),2000)</f>
        <v>2000</v>
      </c>
      <c r="J340" s="197">
        <f ca="1">IFERROR(__xludf.DUMMYFUNCTION("IMPORTRANGE(""https://docs.google.com/spreadsheets/d/11923uPwbBZFjjGgGUA6NLw09EwE0CqkOc4q9oUmW1yo/edit?usp=sharing"",""น่าน!J235"")"),351.02)</f>
        <v>351.02</v>
      </c>
      <c r="K340" s="350">
        <f t="shared" ca="1" si="103"/>
        <v>17.550999999999998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IFERROR(__xludf.DUMMYFUNCTION("IMPORTRANGE(""https://docs.google.com/spreadsheets/d/11923uPwbBZFjjGgGUA6NLw09EwE0CqkOc4q9oUmW1yo/edit?usp=sharing"",""น่าน!I236"")"),480)</f>
        <v>480</v>
      </c>
      <c r="J341" s="197">
        <f ca="1">IFERROR(__xludf.DUMMYFUNCTION("IMPORTRANGE(""https://docs.google.com/spreadsheets/d/11923uPwbBZFjjGgGUA6NLw09EwE0CqkOc4q9oUmW1yo/edit?usp=sharing"",""น่าน!J236"")"),89)</f>
        <v>89</v>
      </c>
      <c r="K341" s="350">
        <f t="shared" ca="1" si="103"/>
        <v>18.541666666666668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IFERROR(__xludf.DUMMYFUNCTION("IMPORTRANGE(""https://docs.google.com/spreadsheets/d/11923uPwbBZFjjGgGUA6NLw09EwE0CqkOc4q9oUmW1yo/edit?usp=sharing"",""น่าน!I237"")"),0)</f>
        <v>0</v>
      </c>
      <c r="J342" s="197">
        <f ca="1">IFERROR(__xludf.DUMMYFUNCTION("IMPORTRANGE(""https://docs.google.com/spreadsheets/d/11923uPwbBZFjjGgGUA6NLw09EwE0CqkOc4q9oUmW1yo/edit?usp=sharing"",""น่าน!J237"")"),254.11)</f>
        <v>254.11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IFERROR(__xludf.DUMMYFUNCTION("IMPORTRANGE(""https://docs.google.com/spreadsheets/d/11923uPwbBZFjjGgGUA6NLw09EwE0CqkOc4q9oUmW1yo/edit?usp=sharing"",""น่าน!I238"")"),480)</f>
        <v>480</v>
      </c>
      <c r="J343" s="197">
        <f ca="1">IFERROR(__xludf.DUMMYFUNCTION("IMPORTRANGE(""https://docs.google.com/spreadsheets/d/11923uPwbBZFjjGgGUA6NLw09EwE0CqkOc4q9oUmW1yo/edit?usp=sharing"",""น่าน!J238"")"),0)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IFERROR(__xludf.DUMMYFUNCTION("IMPORTRANGE(""https://docs.google.com/spreadsheets/d/11923uPwbBZFjjGgGUA6NLw09EwE0CqkOc4q9oUmW1yo/edit?usp=sharing"",""น่าน!I239"")"),0)</f>
        <v>0</v>
      </c>
      <c r="J344" s="197">
        <f ca="1">IFERROR(__xludf.DUMMYFUNCTION("IMPORTRANGE(""https://docs.google.com/spreadsheets/d/11923uPwbBZFjjGgGUA6NLw09EwE0CqkOc4q9oUmW1yo/edit?usp=sharing"",""น่าน!J239"")"),0)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IFERROR(__xludf.DUMMYFUNCTION("IMPORTRANGE(""https://docs.google.com/spreadsheets/d/11923uPwbBZFjjGgGUA6NLw09EwE0CqkOc4q9oUmW1yo/edit?usp=sharing"",""น่าน!I240"")"),480)</f>
        <v>480</v>
      </c>
      <c r="J345" s="197">
        <f ca="1">IFERROR(__xludf.DUMMYFUNCTION("IMPORTRANGE(""https://docs.google.com/spreadsheets/d/11923uPwbBZFjjGgGUA6NLw09EwE0CqkOc4q9oUmW1yo/edit?usp=sharing"",""น่าน!J240"")"),44)</f>
        <v>44</v>
      </c>
      <c r="K345" s="350">
        <f t="shared" ca="1" si="103"/>
        <v>9.1666666666666661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IFERROR(__xludf.DUMMYFUNCTION("IMPORTRANGE(""https://docs.google.com/spreadsheets/d/11923uPwbBZFjjGgGUA6NLw09EwE0CqkOc4q9oUmW1yo/edit?usp=sharing"",""น่าน!I241"")"),0)</f>
        <v>0</v>
      </c>
      <c r="J346" s="197">
        <f ca="1">IFERROR(__xludf.DUMMYFUNCTION("IMPORTRANGE(""https://docs.google.com/spreadsheets/d/11923uPwbBZFjjGgGUA6NLw09EwE0CqkOc4q9oUmW1yo/edit?usp=sharing"",""น่าน!J241"")"),120.3)</f>
        <v>120.3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IFERROR(__xludf.DUMMYFUNCTION("IMPORTRANGE(""https://docs.google.com/spreadsheets/d/11923uPwbBZFjjGgGUA6NLw09EwE0CqkOc4q9oUmW1yo/edit?usp=sharing"",""น่าน!L242"")"),2769994)</f>
        <v>2769994</v>
      </c>
      <c r="M347" s="366"/>
      <c r="N347" s="366">
        <f ca="1">IFERROR(__xludf.DUMMYFUNCTION("IMPORTRANGE(""https://docs.google.com/spreadsheets/d/11923uPwbBZFjjGgGUA6NLw09EwE0CqkOc4q9oUmW1yo/edit?usp=sharing"",""น่าน!M242"")"),302954)</f>
        <v>302954</v>
      </c>
      <c r="O347" s="366">
        <f ca="1">+IF(L347&gt;0,N347*100/L347,0)</f>
        <v>10.936991199258916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IFERROR(__xludf.DUMMYFUNCTION("IMPORTRANGE(""https://docs.google.com/spreadsheets/d/11923uPwbBZFjjGgGUA6NLw09EwE0CqkOc4q9oUmW1yo/edit?usp=sharing"",""น่าน!I244"")"),120)</f>
        <v>120</v>
      </c>
      <c r="J349" s="379">
        <f ca="1">IFERROR(__xludf.DUMMYFUNCTION("IMPORTRANGE(""https://docs.google.com/spreadsheets/d/11923uPwbBZFjjGgGUA6NLw09EwE0CqkOc4q9oUmW1yo/edit?usp=sharing"",""น่าน!J244"")"),0)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IFERROR(__xludf.DUMMYFUNCTION("IMPORTRANGE(""https://docs.google.com/spreadsheets/d/11923uPwbBZFjjGgGUA6NLw09EwE0CqkOc4q9oUmW1yo/edit?usp=sharing"",""น่าน!L244"")"),346610)</f>
        <v>346610</v>
      </c>
      <c r="M349" s="381"/>
      <c r="N349" s="381">
        <f ca="1">IFERROR(__xludf.DUMMYFUNCTION("IMPORTRANGE(""https://docs.google.com/spreadsheets/d/11923uPwbBZFjjGgGUA6NLw09EwE0CqkOc4q9oUmW1yo/edit?usp=sharing"",""น่าน!M244"")"),52119)</f>
        <v>52119</v>
      </c>
      <c r="O349" s="381">
        <f ca="1">+IF(L349&gt;0,N349*100/L349,0)</f>
        <v>15.0367848590635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IFERROR(__xludf.DUMMYFUNCTION("IMPORTRANGE(""https://docs.google.com/spreadsheets/d/11923uPwbBZFjjGgGUA6NLw09EwE0CqkOc4q9oUmW1yo/edit?usp=sharing"",""น่าน!I245"")"),45)</f>
        <v>45</v>
      </c>
      <c r="J350" s="379">
        <f ca="1">IFERROR(__xludf.DUMMYFUNCTION("IMPORTRANGE(""https://docs.google.com/spreadsheets/d/11923uPwbBZFjjGgGUA6NLw09EwE0CqkOc4q9oUmW1yo/edit?usp=sharing"",""น่าน!J245"")"),0)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IFERROR(__xludf.DUMMYFUNCTION("IMPORTRANGE(""https://docs.google.com/spreadsheets/d/11923uPwbBZFjjGgGUA6NLw09EwE0CqkOc4q9oUmW1yo/edit?usp=sharing"",""น่าน!L246"")"),0)</f>
        <v>0</v>
      </c>
      <c r="M351" s="172"/>
      <c r="N351" s="172">
        <f ca="1">IFERROR(__xludf.DUMMYFUNCTION("IMPORTRANGE(""https://docs.google.com/spreadsheets/d/11923uPwbBZFjjGgGUA6NLw09EwE0CqkOc4q9oUmW1yo/edit?usp=sharing"",""น่าน!M246"")"),0)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IFERROR(__xludf.DUMMYFUNCTION("IMPORTRANGE(""https://docs.google.com/spreadsheets/d/11923uPwbBZFjjGgGUA6NLw09EwE0CqkOc4q9oUmW1yo/edit?usp=sharing"",""น่าน!L247"")"),346610)</f>
        <v>346610</v>
      </c>
      <c r="M352" s="173"/>
      <c r="N352" s="172">
        <f ca="1">IFERROR(__xludf.DUMMYFUNCTION("IMPORTRANGE(""https://docs.google.com/spreadsheets/d/11923uPwbBZFjjGgGUA6NLw09EwE0CqkOc4q9oUmW1yo/edit?usp=sharing"",""น่าน!M247"")"),52119)</f>
        <v>52119</v>
      </c>
      <c r="O352" s="173">
        <f t="shared" ca="1" si="105"/>
        <v>15.0367848590635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IFERROR(__xludf.DUMMYFUNCTION("IMPORTRANGE(""https://docs.google.com/spreadsheets/d/11923uPwbBZFjjGgGUA6NLw09EwE0CqkOc4q9oUmW1yo/edit?usp=sharing"",""น่าน!L248"")"),0)</f>
        <v>0</v>
      </c>
      <c r="M353" s="178"/>
      <c r="N353" s="178">
        <f ca="1">IFERROR(__xludf.DUMMYFUNCTION("IMPORTRANGE(""https://docs.google.com/spreadsheets/d/11923uPwbBZFjjGgGUA6NLw09EwE0CqkOc4q9oUmW1yo/edit?usp=sharing"",""น่าน!M248"")"),0)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IFERROR(__xludf.DUMMYFUNCTION("IMPORTRANGE(""https://docs.google.com/spreadsheets/d/11923uPwbBZFjjGgGUA6NLw09EwE0CqkOc4q9oUmW1yo/edit?usp=sharing"",""น่าน!L249"")"),346610)</f>
        <v>346610</v>
      </c>
      <c r="M354" s="178"/>
      <c r="N354" s="175">
        <f ca="1">IFERROR(__xludf.DUMMYFUNCTION("IMPORTRANGE(""https://docs.google.com/spreadsheets/d/11923uPwbBZFjjGgGUA6NLw09EwE0CqkOc4q9oUmW1yo/edit?usp=sharing"",""น่าน!M249"")"),52119)</f>
        <v>52119</v>
      </c>
      <c r="O354" s="178">
        <f t="shared" ca="1" si="105"/>
        <v>15.0367848590635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IFERROR(__xludf.DUMMYFUNCTION("IMPORTRANGE(""https://docs.google.com/spreadsheets/d/11923uPwbBZFjjGgGUA6NLw09EwE0CqkOc4q9oUmW1yo/edit?usp=sharing"",""น่าน!M250"")"),13210)</f>
        <v>13210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IFERROR(__xludf.DUMMYFUNCTION("IMPORTRANGE(""https://docs.google.com/spreadsheets/d/11923uPwbBZFjjGgGUA6NLw09EwE0CqkOc4q9oUmW1yo/edit?usp=sharing"",""น่าน!M251"")"),0)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IFERROR(__xludf.DUMMYFUNCTION("IMPORTRANGE(""https://docs.google.com/spreadsheets/d/11923uPwbBZFjjGgGUA6NLw09EwE0CqkOc4q9oUmW1yo/edit?usp=sharing"",""น่าน!M252"")"),34449)</f>
        <v>34449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IFERROR(__xludf.DUMMYFUNCTION("IMPORTRANGE(""https://docs.google.com/spreadsheets/d/11923uPwbBZFjjGgGUA6NLw09EwE0CqkOc4q9oUmW1yo/edit?usp=sharing"",""น่าน!M253"")"),4460)</f>
        <v>4460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IFERROR(__xludf.DUMMYFUNCTION("IMPORTRANGE(""https://docs.google.com/spreadsheets/d/11923uPwbBZFjjGgGUA6NLw09EwE0CqkOc4q9oUmW1yo/edit?usp=sharing"",""น่าน!J255"")"),0)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IFERROR(__xludf.DUMMYFUNCTION("IMPORTRANGE(""https://docs.google.com/spreadsheets/d/11923uPwbBZFjjGgGUA6NLw09EwE0CqkOc4q9oUmW1yo/edit?usp=sharing"",""น่าน!J256"")"),1)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IFERROR(__xludf.DUMMYFUNCTION("IMPORTRANGE(""https://docs.google.com/spreadsheets/d/11923uPwbBZFjjGgGUA6NLw09EwE0CqkOc4q9oUmW1yo/edit?usp=sharing"",""น่าน!J257"")"),1)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IFERROR(__xludf.DUMMYFUNCTION("IMPORTRANGE(""https://docs.google.com/spreadsheets/d/11923uPwbBZFjjGgGUA6NLw09EwE0CqkOc4q9oUmW1yo/edit?usp=sharing"",""น่าน!J258"")"),1)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IFERROR(__xludf.DUMMYFUNCTION("IMPORTRANGE(""https://docs.google.com/spreadsheets/d/11923uPwbBZFjjGgGUA6NLw09EwE0CqkOc4q9oUmW1yo/edit?usp=sharing"",""น่าน!J166"")"),0)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IFERROR(__xludf.DUMMYFUNCTION("IMPORTRANGE(""https://docs.google.com/spreadsheets/d/11923uPwbBZFjjGgGUA6NLw09EwE0CqkOc4q9oUmW1yo/edit?usp=sharing"",""น่าน!J166"")"),0)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IFERROR(__xludf.DUMMYFUNCTION("IMPORTRANGE(""https://docs.google.com/spreadsheets/d/11923uPwbBZFjjGgGUA6NLw09EwE0CqkOc4q9oUmW1yo/edit?usp=sharing"",""น่าน!J166"")"),0)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IFERROR(__xludf.DUMMYFUNCTION("IMPORTRANGE(""https://docs.google.com/spreadsheets/d/11923uPwbBZFjjGgGUA6NLw09EwE0CqkOc4q9oUmW1yo/edit?usp=sharing"",""น่าน!J166"")"),0)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IFERROR(__xludf.DUMMYFUNCTION("IMPORTRANGE(""https://docs.google.com/spreadsheets/d/11923uPwbBZFjjGgGUA6NLw09EwE0CqkOc4q9oUmW1yo/edit?usp=sharing"",""น่าน!I263"")"),45)</f>
        <v>45</v>
      </c>
      <c r="J368" s="197">
        <f ca="1">IFERROR(__xludf.DUMMYFUNCTION("IMPORTRANGE(""https://docs.google.com/spreadsheets/d/11923uPwbBZFjjGgGUA6NLw09EwE0CqkOc4q9oUmW1yo/edit?usp=sharing"",""น่าน!J263"")"),0)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IFERROR(__xludf.DUMMYFUNCTION("IMPORTRANGE(""https://docs.google.com/spreadsheets/d/11923uPwbBZFjjGgGUA6NLw09EwE0CqkOc4q9oUmW1yo/edit?usp=sharing"",""น่าน!I164"")"),0)</f>
        <v>0</v>
      </c>
      <c r="J369" s="213">
        <f ca="1">IFERROR(__xludf.DUMMYFUNCTION("IMPORTRANGE(""https://docs.google.com/spreadsheets/d/11923uPwbBZFjjGgGUA6NLw09EwE0CqkOc4q9oUmW1yo/edit?usp=sharing"",""น่าน!J164"")"),0)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IFERROR(__xludf.DUMMYFUNCTION("IMPORTRANGE(""https://docs.google.com/spreadsheets/d/11923uPwbBZFjjGgGUA6NLw09EwE0CqkOc4q9oUmW1yo/edit?usp=sharing"",""น่าน!I265"")"),45)</f>
        <v>45</v>
      </c>
      <c r="J370" s="213">
        <f ca="1">IFERROR(__xludf.DUMMYFUNCTION("IMPORTRANGE(""https://docs.google.com/spreadsheets/d/11923uPwbBZFjjGgGUA6NLw09EwE0CqkOc4q9oUmW1yo/edit?usp=sharing"",""น่าน!J265"")"),45)</f>
        <v>45</v>
      </c>
      <c r="K370" s="171">
        <f t="shared" ca="1" si="106"/>
        <v>100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IFERROR(__xludf.DUMMYFUNCTION("IMPORTRANGE(""https://docs.google.com/spreadsheets/d/11923uPwbBZFjjGgGUA6NLw09EwE0CqkOc4q9oUmW1yo/edit?usp=sharing"",""น่าน!I164"")"),0)</f>
        <v>0</v>
      </c>
      <c r="J371" s="198">
        <f ca="1">IFERROR(__xludf.DUMMYFUNCTION("IMPORTRANGE(""https://docs.google.com/spreadsheets/d/11923uPwbBZFjjGgGUA6NLw09EwE0CqkOc4q9oUmW1yo/edit?usp=sharing"",""น่าน!J164"")"),0)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IFERROR(__xludf.DUMMYFUNCTION("IMPORTRANGE(""https://docs.google.com/spreadsheets/d/11923uPwbBZFjjGgGUA6NLw09EwE0CqkOc4q9oUmW1yo/edit?usp=sharing"",""น่าน!I267"")"),45)</f>
        <v>45</v>
      </c>
      <c r="J372" s="198">
        <f ca="1">IFERROR(__xludf.DUMMYFUNCTION("IMPORTRANGE(""https://docs.google.com/spreadsheets/d/11923uPwbBZFjjGgGUA6NLw09EwE0CqkOc4q9oUmW1yo/edit?usp=sharing"",""น่าน!J267"")"),0)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IFERROR(__xludf.DUMMYFUNCTION("IMPORTRANGE(""https://docs.google.com/spreadsheets/d/11923uPwbBZFjjGgGUA6NLw09EwE0CqkOc4q9oUmW1yo/edit?usp=sharing"",""น่าน!I164"")"),0)</f>
        <v>0</v>
      </c>
      <c r="J373" s="213">
        <f ca="1">IFERROR(__xludf.DUMMYFUNCTION("IMPORTRANGE(""https://docs.google.com/spreadsheets/d/11923uPwbBZFjjGgGUA6NLw09EwE0CqkOc4q9oUmW1yo/edit?usp=sharing"",""น่าน!J164"")"),0)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IFERROR(__xludf.DUMMYFUNCTION("IMPORTRANGE(""https://docs.google.com/spreadsheets/d/11923uPwbBZFjjGgGUA6NLw09EwE0CqkOc4q9oUmW1yo/edit?usp=sharing"",""น่าน!I164"")"),0)</f>
        <v>0</v>
      </c>
      <c r="J374" s="197">
        <f ca="1">IFERROR(__xludf.DUMMYFUNCTION("IMPORTRANGE(""https://docs.google.com/spreadsheets/d/11923uPwbBZFjjGgGUA6NLw09EwE0CqkOc4q9oUmW1yo/edit?usp=sharing"",""น่าน!J164"")"),0)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IFERROR(__xludf.DUMMYFUNCTION("IMPORTRANGE(""https://docs.google.com/spreadsheets/d/11923uPwbBZFjjGgGUA6NLw09EwE0CqkOc4q9oUmW1yo/edit?usp=sharing"",""น่าน!I270"")"),120)</f>
        <v>120</v>
      </c>
      <c r="J375" s="197">
        <f ca="1">IFERROR(__xludf.DUMMYFUNCTION("IMPORTRANGE(""https://docs.google.com/spreadsheets/d/11923uPwbBZFjjGgGUA6NLw09EwE0CqkOc4q9oUmW1yo/edit?usp=sharing"",""น่าน!J270"")"),0)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IFERROR(__xludf.DUMMYFUNCTION("IMPORTRANGE(""https://docs.google.com/spreadsheets/d/11923uPwbBZFjjGgGUA6NLw09EwE0CqkOc4q9oUmW1yo/edit?usp=sharing"",""น่าน!I271"")"),60)</f>
        <v>60</v>
      </c>
      <c r="J376" s="198">
        <f ca="1">IFERROR(__xludf.DUMMYFUNCTION("IMPORTRANGE(""https://docs.google.com/spreadsheets/d/11923uPwbBZFjjGgGUA6NLw09EwE0CqkOc4q9oUmW1yo/edit?usp=sharing"",""น่าน!J271"")"),0)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IFERROR(__xludf.DUMMYFUNCTION("IMPORTRANGE(""https://docs.google.com/spreadsheets/d/11923uPwbBZFjjGgGUA6NLw09EwE0CqkOc4q9oUmW1yo/edit?usp=sharing"",""น่าน!I272"")"),60)</f>
        <v>60</v>
      </c>
      <c r="J377" s="213">
        <f ca="1">IFERROR(__xludf.DUMMYFUNCTION("IMPORTRANGE(""https://docs.google.com/spreadsheets/d/11923uPwbBZFjjGgGUA6NLw09EwE0CqkOc4q9oUmW1yo/edit?usp=sharing"",""น่าน!J272"")"),0)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IFERROR(__xludf.DUMMYFUNCTION("IMPORTRANGE(""https://docs.google.com/spreadsheets/d/11923uPwbBZFjjGgGUA6NLw09EwE0CqkOc4q9oUmW1yo/edit?usp=sharing"",""น่าน!J273"")"),0)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IFERROR(__xludf.DUMMYFUNCTION("IMPORTRANGE(""https://docs.google.com/spreadsheets/d/11923uPwbBZFjjGgGUA6NLw09EwE0CqkOc4q9oUmW1yo/edit?usp=sharing"",""น่าน!J274"")"),0)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IFERROR(__xludf.DUMMYFUNCTION("IMPORTRANGE(""https://docs.google.com/spreadsheets/d/11923uPwbBZFjjGgGUA6NLw09EwE0CqkOc4q9oUmW1yo/edit?usp=sharing"",""น่าน!I275"")"),1000)</f>
        <v>1000</v>
      </c>
      <c r="J380" s="379">
        <f ca="1">IFERROR(__xludf.DUMMYFUNCTION("IMPORTRANGE(""https://docs.google.com/spreadsheets/d/11923uPwbBZFjjGgGUA6NLw09EwE0CqkOc4q9oUmW1yo/edit?usp=sharing"",""น่าน!J275"")"),0)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IFERROR(__xludf.DUMMYFUNCTION("IMPORTRANGE(""https://docs.google.com/spreadsheets/d/11923uPwbBZFjjGgGUA6NLw09EwE0CqkOc4q9oUmW1yo/edit?usp=sharing"",""น่าน!L275"")"),1028520)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IFERROR(__xludf.DUMMYFUNCTION("IMPORTRANGE(""https://docs.google.com/spreadsheets/d/11923uPwbBZFjjGgGUA6NLw09EwE0CqkOc4q9oUmW1yo/edit?usp=sharing"",""น่าน!M275"")"),113348)</f>
        <v>113348</v>
      </c>
      <c r="O380" s="381">
        <f ca="1">+IF(L380&gt;0,N380*100/L380,0)</f>
        <v>11.020495469217906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IFERROR(__xludf.DUMMYFUNCTION("IMPORTRANGE(""https://docs.google.com/spreadsheets/d/11923uPwbBZFjjGgGUA6NLw09EwE0CqkOc4q9oUmW1yo/edit?usp=sharing"",""น่าน!I276"")"),100)</f>
        <v>100</v>
      </c>
      <c r="J381" s="379">
        <f ca="1">IFERROR(__xludf.DUMMYFUNCTION("IMPORTRANGE(""https://docs.google.com/spreadsheets/d/11923uPwbBZFjjGgGUA6NLw09EwE0CqkOc4q9oUmW1yo/edit?usp=sharing"",""น่าน!J276"")"),70)</f>
        <v>70</v>
      </c>
      <c r="K381" s="380">
        <f t="shared" ca="1" si="108"/>
        <v>70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IFERROR(__xludf.DUMMYFUNCTION("IMPORTRANGE(""https://docs.google.com/spreadsheets/d/11923uPwbBZFjjGgGUA6NLw09EwE0CqkOc4q9oUmW1yo/edit?usp=sharing"",""น่าน!L277"")"),0)</f>
        <v>0</v>
      </c>
      <c r="M382" s="172"/>
      <c r="N382" s="172">
        <f ca="1">IFERROR(__xludf.DUMMYFUNCTION("IMPORTRANGE(""https://docs.google.com/spreadsheets/d/11923uPwbBZFjjGgGUA6NLw09EwE0CqkOc4q9oUmW1yo/edit?usp=sharing"",""น่าน!M277"")"),0)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IFERROR(__xludf.DUMMYFUNCTION("IMPORTRANGE(""https://docs.google.com/spreadsheets/d/11923uPwbBZFjjGgGUA6NLw09EwE0CqkOc4q9oUmW1yo/edit?usp=sharing"",""น่าน!L278"")"),1028520)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IFERROR(__xludf.DUMMYFUNCTION("IMPORTRANGE(""https://docs.google.com/spreadsheets/d/11923uPwbBZFjjGgGUA6NLw09EwE0CqkOc4q9oUmW1yo/edit?usp=sharing"",""น่าน!M278"")"),113348)</f>
        <v>113348</v>
      </c>
      <c r="O383" s="173">
        <f t="shared" ca="1" si="109"/>
        <v>11.020495469217906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IFERROR(__xludf.DUMMYFUNCTION("IMPORTRANGE(""https://docs.google.com/spreadsheets/d/11923uPwbBZFjjGgGUA6NLw09EwE0CqkOc4q9oUmW1yo/edit?usp=sharing"",""น่าน!L279"")"),0)</f>
        <v>0</v>
      </c>
      <c r="M384" s="178"/>
      <c r="N384" s="178">
        <f ca="1">IFERROR(__xludf.DUMMYFUNCTION("IMPORTRANGE(""https://docs.google.com/spreadsheets/d/11923uPwbBZFjjGgGUA6NLw09EwE0CqkOc4q9oUmW1yo/edit?usp=sharing"",""น่าน!M279"")"),0)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IFERROR(__xludf.DUMMYFUNCTION("IMPORTRANGE(""https://docs.google.com/spreadsheets/d/11923uPwbBZFjjGgGUA6NLw09EwE0CqkOc4q9oUmW1yo/edit?usp=sharing"",""น่าน!L280"")"),1028520)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IFERROR(__xludf.DUMMYFUNCTION("IMPORTRANGE(""https://docs.google.com/spreadsheets/d/11923uPwbBZFjjGgGUA6NLw09EwE0CqkOc4q9oUmW1yo/edit?usp=sharing"",""น่าน!M280"")"),113348)</f>
        <v>113348</v>
      </c>
      <c r="O385" s="178">
        <f t="shared" ca="1" si="109"/>
        <v>11.020495469217906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IFERROR(__xludf.DUMMYFUNCTION("IMPORTRANGE(""https://docs.google.com/spreadsheets/d/11923uPwbBZFjjGgGUA6NLw09EwE0CqkOc4q9oUmW1yo/edit?usp=sharing"",""น่าน!M281"")"),79790)</f>
        <v>79790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IFERROR(__xludf.DUMMYFUNCTION("IMPORTRANGE(""https://docs.google.com/spreadsheets/d/11923uPwbBZFjjGgGUA6NLw09EwE0CqkOc4q9oUmW1yo/edit?usp=sharing"",""น่าน!M282"")"),0)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IFERROR(__xludf.DUMMYFUNCTION("IMPORTRANGE(""https://docs.google.com/spreadsheets/d/11923uPwbBZFjjGgGUA6NLw09EwE0CqkOc4q9oUmW1yo/edit?usp=sharing"",""น่าน!M283"")"),33558)</f>
        <v>33558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IFERROR(__xludf.DUMMYFUNCTION("IMPORTRANGE(""https://docs.google.com/spreadsheets/d/11923uPwbBZFjjGgGUA6NLw09EwE0CqkOc4q9oUmW1yo/edit?usp=sharing"",""น่าน!M284"")"),0)</f>
        <v>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IFERROR(__xludf.DUMMYFUNCTION("IMPORTRANGE(""https://docs.google.com/spreadsheets/d/11923uPwbBZFjjGgGUA6NLw09EwE0CqkOc4q9oUmW1yo/edit?usp=sharing"",""น่าน!J286"")"),0)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IFERROR(__xludf.DUMMYFUNCTION("IMPORTRANGE(""https://docs.google.com/spreadsheets/d/11923uPwbBZFjjGgGUA6NLw09EwE0CqkOc4q9oUmW1yo/edit?usp=sharing"",""น่าน!J287"")"),1)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IFERROR(__xludf.DUMMYFUNCTION("IMPORTRANGE(""https://docs.google.com/spreadsheets/d/11923uPwbBZFjjGgGUA6NLw09EwE0CqkOc4q9oUmW1yo/edit?usp=sharing"",""น่าน!J288"")"),1)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IFERROR(__xludf.DUMMYFUNCTION("IMPORTRANGE(""https://docs.google.com/spreadsheets/d/11923uPwbBZFjjGgGUA6NLw09EwE0CqkOc4q9oUmW1yo/edit?usp=sharing"",""น่าน!J289"")"),1)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IFERROR(__xludf.DUMMYFUNCTION("IMPORTRANGE(""https://docs.google.com/spreadsheets/d/11923uPwbBZFjjGgGUA6NLw09EwE0CqkOc4q9oUmW1yo/edit?usp=sharing"",""น่าน!I291"")"),100)</f>
        <v>100</v>
      </c>
      <c r="J396" s="207">
        <f ca="1">IFERROR(__xludf.DUMMYFUNCTION("IMPORTRANGE(""https://docs.google.com/spreadsheets/d/11923uPwbBZFjjGgGUA6NLw09EwE0CqkOc4q9oUmW1yo/edit?usp=sharing"",""น่าน!J291"")"),70)</f>
        <v>70</v>
      </c>
      <c r="K396" s="171">
        <f t="shared" ref="K396:K398" ca="1" si="110">IF(I396&gt;0,J396*100/I396,0)</f>
        <v>70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IFERROR(__xludf.DUMMYFUNCTION("IMPORTRANGE(""https://docs.google.com/spreadsheets/d/11923uPwbBZFjjGgGUA6NLw09EwE0CqkOc4q9oUmW1yo/edit?usp=sharing"",""น่าน!I292"")"),1000)</f>
        <v>1000</v>
      </c>
      <c r="J397" s="207">
        <f ca="1">IFERROR(__xludf.DUMMYFUNCTION("IMPORTRANGE(""https://docs.google.com/spreadsheets/d/11923uPwbBZFjjGgGUA6NLw09EwE0CqkOc4q9oUmW1yo/edit?usp=sharing"",""น่าน!J292"")"),0)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IFERROR(__xludf.DUMMYFUNCTION("IMPORTRANGE(""https://docs.google.com/spreadsheets/d/11923uPwbBZFjjGgGUA6NLw09EwE0CqkOc4q9oUmW1yo/edit?usp=sharing"",""น่าน!I293"")"),100)</f>
        <v>100</v>
      </c>
      <c r="J398" s="207">
        <f ca="1">IFERROR(__xludf.DUMMYFUNCTION("IMPORTRANGE(""https://docs.google.com/spreadsheets/d/11923uPwbBZFjjGgGUA6NLw09EwE0CqkOc4q9oUmW1yo/edit?usp=sharing"",""น่าน!J293"")"),0)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IFERROR(__xludf.DUMMYFUNCTION("IMPORTRANGE(""https://docs.google.com/spreadsheets/d/11923uPwbBZFjjGgGUA6NLw09EwE0CqkOc4q9oUmW1yo/edit?usp=sharing"",""น่าน!J294"")"),0)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IFERROR(__xludf.DUMMYFUNCTION("IMPORTRANGE(""https://docs.google.com/spreadsheets/d/11923uPwbBZFjjGgGUA6NLw09EwE0CqkOc4q9oUmW1yo/edit?usp=sharing"",""น่าน!J295"")"),0)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IFERROR(__xludf.DUMMYFUNCTION("IMPORTRANGE(""https://docs.google.com/spreadsheets/d/11923uPwbBZFjjGgGUA6NLw09EwE0CqkOc4q9oUmW1yo/edit?usp=sharing"",""น่าน!I296"")"),150)</f>
        <v>150</v>
      </c>
      <c r="J401" s="379">
        <f ca="1">IFERROR(__xludf.DUMMYFUNCTION("IMPORTRANGE(""https://docs.google.com/spreadsheets/d/11923uPwbBZFjjGgGUA6NLw09EwE0CqkOc4q9oUmW1yo/edit?usp=sharing"",""น่าน!J296"")"),0)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IFERROR(__xludf.DUMMYFUNCTION("IMPORTRANGE(""https://docs.google.com/spreadsheets/d/11923uPwbBZFjjGgGUA6NLw09EwE0CqkOc4q9oUmW1yo/edit?usp=sharing"",""น่าน!L296"")"),172800)</f>
        <v>172800</v>
      </c>
      <c r="M401" s="381"/>
      <c r="N401" s="381">
        <f ca="1">IFERROR(__xludf.DUMMYFUNCTION("IMPORTRANGE(""https://docs.google.com/spreadsheets/d/11923uPwbBZFjjGgGUA6NLw09EwE0CqkOc4q9oUmW1yo/edit?usp=sharing"",""น่าน!M296"")"),8060)</f>
        <v>8060</v>
      </c>
      <c r="O401" s="381">
        <f ca="1">+IF(L401&gt;0,N401*100/L401,0)</f>
        <v>4.6643518518518521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IFERROR(__xludf.DUMMYFUNCTION("IMPORTRANGE(""https://docs.google.com/spreadsheets/d/11923uPwbBZFjjGgGUA6NLw09EwE0CqkOc4q9oUmW1yo/edit?usp=sharing"",""น่าน!I297"")"),50)</f>
        <v>50</v>
      </c>
      <c r="J402" s="379">
        <f ca="1">IFERROR(__xludf.DUMMYFUNCTION("IMPORTRANGE(""https://docs.google.com/spreadsheets/d/11923uPwbBZFjjGgGUA6NLw09EwE0CqkOc4q9oUmW1yo/edit?usp=sharing"",""น่าน!J297"")"),0)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IFERROR(__xludf.DUMMYFUNCTION("IMPORTRANGE(""https://docs.google.com/spreadsheets/d/11923uPwbBZFjjGgGUA6NLw09EwE0CqkOc4q9oUmW1yo/edit?usp=sharing"",""น่าน!L298"")"),0)</f>
        <v>0</v>
      </c>
      <c r="M403" s="172"/>
      <c r="N403" s="178">
        <f ca="1">IFERROR(__xludf.DUMMYFUNCTION("IMPORTRANGE(""https://docs.google.com/spreadsheets/d/11923uPwbBZFjjGgGUA6NLw09EwE0CqkOc4q9oUmW1yo/edit?usp=sharing"",""น่าน!M298"")"),0)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IFERROR(__xludf.DUMMYFUNCTION("IMPORTRANGE(""https://docs.google.com/spreadsheets/d/11923uPwbBZFjjGgGUA6NLw09EwE0CqkOc4q9oUmW1yo/edit?usp=sharing"",""น่าน!L299"")"),172800)</f>
        <v>172800</v>
      </c>
      <c r="M404" s="173"/>
      <c r="N404" s="178">
        <f ca="1">IFERROR(__xludf.DUMMYFUNCTION("IMPORTRANGE(""https://docs.google.com/spreadsheets/d/11923uPwbBZFjjGgGUA6NLw09EwE0CqkOc4q9oUmW1yo/edit?usp=sharing"",""น่าน!M299"")"),8060)</f>
        <v>8060</v>
      </c>
      <c r="O404" s="178">
        <f t="shared" ca="1" si="112"/>
        <v>4.6643518518518521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IFERROR(__xludf.DUMMYFUNCTION("IMPORTRANGE(""https://docs.google.com/spreadsheets/d/11923uPwbBZFjjGgGUA6NLw09EwE0CqkOc4q9oUmW1yo/edit?usp=sharing"",""น่าน!L300"")"),0)</f>
        <v>0</v>
      </c>
      <c r="M405" s="178"/>
      <c r="N405" s="178">
        <f ca="1">IFERROR(__xludf.DUMMYFUNCTION("IMPORTRANGE(""https://docs.google.com/spreadsheets/d/11923uPwbBZFjjGgGUA6NLw09EwE0CqkOc4q9oUmW1yo/edit?usp=sharing"",""น่าน!M300"")"),0)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IFERROR(__xludf.DUMMYFUNCTION("IMPORTRANGE(""https://docs.google.com/spreadsheets/d/11923uPwbBZFjjGgGUA6NLw09EwE0CqkOc4q9oUmW1yo/edit?usp=sharing"",""น่าน!L301"")"),172800)</f>
        <v>172800</v>
      </c>
      <c r="M406" s="178"/>
      <c r="N406" s="178">
        <f ca="1">IFERROR(__xludf.DUMMYFUNCTION("IMPORTRANGE(""https://docs.google.com/spreadsheets/d/11923uPwbBZFjjGgGUA6NLw09EwE0CqkOc4q9oUmW1yo/edit?usp=sharing"",""น่าน!M301"")"),8060)</f>
        <v>8060</v>
      </c>
      <c r="O406" s="178">
        <f t="shared" ca="1" si="112"/>
        <v>4.6643518518518521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IFERROR(__xludf.DUMMYFUNCTION("IMPORTRANGE(""https://docs.google.com/spreadsheets/d/11923uPwbBZFjjGgGUA6NLw09EwE0CqkOc4q9oUmW1yo/edit?usp=sharing"",""น่าน!M302"")"),8060)</f>
        <v>8060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IFERROR(__xludf.DUMMYFUNCTION("IMPORTRANGE(""https://docs.google.com/spreadsheets/d/11923uPwbBZFjjGgGUA6NLw09EwE0CqkOc4q9oUmW1yo/edit?usp=sharing"",""น่าน!M303"")"),0)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IFERROR(__xludf.DUMMYFUNCTION("IMPORTRANGE(""https://docs.google.com/spreadsheets/d/11923uPwbBZFjjGgGUA6NLw09EwE0CqkOc4q9oUmW1yo/edit?usp=sharing"",""น่าน!M304"")"),0)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IFERROR(__xludf.DUMMYFUNCTION("IMPORTRANGE(""https://docs.google.com/spreadsheets/d/11923uPwbBZFjjGgGUA6NLw09EwE0CqkOc4q9oUmW1yo/edit?usp=sharing"",""น่าน!M305"")"),0)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IFERROR(__xludf.DUMMYFUNCTION("IMPORTRANGE(""https://docs.google.com/spreadsheets/d/11923uPwbBZFjjGgGUA6NLw09EwE0CqkOc4q9oUmW1yo/edit?usp=sharing"",""น่าน!J307"")"),0)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IFERROR(__xludf.DUMMYFUNCTION("IMPORTRANGE(""https://docs.google.com/spreadsheets/d/11923uPwbBZFjjGgGUA6NLw09EwE0CqkOc4q9oUmW1yo/edit?usp=sharing"",""น่าน!J308"")"),1)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IFERROR(__xludf.DUMMYFUNCTION("IMPORTRANGE(""https://docs.google.com/spreadsheets/d/11923uPwbBZFjjGgGUA6NLw09EwE0CqkOc4q9oUmW1yo/edit?usp=sharing"",""น่าน!J309"")"),1)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IFERROR(__xludf.DUMMYFUNCTION("IMPORTRANGE(""https://docs.google.com/spreadsheets/d/11923uPwbBZFjjGgGUA6NLw09EwE0CqkOc4q9oUmW1yo/edit?usp=sharing"",""น่าน!J310"")"),1)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IFERROR(__xludf.DUMMYFUNCTION("IMPORTRANGE(""https://docs.google.com/spreadsheets/d/11923uPwbBZFjjGgGUA6NLw09EwE0CqkOc4q9oUmW1yo/edit?usp=sharing"",""น่าน!I311"")"),50)</f>
        <v>50</v>
      </c>
      <c r="J416" s="210">
        <f ca="1">IFERROR(__xludf.DUMMYFUNCTION("IMPORTRANGE(""https://docs.google.com/spreadsheets/d/11923uPwbBZFjjGgGUA6NLw09EwE0CqkOc4q9oUmW1yo/edit?usp=sharing"",""น่าน!J311"")"),0)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IFERROR(__xludf.DUMMYFUNCTION("IMPORTRANGE(""https://docs.google.com/spreadsheets/d/11923uPwbBZFjjGgGUA6NLw09EwE0CqkOc4q9oUmW1yo/edit?usp=sharing"",""น่าน!I312"")"),10)</f>
        <v>10</v>
      </c>
      <c r="J417" s="400">
        <f ca="1">IFERROR(__xludf.DUMMYFUNCTION("IMPORTRANGE(""https://docs.google.com/spreadsheets/d/11923uPwbBZFjjGgGUA6NLw09EwE0CqkOc4q9oUmW1yo/edit?usp=sharing"",""น่าน!J312"")"),0)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IFERROR(__xludf.DUMMYFUNCTION("IMPORTRANGE(""https://docs.google.com/spreadsheets/d/11923uPwbBZFjjGgGUA6NLw09EwE0CqkOc4q9oUmW1yo/edit?usp=sharing"",""น่าน!I313"")"),30)</f>
        <v>30</v>
      </c>
      <c r="J418" s="401">
        <f ca="1">IFERROR(__xludf.DUMMYFUNCTION("IMPORTRANGE(""https://docs.google.com/spreadsheets/d/11923uPwbBZFjjGgGUA6NLw09EwE0CqkOc4q9oUmW1yo/edit?usp=sharing"",""น่าน!J313"")"),0)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IFERROR(__xludf.DUMMYFUNCTION("IMPORTRANGE(""https://docs.google.com/spreadsheets/d/11923uPwbBZFjjGgGUA6NLw09EwE0CqkOc4q9oUmW1yo/edit?usp=sharing"",""น่าน!I314"")"),10)</f>
        <v>10</v>
      </c>
      <c r="J419" s="402">
        <f ca="1">IFERROR(__xludf.DUMMYFUNCTION("IMPORTRANGE(""https://docs.google.com/spreadsheets/d/11923uPwbBZFjjGgGUA6NLw09EwE0CqkOc4q9oUmW1yo/edit?usp=sharing"",""น่าน!J314"")"),0)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IFERROR(__xludf.DUMMYFUNCTION("IMPORTRANGE(""https://docs.google.com/spreadsheets/d/11923uPwbBZFjjGgGUA6NLw09EwE0CqkOc4q9oUmW1yo/edit?usp=sharing"",""น่าน!I315"")"),10)</f>
        <v>10</v>
      </c>
      <c r="J420" s="402">
        <f ca="1">IFERROR(__xludf.DUMMYFUNCTION("IMPORTRANGE(""https://docs.google.com/spreadsheets/d/11923uPwbBZFjjGgGUA6NLw09EwE0CqkOc4q9oUmW1yo/edit?usp=sharing"",""น่าน!J315"")"),10)</f>
        <v>10</v>
      </c>
      <c r="K420" s="296">
        <f t="shared" ca="1" si="113"/>
        <v>100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IFERROR(__xludf.DUMMYFUNCTION("IMPORTRANGE(""https://docs.google.com/spreadsheets/d/11923uPwbBZFjjGgGUA6NLw09EwE0CqkOc4q9oUmW1yo/edit?usp=sharing"",""น่าน!I316"")"),30)</f>
        <v>30</v>
      </c>
      <c r="J421" s="400">
        <f ca="1">IFERROR(__xludf.DUMMYFUNCTION("IMPORTRANGE(""https://docs.google.com/spreadsheets/d/11923uPwbBZFjjGgGUA6NLw09EwE0CqkOc4q9oUmW1yo/edit?usp=sharing"",""น่าน!J316"")"),0)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IFERROR(__xludf.DUMMYFUNCTION("IMPORTRANGE(""https://docs.google.com/spreadsheets/d/11923uPwbBZFjjGgGUA6NLw09EwE0CqkOc4q9oUmW1yo/edit?usp=sharing"",""น่าน!I317"")"),90)</f>
        <v>90</v>
      </c>
      <c r="J422" s="401">
        <f ca="1">IFERROR(__xludf.DUMMYFUNCTION("IMPORTRANGE(""https://docs.google.com/spreadsheets/d/11923uPwbBZFjjGgGUA6NLw09EwE0CqkOc4q9oUmW1yo/edit?usp=sharing"",""น่าน!J317"")"),0)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IFERROR(__xludf.DUMMYFUNCTION("IMPORTRANGE(""https://docs.google.com/spreadsheets/d/11923uPwbBZFjjGgGUA6NLw09EwE0CqkOc4q9oUmW1yo/edit?usp=sharing"",""น่าน!I318"")"),30)</f>
        <v>30</v>
      </c>
      <c r="J423" s="402">
        <f ca="1">IFERROR(__xludf.DUMMYFUNCTION("IMPORTRANGE(""https://docs.google.com/spreadsheets/d/11923uPwbBZFjjGgGUA6NLw09EwE0CqkOc4q9oUmW1yo/edit?usp=sharing"",""น่าน!J318"")"),0)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IFERROR(__xludf.DUMMYFUNCTION("IMPORTRANGE(""https://docs.google.com/spreadsheets/d/11923uPwbBZFjjGgGUA6NLw09EwE0CqkOc4q9oUmW1yo/edit?usp=sharing"",""น่าน!I319"")"),30)</f>
        <v>30</v>
      </c>
      <c r="J424" s="402">
        <f ca="1">IFERROR(__xludf.DUMMYFUNCTION("IMPORTRANGE(""https://docs.google.com/spreadsheets/d/11923uPwbBZFjjGgGUA6NLw09EwE0CqkOc4q9oUmW1yo/edit?usp=sharing"",""น่าน!J319"")"),0)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IFERROR(__xludf.DUMMYFUNCTION("IMPORTRANGE(""https://docs.google.com/spreadsheets/d/11923uPwbBZFjjGgGUA6NLw09EwE0CqkOc4q9oUmW1yo/edit?usp=sharing"",""น่าน!I320"")"),30)</f>
        <v>30</v>
      </c>
      <c r="J425" s="402">
        <f ca="1">IFERROR(__xludf.DUMMYFUNCTION("IMPORTRANGE(""https://docs.google.com/spreadsheets/d/11923uPwbBZFjjGgGUA6NLw09EwE0CqkOc4q9oUmW1yo/edit?usp=sharing"",""น่าน!J320"")"),0)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IFERROR(__xludf.DUMMYFUNCTION("IMPORTRANGE(""https://docs.google.com/spreadsheets/d/11923uPwbBZFjjGgGUA6NLw09EwE0CqkOc4q9oUmW1yo/edit?usp=sharing"",""น่าน!I321"")"),10)</f>
        <v>10</v>
      </c>
      <c r="J426" s="400">
        <f ca="1">IFERROR(__xludf.DUMMYFUNCTION("IMPORTRANGE(""https://docs.google.com/spreadsheets/d/11923uPwbBZFjjGgGUA6NLw09EwE0CqkOc4q9oUmW1yo/edit?usp=sharing"",""น่าน!J321"")"),0)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IFERROR(__xludf.DUMMYFUNCTION("IMPORTRANGE(""https://docs.google.com/spreadsheets/d/11923uPwbBZFjjGgGUA6NLw09EwE0CqkOc4q9oUmW1yo/edit?usp=sharing"",""น่าน!I322"")"),30)</f>
        <v>30</v>
      </c>
      <c r="J427" s="401">
        <f ca="1">IFERROR(__xludf.DUMMYFUNCTION("IMPORTRANGE(""https://docs.google.com/spreadsheets/d/11923uPwbBZFjjGgGUA6NLw09EwE0CqkOc4q9oUmW1yo/edit?usp=sharing"",""น่าน!J322"")"),0)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IFERROR(__xludf.DUMMYFUNCTION("IMPORTRANGE(""https://docs.google.com/spreadsheets/d/11923uPwbBZFjjGgGUA6NLw09EwE0CqkOc4q9oUmW1yo/edit?usp=sharing"",""น่าน!I323"")"),10)</f>
        <v>10</v>
      </c>
      <c r="J428" s="402">
        <f ca="1">IFERROR(__xludf.DUMMYFUNCTION("IMPORTRANGE(""https://docs.google.com/spreadsheets/d/11923uPwbBZFjjGgGUA6NLw09EwE0CqkOc4q9oUmW1yo/edit?usp=sharing"",""น่าน!J323"")"),0)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IFERROR(__xludf.DUMMYFUNCTION("IMPORTRANGE(""https://docs.google.com/spreadsheets/d/11923uPwbBZFjjGgGUA6NLw09EwE0CqkOc4q9oUmW1yo/edit?usp=sharing"",""น่าน!I324"")"),10)</f>
        <v>10</v>
      </c>
      <c r="J429" s="402">
        <f ca="1">IFERROR(__xludf.DUMMYFUNCTION("IMPORTRANGE(""https://docs.google.com/spreadsheets/d/11923uPwbBZFjjGgGUA6NLw09EwE0CqkOc4q9oUmW1yo/edit?usp=sharing"",""น่าน!J324"")"),0)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IFERROR(__xludf.DUMMYFUNCTION("IMPORTRANGE(""https://docs.google.com/spreadsheets/d/11923uPwbBZFjjGgGUA6NLw09EwE0CqkOc4q9oUmW1yo/edit?usp=sharing"",""น่าน!I325"")"),40)</f>
        <v>40</v>
      </c>
      <c r="J430" s="400">
        <f ca="1">IFERROR(__xludf.DUMMYFUNCTION("IMPORTRANGE(""https://docs.google.com/spreadsheets/d/11923uPwbBZFjjGgGUA6NLw09EwE0CqkOc4q9oUmW1yo/edit?usp=sharing"",""น่าน!J325"")"),0)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IFERROR(__xludf.DUMMYFUNCTION("IMPORTRANGE(""https://docs.google.com/spreadsheets/d/11923uPwbBZFjjGgGUA6NLw09EwE0CqkOc4q9oUmW1yo/edit?usp=sharing"",""น่าน!I326"")"),10)</f>
        <v>10</v>
      </c>
      <c r="J431" s="402">
        <f ca="1">IFERROR(__xludf.DUMMYFUNCTION("IMPORTRANGE(""https://docs.google.com/spreadsheets/d/11923uPwbBZFjjGgGUA6NLw09EwE0CqkOc4q9oUmW1yo/edit?usp=sharing"",""น่าน!J326"")"),0)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IFERROR(__xludf.DUMMYFUNCTION("IMPORTRANGE(""https://docs.google.com/spreadsheets/d/11923uPwbBZFjjGgGUA6NLw09EwE0CqkOc4q9oUmW1yo/edit?usp=sharing"",""น่าน!I327"")"),30)</f>
        <v>30</v>
      </c>
      <c r="J432" s="402">
        <f ca="1">IFERROR(__xludf.DUMMYFUNCTION("IMPORTRANGE(""https://docs.google.com/spreadsheets/d/11923uPwbBZFjjGgGUA6NLw09EwE0CqkOc4q9oUmW1yo/edit?usp=sharing"",""น่าน!J327"")"),0)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IFERROR(__xludf.DUMMYFUNCTION("IMPORTRANGE(""https://docs.google.com/spreadsheets/d/11923uPwbBZFjjGgGUA6NLw09EwE0CqkOc4q9oUmW1yo/edit?usp=sharing"",""น่าน!J328"")"),0)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IFERROR(__xludf.DUMMYFUNCTION("IMPORTRANGE(""https://docs.google.com/spreadsheets/d/11923uPwbBZFjjGgGUA6NLw09EwE0CqkOc4q9oUmW1yo/edit?usp=sharing"",""น่าน!J329"")"),0)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IFERROR(__xludf.DUMMYFUNCTION("IMPORTRANGE(""https://docs.google.com/spreadsheets/d/11923uPwbBZFjjGgGUA6NLw09EwE0CqkOc4q9oUmW1yo/edit?usp=sharing"",""น่าน!I330"")"),35)</f>
        <v>35</v>
      </c>
      <c r="J435" s="418">
        <f ca="1">IFERROR(__xludf.DUMMYFUNCTION("IMPORTRANGE(""https://docs.google.com/spreadsheets/d/11923uPwbBZFjjGgGUA6NLw09EwE0CqkOc4q9oUmW1yo/edit?usp=sharing"",""น่าน!J330"")"),15)</f>
        <v>15</v>
      </c>
      <c r="K435" s="419">
        <f ca="1">IF(I435&gt;0,J435*100/I435,0)</f>
        <v>42.857142857142854</v>
      </c>
      <c r="L435" s="420">
        <f ca="1">IFERROR(__xludf.DUMMYFUNCTION("IMPORTRANGE(""https://docs.google.com/spreadsheets/d/11923uPwbBZFjjGgGUA6NLw09EwE0CqkOc4q9oUmW1yo/edit?usp=sharing"",""น่าน!L330"")"),123800)</f>
        <v>123800</v>
      </c>
      <c r="M435" s="420"/>
      <c r="N435" s="420">
        <f ca="1">IFERROR(__xludf.DUMMYFUNCTION("IMPORTRANGE(""https://docs.google.com/spreadsheets/d/11923uPwbBZFjjGgGUA6NLw09EwE0CqkOc4q9oUmW1yo/edit?usp=sharing"",""น่าน!M330"")"),30845)</f>
        <v>30845</v>
      </c>
      <c r="O435" s="420">
        <f t="shared" ref="O435:O439" ca="1" si="114">+IF(L435&gt;0,N435*100/L435,0)</f>
        <v>24.91518578352181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IFERROR(__xludf.DUMMYFUNCTION("IMPORTRANGE(""https://docs.google.com/spreadsheets/d/11923uPwbBZFjjGgGUA6NLw09EwE0CqkOc4q9oUmW1yo/edit?usp=sharing"",""น่าน!L331"")"),0)</f>
        <v>0</v>
      </c>
      <c r="M436" s="172"/>
      <c r="N436" s="178">
        <f ca="1">IFERROR(__xludf.DUMMYFUNCTION("IMPORTRANGE(""https://docs.google.com/spreadsheets/d/11923uPwbBZFjjGgGUA6NLw09EwE0CqkOc4q9oUmW1yo/edit?usp=sharing"",""น่าน!M331"")"),0)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IFERROR(__xludf.DUMMYFUNCTION("IMPORTRANGE(""https://docs.google.com/spreadsheets/d/11923uPwbBZFjjGgGUA6NLw09EwE0CqkOc4q9oUmW1yo/edit?usp=sharing"",""น่าน!L332"")"),123800)</f>
        <v>123800</v>
      </c>
      <c r="M437" s="173"/>
      <c r="N437" s="178">
        <f ca="1">IFERROR(__xludf.DUMMYFUNCTION("IMPORTRANGE(""https://docs.google.com/spreadsheets/d/11923uPwbBZFjjGgGUA6NLw09EwE0CqkOc4q9oUmW1yo/edit?usp=sharing"",""น่าน!M332"")"),30845)</f>
        <v>30845</v>
      </c>
      <c r="O437" s="178">
        <f t="shared" ca="1" si="114"/>
        <v>24.91518578352181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IFERROR(__xludf.DUMMYFUNCTION("IMPORTRANGE(""https://docs.google.com/spreadsheets/d/11923uPwbBZFjjGgGUA6NLw09EwE0CqkOc4q9oUmW1yo/edit?usp=sharing"",""น่าน!L333"")"),0)</f>
        <v>0</v>
      </c>
      <c r="M438" s="178"/>
      <c r="N438" s="178">
        <f ca="1">IFERROR(__xludf.DUMMYFUNCTION("IMPORTRANGE(""https://docs.google.com/spreadsheets/d/11923uPwbBZFjjGgGUA6NLw09EwE0CqkOc4q9oUmW1yo/edit?usp=sharing"",""น่าน!M333"")"),0)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IFERROR(__xludf.DUMMYFUNCTION("IMPORTRANGE(""https://docs.google.com/spreadsheets/d/11923uPwbBZFjjGgGUA6NLw09EwE0CqkOc4q9oUmW1yo/edit?usp=sharing"",""น่าน!L334"")"),123800)</f>
        <v>123800</v>
      </c>
      <c r="M439" s="178"/>
      <c r="N439" s="178">
        <f ca="1">IFERROR(__xludf.DUMMYFUNCTION("IMPORTRANGE(""https://docs.google.com/spreadsheets/d/11923uPwbBZFjjGgGUA6NLw09EwE0CqkOc4q9oUmW1yo/edit?usp=sharing"",""น่าน!M334"")"),30845)</f>
        <v>30845</v>
      </c>
      <c r="O439" s="178">
        <f t="shared" ca="1" si="114"/>
        <v>24.91518578352181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IFERROR(__xludf.DUMMYFUNCTION("IMPORTRANGE(""https://docs.google.com/spreadsheets/d/11923uPwbBZFjjGgGUA6NLw09EwE0CqkOc4q9oUmW1yo/edit?usp=sharing"",""น่าน!M335"")"),25645)</f>
        <v>25645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IFERROR(__xludf.DUMMYFUNCTION("IMPORTRANGE(""https://docs.google.com/spreadsheets/d/11923uPwbBZFjjGgGUA6NLw09EwE0CqkOc4q9oUmW1yo/edit?usp=sharing"",""น่าน!M336"")"),0)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IFERROR(__xludf.DUMMYFUNCTION("IMPORTRANGE(""https://docs.google.com/spreadsheets/d/11923uPwbBZFjjGgGUA6NLw09EwE0CqkOc4q9oUmW1yo/edit?usp=sharing"",""น่าน!M337"")"),0)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IFERROR(__xludf.DUMMYFUNCTION("IMPORTRANGE(""https://docs.google.com/spreadsheets/d/11923uPwbBZFjjGgGUA6NLw09EwE0CqkOc4q9oUmW1yo/edit?usp=sharing"",""น่าน!M338"")"),5200)</f>
        <v>5200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IFERROR(__xludf.DUMMYFUNCTION("IMPORTRANGE(""https://docs.google.com/spreadsheets/d/11923uPwbBZFjjGgGUA6NLw09EwE0CqkOc4q9oUmW1yo/edit?usp=sharing"",""น่าน!J340"")"),0)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IFERROR(__xludf.DUMMYFUNCTION("IMPORTRANGE(""https://docs.google.com/spreadsheets/d/11923uPwbBZFjjGgGUA6NLw09EwE0CqkOc4q9oUmW1yo/edit?usp=sharing"",""น่าน!J341"")"),1)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IFERROR(__xludf.DUMMYFUNCTION("IMPORTRANGE(""https://docs.google.com/spreadsheets/d/11923uPwbBZFjjGgGUA6NLw09EwE0CqkOc4q9oUmW1yo/edit?usp=sharing"",""น่าน!J342"")"),1)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IFERROR(__xludf.DUMMYFUNCTION("IMPORTRANGE(""https://docs.google.com/spreadsheets/d/11923uPwbBZFjjGgGUA6NLw09EwE0CqkOc4q9oUmW1yo/edit?usp=sharing"",""น่าน!J343"")"),1)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IFERROR(__xludf.DUMMYFUNCTION("IMPORTRANGE(""https://docs.google.com/spreadsheets/d/11923uPwbBZFjjGgGUA6NLw09EwE0CqkOc4q9oUmW1yo/edit?usp=sharing"",""น่าน!I344"")"),35)</f>
        <v>35</v>
      </c>
      <c r="J449" s="210">
        <f ca="1">IFERROR(__xludf.DUMMYFUNCTION("IMPORTRANGE(""https://docs.google.com/spreadsheets/d/11923uPwbBZFjjGgGUA6NLw09EwE0CqkOc4q9oUmW1yo/edit?usp=sharing"",""น่าน!J344"")"),15)</f>
        <v>15</v>
      </c>
      <c r="K449" s="171">
        <f t="shared" ref="K449:K452" ca="1" si="115">IF(I449&gt;0,J449*100/I449,0)</f>
        <v>42.857142857142854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IFERROR(__xludf.DUMMYFUNCTION("IMPORTRANGE(""https://docs.google.com/spreadsheets/d/11923uPwbBZFjjGgGUA6NLw09EwE0CqkOc4q9oUmW1yo/edit?usp=sharing"",""น่าน!I345"")"),15)</f>
        <v>15</v>
      </c>
      <c r="J450" s="198">
        <f ca="1">IFERROR(__xludf.DUMMYFUNCTION("IMPORTRANGE(""https://docs.google.com/spreadsheets/d/11923uPwbBZFjjGgGUA6NLw09EwE0CqkOc4q9oUmW1yo/edit?usp=sharing"",""น่าน!J345"")"),15)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IFERROR(__xludf.DUMMYFUNCTION("IMPORTRANGE(""https://docs.google.com/spreadsheets/d/11923uPwbBZFjjGgGUA6NLw09EwE0CqkOc4q9oUmW1yo/edit?usp=sharing"",""น่าน!I346"")"),20)</f>
        <v>20</v>
      </c>
      <c r="J451" s="197">
        <f ca="1">IFERROR(__xludf.DUMMYFUNCTION("IMPORTRANGE(""https://docs.google.com/spreadsheets/d/11923uPwbBZFjjGgGUA6NLw09EwE0CqkOc4q9oUmW1yo/edit?usp=sharing"",""น่าน!J346"")"),0)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IFERROR(__xludf.DUMMYFUNCTION("IMPORTRANGE(""https://docs.google.com/spreadsheets/d/11923uPwbBZFjjGgGUA6NLw09EwE0CqkOc4q9oUmW1yo/edit?usp=sharing"",""น่าน!I347"")"),0)</f>
        <v>0</v>
      </c>
      <c r="J452" s="197">
        <f ca="1">IFERROR(__xludf.DUMMYFUNCTION("IMPORTRANGE(""https://docs.google.com/spreadsheets/d/11923uPwbBZFjjGgGUA6NLw09EwE0CqkOc4q9oUmW1yo/edit?usp=sharing"",""น่าน!J347"")"),0)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IFERROR(__xludf.DUMMYFUNCTION("IMPORTRANGE(""https://docs.google.com/spreadsheets/d/11923uPwbBZFjjGgGUA6NLw09EwE0CqkOc4q9oUmW1yo/edit?usp=sharing"",""น่าน!J348"")"),0)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IFERROR(__xludf.DUMMYFUNCTION("IMPORTRANGE(""https://docs.google.com/spreadsheets/d/11923uPwbBZFjjGgGUA6NLw09EwE0CqkOc4q9oUmW1yo/edit?usp=sharing"",""น่าน!J349"")"),0)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IFERROR(__xludf.DUMMYFUNCTION("IMPORTRANGE(""https://docs.google.com/spreadsheets/d/11923uPwbBZFjjGgGUA6NLw09EwE0CqkOc4q9oUmW1yo/edit?usp=sharing"",""น่าน!I350"")"),52202)</f>
        <v>52202</v>
      </c>
      <c r="J455" s="379">
        <f ca="1">IFERROR(__xludf.DUMMYFUNCTION("IMPORTRANGE(""https://docs.google.com/spreadsheets/d/11923uPwbBZFjjGgGUA6NLw09EwE0CqkOc4q9oUmW1yo/edit?usp=sharing"",""น่าน!J350"")"),0)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IFERROR(__xludf.DUMMYFUNCTION("IMPORTRANGE(""https://docs.google.com/spreadsheets/d/11923uPwbBZFjjGgGUA6NLw09EwE0CqkOc4q9oUmW1yo/edit?usp=sharing"",""น่าน!L350"")"),611754)</f>
        <v>611754</v>
      </c>
      <c r="M455" s="381"/>
      <c r="N455" s="381">
        <f ca="1">IFERROR(__xludf.DUMMYFUNCTION("IMPORTRANGE(""https://docs.google.com/spreadsheets/d/11923uPwbBZFjjGgGUA6NLw09EwE0CqkOc4q9oUmW1yo/edit?usp=sharing"",""น่าน!M350"")"),22996)</f>
        <v>22996</v>
      </c>
      <c r="O455" s="381">
        <f t="shared" ref="O455:O459" ca="1" si="116">+IF(L455&gt;0,N455*100/L455,0)</f>
        <v>3.7590273214396634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IFERROR(__xludf.DUMMYFUNCTION("IMPORTRANGE(""https://docs.google.com/spreadsheets/d/11923uPwbBZFjjGgGUA6NLw09EwE0CqkOc4q9oUmW1yo/edit?usp=sharing"",""น่าน!L351"")"),0)</f>
        <v>0</v>
      </c>
      <c r="M456" s="172"/>
      <c r="N456" s="178">
        <f ca="1">IFERROR(__xludf.DUMMYFUNCTION("IMPORTRANGE(""https://docs.google.com/spreadsheets/d/11923uPwbBZFjjGgGUA6NLw09EwE0CqkOc4q9oUmW1yo/edit?usp=sharing"",""น่าน!M351"")"),0)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IFERROR(__xludf.DUMMYFUNCTION("IMPORTRANGE(""https://docs.google.com/spreadsheets/d/11923uPwbBZFjjGgGUA6NLw09EwE0CqkOc4q9oUmW1yo/edit?usp=sharing"",""น่าน!L352"")"),611754)</f>
        <v>611754</v>
      </c>
      <c r="M457" s="173"/>
      <c r="N457" s="178">
        <f ca="1">IFERROR(__xludf.DUMMYFUNCTION("IMPORTRANGE(""https://docs.google.com/spreadsheets/d/11923uPwbBZFjjGgGUA6NLw09EwE0CqkOc4q9oUmW1yo/edit?usp=sharing"",""น่าน!M352"")"),22996)</f>
        <v>22996</v>
      </c>
      <c r="O457" s="178">
        <f t="shared" ca="1" si="116"/>
        <v>3.7590273214396634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IFERROR(__xludf.DUMMYFUNCTION("IMPORTRANGE(""https://docs.google.com/spreadsheets/d/11923uPwbBZFjjGgGUA6NLw09EwE0CqkOc4q9oUmW1yo/edit?usp=sharing"",""น่าน!L353"")"),0)</f>
        <v>0</v>
      </c>
      <c r="M458" s="178"/>
      <c r="N458" s="178">
        <f ca="1">IFERROR(__xludf.DUMMYFUNCTION("IMPORTRANGE(""https://docs.google.com/spreadsheets/d/11923uPwbBZFjjGgGUA6NLw09EwE0CqkOc4q9oUmW1yo/edit?usp=sharing"",""น่าน!M353"")"),0)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IFERROR(__xludf.DUMMYFUNCTION("IMPORTRANGE(""https://docs.google.com/spreadsheets/d/11923uPwbBZFjjGgGUA6NLw09EwE0CqkOc4q9oUmW1yo/edit?usp=sharing"",""น่าน!L354"")"),611754)</f>
        <v>611754</v>
      </c>
      <c r="M459" s="178"/>
      <c r="N459" s="178">
        <f ca="1">IFERROR(__xludf.DUMMYFUNCTION("IMPORTRANGE(""https://docs.google.com/spreadsheets/d/11923uPwbBZFjjGgGUA6NLw09EwE0CqkOc4q9oUmW1yo/edit?usp=sharing"",""น่าน!M354"")"),22996)</f>
        <v>22996</v>
      </c>
      <c r="O459" s="178">
        <f t="shared" ca="1" si="116"/>
        <v>3.7590273214396634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IFERROR(__xludf.DUMMYFUNCTION("IMPORTRANGE(""https://docs.google.com/spreadsheets/d/11923uPwbBZFjjGgGUA6NLw09EwE0CqkOc4q9oUmW1yo/edit?usp=sharing"",""น่าน!M355"")"),0)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IFERROR(__xludf.DUMMYFUNCTION("IMPORTRANGE(""https://docs.google.com/spreadsheets/d/11923uPwbBZFjjGgGUA6NLw09EwE0CqkOc4q9oUmW1yo/edit?usp=sharing"",""น่าน!M356"")"),0)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IFERROR(__xludf.DUMMYFUNCTION("IMPORTRANGE(""https://docs.google.com/spreadsheets/d/11923uPwbBZFjjGgGUA6NLw09EwE0CqkOc4q9oUmW1yo/edit?usp=sharing"",""น่าน!M357"")"),20516)</f>
        <v>20516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IFERROR(__xludf.DUMMYFUNCTION("IMPORTRANGE(""https://docs.google.com/spreadsheets/d/11923uPwbBZFjjGgGUA6NLw09EwE0CqkOc4q9oUmW1yo/edit?usp=sharing"",""น่าน!M358"")"),2480)</f>
        <v>2480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IFERROR(__xludf.DUMMYFUNCTION("IMPORTRANGE(""https://docs.google.com/spreadsheets/d/11923uPwbBZFjjGgGUA6NLw09EwE0CqkOc4q9oUmW1yo/edit?usp=sharing"",""น่าน!I359"")"),52202)</f>
        <v>52202</v>
      </c>
      <c r="J464" s="276">
        <f ca="1">IFERROR(__xludf.DUMMYFUNCTION("IMPORTRANGE(""https://docs.google.com/spreadsheets/d/11923uPwbBZFjjGgGUA6NLw09EwE0CqkOc4q9oUmW1yo/edit?usp=sharing"",""น่าน!J359"")"),0)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IFERROR(__xludf.DUMMYFUNCTION("IMPORTRANGE(""https://docs.google.com/spreadsheets/d/11923uPwbBZFjjGgGUA6NLw09EwE0CqkOc4q9oUmW1yo/edit?usp=sharing"",""น่าน!I360"")"),52202)</f>
        <v>52202</v>
      </c>
      <c r="J465" s="428">
        <f ca="1">IFERROR(__xludf.DUMMYFUNCTION("IMPORTRANGE(""https://docs.google.com/spreadsheets/d/11923uPwbBZFjjGgGUA6NLw09EwE0CqkOc4q9oUmW1yo/edit?usp=sharing"",""น่าน!J360"")"),33988)</f>
        <v>33988</v>
      </c>
      <c r="K465" s="211">
        <f t="shared" ca="1" si="117"/>
        <v>65.108616528102374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IFERROR(__xludf.DUMMYFUNCTION("IMPORTRANGE(""https://docs.google.com/spreadsheets/d/11923uPwbBZFjjGgGUA6NLw09EwE0CqkOc4q9oUmW1yo/edit?usp=sharing"",""น่าน!I361"")"),9077)</f>
        <v>9077</v>
      </c>
      <c r="J466" s="428">
        <f ca="1">IFERROR(__xludf.DUMMYFUNCTION("IMPORTRANGE(""https://docs.google.com/spreadsheets/d/11923uPwbBZFjjGgGUA6NLw09EwE0CqkOc4q9oUmW1yo/edit?usp=sharing"",""น่าน!J361"")"),5538)</f>
        <v>5538</v>
      </c>
      <c r="K466" s="211">
        <f t="shared" ca="1" si="117"/>
        <v>61.011347361463038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IFERROR(__xludf.DUMMYFUNCTION("IMPORTRANGE(""https://docs.google.com/spreadsheets/d/11923uPwbBZFjjGgGUA6NLw09EwE0CqkOc4q9oUmW1yo/edit?usp=sharing"",""น่าน!I362"")"),0)</f>
        <v>0</v>
      </c>
      <c r="J467" s="198">
        <f ca="1">IFERROR(__xludf.DUMMYFUNCTION("IMPORTRANGE(""https://docs.google.com/spreadsheets/d/11923uPwbBZFjjGgGUA6NLw09EwE0CqkOc4q9oUmW1yo/edit?usp=sharing"",""น่าน!J362"")"),32285)</f>
        <v>32285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IFERROR(__xludf.DUMMYFUNCTION("IMPORTRANGE(""https://docs.google.com/spreadsheets/d/11923uPwbBZFjjGgGUA6NLw09EwE0CqkOc4q9oUmW1yo/edit?usp=sharing"",""น่าน!I363"")"),0)</f>
        <v>0</v>
      </c>
      <c r="J468" s="198">
        <f ca="1">IFERROR(__xludf.DUMMYFUNCTION("IMPORTRANGE(""https://docs.google.com/spreadsheets/d/11923uPwbBZFjjGgGUA6NLw09EwE0CqkOc4q9oUmW1yo/edit?usp=sharing"",""น่าน!J363"")"),5362)</f>
        <v>5362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IFERROR(__xludf.DUMMYFUNCTION("IMPORTRANGE(""https://docs.google.com/spreadsheets/d/11923uPwbBZFjjGgGUA6NLw09EwE0CqkOc4q9oUmW1yo/edit?usp=sharing"",""น่าน!I364"")"),0)</f>
        <v>0</v>
      </c>
      <c r="J469" s="198">
        <f ca="1">IFERROR(__xludf.DUMMYFUNCTION("IMPORTRANGE(""https://docs.google.com/spreadsheets/d/11923uPwbBZFjjGgGUA6NLw09EwE0CqkOc4q9oUmW1yo/edit?usp=sharing"",""น่าน!J364"")"),1518)</f>
        <v>1518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IFERROR(__xludf.DUMMYFUNCTION("IMPORTRANGE(""https://docs.google.com/spreadsheets/d/11923uPwbBZFjjGgGUA6NLw09EwE0CqkOc4q9oUmW1yo/edit?usp=sharing"",""น่าน!I365"")"),0)</f>
        <v>0</v>
      </c>
      <c r="J470" s="198">
        <f ca="1">IFERROR(__xludf.DUMMYFUNCTION("IMPORTRANGE(""https://docs.google.com/spreadsheets/d/11923uPwbBZFjjGgGUA6NLw09EwE0CqkOc4q9oUmW1yo/edit?usp=sharing"",""น่าน!J365"")"),143)</f>
        <v>143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IFERROR(__xludf.DUMMYFUNCTION("IMPORTRANGE(""https://docs.google.com/spreadsheets/d/11923uPwbBZFjjGgGUA6NLw09EwE0CqkOc4q9oUmW1yo/edit?usp=sharing"",""น่าน!I366"")"),0)</f>
        <v>0</v>
      </c>
      <c r="J471" s="198">
        <f ca="1">IFERROR(__xludf.DUMMYFUNCTION("IMPORTRANGE(""https://docs.google.com/spreadsheets/d/11923uPwbBZFjjGgGUA6NLw09EwE0CqkOc4q9oUmW1yo/edit?usp=sharing"",""น่าน!J366"")"),185)</f>
        <v>185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IFERROR(__xludf.DUMMYFUNCTION("IMPORTRANGE(""https://docs.google.com/spreadsheets/d/11923uPwbBZFjjGgGUA6NLw09EwE0CqkOc4q9oUmW1yo/edit?usp=sharing"",""น่าน!I367"")"),0)</f>
        <v>0</v>
      </c>
      <c r="J472" s="198">
        <f ca="1">IFERROR(__xludf.DUMMYFUNCTION("IMPORTRANGE(""https://docs.google.com/spreadsheets/d/11923uPwbBZFjjGgGUA6NLw09EwE0CqkOc4q9oUmW1yo/edit?usp=sharing"",""น่าน!J367"")"),33)</f>
        <v>33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IFERROR(__xludf.DUMMYFUNCTION("IMPORTRANGE(""https://docs.google.com/spreadsheets/d/11923uPwbBZFjjGgGUA6NLw09EwE0CqkOc4q9oUmW1yo/edit?usp=sharing"",""น่าน!I368"")"),52202)</f>
        <v>52202</v>
      </c>
      <c r="J473" s="428">
        <f ca="1">IFERROR(__xludf.DUMMYFUNCTION("IMPORTRANGE(""https://docs.google.com/spreadsheets/d/11923uPwbBZFjjGgGUA6NLw09EwE0CqkOc4q9oUmW1yo/edit?usp=sharing"",""น่าน!J368"")"),0)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IFERROR(__xludf.DUMMYFUNCTION("IMPORTRANGE(""https://docs.google.com/spreadsheets/d/11923uPwbBZFjjGgGUA6NLw09EwE0CqkOc4q9oUmW1yo/edit?usp=sharing"",""น่าน!I369"")"),9077)</f>
        <v>9077</v>
      </c>
      <c r="J474" s="428">
        <f ca="1">IFERROR(__xludf.DUMMYFUNCTION("IMPORTRANGE(""https://docs.google.com/spreadsheets/d/11923uPwbBZFjjGgGUA6NLw09EwE0CqkOc4q9oUmW1yo/edit?usp=sharing"",""น่าน!J369"")"),0)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IFERROR(__xludf.DUMMYFUNCTION("IMPORTRANGE(""https://docs.google.com/spreadsheets/d/11923uPwbBZFjjGgGUA6NLw09EwE0CqkOc4q9oUmW1yo/edit?usp=sharing"",""น่าน!I370"")"),0)</f>
        <v>0</v>
      </c>
      <c r="J475" s="198">
        <f ca="1">IFERROR(__xludf.DUMMYFUNCTION("IMPORTRANGE(""https://docs.google.com/spreadsheets/d/11923uPwbBZFjjGgGUA6NLw09EwE0CqkOc4q9oUmW1yo/edit?usp=sharing"",""น่าน!J370"")"),0)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IFERROR(__xludf.DUMMYFUNCTION("IMPORTRANGE(""https://docs.google.com/spreadsheets/d/11923uPwbBZFjjGgGUA6NLw09EwE0CqkOc4q9oUmW1yo/edit?usp=sharing"",""น่าน!I371"")"),0)</f>
        <v>0</v>
      </c>
      <c r="J476" s="198">
        <f ca="1">IFERROR(__xludf.DUMMYFUNCTION("IMPORTRANGE(""https://docs.google.com/spreadsheets/d/11923uPwbBZFjjGgGUA6NLw09EwE0CqkOc4q9oUmW1yo/edit?usp=sharing"",""น่าน!J371"")"),0)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IFERROR(__xludf.DUMMYFUNCTION("IMPORTRANGE(""https://docs.google.com/spreadsheets/d/11923uPwbBZFjjGgGUA6NLw09EwE0CqkOc4q9oUmW1yo/edit?usp=sharing"",""น่าน!I372"")"),0)</f>
        <v>0</v>
      </c>
      <c r="J477" s="198">
        <f ca="1">IFERROR(__xludf.DUMMYFUNCTION("IMPORTRANGE(""https://docs.google.com/spreadsheets/d/11923uPwbBZFjjGgGUA6NLw09EwE0CqkOc4q9oUmW1yo/edit?usp=sharing"",""น่าน!J372"")"),0)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IFERROR(__xludf.DUMMYFUNCTION("IMPORTRANGE(""https://docs.google.com/spreadsheets/d/11923uPwbBZFjjGgGUA6NLw09EwE0CqkOc4q9oUmW1yo/edit?usp=sharing"",""น่าน!I373"")"),0)</f>
        <v>0</v>
      </c>
      <c r="J478" s="198">
        <f ca="1">IFERROR(__xludf.DUMMYFUNCTION("IMPORTRANGE(""https://docs.google.com/spreadsheets/d/11923uPwbBZFjjGgGUA6NLw09EwE0CqkOc4q9oUmW1yo/edit?usp=sharing"",""น่าน!J373"")"),0)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IFERROR(__xludf.DUMMYFUNCTION("IMPORTRANGE(""https://docs.google.com/spreadsheets/d/11923uPwbBZFjjGgGUA6NLw09EwE0CqkOc4q9oUmW1yo/edit?usp=sharing"",""น่าน!I374"")"),0)</f>
        <v>0</v>
      </c>
      <c r="J479" s="198">
        <f ca="1">IFERROR(__xludf.DUMMYFUNCTION("IMPORTRANGE(""https://docs.google.com/spreadsheets/d/11923uPwbBZFjjGgGUA6NLw09EwE0CqkOc4q9oUmW1yo/edit?usp=sharing"",""น่าน!J374"")"),0)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IFERROR(__xludf.DUMMYFUNCTION("IMPORTRANGE(""https://docs.google.com/spreadsheets/d/11923uPwbBZFjjGgGUA6NLw09EwE0CqkOc4q9oUmW1yo/edit?usp=sharing"",""น่าน!I375"")"),0)</f>
        <v>0</v>
      </c>
      <c r="J480" s="198">
        <f ca="1">IFERROR(__xludf.DUMMYFUNCTION("IMPORTRANGE(""https://docs.google.com/spreadsheets/d/11923uPwbBZFjjGgGUA6NLw09EwE0CqkOc4q9oUmW1yo/edit?usp=sharing"",""น่าน!J375"")"),0)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IFERROR(__xludf.DUMMYFUNCTION("IMPORTRANGE(""https://docs.google.com/spreadsheets/d/11923uPwbBZFjjGgGUA6NLw09EwE0CqkOc4q9oUmW1yo/edit?usp=sharing"",""น่าน!I376"")"),52202)</f>
        <v>52202</v>
      </c>
      <c r="J481" s="428">
        <f ca="1">IFERROR(__xludf.DUMMYFUNCTION("IMPORTRANGE(""https://docs.google.com/spreadsheets/d/11923uPwbBZFjjGgGUA6NLw09EwE0CqkOc4q9oUmW1yo/edit?usp=sharing"",""น่าน!J376"")"),0)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IFERROR(__xludf.DUMMYFUNCTION("IMPORTRANGE(""https://docs.google.com/spreadsheets/d/11923uPwbBZFjjGgGUA6NLw09EwE0CqkOc4q9oUmW1yo/edit?usp=sharing"",""น่าน!I377"")"),9077)</f>
        <v>9077</v>
      </c>
      <c r="J482" s="428">
        <f ca="1">IFERROR(__xludf.DUMMYFUNCTION("IMPORTRANGE(""https://docs.google.com/spreadsheets/d/11923uPwbBZFjjGgGUA6NLw09EwE0CqkOc4q9oUmW1yo/edit?usp=sharing"",""น่าน!J377"")"),0)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IFERROR(__xludf.DUMMYFUNCTION("IMPORTRANGE(""https://docs.google.com/spreadsheets/d/11923uPwbBZFjjGgGUA6NLw09EwE0CqkOc4q9oUmW1yo/edit?usp=sharing"",""น่าน!I378"")"),0)</f>
        <v>0</v>
      </c>
      <c r="J483" s="198">
        <f ca="1">IFERROR(__xludf.DUMMYFUNCTION("IMPORTRANGE(""https://docs.google.com/spreadsheets/d/11923uPwbBZFjjGgGUA6NLw09EwE0CqkOc4q9oUmW1yo/edit?usp=sharing"",""น่าน!J378"")"),0)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IFERROR(__xludf.DUMMYFUNCTION("IMPORTRANGE(""https://docs.google.com/spreadsheets/d/11923uPwbBZFjjGgGUA6NLw09EwE0CqkOc4q9oUmW1yo/edit?usp=sharing"",""น่าน!I379"")"),0)</f>
        <v>0</v>
      </c>
      <c r="J484" s="198">
        <f ca="1">IFERROR(__xludf.DUMMYFUNCTION("IMPORTRANGE(""https://docs.google.com/spreadsheets/d/11923uPwbBZFjjGgGUA6NLw09EwE0CqkOc4q9oUmW1yo/edit?usp=sharing"",""น่าน!J379"")"),0)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IFERROR(__xludf.DUMMYFUNCTION("IMPORTRANGE(""https://docs.google.com/spreadsheets/d/11923uPwbBZFjjGgGUA6NLw09EwE0CqkOc4q9oUmW1yo/edit?usp=sharing"",""น่าน!I380"")"),0)</f>
        <v>0</v>
      </c>
      <c r="J485" s="198">
        <f ca="1">IFERROR(__xludf.DUMMYFUNCTION("IMPORTRANGE(""https://docs.google.com/spreadsheets/d/11923uPwbBZFjjGgGUA6NLw09EwE0CqkOc4q9oUmW1yo/edit?usp=sharing"",""น่าน!J380"")"),0)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IFERROR(__xludf.DUMMYFUNCTION("IMPORTRANGE(""https://docs.google.com/spreadsheets/d/11923uPwbBZFjjGgGUA6NLw09EwE0CqkOc4q9oUmW1yo/edit?usp=sharing"",""น่าน!I381"")"),0)</f>
        <v>0</v>
      </c>
      <c r="J486" s="198">
        <f ca="1">IFERROR(__xludf.DUMMYFUNCTION("IMPORTRANGE(""https://docs.google.com/spreadsheets/d/11923uPwbBZFjjGgGUA6NLw09EwE0CqkOc4q9oUmW1yo/edit?usp=sharing"",""น่าน!J381"")"),0)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IFERROR(__xludf.DUMMYFUNCTION("IMPORTRANGE(""https://docs.google.com/spreadsheets/d/11923uPwbBZFjjGgGUA6NLw09EwE0CqkOc4q9oUmW1yo/edit?usp=sharing"",""น่าน!I382"")"),0)</f>
        <v>0</v>
      </c>
      <c r="J487" s="428">
        <f ca="1">IFERROR(__xludf.DUMMYFUNCTION("IMPORTRANGE(""https://docs.google.com/spreadsheets/d/11923uPwbBZFjjGgGUA6NLw09EwE0CqkOc4q9oUmW1yo/edit?usp=sharing"",""น่าน!J382"")"),0)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IFERROR(__xludf.DUMMYFUNCTION("IMPORTRANGE(""https://docs.google.com/spreadsheets/d/11923uPwbBZFjjGgGUA6NLw09EwE0CqkOc4q9oUmW1yo/edit?usp=sharing"",""น่าน!I383"")"),0)</f>
        <v>0</v>
      </c>
      <c r="J488" s="428">
        <f ca="1">IFERROR(__xludf.DUMMYFUNCTION("IMPORTRANGE(""https://docs.google.com/spreadsheets/d/11923uPwbBZFjjGgGUA6NLw09EwE0CqkOc4q9oUmW1yo/edit?usp=sharing"",""น่าน!J383"")"),0)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IFERROR(__xludf.DUMMYFUNCTION("IMPORTRANGE(""https://docs.google.com/spreadsheets/d/11923uPwbBZFjjGgGUA6NLw09EwE0CqkOc4q9oUmW1yo/edit?usp=sharing"",""น่าน!I384"")"),0)</f>
        <v>0</v>
      </c>
      <c r="J489" s="198">
        <f ca="1">IFERROR(__xludf.DUMMYFUNCTION("IMPORTRANGE(""https://docs.google.com/spreadsheets/d/11923uPwbBZFjjGgGUA6NLw09EwE0CqkOc4q9oUmW1yo/edit?usp=sharing"",""น่าน!J384"")"),0)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IFERROR(__xludf.DUMMYFUNCTION("IMPORTRANGE(""https://docs.google.com/spreadsheets/d/11923uPwbBZFjjGgGUA6NLw09EwE0CqkOc4q9oUmW1yo/edit?usp=sharing"",""น่าน!I385"")"),0)</f>
        <v>0</v>
      </c>
      <c r="J490" s="198">
        <f ca="1">IFERROR(__xludf.DUMMYFUNCTION("IMPORTRANGE(""https://docs.google.com/spreadsheets/d/11923uPwbBZFjjGgGUA6NLw09EwE0CqkOc4q9oUmW1yo/edit?usp=sharing"",""น่าน!J385"")"),0)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IFERROR(__xludf.DUMMYFUNCTION("IMPORTRANGE(""https://docs.google.com/spreadsheets/d/11923uPwbBZFjjGgGUA6NLw09EwE0CqkOc4q9oUmW1yo/edit?usp=sharing"",""น่าน!I386"")"),0)</f>
        <v>0</v>
      </c>
      <c r="J491" s="198">
        <f ca="1">IFERROR(__xludf.DUMMYFUNCTION("IMPORTRANGE(""https://docs.google.com/spreadsheets/d/11923uPwbBZFjjGgGUA6NLw09EwE0CqkOc4q9oUmW1yo/edit?usp=sharing"",""น่าน!J386"")"),0)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IFERROR(__xludf.DUMMYFUNCTION("IMPORTRANGE(""https://docs.google.com/spreadsheets/d/11923uPwbBZFjjGgGUA6NLw09EwE0CqkOc4q9oUmW1yo/edit?usp=sharing"",""น่าน!I387"")"),0)</f>
        <v>0</v>
      </c>
      <c r="J492" s="198">
        <f ca="1">IFERROR(__xludf.DUMMYFUNCTION("IMPORTRANGE(""https://docs.google.com/spreadsheets/d/11923uPwbBZFjjGgGUA6NLw09EwE0CqkOc4q9oUmW1yo/edit?usp=sharing"",""น่าน!J387"")"),0)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IFERROR(__xludf.DUMMYFUNCTION("IMPORTRANGE(""https://docs.google.com/spreadsheets/d/11923uPwbBZFjjGgGUA6NLw09EwE0CqkOc4q9oUmW1yo/edit?usp=sharing"",""น่าน!I388"")"),0)</f>
        <v>0</v>
      </c>
      <c r="J493" s="198">
        <f ca="1">IFERROR(__xludf.DUMMYFUNCTION("IMPORTRANGE(""https://docs.google.com/spreadsheets/d/11923uPwbBZFjjGgGUA6NLw09EwE0CqkOc4q9oUmW1yo/edit?usp=sharing"",""น่าน!J388"")"),0)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IFERROR(__xludf.DUMMYFUNCTION("IMPORTRANGE(""https://docs.google.com/spreadsheets/d/11923uPwbBZFjjGgGUA6NLw09EwE0CqkOc4q9oUmW1yo/edit?usp=sharing"",""น่าน!I389"")"),0)</f>
        <v>0</v>
      </c>
      <c r="J494" s="444">
        <f ca="1">IFERROR(__xludf.DUMMYFUNCTION("IMPORTRANGE(""https://docs.google.com/spreadsheets/d/11923uPwbBZFjjGgGUA6NLw09EwE0CqkOc4q9oUmW1yo/edit?usp=sharing"",""น่าน!J389"")"),0)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IFERROR(__xludf.DUMMYFUNCTION("IMPORTRANGE(""https://docs.google.com/spreadsheets/d/11923uPwbBZFjjGgGUA6NLw09EwE0CqkOc4q9oUmW1yo/edit?usp=sharing"",""น่าน!I390"")"),0)</f>
        <v>0</v>
      </c>
      <c r="J495" s="444">
        <f ca="1">IFERROR(__xludf.DUMMYFUNCTION("IMPORTRANGE(""https://docs.google.com/spreadsheets/d/11923uPwbBZFjjGgGUA6NLw09EwE0CqkOc4q9oUmW1yo/edit?usp=sharing"",""น่าน!J390"")"),0)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IFERROR(__xludf.DUMMYFUNCTION("IMPORTRANGE(""https://docs.google.com/spreadsheets/d/11923uPwbBZFjjGgGUA6NLw09EwE0CqkOc4q9oUmW1yo/edit?usp=sharing"",""น่าน!I391"")"),0)</f>
        <v>0</v>
      </c>
      <c r="J496" s="444">
        <f ca="1">IFERROR(__xludf.DUMMYFUNCTION("IMPORTRANGE(""https://docs.google.com/spreadsheets/d/11923uPwbBZFjjGgGUA6NLw09EwE0CqkOc4q9oUmW1yo/edit?usp=sharing"",""น่าน!J391"")"),0)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IFERROR(__xludf.DUMMYFUNCTION("IMPORTRANGE(""https://docs.google.com/spreadsheets/d/11923uPwbBZFjjGgGUA6NLw09EwE0CqkOc4q9oUmW1yo/edit?usp=sharing"",""น่าน!I392"")"),535)</f>
        <v>535</v>
      </c>
      <c r="J497" s="451">
        <f ca="1">IFERROR(__xludf.DUMMYFUNCTION("IMPORTRANGE(""https://docs.google.com/spreadsheets/d/11923uPwbBZFjjGgGUA6NLw09EwE0CqkOc4q9oUmW1yo/edit?usp=sharing"",""น่าน!J392"")"),0)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IFERROR(__xludf.DUMMYFUNCTION("IMPORTRANGE(""https://docs.google.com/spreadsheets/d/11923uPwbBZFjjGgGUA6NLw09EwE0CqkOc4q9oUmW1yo/edit?usp=sharing"",""น่าน!I393"")"),535)</f>
        <v>535</v>
      </c>
      <c r="J498" s="428">
        <f ca="1">IFERROR(__xludf.DUMMYFUNCTION("IMPORTRANGE(""https://docs.google.com/spreadsheets/d/11923uPwbBZFjjGgGUA6NLw09EwE0CqkOc4q9oUmW1yo/edit?usp=sharing"",""น่าน!J393"")"),0)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IFERROR(__xludf.DUMMYFUNCTION("IMPORTRANGE(""https://docs.google.com/spreadsheets/d/11923uPwbBZFjjGgGUA6NLw09EwE0CqkOc4q9oUmW1yo/edit?usp=sharing"",""น่าน!I394"")"),174)</f>
        <v>174</v>
      </c>
      <c r="J499" s="428">
        <f ca="1">IFERROR(__xludf.DUMMYFUNCTION("IMPORTRANGE(""https://docs.google.com/spreadsheets/d/11923uPwbBZFjjGgGUA6NLw09EwE0CqkOc4q9oUmW1yo/edit?usp=sharing"",""น่าน!J394"")"),0)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IFERROR(__xludf.DUMMYFUNCTION("IMPORTRANGE(""https://docs.google.com/spreadsheets/d/11923uPwbBZFjjGgGUA6NLw09EwE0CqkOc4q9oUmW1yo/edit?usp=sharing"",""น่าน!I395"")"),0)</f>
        <v>0</v>
      </c>
      <c r="J500" s="170">
        <f ca="1">IFERROR(__xludf.DUMMYFUNCTION("IMPORTRANGE(""https://docs.google.com/spreadsheets/d/11923uPwbBZFjjGgGUA6NLw09EwE0CqkOc4q9oUmW1yo/edit?usp=sharing"",""น่าน!J395"")"),0)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IFERROR(__xludf.DUMMYFUNCTION("IMPORTRANGE(""https://docs.google.com/spreadsheets/d/11923uPwbBZFjjGgGUA6NLw09EwE0CqkOc4q9oUmW1yo/edit?usp=sharing"",""น่าน!I396"")"),0)</f>
        <v>0</v>
      </c>
      <c r="J501" s="170">
        <f ca="1">IFERROR(__xludf.DUMMYFUNCTION("IMPORTRANGE(""https://docs.google.com/spreadsheets/d/11923uPwbBZFjjGgGUA6NLw09EwE0CqkOc4q9oUmW1yo/edit?usp=sharing"",""น่าน!J396"")"),0)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IFERROR(__xludf.DUMMYFUNCTION("IMPORTRANGE(""https://docs.google.com/spreadsheets/d/11923uPwbBZFjjGgGUA6NLw09EwE0CqkOc4q9oUmW1yo/edit?usp=sharing"",""น่าน!I397"")"),0)</f>
        <v>0</v>
      </c>
      <c r="J502" s="198">
        <f ca="1">IFERROR(__xludf.DUMMYFUNCTION("IMPORTRANGE(""https://docs.google.com/spreadsheets/d/11923uPwbBZFjjGgGUA6NLw09EwE0CqkOc4q9oUmW1yo/edit?usp=sharing"",""น่าน!J397"")"),0)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IFERROR(__xludf.DUMMYFUNCTION("IMPORTRANGE(""https://docs.google.com/spreadsheets/d/11923uPwbBZFjjGgGUA6NLw09EwE0CqkOc4q9oUmW1yo/edit?usp=sharing"",""น่าน!I398"")"),0)</f>
        <v>0</v>
      </c>
      <c r="J503" s="207">
        <f ca="1">IFERROR(__xludf.DUMMYFUNCTION("IMPORTRANGE(""https://docs.google.com/spreadsheets/d/11923uPwbBZFjjGgGUA6NLw09EwE0CqkOc4q9oUmW1yo/edit?usp=sharing"",""น่าน!J398"")"),0)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IFERROR(__xludf.DUMMYFUNCTION("IMPORTRANGE(""https://docs.google.com/spreadsheets/d/11923uPwbBZFjjGgGUA6NLw09EwE0CqkOc4q9oUmW1yo/edit?usp=sharing"",""น่าน!I399"")"),0)</f>
        <v>0</v>
      </c>
      <c r="J504" s="198">
        <f ca="1">IFERROR(__xludf.DUMMYFUNCTION("IMPORTRANGE(""https://docs.google.com/spreadsheets/d/11923uPwbBZFjjGgGUA6NLw09EwE0CqkOc4q9oUmW1yo/edit?usp=sharing"",""น่าน!J399"")"),0)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IFERROR(__xludf.DUMMYFUNCTION("IMPORTRANGE(""https://docs.google.com/spreadsheets/d/11923uPwbBZFjjGgGUA6NLw09EwE0CqkOc4q9oUmW1yo/edit?usp=sharing"",""น่าน!I400"")"),0)</f>
        <v>0</v>
      </c>
      <c r="J505" s="207">
        <f ca="1">IFERROR(__xludf.DUMMYFUNCTION("IMPORTRANGE(""https://docs.google.com/spreadsheets/d/11923uPwbBZFjjGgGUA6NLw09EwE0CqkOc4q9oUmW1yo/edit?usp=sharing"",""น่าน!J400"")"),0)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IFERROR(__xludf.DUMMYFUNCTION("IMPORTRANGE(""https://docs.google.com/spreadsheets/d/11923uPwbBZFjjGgGUA6NLw09EwE0CqkOc4q9oUmW1yo/edit?usp=sharing"",""น่าน!I401"")"),0)</f>
        <v>0</v>
      </c>
      <c r="J506" s="198">
        <f ca="1">IFERROR(__xludf.DUMMYFUNCTION("IMPORTRANGE(""https://docs.google.com/spreadsheets/d/11923uPwbBZFjjGgGUA6NLw09EwE0CqkOc4q9oUmW1yo/edit?usp=sharing"",""น่าน!J401"")"),0)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IFERROR(__xludf.DUMMYFUNCTION("IMPORTRANGE(""https://docs.google.com/spreadsheets/d/11923uPwbBZFjjGgGUA6NLw09EwE0CqkOc4q9oUmW1yo/edit?usp=sharing"",""น่าน!I402"")"),0)</f>
        <v>0</v>
      </c>
      <c r="J507" s="207">
        <f ca="1">IFERROR(__xludf.DUMMYFUNCTION("IMPORTRANGE(""https://docs.google.com/spreadsheets/d/11923uPwbBZFjjGgGUA6NLw09EwE0CqkOc4q9oUmW1yo/edit?usp=sharing"",""น่าน!J402"")"),0)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IFERROR(__xludf.DUMMYFUNCTION("IMPORTRANGE(""https://docs.google.com/spreadsheets/d/11923uPwbBZFjjGgGUA6NLw09EwE0CqkOc4q9oUmW1yo/edit?usp=sharing"",""น่าน!I403"")"),0)</f>
        <v>0</v>
      </c>
      <c r="J508" s="170">
        <f ca="1">IFERROR(__xludf.DUMMYFUNCTION("IMPORTRANGE(""https://docs.google.com/spreadsheets/d/11923uPwbBZFjjGgGUA6NLw09EwE0CqkOc4q9oUmW1yo/edit?usp=sharing"",""น่าน!J403"")"),0)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IFERROR(__xludf.DUMMYFUNCTION("IMPORTRANGE(""https://docs.google.com/spreadsheets/d/11923uPwbBZFjjGgGUA6NLw09EwE0CqkOc4q9oUmW1yo/edit?usp=sharing"",""น่าน!I404"")"),0)</f>
        <v>0</v>
      </c>
      <c r="J509" s="170">
        <f ca="1">IFERROR(__xludf.DUMMYFUNCTION("IMPORTRANGE(""https://docs.google.com/spreadsheets/d/11923uPwbBZFjjGgGUA6NLw09EwE0CqkOc4q9oUmW1yo/edit?usp=sharing"",""น่าน!J404"")"),0)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IFERROR(__xludf.DUMMYFUNCTION("IMPORTRANGE(""https://docs.google.com/spreadsheets/d/11923uPwbBZFjjGgGUA6NLw09EwE0CqkOc4q9oUmW1yo/edit?usp=sharing"",""น่าน!I405"")"),0)</f>
        <v>0</v>
      </c>
      <c r="J510" s="207">
        <f ca="1">IFERROR(__xludf.DUMMYFUNCTION("IMPORTRANGE(""https://docs.google.com/spreadsheets/d/11923uPwbBZFjjGgGUA6NLw09EwE0CqkOc4q9oUmW1yo/edit?usp=sharing"",""น่าน!J405"")"),0)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IFERROR(__xludf.DUMMYFUNCTION("IMPORTRANGE(""https://docs.google.com/spreadsheets/d/11923uPwbBZFjjGgGUA6NLw09EwE0CqkOc4q9oUmW1yo/edit?usp=sharing"",""น่าน!I406"")"),0)</f>
        <v>0</v>
      </c>
      <c r="J511" s="207">
        <f ca="1">IFERROR(__xludf.DUMMYFUNCTION("IMPORTRANGE(""https://docs.google.com/spreadsheets/d/11923uPwbBZFjjGgGUA6NLw09EwE0CqkOc4q9oUmW1yo/edit?usp=sharing"",""น่าน!J406"")"),0)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IFERROR(__xludf.DUMMYFUNCTION("IMPORTRANGE(""https://docs.google.com/spreadsheets/d/11923uPwbBZFjjGgGUA6NLw09EwE0CqkOc4q9oUmW1yo/edit?usp=sharing"",""น่าน!I407"")"),0)</f>
        <v>0</v>
      </c>
      <c r="J512" s="207">
        <f ca="1">IFERROR(__xludf.DUMMYFUNCTION("IMPORTRANGE(""https://docs.google.com/spreadsheets/d/11923uPwbBZFjjGgGUA6NLw09EwE0CqkOc4q9oUmW1yo/edit?usp=sharing"",""น่าน!J407"")"),0)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IFERROR(__xludf.DUMMYFUNCTION("IMPORTRANGE(""https://docs.google.com/spreadsheets/d/11923uPwbBZFjjGgGUA6NLw09EwE0CqkOc4q9oUmW1yo/edit?usp=sharing"",""น่าน!I408"")"),0)</f>
        <v>0</v>
      </c>
      <c r="J513" s="207">
        <f ca="1">IFERROR(__xludf.DUMMYFUNCTION("IMPORTRANGE(""https://docs.google.com/spreadsheets/d/11923uPwbBZFjjGgGUA6NLw09EwE0CqkOc4q9oUmW1yo/edit?usp=sharing"",""น่าน!J408"")"),0)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IFERROR(__xludf.DUMMYFUNCTION("IMPORTRANGE(""https://docs.google.com/spreadsheets/d/11923uPwbBZFjjGgGUA6NLw09EwE0CqkOc4q9oUmW1yo/edit?usp=sharing"",""น่าน!I409"")"),0)</f>
        <v>0</v>
      </c>
      <c r="J514" s="207">
        <f ca="1">IFERROR(__xludf.DUMMYFUNCTION("IMPORTRANGE(""https://docs.google.com/spreadsheets/d/11923uPwbBZFjjGgGUA6NLw09EwE0CqkOc4q9oUmW1yo/edit?usp=sharing"",""น่าน!J409"")"),0)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IFERROR(__xludf.DUMMYFUNCTION("IMPORTRANGE(""https://docs.google.com/spreadsheets/d/11923uPwbBZFjjGgGUA6NLw09EwE0CqkOc4q9oUmW1yo/edit?usp=sharing"",""น่าน!I410"")"),0)</f>
        <v>0</v>
      </c>
      <c r="J515" s="207">
        <f ca="1">IFERROR(__xludf.DUMMYFUNCTION("IMPORTRANGE(""https://docs.google.com/spreadsheets/d/11923uPwbBZFjjGgGUA6NLw09EwE0CqkOc4q9oUmW1yo/edit?usp=sharing"",""น่าน!J410"")"),0)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IFERROR(__xludf.DUMMYFUNCTION("IMPORTRANGE(""https://docs.google.com/spreadsheets/d/11923uPwbBZFjjGgGUA6NLw09EwE0CqkOc4q9oUmW1yo/edit?usp=sharing"",""น่าน!I411"")"),0)</f>
        <v>0</v>
      </c>
      <c r="J516" s="276">
        <f ca="1">IFERROR(__xludf.DUMMYFUNCTION("IMPORTRANGE(""https://docs.google.com/spreadsheets/d/11923uPwbBZFjjGgGUA6NLw09EwE0CqkOc4q9oUmW1yo/edit?usp=sharing"",""น่าน!J411"")"),0)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IFERROR(__xludf.DUMMYFUNCTION("IMPORTRANGE(""https://docs.google.com/spreadsheets/d/11923uPwbBZFjjGgGUA6NLw09EwE0CqkOc4q9oUmW1yo/edit?usp=sharing"",""น่าน!I412"")"),0)</f>
        <v>0</v>
      </c>
      <c r="J517" s="292">
        <f ca="1">IFERROR(__xludf.DUMMYFUNCTION("IMPORTRANGE(""https://docs.google.com/spreadsheets/d/11923uPwbBZFjjGgGUA6NLw09EwE0CqkOc4q9oUmW1yo/edit?usp=sharing"",""น่าน!J412"")"),0)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IFERROR(__xludf.DUMMYFUNCTION("IMPORTRANGE(""https://docs.google.com/spreadsheets/d/11923uPwbBZFjjGgGUA6NLw09EwE0CqkOc4q9oUmW1yo/edit?usp=sharing"",""น่าน!I413"")"),0)</f>
        <v>0</v>
      </c>
      <c r="J518" s="292">
        <f ca="1">IFERROR(__xludf.DUMMYFUNCTION("IMPORTRANGE(""https://docs.google.com/spreadsheets/d/11923uPwbBZFjjGgGUA6NLw09EwE0CqkOc4q9oUmW1yo/edit?usp=sharing"",""น่าน!J413"")"),0)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IFERROR(__xludf.DUMMYFUNCTION("IMPORTRANGE(""https://docs.google.com/spreadsheets/d/11923uPwbBZFjjGgGUA6NLw09EwE0CqkOc4q9oUmW1yo/edit?usp=sharing"",""น่าน!I414"")"),0)</f>
        <v>0</v>
      </c>
      <c r="J519" s="197">
        <f ca="1">IFERROR(__xludf.DUMMYFUNCTION("IMPORTRANGE(""https://docs.google.com/spreadsheets/d/11923uPwbBZFjjGgGUA6NLw09EwE0CqkOc4q9oUmW1yo/edit?usp=sharing"",""น่าน!J414"")"),0)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IFERROR(__xludf.DUMMYFUNCTION("IMPORTRANGE(""https://docs.google.com/spreadsheets/d/11923uPwbBZFjjGgGUA6NLw09EwE0CqkOc4q9oUmW1yo/edit?usp=sharing"",""น่าน!I415"")"),0)</f>
        <v>0</v>
      </c>
      <c r="J520" s="197">
        <f ca="1">IFERROR(__xludf.DUMMYFUNCTION("IMPORTRANGE(""https://docs.google.com/spreadsheets/d/11923uPwbBZFjjGgGUA6NLw09EwE0CqkOc4q9oUmW1yo/edit?usp=sharing"",""น่าน!J415"")"),0)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IFERROR(__xludf.DUMMYFUNCTION("IMPORTRANGE(""https://docs.google.com/spreadsheets/d/11923uPwbBZFjjGgGUA6NLw09EwE0CqkOc4q9oUmW1yo/edit?usp=sharing"",""น่าน!I416"")"),0)</f>
        <v>0</v>
      </c>
      <c r="J521" s="197">
        <f ca="1">IFERROR(__xludf.DUMMYFUNCTION("IMPORTRANGE(""https://docs.google.com/spreadsheets/d/11923uPwbBZFjjGgGUA6NLw09EwE0CqkOc4q9oUmW1yo/edit?usp=sharing"",""น่าน!J416"")"),0)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IFERROR(__xludf.DUMMYFUNCTION("IMPORTRANGE(""https://docs.google.com/spreadsheets/d/11923uPwbBZFjjGgGUA6NLw09EwE0CqkOc4q9oUmW1yo/edit?usp=sharing"",""น่าน!I417"")"),0)</f>
        <v>0</v>
      </c>
      <c r="J522" s="197">
        <f ca="1">IFERROR(__xludf.DUMMYFUNCTION("IMPORTRANGE(""https://docs.google.com/spreadsheets/d/11923uPwbBZFjjGgGUA6NLw09EwE0CqkOc4q9oUmW1yo/edit?usp=sharing"",""น่าน!J417"")"),0)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IFERROR(__xludf.DUMMYFUNCTION("IMPORTRANGE(""https://docs.google.com/spreadsheets/d/11923uPwbBZFjjGgGUA6NLw09EwE0CqkOc4q9oUmW1yo/edit?usp=sharing"",""น่าน!I418"")"),0)</f>
        <v>0</v>
      </c>
      <c r="J523" s="197">
        <f ca="1">IFERROR(__xludf.DUMMYFUNCTION("IMPORTRANGE(""https://docs.google.com/spreadsheets/d/11923uPwbBZFjjGgGUA6NLw09EwE0CqkOc4q9oUmW1yo/edit?usp=sharing"",""น่าน!J418"")"),0)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IFERROR(__xludf.DUMMYFUNCTION("IMPORTRANGE(""https://docs.google.com/spreadsheets/d/11923uPwbBZFjjGgGUA6NLw09EwE0CqkOc4q9oUmW1yo/edit?usp=sharing"",""น่าน!I419"")"),0)</f>
        <v>0</v>
      </c>
      <c r="J524" s="197">
        <f ca="1">IFERROR(__xludf.DUMMYFUNCTION("IMPORTRANGE(""https://docs.google.com/spreadsheets/d/11923uPwbBZFjjGgGUA6NLw09EwE0CqkOc4q9oUmW1yo/edit?usp=sharing"",""น่าน!J419"")"),0)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IFERROR(__xludf.DUMMYFUNCTION("IMPORTRANGE(""https://docs.google.com/spreadsheets/d/11923uPwbBZFjjGgGUA6NLw09EwE0CqkOc4q9oUmW1yo/edit?usp=sharing"",""น่าน!I420"")"),0)</f>
        <v>0</v>
      </c>
      <c r="J525" s="292">
        <f ca="1">IFERROR(__xludf.DUMMYFUNCTION("IMPORTRANGE(""https://docs.google.com/spreadsheets/d/11923uPwbBZFjjGgGUA6NLw09EwE0CqkOc4q9oUmW1yo/edit?usp=sharing"",""น่าน!J420"")"),0)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IFERROR(__xludf.DUMMYFUNCTION("IMPORTRANGE(""https://docs.google.com/spreadsheets/d/11923uPwbBZFjjGgGUA6NLw09EwE0CqkOc4q9oUmW1yo/edit?usp=sharing"",""น่าน!I421"")"),0)</f>
        <v>0</v>
      </c>
      <c r="J526" s="292">
        <f ca="1">IFERROR(__xludf.DUMMYFUNCTION("IMPORTRANGE(""https://docs.google.com/spreadsheets/d/11923uPwbBZFjjGgGUA6NLw09EwE0CqkOc4q9oUmW1yo/edit?usp=sharing"",""น่าน!J421"")"),0)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IFERROR(__xludf.DUMMYFUNCTION("IMPORTRANGE(""https://docs.google.com/spreadsheets/d/11923uPwbBZFjjGgGUA6NLw09EwE0CqkOc4q9oUmW1yo/edit?usp=sharing"",""น่าน!I422"")"),0)</f>
        <v>0</v>
      </c>
      <c r="J527" s="207">
        <f ca="1">IFERROR(__xludf.DUMMYFUNCTION("IMPORTRANGE(""https://docs.google.com/spreadsheets/d/11923uPwbBZFjjGgGUA6NLw09EwE0CqkOc4q9oUmW1yo/edit?usp=sharing"",""น่าน!J422"")"),0)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IFERROR(__xludf.DUMMYFUNCTION("IMPORTRANGE(""https://docs.google.com/spreadsheets/d/11923uPwbBZFjjGgGUA6NLw09EwE0CqkOc4q9oUmW1yo/edit?usp=sharing"",""น่าน!I423"")"),0)</f>
        <v>0</v>
      </c>
      <c r="J528" s="207">
        <f ca="1">IFERROR(__xludf.DUMMYFUNCTION("IMPORTRANGE(""https://docs.google.com/spreadsheets/d/11923uPwbBZFjjGgGUA6NLw09EwE0CqkOc4q9oUmW1yo/edit?usp=sharing"",""น่าน!J423"")"),0)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IFERROR(__xludf.DUMMYFUNCTION("IMPORTRANGE(""https://docs.google.com/spreadsheets/d/11923uPwbBZFjjGgGUA6NLw09EwE0CqkOc4q9oUmW1yo/edit?usp=sharing"",""น่าน!I424"")"),0)</f>
        <v>0</v>
      </c>
      <c r="J529" s="207">
        <f ca="1">IFERROR(__xludf.DUMMYFUNCTION("IMPORTRANGE(""https://docs.google.com/spreadsheets/d/11923uPwbBZFjjGgGUA6NLw09EwE0CqkOc4q9oUmW1yo/edit?usp=sharing"",""น่าน!J424"")"),0)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IFERROR(__xludf.DUMMYFUNCTION("IMPORTRANGE(""https://docs.google.com/spreadsheets/d/11923uPwbBZFjjGgGUA6NLw09EwE0CqkOc4q9oUmW1yo/edit?usp=sharing"",""น่าน!I425"")"),0)</f>
        <v>0</v>
      </c>
      <c r="J530" s="207">
        <f ca="1">IFERROR(__xludf.DUMMYFUNCTION("IMPORTRANGE(""https://docs.google.com/spreadsheets/d/11923uPwbBZFjjGgGUA6NLw09EwE0CqkOc4q9oUmW1yo/edit?usp=sharing"",""น่าน!J425"")"),0)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IFERROR(__xludf.DUMMYFUNCTION("IMPORTRANGE(""https://docs.google.com/spreadsheets/d/11923uPwbBZFjjGgGUA6NLw09EwE0CqkOc4q9oUmW1yo/edit?usp=sharing"",""น่าน!I426"")"),0)</f>
        <v>0</v>
      </c>
      <c r="J531" s="207">
        <f ca="1">IFERROR(__xludf.DUMMYFUNCTION("IMPORTRANGE(""https://docs.google.com/spreadsheets/d/11923uPwbBZFjjGgGUA6NLw09EwE0CqkOc4q9oUmW1yo/edit?usp=sharing"",""น่าน!J426"")"),0)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IFERROR(__xludf.DUMMYFUNCTION("IMPORTRANGE(""https://docs.google.com/spreadsheets/d/11923uPwbBZFjjGgGUA6NLw09EwE0CqkOc4q9oUmW1yo/edit?usp=sharing"",""น่าน!I427"")"),0)</f>
        <v>0</v>
      </c>
      <c r="J532" s="474">
        <f ca="1">IFERROR(__xludf.DUMMYFUNCTION("IMPORTRANGE(""https://docs.google.com/spreadsheets/d/11923uPwbBZFjjGgGUA6NLw09EwE0CqkOc4q9oUmW1yo/edit?usp=sharing"",""น่าน!J427"")"),0)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IFERROR(__xludf.DUMMYFUNCTION("IMPORTRANGE(""https://docs.google.com/spreadsheets/d/11923uPwbBZFjjGgGUA6NLw09EwE0CqkOc4q9oUmW1yo/edit?usp=sharing"",""น่าน!I428"")"),22)</f>
        <v>22</v>
      </c>
      <c r="J533" s="418">
        <f ca="1">IFERROR(__xludf.DUMMYFUNCTION("IMPORTRANGE(""https://docs.google.com/spreadsheets/d/11923uPwbBZFjjGgGUA6NLw09EwE0CqkOc4q9oUmW1yo/edit?usp=sharing"",""น่าน!J428"")"),22)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IFERROR(__xludf.DUMMYFUNCTION("IMPORTRANGE(""https://docs.google.com/spreadsheets/d/11923uPwbBZFjjGgGUA6NLw09EwE0CqkOc4q9oUmW1yo/edit?usp=sharing"",""น่าน!L428"")"),34340)</f>
        <v>34340</v>
      </c>
      <c r="M533" s="420"/>
      <c r="N533" s="420">
        <f ca="1">IFERROR(__xludf.DUMMYFUNCTION("IMPORTRANGE(""https://docs.google.com/spreadsheets/d/11923uPwbBZFjjGgGUA6NLw09EwE0CqkOc4q9oUmW1yo/edit?usp=sharing"",""น่าน!M428"")"),26576)</f>
        <v>26576</v>
      </c>
      <c r="O533" s="420">
        <f t="shared" ref="O533:O537" ca="1" si="118">+IF(L533&gt;0,N533*100/L533,0)</f>
        <v>77.390797903319751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IFERROR(__xludf.DUMMYFUNCTION("IMPORTRANGE(""https://docs.google.com/spreadsheets/d/11923uPwbBZFjjGgGUA6NLw09EwE0CqkOc4q9oUmW1yo/edit?usp=sharing"",""น่าน!L429"")"),0)</f>
        <v>0</v>
      </c>
      <c r="M534" s="172"/>
      <c r="N534" s="178">
        <f ca="1">IFERROR(__xludf.DUMMYFUNCTION("IMPORTRANGE(""https://docs.google.com/spreadsheets/d/11923uPwbBZFjjGgGUA6NLw09EwE0CqkOc4q9oUmW1yo/edit?usp=sharing"",""น่าน!M429"")"),0)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IFERROR(__xludf.DUMMYFUNCTION("IMPORTRANGE(""https://docs.google.com/spreadsheets/d/11923uPwbBZFjjGgGUA6NLw09EwE0CqkOc4q9oUmW1yo/edit?usp=sharing"",""น่าน!L430"")"),34340)</f>
        <v>34340</v>
      </c>
      <c r="M535" s="173"/>
      <c r="N535" s="178">
        <f ca="1">IFERROR(__xludf.DUMMYFUNCTION("IMPORTRANGE(""https://docs.google.com/spreadsheets/d/11923uPwbBZFjjGgGUA6NLw09EwE0CqkOc4q9oUmW1yo/edit?usp=sharing"",""น่าน!M430"")"),26576)</f>
        <v>26576</v>
      </c>
      <c r="O535" s="178">
        <f t="shared" ca="1" si="118"/>
        <v>77.390797903319751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IFERROR(__xludf.DUMMYFUNCTION("IMPORTRANGE(""https://docs.google.com/spreadsheets/d/11923uPwbBZFjjGgGUA6NLw09EwE0CqkOc4q9oUmW1yo/edit?usp=sharing"",""น่าน!L431"")"),0)</f>
        <v>0</v>
      </c>
      <c r="M536" s="178"/>
      <c r="N536" s="178">
        <f ca="1">IFERROR(__xludf.DUMMYFUNCTION("IMPORTRANGE(""https://docs.google.com/spreadsheets/d/11923uPwbBZFjjGgGUA6NLw09EwE0CqkOc4q9oUmW1yo/edit?usp=sharing"",""น่าน!M431"")"),0)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IFERROR(__xludf.DUMMYFUNCTION("IMPORTRANGE(""https://docs.google.com/spreadsheets/d/11923uPwbBZFjjGgGUA6NLw09EwE0CqkOc4q9oUmW1yo/edit?usp=sharing"",""น่าน!L432"")"),34340)</f>
        <v>34340</v>
      </c>
      <c r="M537" s="178"/>
      <c r="N537" s="178">
        <f ca="1">IFERROR(__xludf.DUMMYFUNCTION("IMPORTRANGE(""https://docs.google.com/spreadsheets/d/11923uPwbBZFjjGgGUA6NLw09EwE0CqkOc4q9oUmW1yo/edit?usp=sharing"",""น่าน!M432"")"),26576)</f>
        <v>26576</v>
      </c>
      <c r="O537" s="178">
        <f t="shared" ca="1" si="118"/>
        <v>77.390797903319751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IFERROR(__xludf.DUMMYFUNCTION("IMPORTRANGE(""https://docs.google.com/spreadsheets/d/11923uPwbBZFjjGgGUA6NLw09EwE0CqkOc4q9oUmW1yo/edit?usp=sharing"",""น่าน!M433"")"),18966)</f>
        <v>18966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IFERROR(__xludf.DUMMYFUNCTION("IMPORTRANGE(""https://docs.google.com/spreadsheets/d/11923uPwbBZFjjGgGUA6NLw09EwE0CqkOc4q9oUmW1yo/edit?usp=sharing"",""น่าน!M434"")"),0)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IFERROR(__xludf.DUMMYFUNCTION("IMPORTRANGE(""https://docs.google.com/spreadsheets/d/11923uPwbBZFjjGgGUA6NLw09EwE0CqkOc4q9oUmW1yo/edit?usp=sharing"",""น่าน!M435"")"),0)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IFERROR(__xludf.DUMMYFUNCTION("IMPORTRANGE(""https://docs.google.com/spreadsheets/d/11923uPwbBZFjjGgGUA6NLw09EwE0CqkOc4q9oUmW1yo/edit?usp=sharing"",""น่าน!M436"")"),7610)</f>
        <v>7610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IFERROR(__xludf.DUMMYFUNCTION("IMPORTRANGE(""https://docs.google.com/spreadsheets/d/11923uPwbBZFjjGgGUA6NLw09EwE0CqkOc4q9oUmW1yo/edit?usp=sharing"",""น่าน!J438"")"),0)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IFERROR(__xludf.DUMMYFUNCTION("IMPORTRANGE(""https://docs.google.com/spreadsheets/d/11923uPwbBZFjjGgGUA6NLw09EwE0CqkOc4q9oUmW1yo/edit?usp=sharing"",""น่าน!J439"")"),1)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IFERROR(__xludf.DUMMYFUNCTION("IMPORTRANGE(""https://docs.google.com/spreadsheets/d/11923uPwbBZFjjGgGUA6NLw09EwE0CqkOc4q9oUmW1yo/edit?usp=sharing"",""น่าน!J440"")"),1)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IFERROR(__xludf.DUMMYFUNCTION("IMPORTRANGE(""https://docs.google.com/spreadsheets/d/11923uPwbBZFjjGgGUA6NLw09EwE0CqkOc4q9oUmW1yo/edit?usp=sharing"",""น่าน!J441"")"),1)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IFERROR(__xludf.DUMMYFUNCTION("IMPORTRANGE(""https://docs.google.com/spreadsheets/d/11923uPwbBZFjjGgGUA6NLw09EwE0CqkOc4q9oUmW1yo/edit?usp=sharing"",""น่าน!I442"")"),22)</f>
        <v>22</v>
      </c>
      <c r="J547" s="198">
        <f ca="1">IFERROR(__xludf.DUMMYFUNCTION("IMPORTRANGE(""https://docs.google.com/spreadsheets/d/11923uPwbBZFjjGgGUA6NLw09EwE0CqkOc4q9oUmW1yo/edit?usp=sharing"",""น่าน!J442"")"),22)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IFERROR(__xludf.DUMMYFUNCTION("IMPORTRANGE(""https://docs.google.com/spreadsheets/d/11923uPwbBZFjjGgGUA6NLw09EwE0CqkOc4q9oUmW1yo/edit?usp=sharing"",""น่าน!J166"")"),0)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IFERROR(__xludf.DUMMYFUNCTION("IMPORTRANGE(""https://docs.google.com/spreadsheets/d/11923uPwbBZFjjGgGUA6NLw09EwE0CqkOc4q9oUmW1yo/edit?usp=sharing"",""น่าน!J444"")"),0)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IFERROR(__xludf.DUMMYFUNCTION("IMPORTRANGE(""https://docs.google.com/spreadsheets/d/11923uPwbBZFjjGgGUA6NLw09EwE0CqkOc4q9oUmW1yo/edit?usp=sharing"",""น่าน!J445"")"),0)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IFERROR(__xludf.DUMMYFUNCTION("IMPORTRANGE(""https://docs.google.com/spreadsheets/d/11923uPwbBZFjjGgGUA6NLw09EwE0CqkOc4q9oUmW1yo/edit?usp=sharing"",""น่าน!I446"")"),0)</f>
        <v>0</v>
      </c>
      <c r="J551" s="418">
        <f ca="1">IFERROR(__xludf.DUMMYFUNCTION("IMPORTRANGE(""https://docs.google.com/spreadsheets/d/11923uPwbBZFjjGgGUA6NLw09EwE0CqkOc4q9oUmW1yo/edit?usp=sharing"",""น่าน!J446"")"),0)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IFERROR(__xludf.DUMMYFUNCTION("IMPORTRANGE(""https://docs.google.com/spreadsheets/d/11923uPwbBZFjjGgGUA6NLw09EwE0CqkOc4q9oUmW1yo/edit?usp=sharing"",""น่าน!L446"")"),0)</f>
        <v>0</v>
      </c>
      <c r="M551" s="420"/>
      <c r="N551" s="420">
        <f ca="1">IFERROR(__xludf.DUMMYFUNCTION("IMPORTRANGE(""https://docs.google.com/spreadsheets/d/11923uPwbBZFjjGgGUA6NLw09EwE0CqkOc4q9oUmW1yo/edit?usp=sharing"",""น่าน!M446"")"),0)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IFERROR(__xludf.DUMMYFUNCTION("IMPORTRANGE(""https://docs.google.com/spreadsheets/d/11923uPwbBZFjjGgGUA6NLw09EwE0CqkOc4q9oUmW1yo/edit?usp=sharing"",""น่าน!L447"")"),0)</f>
        <v>0</v>
      </c>
      <c r="M552" s="172"/>
      <c r="N552" s="178">
        <f ca="1">IFERROR(__xludf.DUMMYFUNCTION("IMPORTRANGE(""https://docs.google.com/spreadsheets/d/11923uPwbBZFjjGgGUA6NLw09EwE0CqkOc4q9oUmW1yo/edit?usp=sharing"",""น่าน!M447"")"),0)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IFERROR(__xludf.DUMMYFUNCTION("IMPORTRANGE(""https://docs.google.com/spreadsheets/d/11923uPwbBZFjjGgGUA6NLw09EwE0CqkOc4q9oUmW1yo/edit?usp=sharing"",""น่าน!L448"")"),0)</f>
        <v>0</v>
      </c>
      <c r="M553" s="173"/>
      <c r="N553" s="178">
        <f ca="1">IFERROR(__xludf.DUMMYFUNCTION("IMPORTRANGE(""https://docs.google.com/spreadsheets/d/11923uPwbBZFjjGgGUA6NLw09EwE0CqkOc4q9oUmW1yo/edit?usp=sharing"",""น่าน!M448"")"),0)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IFERROR(__xludf.DUMMYFUNCTION("IMPORTRANGE(""https://docs.google.com/spreadsheets/d/11923uPwbBZFjjGgGUA6NLw09EwE0CqkOc4q9oUmW1yo/edit?usp=sharing"",""น่าน!L449"")"),0)</f>
        <v>0</v>
      </c>
      <c r="M554" s="178"/>
      <c r="N554" s="178">
        <f ca="1">IFERROR(__xludf.DUMMYFUNCTION("IMPORTRANGE(""https://docs.google.com/spreadsheets/d/11923uPwbBZFjjGgGUA6NLw09EwE0CqkOc4q9oUmW1yo/edit?usp=sharing"",""น่าน!M449"")"),0)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IFERROR(__xludf.DUMMYFUNCTION("IMPORTRANGE(""https://docs.google.com/spreadsheets/d/11923uPwbBZFjjGgGUA6NLw09EwE0CqkOc4q9oUmW1yo/edit?usp=sharing"",""น่าน!L450"")"),0)</f>
        <v>0</v>
      </c>
      <c r="M555" s="178"/>
      <c r="N555" s="178">
        <f ca="1">IFERROR(__xludf.DUMMYFUNCTION("IMPORTRANGE(""https://docs.google.com/spreadsheets/d/11923uPwbBZFjjGgGUA6NLw09EwE0CqkOc4q9oUmW1yo/edit?usp=sharing"",""น่าน!M450"")"),0)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IFERROR(__xludf.DUMMYFUNCTION("IMPORTRANGE(""https://docs.google.com/spreadsheets/d/11923uPwbBZFjjGgGUA6NLw09EwE0CqkOc4q9oUmW1yo/edit?usp=sharing"",""น่าน!M451"")"),0)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IFERROR(__xludf.DUMMYFUNCTION("IMPORTRANGE(""https://docs.google.com/spreadsheets/d/11923uPwbBZFjjGgGUA6NLw09EwE0CqkOc4q9oUmW1yo/edit?usp=sharing"",""น่าน!M452"")"),0)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IFERROR(__xludf.DUMMYFUNCTION("IMPORTRANGE(""https://docs.google.com/spreadsheets/d/11923uPwbBZFjjGgGUA6NLw09EwE0CqkOc4q9oUmW1yo/edit?usp=sharing"",""น่าน!M453"")"),0)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IFERROR(__xludf.DUMMYFUNCTION("IMPORTRANGE(""https://docs.google.com/spreadsheets/d/11923uPwbBZFjjGgGUA6NLw09EwE0CqkOc4q9oUmW1yo/edit?usp=sharing"",""น่าน!M454"")"),0)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IFERROR(__xludf.DUMMYFUNCTION("IMPORTRANGE(""https://docs.google.com/spreadsheets/d/11923uPwbBZFjjGgGUA6NLw09EwE0CqkOc4q9oUmW1yo/edit?usp=sharing"",""น่าน!I455"")"),0)</f>
        <v>0</v>
      </c>
      <c r="J560" s="170">
        <f ca="1">IFERROR(__xludf.DUMMYFUNCTION("IMPORTRANGE(""https://docs.google.com/spreadsheets/d/11923uPwbBZFjjGgGUA6NLw09EwE0CqkOc4q9oUmW1yo/edit?usp=sharing"",""น่าน!J455"")"),0)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IFERROR(__xludf.DUMMYFUNCTION("IMPORTRANGE(""https://docs.google.com/spreadsheets/d/11923uPwbBZFjjGgGUA6NLw09EwE0CqkOc4q9oUmW1yo/edit?usp=sharing"",""น่าน!I456"")"),0)</f>
        <v>0</v>
      </c>
      <c r="J561" s="213">
        <f ca="1">IFERROR(__xludf.DUMMYFUNCTION("IMPORTRANGE(""https://docs.google.com/spreadsheets/d/11923uPwbBZFjjGgGUA6NLw09EwE0CqkOc4q9oUmW1yo/edit?usp=sharing"",""น่าน!J456"")"),0)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IFERROR(__xludf.DUMMYFUNCTION("IMPORTRANGE(""https://docs.google.com/spreadsheets/d/11923uPwbBZFjjGgGUA6NLw09EwE0CqkOc4q9oUmW1yo/edit?usp=sharing"",""น่าน!I457"")"),"")</f>
        <v/>
      </c>
      <c r="J562" s="213" t="str">
        <f ca="1">IFERROR(__xludf.DUMMYFUNCTION("IMPORTRANGE(""https://docs.google.com/spreadsheets/d/11923uPwbBZFjjGgGUA6NLw09EwE0CqkOc4q9oUmW1yo/edit?usp=sharing"",""น่าน!J457"")"),"")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IFERROR(__xludf.DUMMYFUNCTION("IMPORTRANGE(""https://docs.google.com/spreadsheets/d/11923uPwbBZFjjGgGUA6NLw09EwE0CqkOc4q9oUmW1yo/edit?usp=sharing"",""น่าน!I458"")"),"")</f>
        <v/>
      </c>
      <c r="J563" s="197" t="str">
        <f ca="1">IFERROR(__xludf.DUMMYFUNCTION("IMPORTRANGE(""https://docs.google.com/spreadsheets/d/11923uPwbBZFjjGgGUA6NLw09EwE0CqkOc4q9oUmW1yo/edit?usp=sharing"",""น่าน!J458"")"),"")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IFERROR(__xludf.DUMMYFUNCTION("IMPORTRANGE(""https://docs.google.com/spreadsheets/d/11923uPwbBZFjjGgGUA6NLw09EwE0CqkOc4q9oUmW1yo/edit?usp=sharing"",""น่าน!I459"")"),2150)</f>
        <v>2150</v>
      </c>
      <c r="J564" s="379">
        <f ca="1">IFERROR(__xludf.DUMMYFUNCTION("IMPORTRANGE(""https://docs.google.com/spreadsheets/d/11923uPwbBZFjjGgGUA6NLw09EwE0CqkOc4q9oUmW1yo/edit?usp=sharing"",""น่าน!J459"")"),763)</f>
        <v>763</v>
      </c>
      <c r="K564" s="380">
        <f t="shared" ca="1" si="121"/>
        <v>35.488372093023258</v>
      </c>
      <c r="L564" s="381">
        <f ca="1">IFERROR(__xludf.DUMMYFUNCTION("IMPORTRANGE(""https://docs.google.com/spreadsheets/d/11923uPwbBZFjjGgGUA6NLw09EwE0CqkOc4q9oUmW1yo/edit?usp=sharing"",""น่าน!L459"")"),144800)</f>
        <v>144800</v>
      </c>
      <c r="M564" s="381"/>
      <c r="N564" s="381">
        <f ca="1">IFERROR(__xludf.DUMMYFUNCTION("IMPORTRANGE(""https://docs.google.com/spreadsheets/d/11923uPwbBZFjjGgGUA6NLw09EwE0CqkOc4q9oUmW1yo/edit?usp=sharing"",""น่าน!M459"")"),26830)</f>
        <v>26830</v>
      </c>
      <c r="O564" s="381">
        <f t="shared" ref="O564:O568" ca="1" si="122">+IF(L564&gt;0,N564*100/L564,0)</f>
        <v>18.52900552486188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IFERROR(__xludf.DUMMYFUNCTION("IMPORTRANGE(""https://docs.google.com/spreadsheets/d/11923uPwbBZFjjGgGUA6NLw09EwE0CqkOc4q9oUmW1yo/edit?usp=sharing"",""น่าน!L460"")"),0)</f>
        <v>0</v>
      </c>
      <c r="M565" s="172"/>
      <c r="N565" s="178">
        <f ca="1">IFERROR(__xludf.DUMMYFUNCTION("IMPORTRANGE(""https://docs.google.com/spreadsheets/d/11923uPwbBZFjjGgGUA6NLw09EwE0CqkOc4q9oUmW1yo/edit?usp=sharing"",""น่าน!M460"")"),0)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IFERROR(__xludf.DUMMYFUNCTION("IMPORTRANGE(""https://docs.google.com/spreadsheets/d/11923uPwbBZFjjGgGUA6NLw09EwE0CqkOc4q9oUmW1yo/edit?usp=sharing"",""น่าน!L461"")"),144800)</f>
        <v>144800</v>
      </c>
      <c r="M566" s="173"/>
      <c r="N566" s="178">
        <f ca="1">IFERROR(__xludf.DUMMYFUNCTION("IMPORTRANGE(""https://docs.google.com/spreadsheets/d/11923uPwbBZFjjGgGUA6NLw09EwE0CqkOc4q9oUmW1yo/edit?usp=sharing"",""น่าน!M461"")"),26830)</f>
        <v>26830</v>
      </c>
      <c r="O566" s="178">
        <f t="shared" ca="1" si="122"/>
        <v>18.52900552486188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IFERROR(__xludf.DUMMYFUNCTION("IMPORTRANGE(""https://docs.google.com/spreadsheets/d/11923uPwbBZFjjGgGUA6NLw09EwE0CqkOc4q9oUmW1yo/edit?usp=sharing"",""น่าน!L462"")"),0)</f>
        <v>0</v>
      </c>
      <c r="M567" s="178"/>
      <c r="N567" s="178">
        <f ca="1">IFERROR(__xludf.DUMMYFUNCTION("IMPORTRANGE(""https://docs.google.com/spreadsheets/d/11923uPwbBZFjjGgGUA6NLw09EwE0CqkOc4q9oUmW1yo/edit?usp=sharing"",""น่าน!M462"")"),0)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IFERROR(__xludf.DUMMYFUNCTION("IMPORTRANGE(""https://docs.google.com/spreadsheets/d/11923uPwbBZFjjGgGUA6NLw09EwE0CqkOc4q9oUmW1yo/edit?usp=sharing"",""น่าน!L463"")"),144800)</f>
        <v>144800</v>
      </c>
      <c r="M568" s="178"/>
      <c r="N568" s="178">
        <f ca="1">IFERROR(__xludf.DUMMYFUNCTION("IMPORTRANGE(""https://docs.google.com/spreadsheets/d/11923uPwbBZFjjGgGUA6NLw09EwE0CqkOc4q9oUmW1yo/edit?usp=sharing"",""น่าน!M463"")"),26830)</f>
        <v>26830</v>
      </c>
      <c r="O568" s="178">
        <f t="shared" ca="1" si="122"/>
        <v>18.52900552486188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IFERROR(__xludf.DUMMYFUNCTION("IMPORTRANGE(""https://docs.google.com/spreadsheets/d/11923uPwbBZFjjGgGUA6NLw09EwE0CqkOc4q9oUmW1yo/edit?usp=sharing"",""น่าน!M464"")"),0)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IFERROR(__xludf.DUMMYFUNCTION("IMPORTRANGE(""https://docs.google.com/spreadsheets/d/11923uPwbBZFjjGgGUA6NLw09EwE0CqkOc4q9oUmW1yo/edit?usp=sharing"",""น่าน!M465"")"),0)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IFERROR(__xludf.DUMMYFUNCTION("IMPORTRANGE(""https://docs.google.com/spreadsheets/d/11923uPwbBZFjjGgGUA6NLw09EwE0CqkOc4q9oUmW1yo/edit?usp=sharing"",""น่าน!M466"")"),25830)</f>
        <v>25830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IFERROR(__xludf.DUMMYFUNCTION("IMPORTRANGE(""https://docs.google.com/spreadsheets/d/11923uPwbBZFjjGgGUA6NLw09EwE0CqkOc4q9oUmW1yo/edit?usp=sharing"",""น่าน!M467"")"),1000)</f>
        <v>1000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IFERROR(__xludf.DUMMYFUNCTION("IMPORTRANGE(""https://docs.google.com/spreadsheets/d/11923uPwbBZFjjGgGUA6NLw09EwE0CqkOc4q9oUmW1yo/edit?usp=sharing"",""น่าน!I468"")"),2150)</f>
        <v>2150</v>
      </c>
      <c r="J573" s="428">
        <f ca="1">IFERROR(__xludf.DUMMYFUNCTION("IMPORTRANGE(""https://docs.google.com/spreadsheets/d/11923uPwbBZFjjGgGUA6NLw09EwE0CqkOc4q9oUmW1yo/edit?usp=sharing"",""น่าน!J468"")"),763)</f>
        <v>763</v>
      </c>
      <c r="K573" s="211">
        <f ca="1">IF(I573&gt;0,J573*100/I573,0)</f>
        <v>35.488372093023258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IFERROR(__xludf.DUMMYFUNCTION("IMPORTRANGE(""https://docs.google.com/spreadsheets/d/11923uPwbBZFjjGgGUA6NLw09EwE0CqkOc4q9oUmW1yo/edit?usp=sharing"",""น่าน!I470"")"),0)</f>
        <v>0</v>
      </c>
      <c r="J575" s="207">
        <f ca="1">IFERROR(__xludf.DUMMYFUNCTION("IMPORTRANGE(""https://docs.google.com/spreadsheets/d/11923uPwbBZFjjGgGUA6NLw09EwE0CqkOc4q9oUmW1yo/edit?usp=sharing"",""น่าน!J470"")"),1)</f>
        <v>1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IFERROR(__xludf.DUMMYFUNCTION("IMPORTRANGE(""https://docs.google.com/spreadsheets/d/11923uPwbBZFjjGgGUA6NLw09EwE0CqkOc4q9oUmW1yo/edit?usp=sharing"",""น่าน!I471"")"),0)</f>
        <v>0</v>
      </c>
      <c r="J576" s="207">
        <f ca="1">IFERROR(__xludf.DUMMYFUNCTION("IMPORTRANGE(""https://docs.google.com/spreadsheets/d/11923uPwbBZFjjGgGUA6NLw09EwE0CqkOc4q9oUmW1yo/edit?usp=sharing"",""น่าน!J471"")"),108)</f>
        <v>108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IFERROR(__xludf.DUMMYFUNCTION("IMPORTRANGE(""https://docs.google.com/spreadsheets/d/11923uPwbBZFjjGgGUA6NLw09EwE0CqkOc4q9oUmW1yo/edit?usp=sharing"",""น่าน!I472"")"),0)</f>
        <v>0</v>
      </c>
      <c r="J577" s="198">
        <f ca="1">IFERROR(__xludf.DUMMYFUNCTION("IMPORTRANGE(""https://docs.google.com/spreadsheets/d/11923uPwbBZFjjGgGUA6NLw09EwE0CqkOc4q9oUmW1yo/edit?usp=sharing"",""น่าน!J472"")"),641)</f>
        <v>641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IFERROR(__xludf.DUMMYFUNCTION("IMPORTRANGE(""https://docs.google.com/spreadsheets/d/11923uPwbBZFjjGgGUA6NLw09EwE0CqkOc4q9oUmW1yo/edit?usp=sharing"",""น่าน!I473"")"),0)</f>
        <v>0</v>
      </c>
      <c r="J578" s="207">
        <f ca="1">IFERROR(__xludf.DUMMYFUNCTION("IMPORTRANGE(""https://docs.google.com/spreadsheets/d/11923uPwbBZFjjGgGUA6NLw09EwE0CqkOc4q9oUmW1yo/edit?usp=sharing"",""น่าน!J473"")"),14)</f>
        <v>14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IFERROR(__xludf.DUMMYFUNCTION("IMPORTRANGE(""https://docs.google.com/spreadsheets/d/11923uPwbBZFjjGgGUA6NLw09EwE0CqkOc4q9oUmW1yo/edit?usp=sharing"",""น่าน!I474"")"),0)</f>
        <v>0</v>
      </c>
      <c r="J579" s="207">
        <f ca="1">IFERROR(__xludf.DUMMYFUNCTION("IMPORTRANGE(""https://docs.google.com/spreadsheets/d/11923uPwbBZFjjGgGUA6NLw09EwE0CqkOc4q9oUmW1yo/edit?usp=sharing"",""น่าน!J474"")"),0)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IFERROR(__xludf.DUMMYFUNCTION("IMPORTRANGE(""https://docs.google.com/spreadsheets/d/11923uPwbBZFjjGgGUA6NLw09EwE0CqkOc4q9oUmW1yo/edit?usp=sharing"",""น่าน!I475"")"),70)</f>
        <v>70</v>
      </c>
      <c r="J580" s="379">
        <f ca="1">IFERROR(__xludf.DUMMYFUNCTION("IMPORTRANGE(""https://docs.google.com/spreadsheets/d/11923uPwbBZFjjGgGUA6NLw09EwE0CqkOc4q9oUmW1yo/edit?usp=sharing"",""น่าน!J475"")"),0)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IFERROR(__xludf.DUMMYFUNCTION("IMPORTRANGE(""https://docs.google.com/spreadsheets/d/11923uPwbBZFjjGgGUA6NLw09EwE0CqkOc4q9oUmW1yo/edit?usp=sharing"",""น่าน!L475"")"),298470)</f>
        <v>298470</v>
      </c>
      <c r="M580" s="381"/>
      <c r="N580" s="381">
        <f ca="1">IFERROR(__xludf.DUMMYFUNCTION("IMPORTRANGE(""https://docs.google.com/spreadsheets/d/11923uPwbBZFjjGgGUA6NLw09EwE0CqkOc4q9oUmW1yo/edit?usp=sharing"",""น่าน!M475"")"),20380)</f>
        <v>20380</v>
      </c>
      <c r="O580" s="381">
        <f t="shared" ref="O580:O584" ca="1" si="124">+IF(L580&gt;0,N580*100/L580,0)</f>
        <v>6.8281569336951788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IFERROR(__xludf.DUMMYFUNCTION("IMPORTRANGE(""https://docs.google.com/spreadsheets/d/11923uPwbBZFjjGgGUA6NLw09EwE0CqkOc4q9oUmW1yo/edit?usp=sharing"",""น่าน!L476"")"),0)</f>
        <v>0</v>
      </c>
      <c r="M581" s="172"/>
      <c r="N581" s="178">
        <f ca="1">IFERROR(__xludf.DUMMYFUNCTION("IMPORTRANGE(""https://docs.google.com/spreadsheets/d/11923uPwbBZFjjGgGUA6NLw09EwE0CqkOc4q9oUmW1yo/edit?usp=sharing"",""น่าน!M476"")"),0)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IFERROR(__xludf.DUMMYFUNCTION("IMPORTRANGE(""https://docs.google.com/spreadsheets/d/11923uPwbBZFjjGgGUA6NLw09EwE0CqkOc4q9oUmW1yo/edit?usp=sharing"",""น่าน!L477"")"),298470)</f>
        <v>298470</v>
      </c>
      <c r="M582" s="173"/>
      <c r="N582" s="178">
        <f ca="1">IFERROR(__xludf.DUMMYFUNCTION("IMPORTRANGE(""https://docs.google.com/spreadsheets/d/11923uPwbBZFjjGgGUA6NLw09EwE0CqkOc4q9oUmW1yo/edit?usp=sharing"",""น่าน!M477"")"),20380)</f>
        <v>20380</v>
      </c>
      <c r="O582" s="178">
        <f t="shared" ca="1" si="124"/>
        <v>6.8281569336951788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IFERROR(__xludf.DUMMYFUNCTION("IMPORTRANGE(""https://docs.google.com/spreadsheets/d/11923uPwbBZFjjGgGUA6NLw09EwE0CqkOc4q9oUmW1yo/edit?usp=sharing"",""น่าน!L478"")"),0)</f>
        <v>0</v>
      </c>
      <c r="M583" s="178"/>
      <c r="N583" s="178">
        <f ca="1">IFERROR(__xludf.DUMMYFUNCTION("IMPORTRANGE(""https://docs.google.com/spreadsheets/d/11923uPwbBZFjjGgGUA6NLw09EwE0CqkOc4q9oUmW1yo/edit?usp=sharing"",""น่าน!M478"")"),0)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IFERROR(__xludf.DUMMYFUNCTION("IMPORTRANGE(""https://docs.google.com/spreadsheets/d/11923uPwbBZFjjGgGUA6NLw09EwE0CqkOc4q9oUmW1yo/edit?usp=sharing"",""น่าน!L479"")"),298470)</f>
        <v>298470</v>
      </c>
      <c r="M584" s="178"/>
      <c r="N584" s="178">
        <f ca="1">IFERROR(__xludf.DUMMYFUNCTION("IMPORTRANGE(""https://docs.google.com/spreadsheets/d/11923uPwbBZFjjGgGUA6NLw09EwE0CqkOc4q9oUmW1yo/edit?usp=sharing"",""น่าน!M479"")"),20380)</f>
        <v>20380</v>
      </c>
      <c r="O584" s="178">
        <f t="shared" ca="1" si="124"/>
        <v>6.8281569336951788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IFERROR(__xludf.DUMMYFUNCTION("IMPORTRANGE(""https://docs.google.com/spreadsheets/d/11923uPwbBZFjjGgGUA6NLw09EwE0CqkOc4q9oUmW1yo/edit?usp=sharing"",""น่าน!M480"")"),0)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IFERROR(__xludf.DUMMYFUNCTION("IMPORTRANGE(""https://docs.google.com/spreadsheets/d/11923uPwbBZFjjGgGUA6NLw09EwE0CqkOc4q9oUmW1yo/edit?usp=sharing"",""น่าน!M481"")"),0)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IFERROR(__xludf.DUMMYFUNCTION("IMPORTRANGE(""https://docs.google.com/spreadsheets/d/11923uPwbBZFjjGgGUA6NLw09EwE0CqkOc4q9oUmW1yo/edit?usp=sharing"",""น่าน!M482"")"),18320)</f>
        <v>18320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IFERROR(__xludf.DUMMYFUNCTION("IMPORTRANGE(""https://docs.google.com/spreadsheets/d/11923uPwbBZFjjGgGUA6NLw09EwE0CqkOc4q9oUmW1yo/edit?usp=sharing"",""น่าน!M483"")"),2060)</f>
        <v>2060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IFERROR(__xludf.DUMMYFUNCTION("IMPORTRANGE(""https://docs.google.com/spreadsheets/d/11923uPwbBZFjjGgGUA6NLw09EwE0CqkOc4q9oUmW1yo/edit?usp=sharing"",""น่าน!I484"")"),70)</f>
        <v>70</v>
      </c>
      <c r="J589" s="197">
        <f ca="1">IFERROR(__xludf.DUMMYFUNCTION("IMPORTRANGE(""https://docs.google.com/spreadsheets/d/11923uPwbBZFjjGgGUA6NLw09EwE0CqkOc4q9oUmW1yo/edit?usp=sharing"",""น่าน!J484"")"),2)</f>
        <v>2</v>
      </c>
      <c r="K589" s="171">
        <f t="shared" ref="K589:K596" ca="1" si="125">IF(I589&gt;0,J589*100/I589,0)</f>
        <v>2.8571428571428572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IFERROR(__xludf.DUMMYFUNCTION("IMPORTRANGE(""https://docs.google.com/spreadsheets/d/11923uPwbBZFjjGgGUA6NLw09EwE0CqkOc4q9oUmW1yo/edit?usp=sharing"",""น่าน!I485"")"),0)</f>
        <v>0</v>
      </c>
      <c r="J590" s="197">
        <f ca="1">IFERROR(__xludf.DUMMYFUNCTION("IMPORTRANGE(""https://docs.google.com/spreadsheets/d/11923uPwbBZFjjGgGUA6NLw09EwE0CqkOc4q9oUmW1yo/edit?usp=sharing"",""น่าน!J485"")"),1.89)</f>
        <v>1.89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IFERROR(__xludf.DUMMYFUNCTION("IMPORTRANGE(""https://docs.google.com/spreadsheets/d/11923uPwbBZFjjGgGUA6NLw09EwE0CqkOc4q9oUmW1yo/edit?usp=sharing"",""น่าน!I486"")"),70)</f>
        <v>70</v>
      </c>
      <c r="J591" s="197">
        <f ca="1">IFERROR(__xludf.DUMMYFUNCTION("IMPORTRANGE(""https://docs.google.com/spreadsheets/d/11923uPwbBZFjjGgGUA6NLw09EwE0CqkOc4q9oUmW1yo/edit?usp=sharing"",""น่าน!J486"")"),0)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IFERROR(__xludf.DUMMYFUNCTION("IMPORTRANGE(""https://docs.google.com/spreadsheets/d/11923uPwbBZFjjGgGUA6NLw09EwE0CqkOc4q9oUmW1yo/edit?usp=sharing"",""น่าน!I487"")"),0)</f>
        <v>0</v>
      </c>
      <c r="J592" s="197">
        <f ca="1">IFERROR(__xludf.DUMMYFUNCTION("IMPORTRANGE(""https://docs.google.com/spreadsheets/d/11923uPwbBZFjjGgGUA6NLw09EwE0CqkOc4q9oUmW1yo/edit?usp=sharing"",""น่าน!J487"")"),0)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IFERROR(__xludf.DUMMYFUNCTION("IMPORTRANGE(""https://docs.google.com/spreadsheets/d/11923uPwbBZFjjGgGUA6NLw09EwE0CqkOc4q9oUmW1yo/edit?usp=sharing"",""น่าน!I488"")"),70)</f>
        <v>70</v>
      </c>
      <c r="J593" s="197">
        <f ca="1">IFERROR(__xludf.DUMMYFUNCTION("IMPORTRANGE(""https://docs.google.com/spreadsheets/d/11923uPwbBZFjjGgGUA6NLw09EwE0CqkOc4q9oUmW1yo/edit?usp=sharing"",""น่าน!J488"")"),0)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IFERROR(__xludf.DUMMYFUNCTION("IMPORTRANGE(""https://docs.google.com/spreadsheets/d/11923uPwbBZFjjGgGUA6NLw09EwE0CqkOc4q9oUmW1yo/edit?usp=sharing"",""น่าน!I489"")"),0)</f>
        <v>0</v>
      </c>
      <c r="J594" s="197">
        <f ca="1">IFERROR(__xludf.DUMMYFUNCTION("IMPORTRANGE(""https://docs.google.com/spreadsheets/d/11923uPwbBZFjjGgGUA6NLw09EwE0CqkOc4q9oUmW1yo/edit?usp=sharing"",""น่าน!J489"")"),0)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IFERROR(__xludf.DUMMYFUNCTION("IMPORTRANGE(""https://docs.google.com/spreadsheets/d/11923uPwbBZFjjGgGUA6NLw09EwE0CqkOc4q9oUmW1yo/edit?usp=sharing"",""น่าน!I490"")"),70)</f>
        <v>70</v>
      </c>
      <c r="J595" s="197">
        <f ca="1">IFERROR(__xludf.DUMMYFUNCTION("IMPORTRANGE(""https://docs.google.com/spreadsheets/d/11923uPwbBZFjjGgGUA6NLw09EwE0CqkOc4q9oUmW1yo/edit?usp=sharing"",""น่าน!J490"")"),0)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IFERROR(__xludf.DUMMYFUNCTION("IMPORTRANGE(""https://docs.google.com/spreadsheets/d/11923uPwbBZFjjGgGUA6NLw09EwE0CqkOc4q9oUmW1yo/edit?usp=sharing"",""น่าน!I491"")"),0)</f>
        <v>0</v>
      </c>
      <c r="J596" s="250">
        <f ca="1">IFERROR(__xludf.DUMMYFUNCTION("IMPORTRANGE(""https://docs.google.com/spreadsheets/d/11923uPwbBZFjjGgGUA6NLw09EwE0CqkOc4q9oUmW1yo/edit?usp=sharing"",""น่าน!J491"")"),0)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IFERROR(__xludf.DUMMYFUNCTION("IMPORTRANGE(""https://docs.google.com/spreadsheets/d/11923uPwbBZFjjGgGUA6NLw09EwE0CqkOc4q9oUmW1yo/edit?usp=sharing"",""น่าน!I492"")"),100)</f>
        <v>100</v>
      </c>
      <c r="J597" s="495">
        <f ca="1">IFERROR(__xludf.DUMMYFUNCTION("IMPORTRANGE(""https://docs.google.com/spreadsheets/d/11923uPwbBZFjjGgGUA6NLw09EwE0CqkOc4q9oUmW1yo/edit?usp=sharing"",""น่าน!J492"")"),0)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IFERROR(__xludf.DUMMYFUNCTION("IMPORTRANGE(""https://docs.google.com/spreadsheets/d/11923uPwbBZFjjGgGUA6NLw09EwE0CqkOc4q9oUmW1yo/edit?usp=sharing"",""น่าน!L492"")"),8900)</f>
        <v>8900</v>
      </c>
      <c r="M597" s="420"/>
      <c r="N597" s="420">
        <f ca="1">IFERROR(__xludf.DUMMYFUNCTION("IMPORTRANGE(""https://docs.google.com/spreadsheets/d/11923uPwbBZFjjGgGUA6NLw09EwE0CqkOc4q9oUmW1yo/edit?usp=sharing"",""น่าน!M492"")"),1800)</f>
        <v>1800</v>
      </c>
      <c r="O597" s="420">
        <f t="shared" ref="O597:O601" ca="1" si="126">+IF(L597&gt;0,N597*100/L597,0)</f>
        <v>20.224719101123597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IFERROR(__xludf.DUMMYFUNCTION("IMPORTRANGE(""https://docs.google.com/spreadsheets/d/11923uPwbBZFjjGgGUA6NLw09EwE0CqkOc4q9oUmW1yo/edit?usp=sharing"",""น่าน!L493"")"),0)</f>
        <v>0</v>
      </c>
      <c r="M598" s="172"/>
      <c r="N598" s="178">
        <f ca="1">IFERROR(__xludf.DUMMYFUNCTION("IMPORTRANGE(""https://docs.google.com/spreadsheets/d/11923uPwbBZFjjGgGUA6NLw09EwE0CqkOc4q9oUmW1yo/edit?usp=sharing"",""น่าน!M493"")"),0)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IFERROR(__xludf.DUMMYFUNCTION("IMPORTRANGE(""https://docs.google.com/spreadsheets/d/11923uPwbBZFjjGgGUA6NLw09EwE0CqkOc4q9oUmW1yo/edit?usp=sharing"",""น่าน!L494"")"),8900)</f>
        <v>8900</v>
      </c>
      <c r="M599" s="173"/>
      <c r="N599" s="178">
        <f ca="1">IFERROR(__xludf.DUMMYFUNCTION("IMPORTRANGE(""https://docs.google.com/spreadsheets/d/11923uPwbBZFjjGgGUA6NLw09EwE0CqkOc4q9oUmW1yo/edit?usp=sharing"",""น่าน!M494"")"),1800)</f>
        <v>1800</v>
      </c>
      <c r="O599" s="178">
        <f t="shared" ca="1" si="126"/>
        <v>20.224719101123597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IFERROR(__xludf.DUMMYFUNCTION("IMPORTRANGE(""https://docs.google.com/spreadsheets/d/11923uPwbBZFjjGgGUA6NLw09EwE0CqkOc4q9oUmW1yo/edit?usp=sharing"",""น่าน!L495"")"),0)</f>
        <v>0</v>
      </c>
      <c r="M600" s="178"/>
      <c r="N600" s="178">
        <f ca="1">IFERROR(__xludf.DUMMYFUNCTION("IMPORTRANGE(""https://docs.google.com/spreadsheets/d/11923uPwbBZFjjGgGUA6NLw09EwE0CqkOc4q9oUmW1yo/edit?usp=sharing"",""น่าน!M495"")"),0)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IFERROR(__xludf.DUMMYFUNCTION("IMPORTRANGE(""https://docs.google.com/spreadsheets/d/11923uPwbBZFjjGgGUA6NLw09EwE0CqkOc4q9oUmW1yo/edit?usp=sharing"",""น่าน!L496"")"),8900)</f>
        <v>8900</v>
      </c>
      <c r="M601" s="178"/>
      <c r="N601" s="178">
        <f ca="1">IFERROR(__xludf.DUMMYFUNCTION("IMPORTRANGE(""https://docs.google.com/spreadsheets/d/11923uPwbBZFjjGgGUA6NLw09EwE0CqkOc4q9oUmW1yo/edit?usp=sharing"",""น่าน!M496"")"),1800)</f>
        <v>1800</v>
      </c>
      <c r="O601" s="178">
        <f t="shared" ca="1" si="126"/>
        <v>20.224719101123597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IFERROR(__xludf.DUMMYFUNCTION("IMPORTRANGE(""https://docs.google.com/spreadsheets/d/11923uPwbBZFjjGgGUA6NLw09EwE0CqkOc4q9oUmW1yo/edit?usp=sharing"",""น่าน!M497"")"),0)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IFERROR(__xludf.DUMMYFUNCTION("IMPORTRANGE(""https://docs.google.com/spreadsheets/d/11923uPwbBZFjjGgGUA6NLw09EwE0CqkOc4q9oUmW1yo/edit?usp=sharing"",""น่าน!M498"")"),0)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IFERROR(__xludf.DUMMYFUNCTION("IMPORTRANGE(""https://docs.google.com/spreadsheets/d/11923uPwbBZFjjGgGUA6NLw09EwE0CqkOc4q9oUmW1yo/edit?usp=sharing"",""น่าน!M499"")"),0)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IFERROR(__xludf.DUMMYFUNCTION("IMPORTRANGE(""https://docs.google.com/spreadsheets/d/11923uPwbBZFjjGgGUA6NLw09EwE0CqkOc4q9oUmW1yo/edit?usp=sharing"",""น่าน!M500"")"),1800)</f>
        <v>1800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IFERROR(__xludf.DUMMYFUNCTION("IMPORTRANGE(""https://docs.google.com/spreadsheets/d/11923uPwbBZFjjGgGUA6NLw09EwE0CqkOc4q9oUmW1yo/edit?usp=sharing"",""น่าน!J502"")"),0)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IFERROR(__xludf.DUMMYFUNCTION("IMPORTRANGE(""https://docs.google.com/spreadsheets/d/11923uPwbBZFjjGgGUA6NLw09EwE0CqkOc4q9oUmW1yo/edit?usp=sharing"",""น่าน!J503"")"),1)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IFERROR(__xludf.DUMMYFUNCTION("IMPORTRANGE(""https://docs.google.com/spreadsheets/d/11923uPwbBZFjjGgGUA6NLw09EwE0CqkOc4q9oUmW1yo/edit?usp=sharing"",""น่าน!J166"")"),0)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IFERROR(__xludf.DUMMYFUNCTION("IMPORTRANGE(""https://docs.google.com/spreadsheets/d/11923uPwbBZFjjGgGUA6NLw09EwE0CqkOc4q9oUmW1yo/edit?usp=sharing"",""น่าน!J166"")"),0)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IFERROR(__xludf.DUMMYFUNCTION("IMPORTRANGE(""https://docs.google.com/spreadsheets/d/11923uPwbBZFjjGgGUA6NLw09EwE0CqkOc4q9oUmW1yo/edit?usp=sharing"",""น่าน!I506"")"),100)</f>
        <v>100</v>
      </c>
      <c r="J611" s="170">
        <f ca="1">IFERROR(__xludf.DUMMYFUNCTION("IMPORTRANGE(""https://docs.google.com/spreadsheets/d/11923uPwbBZFjjGgGUA6NLw09EwE0CqkOc4q9oUmW1yo/edit?usp=sharing"",""น่าน!J506"")"),0)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IFERROR(__xludf.DUMMYFUNCTION("IMPORTRANGE(""https://docs.google.com/spreadsheets/d/11923uPwbBZFjjGgGUA6NLw09EwE0CqkOc4q9oUmW1yo/edit?usp=sharing"",""น่าน!I507"")"),0)</f>
        <v>0</v>
      </c>
      <c r="J612" s="207">
        <f ca="1">IFERROR(__xludf.DUMMYFUNCTION("IMPORTRANGE(""https://docs.google.com/spreadsheets/d/11923uPwbBZFjjGgGUA6NLw09EwE0CqkOc4q9oUmW1yo/edit?usp=sharing"",""น่าน!J507"")"),164)</f>
        <v>164</v>
      </c>
      <c r="K612" s="171">
        <f t="shared" ca="1" si="127"/>
        <v>164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IFERROR(__xludf.DUMMYFUNCTION("IMPORTRANGE(""https://docs.google.com/spreadsheets/d/11923uPwbBZFjjGgGUA6NLw09EwE0CqkOc4q9oUmW1yo/edit?usp=sharing"",""น่าน!I508"")"),0)</f>
        <v>0</v>
      </c>
      <c r="J613" s="207">
        <f ca="1">IFERROR(__xludf.DUMMYFUNCTION("IMPORTRANGE(""https://docs.google.com/spreadsheets/d/11923uPwbBZFjjGgGUA6NLw09EwE0CqkOc4q9oUmW1yo/edit?usp=sharing"",""น่าน!J508"")"),0)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IFERROR(__xludf.DUMMYFUNCTION("IMPORTRANGE(""https://docs.google.com/spreadsheets/d/11923uPwbBZFjjGgGUA6NLw09EwE0CqkOc4q9oUmW1yo/edit?usp=sharing"",""น่าน!I509"")"),0)</f>
        <v>0</v>
      </c>
      <c r="J614" s="207">
        <f ca="1">IFERROR(__xludf.DUMMYFUNCTION("IMPORTRANGE(""https://docs.google.com/spreadsheets/d/11923uPwbBZFjjGgGUA6NLw09EwE0CqkOc4q9oUmW1yo/edit?usp=sharing"",""น่าน!J509"")"),97.8)</f>
        <v>97.8</v>
      </c>
      <c r="K614" s="171">
        <f t="shared" ca="1" si="127"/>
        <v>97.8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IFERROR(__xludf.DUMMYFUNCTION("IMPORTRANGE(""https://docs.google.com/spreadsheets/d/11923uPwbBZFjjGgGUA6NLw09EwE0CqkOc4q9oUmW1yo/edit?usp=sharing"",""น่าน!I510"")"),0)</f>
        <v>0</v>
      </c>
      <c r="J615" s="207">
        <f ca="1">IFERROR(__xludf.DUMMYFUNCTION("IMPORTRANGE(""https://docs.google.com/spreadsheets/d/11923uPwbBZFjjGgGUA6NLw09EwE0CqkOc4q9oUmW1yo/edit?usp=sharing"",""น่าน!J510"")"),0)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IFERROR(__xludf.DUMMYFUNCTION("IMPORTRANGE(""https://docs.google.com/spreadsheets/d/11923uPwbBZFjjGgGUA6NLw09EwE0CqkOc4q9oUmW1yo/edit?usp=sharing"",""น่าน!I511"")"),0)</f>
        <v>0</v>
      </c>
      <c r="J616" s="207">
        <f ca="1">IFERROR(__xludf.DUMMYFUNCTION("IMPORTRANGE(""https://docs.google.com/spreadsheets/d/11923uPwbBZFjjGgGUA6NLw09EwE0CqkOc4q9oUmW1yo/edit?usp=sharing"",""น่าน!J511"")"),0)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IFERROR(__xludf.DUMMYFUNCTION("IMPORTRANGE(""https://docs.google.com/spreadsheets/d/11923uPwbBZFjjGgGUA6NLw09EwE0CqkOc4q9oUmW1yo/edit?usp=sharing"",""น่าน!I512"")"),0)</f>
        <v>0</v>
      </c>
      <c r="J617" s="197">
        <f ca="1">IFERROR(__xludf.DUMMYFUNCTION("IMPORTRANGE(""https://docs.google.com/spreadsheets/d/11923uPwbBZFjjGgGUA6NLw09EwE0CqkOc4q9oUmW1yo/edit?usp=sharing"",""น่าน!J512"")"),0)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IFERROR(__xludf.DUMMYFUNCTION("IMPORTRANGE(""https://docs.google.com/spreadsheets/d/11923uPwbBZFjjGgGUA6NLw09EwE0CqkOc4q9oUmW1yo/edit?usp=sharing"",""น่าน!I513"")"),0)</f>
        <v>0</v>
      </c>
      <c r="J618" s="198">
        <f ca="1">IFERROR(__xludf.DUMMYFUNCTION("IMPORTRANGE(""https://docs.google.com/spreadsheets/d/11923uPwbBZFjjGgGUA6NLw09EwE0CqkOc4q9oUmW1yo/edit?usp=sharing"",""น่าน!J513"")"),0)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IFERROR(__xludf.DUMMYFUNCTION("IMPORTRANGE(""https://docs.google.com/spreadsheets/d/11923uPwbBZFjjGgGUA6NLw09EwE0CqkOc4q9oUmW1yo/edit?usp=sharing"",""น่าน!I514"")"),0)</f>
        <v>0</v>
      </c>
      <c r="J619" s="198">
        <f ca="1">IFERROR(__xludf.DUMMYFUNCTION("IMPORTRANGE(""https://docs.google.com/spreadsheets/d/11923uPwbBZFjjGgGUA6NLw09EwE0CqkOc4q9oUmW1yo/edit?usp=sharing"",""น่าน!J514"")"),0)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IFERROR(__xludf.DUMMYFUNCTION("IMPORTRANGE(""https://docs.google.com/spreadsheets/d/11923uPwbBZFjjGgGUA6NLw09EwE0CqkOc4q9oUmW1yo/edit?usp=sharing"",""น่าน!I515"")"),0)</f>
        <v>0</v>
      </c>
      <c r="J620" s="212">
        <f ca="1">IFERROR(__xludf.DUMMYFUNCTION("IMPORTRANGE(""https://docs.google.com/spreadsheets/d/11923uPwbBZFjjGgGUA6NLw09EwE0CqkOc4q9oUmW1yo/edit?usp=sharing"",""น่าน!J515"")"),0)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IFERROR(__xludf.DUMMYFUNCTION("IMPORTRANGE(""https://docs.google.com/spreadsheets/d/11923uPwbBZFjjGgGUA6NLw09EwE0CqkOc4q9oUmW1yo/edit?usp=sharing"",""น่าน!I516"")"),0)</f>
        <v>0</v>
      </c>
      <c r="J621" s="212">
        <f ca="1">IFERROR(__xludf.DUMMYFUNCTION("IMPORTRANGE(""https://docs.google.com/spreadsheets/d/11923uPwbBZFjjGgGUA6NLw09EwE0CqkOc4q9oUmW1yo/edit?usp=sharing"",""น่าน!J516"")"),0)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IFERROR(__xludf.DUMMYFUNCTION("IMPORTRANGE(""https://docs.google.com/spreadsheets/d/11923uPwbBZFjjGgGUA6NLw09EwE0CqkOc4q9oUmW1yo/edit?usp=sharing"",""น่าน!I517"")"),0)</f>
        <v>0</v>
      </c>
      <c r="J622" s="198">
        <f ca="1">IFERROR(__xludf.DUMMYFUNCTION("IMPORTRANGE(""https://docs.google.com/spreadsheets/d/11923uPwbBZFjjGgGUA6NLw09EwE0CqkOc4q9oUmW1yo/edit?usp=sharing"",""น่าน!J517"")"),0)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IFERROR(__xludf.DUMMYFUNCTION("IMPORTRANGE(""https://docs.google.com/spreadsheets/d/11923uPwbBZFjjGgGUA6NLw09EwE0CqkOc4q9oUmW1yo/edit?usp=sharing"",""น่าน!I518"")"),0)</f>
        <v>0</v>
      </c>
      <c r="J623" s="198">
        <f ca="1">IFERROR(__xludf.DUMMYFUNCTION("IMPORTRANGE(""https://docs.google.com/spreadsheets/d/11923uPwbBZFjjGgGUA6NLw09EwE0CqkOc4q9oUmW1yo/edit?usp=sharing"",""น่าน!J518"")"),0)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IFERROR(__xludf.DUMMYFUNCTION("IMPORTRANGE(""https://docs.google.com/spreadsheets/d/11923uPwbBZFjjGgGUA6NLw09EwE0CqkOc4q9oUmW1yo/edit?usp=sharing"",""น่าน!I519"")"),0)</f>
        <v>0</v>
      </c>
      <c r="J624" s="197">
        <f ca="1">IFERROR(__xludf.DUMMYFUNCTION("IMPORTRANGE(""https://docs.google.com/spreadsheets/d/11923uPwbBZFjjGgGUA6NLw09EwE0CqkOc4q9oUmW1yo/edit?usp=sharing"",""น่าน!J519"")"),0)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IFERROR(__xludf.DUMMYFUNCTION("IMPORTRANGE(""https://docs.google.com/spreadsheets/d/11923uPwbBZFjjGgGUA6NLw09EwE0CqkOc4q9oUmW1yo/edit?usp=sharing"",""น่าน!I520"")"),0)</f>
        <v>0</v>
      </c>
      <c r="J625" s="198">
        <f ca="1">IFERROR(__xludf.DUMMYFUNCTION("IMPORTRANGE(""https://docs.google.com/spreadsheets/d/11923uPwbBZFjjGgGUA6NLw09EwE0CqkOc4q9oUmW1yo/edit?usp=sharing"",""น่าน!J520"")"),0)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IFERROR(__xludf.DUMMYFUNCTION("IMPORTRANGE(""https://docs.google.com/spreadsheets/d/11923uPwbBZFjjGgGUA6NLw09EwE0CqkOc4q9oUmW1yo/edit?usp=sharing"",""น่าน!I521"")"),0)</f>
        <v>0</v>
      </c>
      <c r="J626" s="198">
        <f ca="1">IFERROR(__xludf.DUMMYFUNCTION("IMPORTRANGE(""https://docs.google.com/spreadsheets/d/11923uPwbBZFjjGgGUA6NLw09EwE0CqkOc4q9oUmW1yo/edit?usp=sharing"",""น่าน!J521"")"),0)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IFERROR(__xludf.DUMMYFUNCTION("IMPORTRANGE(""https://docs.google.com/spreadsheets/d/11923uPwbBZFjjGgGUA6NLw09EwE0CqkOc4q9oUmW1yo/edit?usp=sharing"",""น่าน!I523"")"),5152563.63)</f>
        <v>5152563.63</v>
      </c>
      <c r="J628" s="349">
        <f ca="1">IFERROR(__xludf.DUMMYFUNCTION("IMPORTRANGE(""https://docs.google.com/spreadsheets/d/11923uPwbBZFjjGgGUA6NLw09EwE0CqkOc4q9oUmW1yo/edit?usp=sharing"",""น่าน!J523"")"),710478.75)</f>
        <v>710478.75</v>
      </c>
      <c r="K628" s="350">
        <f t="shared" ref="K628:K635" ca="1" si="129">IF(I628&gt;0,J628*100/I628,0)</f>
        <v>13.788839906087681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IFERROR(__xludf.DUMMYFUNCTION("IMPORTRANGE(""https://docs.google.com/spreadsheets/d/11923uPwbBZFjjGgGUA6NLw09EwE0CqkOc4q9oUmW1yo/edit?usp=sharing"",""น่าน!I524"")"),327)</f>
        <v>327</v>
      </c>
      <c r="J629" s="349">
        <f ca="1">IFERROR(__xludf.DUMMYFUNCTION("IMPORTRANGE(""https://docs.google.com/spreadsheets/d/11923uPwbBZFjjGgGUA6NLw09EwE0CqkOc4q9oUmW1yo/edit?usp=sharing"",""น่าน!J524"")"),54)</f>
        <v>54</v>
      </c>
      <c r="K629" s="350">
        <f t="shared" ca="1" si="129"/>
        <v>16.513761467889907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IFERROR(__xludf.DUMMYFUNCTION("IMPORTRANGE(""https://docs.google.com/spreadsheets/d/11923uPwbBZFjjGgGUA6NLw09EwE0CqkOc4q9oUmW1yo/edit?usp=sharing"",""น่าน!I525"")"),1068977.23)</f>
        <v>1068977.23</v>
      </c>
      <c r="J630" s="349">
        <f ca="1">IFERROR(__xludf.DUMMYFUNCTION("IMPORTRANGE(""https://docs.google.com/spreadsheets/d/11923uPwbBZFjjGgGUA6NLw09EwE0CqkOc4q9oUmW1yo/edit?usp=sharing"",""น่าน!J525"")"),196610.65)</f>
        <v>196610.65</v>
      </c>
      <c r="K630" s="350">
        <f t="shared" ca="1" si="129"/>
        <v>18.392407666157681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IFERROR(__xludf.DUMMYFUNCTION("IMPORTRANGE(""https://docs.google.com/spreadsheets/d/11923uPwbBZFjjGgGUA6NLw09EwE0CqkOc4q9oUmW1yo/edit?usp=sharing"",""น่าน!I526"")"),68)</f>
        <v>68</v>
      </c>
      <c r="J631" s="349">
        <f ca="1">IFERROR(__xludf.DUMMYFUNCTION("IMPORTRANGE(""https://docs.google.com/spreadsheets/d/11923uPwbBZFjjGgGUA6NLw09EwE0CqkOc4q9oUmW1yo/edit?usp=sharing"",""น่าน!J526"")"),50)</f>
        <v>50</v>
      </c>
      <c r="K631" s="350">
        <f t="shared" ca="1" si="129"/>
        <v>73.529411764705884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IFERROR(__xludf.DUMMYFUNCTION("IMPORTRANGE(""https://docs.google.com/spreadsheets/d/11923uPwbBZFjjGgGUA6NLw09EwE0CqkOc4q9oUmW1yo/edit?usp=sharing"",""น่าน!I527"")"),0)</f>
        <v>0</v>
      </c>
      <c r="J632" s="349">
        <f ca="1">IFERROR(__xludf.DUMMYFUNCTION("IMPORTRANGE(""https://docs.google.com/spreadsheets/d/11923uPwbBZFjjGgGUA6NLw09EwE0CqkOc4q9oUmW1yo/edit?usp=sharing"",""น่าน!J527"")"),0)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IFERROR(__xludf.DUMMYFUNCTION("IMPORTRANGE(""https://docs.google.com/spreadsheets/d/11923uPwbBZFjjGgGUA6NLw09EwE0CqkOc4q9oUmW1yo/edit?usp=sharing"",""น่าน!I528"")"),0)</f>
        <v>0</v>
      </c>
      <c r="J633" s="349">
        <f ca="1">IFERROR(__xludf.DUMMYFUNCTION("IMPORTRANGE(""https://docs.google.com/spreadsheets/d/11923uPwbBZFjjGgGUA6NLw09EwE0CqkOc4q9oUmW1yo/edit?usp=sharing"",""น่าน!J528"")"),0)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IFERROR(__xludf.DUMMYFUNCTION("IMPORTRANGE(""https://docs.google.com/spreadsheets/d/11923uPwbBZFjjGgGUA6NLw09EwE0CqkOc4q9oUmW1yo/edit?usp=sharing"",""น่าน!I529"")"),6000000)</f>
        <v>6000000</v>
      </c>
      <c r="J634" s="349">
        <f ca="1">IFERROR(__xludf.DUMMYFUNCTION("IMPORTRANGE(""https://docs.google.com/spreadsheets/d/11923uPwbBZFjjGgGUA6NLw09EwE0CqkOc4q9oUmW1yo/edit?usp=sharing"",""น่าน!J529"")"),0)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IFERROR(__xludf.DUMMYFUNCTION("IMPORTRANGE(""https://docs.google.com/spreadsheets/d/11923uPwbBZFjjGgGUA6NLw09EwE0CqkOc4q9oUmW1yo/edit?usp=sharing"",""น่าน!I530"")"),223)</f>
        <v>223</v>
      </c>
      <c r="J635" s="519">
        <f ca="1">IFERROR(__xludf.DUMMYFUNCTION("IMPORTRANGE(""https://docs.google.com/spreadsheets/d/11923uPwbBZFjjGgGUA6NLw09EwE0CqkOc4q9oUmW1yo/edit?usp=sharing"",""น่าน!J530"")"),0)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251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6304111</v>
      </c>
      <c r="M8" s="25">
        <f t="shared" ca="1" si="0"/>
        <v>1859955</v>
      </c>
      <c r="N8" s="25">
        <f t="shared" ca="1" si="0"/>
        <v>1691258.0899999999</v>
      </c>
      <c r="O8" s="24">
        <f t="shared" ref="O8:O16" ca="1" si="1">IF(L8&gt;0,N8*100/L8,0)</f>
        <v>26.827860264516282</v>
      </c>
      <c r="P8" s="24">
        <f t="shared" ref="P8:P16" ca="1" si="2">IF(M8&gt;0,N8*100/M8,0)</f>
        <v>90.930054221741926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6304111</v>
      </c>
      <c r="M10" s="32">
        <f t="shared" ca="1" si="4"/>
        <v>1859955</v>
      </c>
      <c r="N10" s="32">
        <f t="shared" ca="1" si="4"/>
        <v>1691258.0899999999</v>
      </c>
      <c r="O10" s="31">
        <f t="shared" ca="1" si="1"/>
        <v>26.827860264516282</v>
      </c>
      <c r="P10" s="31">
        <f t="shared" ca="1" si="2"/>
        <v>90.930054221741926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5912311</v>
      </c>
      <c r="M12" s="40">
        <f t="shared" ca="1" si="6"/>
        <v>1859955</v>
      </c>
      <c r="N12" s="40">
        <f t="shared" ca="1" si="6"/>
        <v>1299458.0899999999</v>
      </c>
      <c r="O12" s="40">
        <f t="shared" ca="1" si="1"/>
        <v>21.978852093538379</v>
      </c>
      <c r="P12" s="40">
        <f t="shared" ca="1" si="2"/>
        <v>69.865028454989499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1732200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4180111</v>
      </c>
      <c r="M14" s="40">
        <f t="shared" si="8"/>
        <v>0</v>
      </c>
      <c r="N14" s="40">
        <f t="shared" ca="1" si="8"/>
        <v>317217.08999999997</v>
      </c>
      <c r="O14" s="43">
        <f t="shared" ca="1" si="1"/>
        <v>7.5887240793366484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391800</v>
      </c>
      <c r="M16" s="40">
        <f t="shared" si="10"/>
        <v>0</v>
      </c>
      <c r="N16" s="40">
        <f t="shared" ca="1" si="10"/>
        <v>391800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3768875</v>
      </c>
      <c r="M18" s="25">
        <f t="shared" ca="1" si="11"/>
        <v>1859955</v>
      </c>
      <c r="N18" s="25">
        <f t="shared" ca="1" si="11"/>
        <v>1374041</v>
      </c>
      <c r="O18" s="24">
        <f t="shared" ref="O18:O20" ca="1" si="12">IF(L18&gt;0,N18*100/L18,0)</f>
        <v>36.457590129680611</v>
      </c>
      <c r="P18" s="24">
        <f t="shared" ref="P18:P26" ca="1" si="13">IF(M18&gt;0,N18*100/M18,0)</f>
        <v>73.874959340414151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3768875</v>
      </c>
      <c r="M20" s="32">
        <f t="shared" ca="1" si="15"/>
        <v>1859955</v>
      </c>
      <c r="N20" s="32">
        <f t="shared" ca="1" si="15"/>
        <v>1374041</v>
      </c>
      <c r="O20" s="31">
        <f t="shared" ca="1" si="12"/>
        <v>36.457590129680611</v>
      </c>
      <c r="P20" s="31">
        <f t="shared" ca="1" si="13"/>
        <v>73.874959340414151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3377075</v>
      </c>
      <c r="M22" s="44">
        <f t="shared" ca="1" si="18"/>
        <v>1859955</v>
      </c>
      <c r="N22" s="43">
        <f t="shared" ca="1" si="18"/>
        <v>982241</v>
      </c>
      <c r="O22" s="43">
        <f t="shared" ca="1" si="17"/>
        <v>29.085554807044559</v>
      </c>
      <c r="P22" s="43">
        <f t="shared" ca="1" si="13"/>
        <v>52.809933573661731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1732200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1644875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391800</v>
      </c>
      <c r="M26" s="52">
        <f t="shared" si="22"/>
        <v>0</v>
      </c>
      <c r="N26" s="52">
        <f t="shared" ca="1" si="22"/>
        <v>391800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2535236</v>
      </c>
      <c r="M28" s="25">
        <f t="shared" si="23"/>
        <v>0</v>
      </c>
      <c r="N28" s="25">
        <f t="shared" ca="1" si="23"/>
        <v>317217.08999999997</v>
      </c>
      <c r="O28" s="24">
        <f t="shared" ref="O28:O30" ca="1" si="24">IF(L28&gt;0,N28*100/L28,0)</f>
        <v>12.512329818604657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2535236</v>
      </c>
      <c r="M30" s="32">
        <f t="shared" si="27"/>
        <v>0</v>
      </c>
      <c r="N30" s="32">
        <f t="shared" ca="1" si="27"/>
        <v>317217.08999999997</v>
      </c>
      <c r="O30" s="31">
        <f t="shared" ca="1" si="24"/>
        <v>12.512329818604657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2535236</v>
      </c>
      <c r="M32" s="43">
        <f t="shared" si="30"/>
        <v>0</v>
      </c>
      <c r="N32" s="43">
        <f t="shared" ca="1" si="30"/>
        <v>317217.08999999997</v>
      </c>
      <c r="O32" s="43">
        <f t="shared" ca="1" si="29"/>
        <v>12.512329818604657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2535236</v>
      </c>
      <c r="M34" s="43">
        <f t="shared" si="32"/>
        <v>0</v>
      </c>
      <c r="N34" s="43">
        <f t="shared" ca="1" si="32"/>
        <v>317217.08999999997</v>
      </c>
      <c r="O34" s="43">
        <f t="shared" ca="1" si="29"/>
        <v>12.512329818604657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3768875</v>
      </c>
      <c r="M37" s="57">
        <f t="shared" ca="1" si="33"/>
        <v>1859955</v>
      </c>
      <c r="N37" s="57">
        <f t="shared" ca="1" si="33"/>
        <v>1374041</v>
      </c>
      <c r="O37" s="58">
        <f t="shared" ca="1" si="29"/>
        <v>36.457590129680611</v>
      </c>
      <c r="P37" s="58">
        <f t="shared" ca="1" si="25"/>
        <v>73.874959340414151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811700</v>
      </c>
      <c r="M41" s="81">
        <f t="shared" ca="1" si="34"/>
        <v>309900</v>
      </c>
      <c r="N41" s="81">
        <f t="shared" ca="1" si="34"/>
        <v>368313</v>
      </c>
      <c r="O41" s="80">
        <f t="shared" ref="O41:O43" ca="1" si="35">IF(L41&gt;0,N41*100/L41,0)</f>
        <v>45.375508192682027</v>
      </c>
      <c r="P41" s="80">
        <f t="shared" ref="P41:P43" ca="1" si="36">IF(M41&gt;0,N41*100/M41,0)</f>
        <v>118.84898354307842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811700</v>
      </c>
      <c r="M43" s="81">
        <f t="shared" ca="1" si="38"/>
        <v>309900</v>
      </c>
      <c r="N43" s="81">
        <f t="shared" ca="1" si="38"/>
        <v>368313</v>
      </c>
      <c r="O43" s="80">
        <f t="shared" ca="1" si="35"/>
        <v>45.375508192682027</v>
      </c>
      <c r="P43" s="80">
        <f t="shared" ca="1" si="36"/>
        <v>118.84898354307842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619700</v>
      </c>
      <c r="M45" s="93">
        <f ca="1">IFERROR(__xludf.DUMMYFUNCTION("IMPORTRANGE(""https://docs.google.com/spreadsheets/d/1Yj_ptqi66GCucihVvJfMjLAmec39IyEx_6qawtMGysU/edit?usp=sharing"",""สบก!Q26"")"),309900)</f>
        <v>309900</v>
      </c>
      <c r="N45" s="93">
        <f ca="1">IFERROR(__xludf.DUMMYFUNCTION("IMPORTRANGE(""https://docs.google.com/spreadsheets/d/1Yj_ptqi66GCucihVvJfMjLAmec39IyEx_6qawtMGysU/edit?usp=sharing"",""สบก!R26"")"),176313)</f>
        <v>176313</v>
      </c>
      <c r="O45" s="94">
        <f ca="1">IF(L45&gt;0,N45*100/L45,0)</f>
        <v>28.451347426173957</v>
      </c>
      <c r="P45" s="94">
        <f ca="1">IF(M45&gt;0,N45*100/M45,0)</f>
        <v>56.893514036786058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IFERROR(__xludf.DUMMYFUNCTION("IMPORTRANGE(""https://docs.google.com/spreadsheets/d/1Yj_ptqi66GCucihVvJfMjLAmec39IyEx_6qawtMGysU/edit?usp=sharing"",""สบก!M26"")"),619700)</f>
        <v>619700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IFERROR(__xludf.DUMMYFUNCTION("IMPORTRANGE(""https://docs.google.com/spreadsheets/d/1Yj_ptqi66GCucihVvJfMjLAmec39IyEx_6qawtMGysU/edit?usp=sharing"",""สบก!N26"")"),0)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IFERROR(__xludf.DUMMYFUNCTION("IMPORTRANGE(""https://docs.google.com/spreadsheets/d/1Yj_ptqi66GCucihVvJfMjLAmec39IyEx_6qawtMGysU/edit?usp=sharing"",""สบก!O26"")"),192000)</f>
        <v>192000</v>
      </c>
      <c r="M49" s="103"/>
      <c r="N49" s="93">
        <f ca="1">IFERROR(__xludf.DUMMYFUNCTION("IMPORTRANGE(""https://docs.google.com/spreadsheets/d/1Yj_ptqi66GCucihVvJfMjLAmec39IyEx_6qawtMGysU/edit?usp=sharing"",""สบก!S26"")"),192000)</f>
        <v>192000</v>
      </c>
      <c r="O49" s="103">
        <f ca="1">IF(L49&gt;0,N49*100/L49,0)</f>
        <v>100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456000</v>
      </c>
      <c r="M53" s="127">
        <f t="shared" ca="1" si="39"/>
        <v>241500</v>
      </c>
      <c r="N53" s="127">
        <f t="shared" ca="1" si="39"/>
        <v>141801</v>
      </c>
      <c r="O53" s="126">
        <f t="shared" ref="O53:O55" ca="1" si="40">IF(L53&gt;0,N53*100/L53,0)</f>
        <v>31.096710526315789</v>
      </c>
      <c r="P53" s="126">
        <f t="shared" ref="P53:P55" ca="1" si="41">IF(M53&gt;0,N53*100/M53,0)</f>
        <v>58.716770186335403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456000</v>
      </c>
      <c r="M55" s="127">
        <f t="shared" ca="1" si="43"/>
        <v>241500</v>
      </c>
      <c r="N55" s="127">
        <f t="shared" ca="1" si="43"/>
        <v>141801</v>
      </c>
      <c r="O55" s="126">
        <f t="shared" ca="1" si="40"/>
        <v>31.096710526315789</v>
      </c>
      <c r="P55" s="126">
        <f t="shared" ca="1" si="41"/>
        <v>58.716770186335403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456000</v>
      </c>
      <c r="M57" s="93">
        <f ca="1">IFERROR(__xludf.DUMMYFUNCTION("IMPORTRANGE(""https://docs.google.com/spreadsheets/d/1Yj_ptqi66GCucihVvJfMjLAmec39IyEx_6qawtMGysU/edit?usp=sharing"",""สบก!Z26"")"),241500)</f>
        <v>241500</v>
      </c>
      <c r="N57" s="93">
        <f ca="1">IFERROR(__xludf.DUMMYFUNCTION("IMPORTRANGE(""https://docs.google.com/spreadsheets/d/1Yj_ptqi66GCucihVvJfMjLAmec39IyEx_6qawtMGysU/edit?usp=sharing"",""สบก!AA26"")"),141801)</f>
        <v>141801</v>
      </c>
      <c r="O57" s="94">
        <f ca="1">IF(L57&gt;0,N57*100/L57,0)</f>
        <v>31.096710526315789</v>
      </c>
      <c r="P57" s="94">
        <f ca="1">IF(M57&gt;0,N57*100/M57,0)</f>
        <v>58.716770186335403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IFERROR(__xludf.DUMMYFUNCTION("IMPORTRANGE(""https://docs.google.com/spreadsheets/d/1Yj_ptqi66GCucihVvJfMjLAmec39IyEx_6qawtMGysU/edit?usp=sharing"",""สบก!V26"")"),456000)</f>
        <v>456000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IFERROR(__xludf.DUMMYFUNCTION("IMPORTRANGE(""https://docs.google.com/spreadsheets/d/1Yj_ptqi66GCucihVvJfMjLAmec39IyEx_6qawtMGysU/edit?usp=sharing"",""สบก!W26"")"),0)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IFERROR(__xludf.DUMMYFUNCTION("IMPORTRANGE(""https://docs.google.com/spreadsheets/d/1Yj_ptqi66GCucihVvJfMjLAmec39IyEx_6qawtMGysU/edit?usp=sharing"",""สบก!X26"")"),0)</f>
        <v>0</v>
      </c>
      <c r="M61" s="103"/>
      <c r="N61" s="93">
        <f ca="1">IFERROR(__xludf.DUMMYFUNCTION("IMPORTRANGE(""https://docs.google.com/spreadsheets/d/1Yj_ptqi66GCucihVvJfMjLAmec39IyEx_6qawtMGysU/edit?usp=sharing"",""สบก!AB26"")"),0)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IFERROR(__xludf.DUMMYFUNCTION("IMPORTRANGE(""https://docs.google.com/spreadsheets/d/11923uPwbBZFjjGgGUA6NLw09EwE0CqkOc4q9oUmW1yo/edit?usp=sharing"",""พะเยา!I9"")"),1)</f>
        <v>1</v>
      </c>
      <c r="J64" s="148">
        <f ca="1">IFERROR(__xludf.DUMMYFUNCTION("IMPORTRANGE(""https://docs.google.com/spreadsheets/d/11923uPwbBZFjjGgGUA6NLw09EwE0CqkOc4q9oUmW1yo/edit?usp=sharing"",""พะเยา!J9"")"),0)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IFERROR(__xludf.DUMMYFUNCTION("IMPORTRANGE(""https://docs.google.com/spreadsheets/d/11923uPwbBZFjjGgGUA6NLw09EwE0CqkOc4q9oUmW1yo/edit?usp=sharing"",""พะเยา!I10"")"),30)</f>
        <v>30</v>
      </c>
      <c r="J65" s="148">
        <f ca="1">IFERROR(__xludf.DUMMYFUNCTION("IMPORTRANGE(""https://docs.google.com/spreadsheets/d/11923uPwbBZFjjGgGUA6NLw09EwE0CqkOc4q9oUmW1yo/edit?usp=sharing"",""พะเยา!J10"")"),0)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382000</v>
      </c>
      <c r="M66" s="158">
        <f t="shared" ca="1" si="45"/>
        <v>227620</v>
      </c>
      <c r="N66" s="158">
        <f t="shared" ca="1" si="45"/>
        <v>41794</v>
      </c>
      <c r="O66" s="157">
        <f t="shared" ref="O66:O68" ca="1" si="46">IF(L66&gt;0,N66*100/L66,0)</f>
        <v>10.940837696335079</v>
      </c>
      <c r="P66" s="157">
        <f t="shared" ref="P66:P68" ca="1" si="47">IF(M66&gt;0,N66*100/M66,0)</f>
        <v>18.36130392759863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382000</v>
      </c>
      <c r="M68" s="163">
        <f t="shared" ca="1" si="49"/>
        <v>227620</v>
      </c>
      <c r="N68" s="163">
        <f t="shared" ca="1" si="49"/>
        <v>41794</v>
      </c>
      <c r="O68" s="162">
        <f t="shared" ca="1" si="46"/>
        <v>10.940837696335079</v>
      </c>
      <c r="P68" s="162">
        <f t="shared" ca="1" si="47"/>
        <v>18.36130392759863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382000</v>
      </c>
      <c r="M70" s="176">
        <f ca="1">IFERROR(__xludf.DUMMYFUNCTION("IMPORTRANGE(""https://docs.google.com/spreadsheets/d/1Yj_ptqi66GCucihVvJfMjLAmec39IyEx_6qawtMGysU/edit?usp=sharing"",""สบก!AI26"")"),227620)</f>
        <v>227620</v>
      </c>
      <c r="N70" s="177">
        <f ca="1">IFERROR(__xludf.DUMMYFUNCTION("IMPORTRANGE(""https://docs.google.com/spreadsheets/d/1Yj_ptqi66GCucihVvJfMjLAmec39IyEx_6qawtMGysU/edit?usp=sharing"",""สบก!AJ26"")"),41794)</f>
        <v>41794</v>
      </c>
      <c r="O70" s="178">
        <f ca="1">IF(L70&gt;0,N70*100/L70,0)</f>
        <v>10.940837696335079</v>
      </c>
      <c r="P70" s="178">
        <f ca="1">IF(M70&gt;0,N70*100/M70,0)</f>
        <v>18.36130392759863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IFERROR(__xludf.DUMMYFUNCTION("IMPORTRANGE(""https://docs.google.com/spreadsheets/d/1Yj_ptqi66GCucihVvJfMjLAmec39IyEx_6qawtMGysU/edit?usp=sharing"",""สบก!AE26"")"),0)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IFERROR(__xludf.DUMMYFUNCTION("IMPORTRANGE(""https://docs.google.com/spreadsheets/d/1Yj_ptqi66GCucihVvJfMjLAmec39IyEx_6qawtMGysU/edit?usp=sharing"",""สบก!AF26"")"),382000)</f>
        <v>382000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IFERROR(__xludf.DUMMYFUNCTION("IMPORTRANGE(""https://docs.google.com/spreadsheets/d/1Yj_ptqi66GCucihVvJfMjLAmec39IyEx_6qawtMGysU/edit?usp=sharing"",""สบก!AG26"")"),0)</f>
        <v>0</v>
      </c>
      <c r="M74" s="103"/>
      <c r="N74" s="93">
        <f ca="1">IFERROR(__xludf.DUMMYFUNCTION("IMPORTRANGE(""https://docs.google.com/spreadsheets/d/1Yj_ptqi66GCucihVvJfMjLAmec39IyEx_6qawtMGysU/edit?usp=sharing"",""สบก!AK26"")"),0)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IFERROR(__xludf.DUMMYFUNCTION("IMPORTRANGE(""https://docs.google.com/spreadsheets/d/11923uPwbBZFjjGgGUA6NLw09EwE0CqkOc4q9oUmW1yo/edit?usp=sharing"",""พะเยา!J16"")"),0)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IFERROR(__xludf.DUMMYFUNCTION("IMPORTRANGE(""https://docs.google.com/spreadsheets/d/11923uPwbBZFjjGgGUA6NLw09EwE0CqkOc4q9oUmW1yo/edit?usp=sharing"",""พะเยา!J17"")"),1)</f>
        <v>1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IFERROR(__xludf.DUMMYFUNCTION("IMPORTRANGE(""https://docs.google.com/spreadsheets/d/11923uPwbBZFjjGgGUA6NLw09EwE0CqkOc4q9oUmW1yo/edit?usp=sharing"",""พะเยา!J18"")"),1)</f>
        <v>1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IFERROR(__xludf.DUMMYFUNCTION("IMPORTRANGE(""https://docs.google.com/spreadsheets/d/11923uPwbBZFjjGgGUA6NLw09EwE0CqkOc4q9oUmW1yo/edit?usp=sharing"",""พะเยา!J19"")"),1)</f>
        <v>1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IFERROR(__xludf.DUMMYFUNCTION("IMPORTRANGE(""https://docs.google.com/spreadsheets/d/11923uPwbBZFjjGgGUA6NLw09EwE0CqkOc4q9oUmW1yo/edit?usp=sharing"",""พะเยา!I20"")"),1)</f>
        <v>1</v>
      </c>
      <c r="J80" s="210">
        <f ca="1">IFERROR(__xludf.DUMMYFUNCTION("IMPORTRANGE(""https://docs.google.com/spreadsheets/d/11923uPwbBZFjjGgGUA6NLw09EwE0CqkOc4q9oUmW1yo/edit?usp=sharing"",""พะเยา!J20"")"),0)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IFERROR(__xludf.DUMMYFUNCTION("IMPORTRANGE(""https://docs.google.com/spreadsheets/d/11923uPwbBZFjjGgGUA6NLw09EwE0CqkOc4q9oUmW1yo/edit?usp=sharing"",""พะเยา!I21"")"),30)</f>
        <v>30</v>
      </c>
      <c r="J81" s="210">
        <f ca="1">IFERROR(__xludf.DUMMYFUNCTION("IMPORTRANGE(""https://docs.google.com/spreadsheets/d/11923uPwbBZFjjGgGUA6NLw09EwE0CqkOc4q9oUmW1yo/edit?usp=sharing"",""พะเยา!J21"")"),0)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IFERROR(__xludf.DUMMYFUNCTION("IMPORTRANGE(""https://docs.google.com/spreadsheets/d/11923uPwbBZFjjGgGUA6NLw09EwE0CqkOc4q9oUmW1yo/edit?usp=sharing"",""พะเยา!I22"")"),1)</f>
        <v>1</v>
      </c>
      <c r="J82" s="213">
        <f ca="1">IFERROR(__xludf.DUMMYFUNCTION("IMPORTRANGE(""https://docs.google.com/spreadsheets/d/11923uPwbBZFjjGgGUA6NLw09EwE0CqkOc4q9oUmW1yo/edit?usp=sharing"",""พะเยา!J22"")"),0)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IFERROR(__xludf.DUMMYFUNCTION("IMPORTRANGE(""https://docs.google.com/spreadsheets/d/11923uPwbBZFjjGgGUA6NLw09EwE0CqkOc4q9oUmW1yo/edit?usp=sharing"",""พะเยา!I23"")"),30)</f>
        <v>30</v>
      </c>
      <c r="J83" s="213">
        <f ca="1">IFERROR(__xludf.DUMMYFUNCTION("IMPORTRANGE(""https://docs.google.com/spreadsheets/d/11923uPwbBZFjjGgGUA6NLw09EwE0CqkOc4q9oUmW1yo/edit?usp=sharing"",""พะเยา!J23"")"),0)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IFERROR(__xludf.DUMMYFUNCTION("IMPORTRANGE(""https://docs.google.com/spreadsheets/d/11923uPwbBZFjjGgGUA6NLw09EwE0CqkOc4q9oUmW1yo/edit?usp=sharing"",""พะเยา!I24"")"),0)</f>
        <v>0</v>
      </c>
      <c r="J84" s="198">
        <f ca="1">IFERROR(__xludf.DUMMYFUNCTION("IMPORTRANGE(""https://docs.google.com/spreadsheets/d/11923uPwbBZFjjGgGUA6NLw09EwE0CqkOc4q9oUmW1yo/edit?usp=sharing"",""พะเยา!J24"")"),0)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IFERROR(__xludf.DUMMYFUNCTION("IMPORTRANGE(""https://docs.google.com/spreadsheets/d/11923uPwbBZFjjGgGUA6NLw09EwE0CqkOc4q9oUmW1yo/edit?usp=sharing"",""พะเยา!I25"")"),0)</f>
        <v>0</v>
      </c>
      <c r="J85" s="198">
        <f ca="1">IFERROR(__xludf.DUMMYFUNCTION("IMPORTRANGE(""https://docs.google.com/spreadsheets/d/11923uPwbBZFjjGgGUA6NLw09EwE0CqkOc4q9oUmW1yo/edit?usp=sharing"",""พะเยา!J25"")"),0)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IFERROR(__xludf.DUMMYFUNCTION("IMPORTRANGE(""https://docs.google.com/spreadsheets/d/11923uPwbBZFjjGgGUA6NLw09EwE0CqkOc4q9oUmW1yo/edit?usp=sharing"",""พะเยา!I26"")"),0)</f>
        <v>0</v>
      </c>
      <c r="J86" s="213">
        <f ca="1">IFERROR(__xludf.DUMMYFUNCTION("IMPORTRANGE(""https://docs.google.com/spreadsheets/d/11923uPwbBZFjjGgGUA6NLw09EwE0CqkOc4q9oUmW1yo/edit?usp=sharing"",""พะเยา!J26"")"),0)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IFERROR(__xludf.DUMMYFUNCTION("IMPORTRANGE(""https://docs.google.com/spreadsheets/d/11923uPwbBZFjjGgGUA6NLw09EwE0CqkOc4q9oUmW1yo/edit?usp=sharing"",""พะเยา!I27"")"),0)</f>
        <v>0</v>
      </c>
      <c r="J87" s="213">
        <f ca="1">IFERROR(__xludf.DUMMYFUNCTION("IMPORTRANGE(""https://docs.google.com/spreadsheets/d/11923uPwbBZFjjGgGUA6NLw09EwE0CqkOc4q9oUmW1yo/edit?usp=sharing"",""พะเยา!J27"")"),0)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IFERROR(__xludf.DUMMYFUNCTION("IMPORTRANGE(""https://docs.google.com/spreadsheets/d/11923uPwbBZFjjGgGUA6NLw09EwE0CqkOc4q9oUmW1yo/edit?usp=sharing"",""พะเยา!I28"")"),30)</f>
        <v>30</v>
      </c>
      <c r="J88" s="213">
        <f ca="1">IFERROR(__xludf.DUMMYFUNCTION("IMPORTRANGE(""https://docs.google.com/spreadsheets/d/11923uPwbBZFjjGgGUA6NLw09EwE0CqkOc4q9oUmW1yo/edit?usp=sharing"",""พะเยา!J28"")"),0)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IFERROR(__xludf.DUMMYFUNCTION("IMPORTRANGE(""https://docs.google.com/spreadsheets/d/11923uPwbBZFjjGgGUA6NLw09EwE0CqkOc4q9oUmW1yo/edit?usp=sharing"",""พะเยา!J29"")"),0)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IFERROR(__xludf.DUMMYFUNCTION("IMPORTRANGE(""https://docs.google.com/spreadsheets/d/11923uPwbBZFjjGgGUA6NLw09EwE0CqkOc4q9oUmW1yo/edit?usp=sharing"",""พะเยา!J30"")"),0)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IFERROR(__xludf.DUMMYFUNCTION("IMPORTRANGE(""https://docs.google.com/spreadsheets/d/11923uPwbBZFjjGgGUA6NLw09EwE0CqkOc4q9oUmW1yo/edit?usp=sharing"",""พะเยา!I32"")"),7)</f>
        <v>7</v>
      </c>
      <c r="J92" s="148">
        <f ca="1">IFERROR(__xludf.DUMMYFUNCTION("IMPORTRANGE(""https://docs.google.com/spreadsheets/d/11923uPwbBZFjjGgGUA6NLw09EwE0CqkOc4q9oUmW1yo/edit?usp=sharing"",""พะเยา!J32"")"),7)</f>
        <v>7</v>
      </c>
      <c r="K92" s="149">
        <f t="shared" ref="K92:K93" ca="1" si="51">IF(I92&gt;0,J92*100/I92,0)</f>
        <v>100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IFERROR(__xludf.DUMMYFUNCTION("IMPORTRANGE(""https://docs.google.com/spreadsheets/d/11923uPwbBZFjjGgGUA6NLw09EwE0CqkOc4q9oUmW1yo/edit?usp=sharing"",""พะเยา!I33"")"),2)</f>
        <v>2</v>
      </c>
      <c r="J93" s="148">
        <f ca="1">IFERROR(__xludf.DUMMYFUNCTION("IMPORTRANGE(""https://docs.google.com/spreadsheets/d/11923uPwbBZFjjGgGUA6NLw09EwE0CqkOc4q9oUmW1yo/edit?usp=sharing"",""พะเยา!J33"")"),0)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318960</v>
      </c>
      <c r="M94" s="158">
        <f t="shared" ca="1" si="52"/>
        <v>80790</v>
      </c>
      <c r="N94" s="158">
        <f t="shared" ca="1" si="52"/>
        <v>202170</v>
      </c>
      <c r="O94" s="157">
        <f t="shared" ref="O94:O96" ca="1" si="53">IF(L94&gt;0,N94*100/L94,0)</f>
        <v>63.384123401053422</v>
      </c>
      <c r="P94" s="157">
        <f t="shared" ref="P94:P96" ca="1" si="54">IF(M94&gt;0,N94*100/M94,0)</f>
        <v>250.24136650575565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318960</v>
      </c>
      <c r="M96" s="163">
        <f t="shared" ca="1" si="56"/>
        <v>80790</v>
      </c>
      <c r="N96" s="163">
        <f t="shared" ca="1" si="56"/>
        <v>202170</v>
      </c>
      <c r="O96" s="162">
        <f t="shared" ca="1" si="53"/>
        <v>63.384123401053422</v>
      </c>
      <c r="P96" s="162">
        <f t="shared" ca="1" si="54"/>
        <v>250.24136650575565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134160</v>
      </c>
      <c r="M98" s="176">
        <f ca="1">IFERROR(__xludf.DUMMYFUNCTION("IMPORTRANGE(""https://docs.google.com/spreadsheets/d/1Yj_ptqi66GCucihVvJfMjLAmec39IyEx_6qawtMGysU/edit?usp=sharing"",""สบก!AR26"")"),80790)</f>
        <v>80790</v>
      </c>
      <c r="N98" s="177">
        <f ca="1">IFERROR(__xludf.DUMMYFUNCTION("IMPORTRANGE(""https://docs.google.com/spreadsheets/d/1Yj_ptqi66GCucihVvJfMjLAmec39IyEx_6qawtMGysU/edit?usp=sharing"",""สบก!AS26"")"),17370)</f>
        <v>17370</v>
      </c>
      <c r="O98" s="178">
        <f ca="1">IF(L98&gt;0,N98*100/L98,0)</f>
        <v>12.947227191413237</v>
      </c>
      <c r="P98" s="178">
        <f ca="1">IF(M98&gt;0,N98*100/M98,0)</f>
        <v>21.50018566654289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IFERROR(__xludf.DUMMYFUNCTION("IMPORTRANGE(""https://docs.google.com/spreadsheets/d/1Yj_ptqi66GCucihVvJfMjLAmec39IyEx_6qawtMGysU/edit?usp=sharing"",""สบก!AN26"")"),0)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IFERROR(__xludf.DUMMYFUNCTION("IMPORTRANGE(""https://docs.google.com/spreadsheets/d/1Yj_ptqi66GCucihVvJfMjLAmec39IyEx_6qawtMGysU/edit?usp=sharing"",""สบก!AO26"")"),134160)</f>
        <v>134160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IFERROR(__xludf.DUMMYFUNCTION("IMPORTRANGE(""https://docs.google.com/spreadsheets/d/1Yj_ptqi66GCucihVvJfMjLAmec39IyEx_6qawtMGysU/edit?usp=sharing"",""สบก!AP26"")"),184800)</f>
        <v>184800</v>
      </c>
      <c r="M102" s="103"/>
      <c r="N102" s="93">
        <f ca="1">IFERROR(__xludf.DUMMYFUNCTION("IMPORTRANGE(""https://docs.google.com/spreadsheets/d/1Yj_ptqi66GCucihVvJfMjLAmec39IyEx_6qawtMGysU/edit?usp=sharing"",""สบก!AT26"")"),184800)</f>
        <v>184800</v>
      </c>
      <c r="O102" s="103">
        <f ca="1">IF(L102&gt;0,N102*100/L102,0)</f>
        <v>100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IFERROR(__xludf.DUMMYFUNCTION("IMPORTRANGE(""https://docs.google.com/spreadsheets/d/11923uPwbBZFjjGgGUA6NLw09EwE0CqkOc4q9oUmW1yo/edit?usp=sharing"",""พะเยา!J39"")"),0)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IFERROR(__xludf.DUMMYFUNCTION("IMPORTRANGE(""https://docs.google.com/spreadsheets/d/11923uPwbBZFjjGgGUA6NLw09EwE0CqkOc4q9oUmW1yo/edit?usp=sharing"",""พะเยา!J40"")"),1)</f>
        <v>1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IFERROR(__xludf.DUMMYFUNCTION("IMPORTRANGE(""https://docs.google.com/spreadsheets/d/11923uPwbBZFjjGgGUA6NLw09EwE0CqkOc4q9oUmW1yo/edit?usp=sharing"",""พะเยา!J41"")"),1)</f>
        <v>1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IFERROR(__xludf.DUMMYFUNCTION("IMPORTRANGE(""https://docs.google.com/spreadsheets/d/11923uPwbBZFjjGgGUA6NLw09EwE0CqkOc4q9oUmW1yo/edit?usp=sharing"",""พะเยา!J42"")"),1)</f>
        <v>1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IFERROR(__xludf.DUMMYFUNCTION("IMPORTRANGE(""https://docs.google.com/spreadsheets/d/11923uPwbBZFjjGgGUA6NLw09EwE0CqkOc4q9oUmW1yo/edit?usp=sharing"",""พะเยา!I43"")"),1)</f>
        <v>1</v>
      </c>
      <c r="J108" s="213">
        <f ca="1">IFERROR(__xludf.DUMMYFUNCTION("IMPORTRANGE(""https://docs.google.com/spreadsheets/d/11923uPwbBZFjjGgGUA6NLw09EwE0CqkOc4q9oUmW1yo/edit?usp=sharing"",""พะเยา!J43"")"),1)</f>
        <v>1</v>
      </c>
      <c r="K108" s="233">
        <f t="shared" ref="K108:K113" ca="1" si="57">IF(I108&gt;0,J108*100/I108,0)</f>
        <v>100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IFERROR(__xludf.DUMMYFUNCTION("IMPORTRANGE(""https://docs.google.com/spreadsheets/d/11923uPwbBZFjjGgGUA6NLw09EwE0CqkOc4q9oUmW1yo/edit?usp=sharing"",""พะเยา!I44"")"),7)</f>
        <v>7</v>
      </c>
      <c r="J109" s="213">
        <f ca="1">IFERROR(__xludf.DUMMYFUNCTION("IMPORTRANGE(""https://docs.google.com/spreadsheets/d/11923uPwbBZFjjGgGUA6NLw09EwE0CqkOc4q9oUmW1yo/edit?usp=sharing"",""พะเยา!J44"")"),7)</f>
        <v>7</v>
      </c>
      <c r="K109" s="233">
        <f t="shared" ca="1" si="57"/>
        <v>100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IFERROR(__xludf.DUMMYFUNCTION("IMPORTRANGE(""https://docs.google.com/spreadsheets/d/11923uPwbBZFjjGgGUA6NLw09EwE0CqkOc4q9oUmW1yo/edit?usp=sharing"",""พะเยา!I45"")"),7)</f>
        <v>7</v>
      </c>
      <c r="J110" s="213">
        <f ca="1">IFERROR(__xludf.DUMMYFUNCTION("IMPORTRANGE(""https://docs.google.com/spreadsheets/d/11923uPwbBZFjjGgGUA6NLw09EwE0CqkOc4q9oUmW1yo/edit?usp=sharing"",""พะเยา!J45"")"),7)</f>
        <v>7</v>
      </c>
      <c r="K110" s="233">
        <f t="shared" ca="1" si="57"/>
        <v>100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IFERROR(__xludf.DUMMYFUNCTION("IMPORTRANGE(""https://docs.google.com/spreadsheets/d/11923uPwbBZFjjGgGUA6NLw09EwE0CqkOc4q9oUmW1yo/edit?usp=sharing"",""พะเยา!I46"")"),7)</f>
        <v>7</v>
      </c>
      <c r="J111" s="213">
        <f ca="1">IFERROR(__xludf.DUMMYFUNCTION("IMPORTRANGE(""https://docs.google.com/spreadsheets/d/11923uPwbBZFjjGgGUA6NLw09EwE0CqkOc4q9oUmW1yo/edit?usp=sharing"",""พะเยา!J46"")"),0)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IFERROR(__xludf.DUMMYFUNCTION("IMPORTRANGE(""https://docs.google.com/spreadsheets/d/11923uPwbBZFjjGgGUA6NLw09EwE0CqkOc4q9oUmW1yo/edit?usp=sharing"",""พะเยา!I47"")"),7)</f>
        <v>7</v>
      </c>
      <c r="J112" s="213">
        <f ca="1">IFERROR(__xludf.DUMMYFUNCTION("IMPORTRANGE(""https://docs.google.com/spreadsheets/d/11923uPwbBZFjjGgGUA6NLw09EwE0CqkOc4q9oUmW1yo/edit?usp=sharing"",""พะเยา!J47"")"),0)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IFERROR(__xludf.DUMMYFUNCTION("IMPORTRANGE(""https://docs.google.com/spreadsheets/d/11923uPwbBZFjjGgGUA6NLw09EwE0CqkOc4q9oUmW1yo/edit?usp=sharing"",""พะเยา!I48"")"),2)</f>
        <v>2</v>
      </c>
      <c r="J113" s="213">
        <f ca="1">IFERROR(__xludf.DUMMYFUNCTION("IMPORTRANGE(""https://docs.google.com/spreadsheets/d/11923uPwbBZFjjGgGUA6NLw09EwE0CqkOc4q9oUmW1yo/edit?usp=sharing"",""พะเยา!J48"")"),0)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IFERROR(__xludf.DUMMYFUNCTION("IMPORTRANGE(""https://docs.google.com/spreadsheets/d/11923uPwbBZFjjGgGUA6NLw09EwE0CqkOc4q9oUmW1yo/edit?usp=sharing"",""พะเยา!J49"")"),0)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IFERROR(__xludf.DUMMYFUNCTION("IMPORTRANGE(""https://docs.google.com/spreadsheets/d/11923uPwbBZFjjGgGUA6NLw09EwE0CqkOc4q9oUmW1yo/edit?usp=sharing"",""พะเยา!J50"")"),0)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IFERROR(__xludf.DUMMYFUNCTION("IMPORTRANGE(""https://docs.google.com/spreadsheets/d/11923uPwbBZFjjGgGUA6NLw09EwE0CqkOc4q9oUmW1yo/edit?usp=sharing"",""พะเยา!I52"")"),20)</f>
        <v>20</v>
      </c>
      <c r="J117" s="148">
        <f ca="1">IFERROR(__xludf.DUMMYFUNCTION("IMPORTRANGE(""https://docs.google.com/spreadsheets/d/11923uPwbBZFjjGgGUA6NLw09EwE0CqkOc4q9oUmW1yo/edit?usp=sharing"",""พะเยา!J52"")"),20)</f>
        <v>20</v>
      </c>
      <c r="K117" s="149">
        <f ca="1">IF(I117&gt;0,J117*100/I117,0)</f>
        <v>100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82440</v>
      </c>
      <c r="M118" s="158">
        <f t="shared" ca="1" si="58"/>
        <v>66440</v>
      </c>
      <c r="N118" s="158">
        <f t="shared" ca="1" si="58"/>
        <v>38876</v>
      </c>
      <c r="O118" s="157">
        <f t="shared" ref="O118:O120" ca="1" si="59">IF(L118&gt;0,N118*100/L118,0)</f>
        <v>47.156720038816111</v>
      </c>
      <c r="P118" s="157">
        <f t="shared" ref="P118:P120" ca="1" si="60">IF(M118&gt;0,N118*100/M118,0)</f>
        <v>58.512944009632754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82440</v>
      </c>
      <c r="M120" s="163">
        <f t="shared" ca="1" si="62"/>
        <v>66440</v>
      </c>
      <c r="N120" s="163">
        <f t="shared" ca="1" si="62"/>
        <v>38876</v>
      </c>
      <c r="O120" s="162">
        <f t="shared" ca="1" si="59"/>
        <v>47.156720038816111</v>
      </c>
      <c r="P120" s="162">
        <f t="shared" ca="1" si="60"/>
        <v>58.512944009632754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82440</v>
      </c>
      <c r="M122" s="176">
        <f ca="1">IFERROR(__xludf.DUMMYFUNCTION("IMPORTRANGE(""https://docs.google.com/spreadsheets/d/1Yj_ptqi66GCucihVvJfMjLAmec39IyEx_6qawtMGysU/edit?usp=sharing"",""สบก!BA26"")"),66440)</f>
        <v>66440</v>
      </c>
      <c r="N122" s="177">
        <f ca="1">IFERROR(__xludf.DUMMYFUNCTION("IMPORTRANGE(""https://docs.google.com/spreadsheets/d/1Yj_ptqi66GCucihVvJfMjLAmec39IyEx_6qawtMGysU/edit?usp=sharing"",""สบก!BB26"")"),38876)</f>
        <v>38876</v>
      </c>
      <c r="O122" s="178">
        <f ca="1">IF(L122&gt;0,N122*100/L122,0)</f>
        <v>47.156720038816111</v>
      </c>
      <c r="P122" s="178">
        <f ca="1">IF(M122&gt;0,N122*100/M122,0)</f>
        <v>58.512944009632754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IFERROR(__xludf.DUMMYFUNCTION("IMPORTRANGE(""https://docs.google.com/spreadsheets/d/1Yj_ptqi66GCucihVvJfMjLAmec39IyEx_6qawtMGysU/edit?usp=sharing"",""สบก!AW26"")"),0)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IFERROR(__xludf.DUMMYFUNCTION("IMPORTRANGE(""https://docs.google.com/spreadsheets/d/1Yj_ptqi66GCucihVvJfMjLAmec39IyEx_6qawtMGysU/edit?usp=sharing"",""สบก!AX26"")"),82440)</f>
        <v>82440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IFERROR(__xludf.DUMMYFUNCTION("IMPORTRANGE(""https://docs.google.com/spreadsheets/d/1Yj_ptqi66GCucihVvJfMjLAmec39IyEx_6qawtMGysU/edit?usp=sharing"",""สบก!AY26"")"),0)</f>
        <v>0</v>
      </c>
      <c r="M126" s="103"/>
      <c r="N126" s="93">
        <f ca="1">IFERROR(__xludf.DUMMYFUNCTION("IMPORTRANGE(""https://docs.google.com/spreadsheets/d/1Yj_ptqi66GCucihVvJfMjLAmec39IyEx_6qawtMGysU/edit?usp=sharing"",""สบก!BC26"")"),0)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252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IFERROR(__xludf.DUMMYFUNCTION("IMPORTRANGE(""https://docs.google.com/spreadsheets/d/11923uPwbBZFjjGgGUA6NLw09EwE0CqkOc4q9oUmW1yo/edit?usp=sharing"",""พะเยา!J58"")"),0)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IFERROR(__xludf.DUMMYFUNCTION("IMPORTRANGE(""https://docs.google.com/spreadsheets/d/11923uPwbBZFjjGgGUA6NLw09EwE0CqkOc4q9oUmW1yo/edit?usp=sharing"",""พะเยา!J59"")"),1)</f>
        <v>1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IFERROR(__xludf.DUMMYFUNCTION("IMPORTRANGE(""https://docs.google.com/spreadsheets/d/11923uPwbBZFjjGgGUA6NLw09EwE0CqkOc4q9oUmW1yo/edit?usp=sharing"",""พะเยา!J60"")"),1)</f>
        <v>1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IFERROR(__xludf.DUMMYFUNCTION("IMPORTRANGE(""https://docs.google.com/spreadsheets/d/11923uPwbBZFjjGgGUA6NLw09EwE0CqkOc4q9oUmW1yo/edit?usp=sharing"",""พะเยา!J61"")"),1)</f>
        <v>1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IFERROR(__xludf.DUMMYFUNCTION("IMPORTRANGE(""https://docs.google.com/spreadsheets/d/11923uPwbBZFjjGgGUA6NLw09EwE0CqkOc4q9oUmW1yo/edit?usp=sharing"",""พะเยา!I62"")"),20)</f>
        <v>20</v>
      </c>
      <c r="J132" s="213">
        <f ca="1">IFERROR(__xludf.DUMMYFUNCTION("IMPORTRANGE(""https://docs.google.com/spreadsheets/d/11923uPwbBZFjjGgGUA6NLw09EwE0CqkOc4q9oUmW1yo/edit?usp=sharing"",""พะเยา!J62"")"),20)</f>
        <v>20</v>
      </c>
      <c r="K132" s="233">
        <f t="shared" ref="K132:K133" ca="1" si="63">IF(I132&gt;0,J132*100/I132,0)</f>
        <v>100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IFERROR(__xludf.DUMMYFUNCTION("IMPORTRANGE(""https://docs.google.com/spreadsheets/d/11923uPwbBZFjjGgGUA6NLw09EwE0CqkOc4q9oUmW1yo/edit?usp=sharing"",""พะเยา!I63"")"),20)</f>
        <v>20</v>
      </c>
      <c r="J133" s="213">
        <f ca="1">IFERROR(__xludf.DUMMYFUNCTION("IMPORTRANGE(""https://docs.google.com/spreadsheets/d/11923uPwbBZFjjGgGUA6NLw09EwE0CqkOc4q9oUmW1yo/edit?usp=sharing"",""พะเยา!J63"")"),0)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IFERROR(__xludf.DUMMYFUNCTION("IMPORTRANGE(""https://docs.google.com/spreadsheets/d/11923uPwbBZFjjGgGUA6NLw09EwE0CqkOc4q9oUmW1yo/edit?usp=sharing"",""พะเยา!J64"")"),0)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IFERROR(__xludf.DUMMYFUNCTION("IMPORTRANGE(""https://docs.google.com/spreadsheets/d/11923uPwbBZFjjGgGUA6NLw09EwE0CqkOc4q9oUmW1yo/edit?usp=sharing"",""พะเยา!J65"")"),0)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IFERROR(__xludf.DUMMYFUNCTION("IMPORTRANGE(""https://docs.google.com/spreadsheets/d/11923uPwbBZFjjGgGUA6NLw09EwE0CqkOc4q9oUmW1yo/edit?usp=sharing"",""พะเยา!I68"")"),55)</f>
        <v>55</v>
      </c>
      <c r="J138" s="276">
        <f ca="1">IFERROR(__xludf.DUMMYFUNCTION("IMPORTRANGE(""https://docs.google.com/spreadsheets/d/11923uPwbBZFjjGgGUA6NLw09EwE0CqkOc4q9oUmW1yo/edit?usp=sharing"",""พะเยา!J68"")"),55)</f>
        <v>55</v>
      </c>
      <c r="K138" s="277">
        <f ca="1">IF(I138&gt;0,J138*100/I138,0)</f>
        <v>100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828600</v>
      </c>
      <c r="M140" s="158">
        <f t="shared" ca="1" si="64"/>
        <v>448950</v>
      </c>
      <c r="N140" s="158">
        <f t="shared" ca="1" si="64"/>
        <v>328558</v>
      </c>
      <c r="O140" s="157">
        <f t="shared" ref="O140:O142" ca="1" si="65">IF(L140&gt;0,N140*100/L140,0)</f>
        <v>39.652184407434227</v>
      </c>
      <c r="P140" s="157">
        <f t="shared" ref="P140:P142" ca="1" si="66">IF(M140&gt;0,N140*100/M140,0)</f>
        <v>73.183650740616997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828600</v>
      </c>
      <c r="M142" s="163">
        <f t="shared" ca="1" si="68"/>
        <v>448950</v>
      </c>
      <c r="N142" s="163">
        <f t="shared" ca="1" si="68"/>
        <v>328558</v>
      </c>
      <c r="O142" s="162">
        <f t="shared" ca="1" si="65"/>
        <v>39.652184407434227</v>
      </c>
      <c r="P142" s="162">
        <f t="shared" ca="1" si="66"/>
        <v>73.183650740616997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828600</v>
      </c>
      <c r="M144" s="176">
        <f ca="1">IFERROR(__xludf.DUMMYFUNCTION("IMPORTRANGE(""https://docs.google.com/spreadsheets/d/1Yj_ptqi66GCucihVvJfMjLAmec39IyEx_6qawtMGysU/edit?usp=sharing"",""สบก!BJ26"")"),448950)</f>
        <v>448950</v>
      </c>
      <c r="N144" s="177">
        <f ca="1">IFERROR(__xludf.DUMMYFUNCTION("IMPORTRANGE(""https://docs.google.com/spreadsheets/d/1Yj_ptqi66GCucihVvJfMjLAmec39IyEx_6qawtMGysU/edit?usp=sharing"",""สบก!BK26"")"),328558)</f>
        <v>328558</v>
      </c>
      <c r="O144" s="178">
        <f ca="1">IF(L144&gt;0,N144*100/L144,0)</f>
        <v>39.652184407434227</v>
      </c>
      <c r="P144" s="178">
        <f ca="1">IF(M144&gt;0,N144*100/M144,0)</f>
        <v>73.183650740616997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IFERROR(__xludf.DUMMYFUNCTION("IMPORTRANGE(""https://docs.google.com/spreadsheets/d/1Yj_ptqi66GCucihVvJfMjLAmec39IyEx_6qawtMGysU/edit?usp=sharing"",""สบก!BF26"")"),462100)</f>
        <v>462100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IFERROR(__xludf.DUMMYFUNCTION("IMPORTRANGE(""https://docs.google.com/spreadsheets/d/1Yj_ptqi66GCucihVvJfMjLAmec39IyEx_6qawtMGysU/edit?usp=sharing"",""สบก!BG26"")"),366500)</f>
        <v>366500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IFERROR(__xludf.DUMMYFUNCTION("IMPORTRANGE(""https://docs.google.com/spreadsheets/d/1Yj_ptqi66GCucihVvJfMjLAmec39IyEx_6qawtMGysU/edit?usp=sharing"",""สบก!BH26"")"),0)</f>
        <v>0</v>
      </c>
      <c r="M148" s="103"/>
      <c r="N148" s="93">
        <f ca="1">IFERROR(__xludf.DUMMYFUNCTION("IMPORTRANGE(""https://docs.google.com/spreadsheets/d/1Yj_ptqi66GCucihVvJfMjLAmec39IyEx_6qawtMGysU/edit?usp=sharing"",""สบก!BL26"")"),0)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IFERROR(__xludf.DUMMYFUNCTION("IMPORTRANGE(""https://docs.google.com/spreadsheets/d/11923uPwbBZFjjGgGUA6NLw09EwE0CqkOc4q9oUmW1yo/edit?usp=sharing"",""พะเยา!I74"")"),4)</f>
        <v>4</v>
      </c>
      <c r="J149" s="284">
        <f ca="1">IFERROR(__xludf.DUMMYFUNCTION("IMPORTRANGE(""https://docs.google.com/spreadsheets/d/11923uPwbBZFjjGgGUA6NLw09EwE0CqkOc4q9oUmW1yo/edit?usp=sharing"",""พะเยา!J74"")"),1)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IFERROR(__xludf.DUMMYFUNCTION("IMPORTRANGE(""https://docs.google.com/spreadsheets/d/11923uPwbBZFjjGgGUA6NLw09EwE0CqkOc4q9oUmW1yo/edit?usp=sharing"",""พะเยา!J79"")"),0)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IFERROR(__xludf.DUMMYFUNCTION("IMPORTRANGE(""https://docs.google.com/spreadsheets/d/11923uPwbBZFjjGgGUA6NLw09EwE0CqkOc4q9oUmW1yo/edit?usp=sharing"",""พะเยา!J80"")"),1)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IFERROR(__xludf.DUMMYFUNCTION("IMPORTRANGE(""https://docs.google.com/spreadsheets/d/11923uPwbBZFjjGgGUA6NLw09EwE0CqkOc4q9oUmW1yo/edit?usp=sharing"",""พะเยา!J81"")"),1)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IFERROR(__xludf.DUMMYFUNCTION("IMPORTRANGE(""https://docs.google.com/spreadsheets/d/11923uPwbBZFjjGgGUA6NLw09EwE0CqkOc4q9oUmW1yo/edit?usp=sharing"",""พะเยา!J82"")"),1)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IFERROR(__xludf.DUMMYFUNCTION("IMPORTRANGE(""https://docs.google.com/spreadsheets/d/11923uPwbBZFjjGgGUA6NLw09EwE0CqkOc4q9oUmW1yo/edit?usp=sharing"",""พะเยา!I83"")"),4)</f>
        <v>4</v>
      </c>
      <c r="J158" s="198">
        <f ca="1">IFERROR(__xludf.DUMMYFUNCTION("IMPORTRANGE(""https://docs.google.com/spreadsheets/d/11923uPwbBZFjjGgGUA6NLw09EwE0CqkOc4q9oUmW1yo/edit?usp=sharing"",""พะเยา!J83"")"),1)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IFERROR(__xludf.DUMMYFUNCTION("IMPORTRANGE(""https://docs.google.com/spreadsheets/d/11923uPwbBZFjjGgGUA6NLw09EwE0CqkOc4q9oUmW1yo/edit?usp=sharing"",""พะเยา!J84"")"),60)</f>
        <v>60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IFERROR(__xludf.DUMMYFUNCTION("IMPORTRANGE(""https://docs.google.com/spreadsheets/d/11923uPwbBZFjjGgGUA6NLw09EwE0CqkOc4q9oUmW1yo/edit?usp=sharing"",""พะเยา!J85"")"),60)</f>
        <v>60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IFERROR(__xludf.DUMMYFUNCTION("IMPORTRANGE(""https://docs.google.com/spreadsheets/d/11923uPwbBZFjjGgGUA6NLw09EwE0CqkOc4q9oUmW1yo/edit?usp=sharing"",""พะเยา!J86"")"),0)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IFERROR(__xludf.DUMMYFUNCTION("IMPORTRANGE(""https://docs.google.com/spreadsheets/d/11923uPwbBZFjjGgGUA6NLw09EwE0CqkOc4q9oUmW1yo/edit?usp=sharing"",""พะเยา!J87"")"),0)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IFERROR(__xludf.DUMMYFUNCTION("IMPORTRANGE(""https://docs.google.com/spreadsheets/d/11923uPwbBZFjjGgGUA6NLw09EwE0CqkOc4q9oUmW1yo/edit?usp=sharing"",""พะเยา!J88"")"),0)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IFERROR(__xludf.DUMMYFUNCTION("IMPORTRANGE(""https://docs.google.com/spreadsheets/d/11923uPwbBZFjjGgGUA6NLw09EwE0CqkOc4q9oUmW1yo/edit?usp=sharing"",""พะเยา!I89"")"),2)</f>
        <v>2</v>
      </c>
      <c r="J164" s="292">
        <f ca="1">IFERROR(__xludf.DUMMYFUNCTION("IMPORTRANGE(""https://docs.google.com/spreadsheets/d/11923uPwbBZFjjGgGUA6NLw09EwE0CqkOc4q9oUmW1yo/edit?usp=sharing"",""พะเยา!J89"")"),0)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IFERROR(__xludf.DUMMYFUNCTION("IMPORTRANGE(""https://docs.google.com/spreadsheets/d/11923uPwbBZFjjGgGUA6NLw09EwE0CqkOc4q9oUmW1yo/edit?usp=sharing"",""พะเยา!J94"")"),0)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IFERROR(__xludf.DUMMYFUNCTION("IMPORTRANGE(""https://docs.google.com/spreadsheets/d/11923uPwbBZFjjGgGUA6NLw09EwE0CqkOc4q9oUmW1yo/edit?usp=sharing"",""พะเยา!J95"")"),1)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IFERROR(__xludf.DUMMYFUNCTION("IMPORTRANGE(""https://docs.google.com/spreadsheets/d/11923uPwbBZFjjGgGUA6NLw09EwE0CqkOc4q9oUmW1yo/edit?usp=sharing"",""พะเยา!J96"")"),1)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IFERROR(__xludf.DUMMYFUNCTION("IMPORTRANGE(""https://docs.google.com/spreadsheets/d/11923uPwbBZFjjGgGUA6NLw09EwE0CqkOc4q9oUmW1yo/edit?usp=sharing"",""พะเยา!J97"")"),1)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IFERROR(__xludf.DUMMYFUNCTION("IMPORTRANGE(""https://docs.google.com/spreadsheets/d/11923uPwbBZFjjGgGUA6NLw09EwE0CqkOc4q9oUmW1yo/edit?usp=sharing"",""พะเยา!I98"")"),2)</f>
        <v>2</v>
      </c>
      <c r="J173" s="198">
        <f ca="1">IFERROR(__xludf.DUMMYFUNCTION("IMPORTRANGE(""https://docs.google.com/spreadsheets/d/11923uPwbBZFjjGgGUA6NLw09EwE0CqkOc4q9oUmW1yo/edit?usp=sharing"",""พะเยา!J98"")"),0)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IFERROR(__xludf.DUMMYFUNCTION("IMPORTRANGE(""https://docs.google.com/spreadsheets/d/11923uPwbBZFjjGgGUA6NLw09EwE0CqkOc4q9oUmW1yo/edit?usp=sharing"",""พะเยา!J99"")"),0)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IFERROR(__xludf.DUMMYFUNCTION("IMPORTRANGE(""https://docs.google.com/spreadsheets/d/11923uPwbBZFjjGgGUA6NLw09EwE0CqkOc4q9oUmW1yo/edit?usp=sharing"",""พะเยา!J100"")"),0)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IFERROR(__xludf.DUMMYFUNCTION("IMPORTRANGE(""https://docs.google.com/spreadsheets/d/11923uPwbBZFjjGgGUA6NLw09EwE0CqkOc4q9oUmW1yo/edit?usp=sharing"",""พะเยา!I101"")"),0)</f>
        <v>0</v>
      </c>
      <c r="J176" s="292">
        <f ca="1">IFERROR(__xludf.DUMMYFUNCTION("IMPORTRANGE(""https://docs.google.com/spreadsheets/d/11923uPwbBZFjjGgGUA6NLw09EwE0CqkOc4q9oUmW1yo/edit?usp=sharing"",""พะเยา!J101"")"),0)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IFERROR(__xludf.DUMMYFUNCTION("IMPORTRANGE(""https://docs.google.com/spreadsheets/d/11923uPwbBZFjjGgGUA6NLw09EwE0CqkOc4q9oUmW1yo/edit?usp=sharing"",""พะเยา!J106"")"),0)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IFERROR(__xludf.DUMMYFUNCTION("IMPORTRANGE(""https://docs.google.com/spreadsheets/d/11923uPwbBZFjjGgGUA6NLw09EwE0CqkOc4q9oUmW1yo/edit?usp=sharing"",""พะเยา!J107"")"),0)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IFERROR(__xludf.DUMMYFUNCTION("IMPORTRANGE(""https://docs.google.com/spreadsheets/d/11923uPwbBZFjjGgGUA6NLw09EwE0CqkOc4q9oUmW1yo/edit?usp=sharing"",""พะเยา!J108"")"),0)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IFERROR(__xludf.DUMMYFUNCTION("IMPORTRANGE(""https://docs.google.com/spreadsheets/d/11923uPwbBZFjjGgGUA6NLw09EwE0CqkOc4q9oUmW1yo/edit?usp=sharing"",""พะเยา!J109"")"),0)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IFERROR(__xludf.DUMMYFUNCTION("IMPORTRANGE(""https://docs.google.com/spreadsheets/d/11923uPwbBZFjjGgGUA6NLw09EwE0CqkOc4q9oUmW1yo/edit?usp=sharing"",""พะเยา!I110"")"),0)</f>
        <v>0</v>
      </c>
      <c r="J185" s="213">
        <f ca="1">IFERROR(__xludf.DUMMYFUNCTION("IMPORTRANGE(""https://docs.google.com/spreadsheets/d/11923uPwbBZFjjGgGUA6NLw09EwE0CqkOc4q9oUmW1yo/edit?usp=sharing"",""พะเยา!J110"")"),0)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IFERROR(__xludf.DUMMYFUNCTION("IMPORTRANGE(""https://docs.google.com/spreadsheets/d/11923uPwbBZFjjGgGUA6NLw09EwE0CqkOc4q9oUmW1yo/edit?usp=sharing"",""พะเยา!I111"")"),0)</f>
        <v>0</v>
      </c>
      <c r="J186" s="213">
        <f ca="1">IFERROR(__xludf.DUMMYFUNCTION("IMPORTRANGE(""https://docs.google.com/spreadsheets/d/11923uPwbBZFjjGgGUA6NLw09EwE0CqkOc4q9oUmW1yo/edit?usp=sharing"",""พะเยา!J111"")"),0)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IFERROR(__xludf.DUMMYFUNCTION("IMPORTRANGE(""https://docs.google.com/spreadsheets/d/11923uPwbBZFjjGgGUA6NLw09EwE0CqkOc4q9oUmW1yo/edit?usp=sharing"",""พะเยา!J112"")"),0)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IFERROR(__xludf.DUMMYFUNCTION("IMPORTRANGE(""https://docs.google.com/spreadsheets/d/11923uPwbBZFjjGgGUA6NLw09EwE0CqkOc4q9oUmW1yo/edit?usp=sharing"",""พะเยา!J113"")"),0)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IFERROR(__xludf.DUMMYFUNCTION("IMPORTRANGE(""https://docs.google.com/spreadsheets/d/11923uPwbBZFjjGgGUA6NLw09EwE0CqkOc4q9oUmW1yo/edit?usp=sharing"",""พะเยา!I114"")"),20000)</f>
        <v>20000</v>
      </c>
      <c r="J189" s="292">
        <f ca="1">IFERROR(__xludf.DUMMYFUNCTION("IMPORTRANGE(""https://docs.google.com/spreadsheets/d/11923uPwbBZFjjGgGUA6NLw09EwE0CqkOc4q9oUmW1yo/edit?usp=sharing"",""พะเยา!J114"")"),0)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IFERROR(__xludf.DUMMYFUNCTION("IMPORTRANGE(""https://docs.google.com/spreadsheets/d/11923uPwbBZFjjGgGUA6NLw09EwE0CqkOc4q9oUmW1yo/edit?usp=sharing"",""พะเยา!J119"")"),0)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IFERROR(__xludf.DUMMYFUNCTION("IMPORTRANGE(""https://docs.google.com/spreadsheets/d/11923uPwbBZFjjGgGUA6NLw09EwE0CqkOc4q9oUmW1yo/edit?usp=sharing"",""พะเยา!J120"")"),1)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IFERROR(__xludf.DUMMYFUNCTION("IMPORTRANGE(""https://docs.google.com/spreadsheets/d/11923uPwbBZFjjGgGUA6NLw09EwE0CqkOc4q9oUmW1yo/edit?usp=sharing"",""พะเยา!J121"")"),1)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IFERROR(__xludf.DUMMYFUNCTION("IMPORTRANGE(""https://docs.google.com/spreadsheets/d/11923uPwbBZFjjGgGUA6NLw09EwE0CqkOc4q9oUmW1yo/edit?usp=sharing"",""พะเยา!J122"")"),1)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IFERROR(__xludf.DUMMYFUNCTION("IMPORTRANGE(""https://docs.google.com/spreadsheets/d/11923uPwbBZFjjGgGUA6NLw09EwE0CqkOc4q9oUmW1yo/edit?usp=sharing"",""พะเยา!I124"")"),20000)</f>
        <v>20000</v>
      </c>
      <c r="J199" s="198">
        <f ca="1">IFERROR(__xludf.DUMMYFUNCTION("IMPORTRANGE(""https://docs.google.com/spreadsheets/d/11923uPwbBZFjjGgGUA6NLw09EwE0CqkOc4q9oUmW1yo/edit?usp=sharing"",""พะเยา!J124"")"),20000)</f>
        <v>20000</v>
      </c>
      <c r="K199" s="171">
        <f t="shared" ref="K199:K201" ca="1" si="70">IF(I199&gt;0,J199*100/I199,0)</f>
        <v>100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IFERROR(__xludf.DUMMYFUNCTION("IMPORTRANGE(""https://docs.google.com/spreadsheets/d/11923uPwbBZFjjGgGUA6NLw09EwE0CqkOc4q9oUmW1yo/edit?usp=sharing"",""พะเยา!I125"")"),20000)</f>
        <v>20000</v>
      </c>
      <c r="J200" s="198">
        <f ca="1">IFERROR(__xludf.DUMMYFUNCTION("IMPORTRANGE(""https://docs.google.com/spreadsheets/d/11923uPwbBZFjjGgGUA6NLw09EwE0CqkOc4q9oUmW1yo/edit?usp=sharing"",""พะเยา!J125"")"),0)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IFERROR(__xludf.DUMMYFUNCTION("IMPORTRANGE(""https://docs.google.com/spreadsheets/d/11923uPwbBZFjjGgGUA6NLw09EwE0CqkOc4q9oUmW1yo/edit?usp=sharing"",""พะเยา!I126"")"),15)</f>
        <v>15</v>
      </c>
      <c r="J201" s="198">
        <f ca="1">IFERROR(__xludf.DUMMYFUNCTION("IMPORTRANGE(""https://docs.google.com/spreadsheets/d/11923uPwbBZFjjGgGUA6NLw09EwE0CqkOc4q9oUmW1yo/edit?usp=sharing"",""พะเยา!J126"")"),15)</f>
        <v>15</v>
      </c>
      <c r="K201" s="171">
        <f t="shared" ca="1" si="70"/>
        <v>100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IFERROR(__xludf.DUMMYFUNCTION("IMPORTRANGE(""https://docs.google.com/spreadsheets/d/11923uPwbBZFjjGgGUA6NLw09EwE0CqkOc4q9oUmW1yo/edit?usp=sharing"",""พะเยา!J127"")"),0)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IFERROR(__xludf.DUMMYFUNCTION("IMPORTRANGE(""https://docs.google.com/spreadsheets/d/11923uPwbBZFjjGgGUA6NLw09EwE0CqkOc4q9oUmW1yo/edit?usp=sharing"",""พะเยา!J128"")"),0)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IFERROR(__xludf.DUMMYFUNCTION("IMPORTRANGE(""https://docs.google.com/spreadsheets/d/11923uPwbBZFjjGgGUA6NLw09EwE0CqkOc4q9oUmW1yo/edit?usp=sharing"",""พะเยา!I129"")"),40)</f>
        <v>40</v>
      </c>
      <c r="J204" s="292">
        <f ca="1">IFERROR(__xludf.DUMMYFUNCTION("IMPORTRANGE(""https://docs.google.com/spreadsheets/d/11923uPwbBZFjjGgGUA6NLw09EwE0CqkOc4q9oUmW1yo/edit?usp=sharing"",""พะเยา!J129"")"),40)</f>
        <v>40</v>
      </c>
      <c r="K204" s="293">
        <f ca="1">IF(I204&gt;0,J204*100/I204,0)</f>
        <v>100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IFERROR(__xludf.DUMMYFUNCTION("IMPORTRANGE(""https://docs.google.com/spreadsheets/d/11923uPwbBZFjjGgGUA6NLw09EwE0CqkOc4q9oUmW1yo/edit?usp=sharing"",""พะเยา!J134"")"),0)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IFERROR(__xludf.DUMMYFUNCTION("IMPORTRANGE(""https://docs.google.com/spreadsheets/d/11923uPwbBZFjjGgGUA6NLw09EwE0CqkOc4q9oUmW1yo/edit?usp=sharing"",""พะเยา!J135"")"),1)</f>
        <v>1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IFERROR(__xludf.DUMMYFUNCTION("IMPORTRANGE(""https://docs.google.com/spreadsheets/d/11923uPwbBZFjjGgGUA6NLw09EwE0CqkOc4q9oUmW1yo/edit?usp=sharing"",""พะเยา!J136"")"),1)</f>
        <v>1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IFERROR(__xludf.DUMMYFUNCTION("IMPORTRANGE(""https://docs.google.com/spreadsheets/d/11923uPwbBZFjjGgGUA6NLw09EwE0CqkOc4q9oUmW1yo/edit?usp=sharing"",""พะเยา!J137"")"),1)</f>
        <v>1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IFERROR(__xludf.DUMMYFUNCTION("IMPORTRANGE(""https://docs.google.com/spreadsheets/d/11923uPwbBZFjjGgGUA6NLw09EwE0CqkOc4q9oUmW1yo/edit?usp=sharing"",""พะเยา!I138"")"),40)</f>
        <v>40</v>
      </c>
      <c r="J213" s="213">
        <f ca="1">IFERROR(__xludf.DUMMYFUNCTION("IMPORTRANGE(""https://docs.google.com/spreadsheets/d/11923uPwbBZFjjGgGUA6NLw09EwE0CqkOc4q9oUmW1yo/edit?usp=sharing"",""พะเยา!J138"")"),40)</f>
        <v>40</v>
      </c>
      <c r="K213" s="233">
        <f ca="1">IF(I213&gt;0,J213*100/I213,0)</f>
        <v>100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IFERROR(__xludf.DUMMYFUNCTION("IMPORTRANGE(""https://docs.google.com/spreadsheets/d/11923uPwbBZFjjGgGUA6NLw09EwE0CqkOc4q9oUmW1yo/edit?usp=sharing"",""พะเยา!I140"")"),40)</f>
        <v>40</v>
      </c>
      <c r="J215" s="213">
        <f ca="1">IFERROR(__xludf.DUMMYFUNCTION("IMPORTRANGE(""https://docs.google.com/spreadsheets/d/11923uPwbBZFjjGgGUA6NLw09EwE0CqkOc4q9oUmW1yo/edit?usp=sharing"",""พะเยา!J140"")"),0)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IFERROR(__xludf.DUMMYFUNCTION("IMPORTRANGE(""https://docs.google.com/spreadsheets/d/11923uPwbBZFjjGgGUA6NLw09EwE0CqkOc4q9oUmW1yo/edit?usp=sharing"",""พะเยา!I141"")"),2)</f>
        <v>2</v>
      </c>
      <c r="J216" s="213">
        <f ca="1">IFERROR(__xludf.DUMMYFUNCTION("IMPORTRANGE(""https://docs.google.com/spreadsheets/d/11923uPwbBZFjjGgGUA6NLw09EwE0CqkOc4q9oUmW1yo/edit?usp=sharing"",""พะเยา!J141"")"),0)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IFERROR(__xludf.DUMMYFUNCTION("IMPORTRANGE(""https://docs.google.com/spreadsheets/d/11923uPwbBZFjjGgGUA6NLw09EwE0CqkOc4q9oUmW1yo/edit?usp=sharing"",""พะเยา!J142"")"),0)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IFERROR(__xludf.DUMMYFUNCTION("IMPORTRANGE(""https://docs.google.com/spreadsheets/d/11923uPwbBZFjjGgGUA6NLw09EwE0CqkOc4q9oUmW1yo/edit?usp=sharing"",""พะเยา!J143"")"),0)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IFERROR(__xludf.DUMMYFUNCTION("IMPORTRANGE(""https://docs.google.com/spreadsheets/d/11923uPwbBZFjjGgGUA6NLw09EwE0CqkOc4q9oUmW1yo/edit?usp=sharing"",""พะเยา!I144"")"),15)</f>
        <v>15</v>
      </c>
      <c r="J219" s="276">
        <f ca="1">IFERROR(__xludf.DUMMYFUNCTION("IMPORTRANGE(""https://docs.google.com/spreadsheets/d/11923uPwbBZFjjGgGUA6NLw09EwE0CqkOc4q9oUmW1yo/edit?usp=sharing"",""พะเยา!J144"")"),15)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21125</v>
      </c>
      <c r="O220" s="157">
        <f t="shared" ref="O220:O222" ca="1" si="73">IF(L220&gt;0,N220*100/L220,0)</f>
        <v>100</v>
      </c>
      <c r="P220" s="157">
        <f t="shared" ref="P220:P222" ca="1" si="74">IF(M220&gt;0,N220*100/M220,0)</f>
        <v>100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21125</v>
      </c>
      <c r="O222" s="162">
        <f t="shared" ca="1" si="73"/>
        <v>100</v>
      </c>
      <c r="P222" s="162">
        <f t="shared" ca="1" si="74"/>
        <v>100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IFERROR(__xludf.DUMMYFUNCTION("IMPORTRANGE(""https://docs.google.com/spreadsheets/d/1Yj_ptqi66GCucihVvJfMjLAmec39IyEx_6qawtMGysU/edit?usp=sharing"",""สบก!BS26"")"),21125)</f>
        <v>21125</v>
      </c>
      <c r="N224" s="177">
        <f ca="1">IFERROR(__xludf.DUMMYFUNCTION("IMPORTRANGE(""https://docs.google.com/spreadsheets/d/1Yj_ptqi66GCucihVvJfMjLAmec39IyEx_6qawtMGysU/edit?usp=sharing"",""สบก!BT26"")"),21125)</f>
        <v>21125</v>
      </c>
      <c r="O224" s="178">
        <f ca="1">IF(L224&gt;0,N224*100/L224,0)</f>
        <v>100</v>
      </c>
      <c r="P224" s="178">
        <f ca="1">IF(M224&gt;0,N224*100/M224,0)</f>
        <v>100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IFERROR(__xludf.DUMMYFUNCTION("IMPORTRANGE(""https://docs.google.com/spreadsheets/d/1Yj_ptqi66GCucihVvJfMjLAmec39IyEx_6qawtMGysU/edit?usp=sharing"",""สบก!BO26"")"),0)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IFERROR(__xludf.DUMMYFUNCTION("IMPORTRANGE(""https://docs.google.com/spreadsheets/d/1Yj_ptqi66GCucihVvJfMjLAmec39IyEx_6qawtMGysU/edit?usp=sharing"",""สบก!BP26"")"),21125)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IFERROR(__xludf.DUMMYFUNCTION("IMPORTRANGE(""https://docs.google.com/spreadsheets/d/1Yj_ptqi66GCucihVvJfMjLAmec39IyEx_6qawtMGysU/edit?usp=sharing"",""สบก!BQ26"")"),0)</f>
        <v>0</v>
      </c>
      <c r="M228" s="103"/>
      <c r="N228" s="93">
        <f ca="1">IFERROR(__xludf.DUMMYFUNCTION("IMPORTRANGE(""https://docs.google.com/spreadsheets/d/1Yj_ptqi66GCucihVvJfMjLAmec39IyEx_6qawtMGysU/edit?usp=sharing"",""สบก!BU26"")"),0)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IFERROR(__xludf.DUMMYFUNCTION("IMPORTRANGE(""https://docs.google.com/spreadsheets/d/11923uPwbBZFjjGgGUA6NLw09EwE0CqkOc4q9oUmW1yo/edit?usp=sharing"",""พะเยา!I149"")"),15)</f>
        <v>15</v>
      </c>
      <c r="J229" s="276">
        <f ca="1">IFERROR(__xludf.DUMMYFUNCTION("IMPORTRANGE(""https://docs.google.com/spreadsheets/d/11923uPwbBZFjjGgGUA6NLw09EwE0CqkOc4q9oUmW1yo/edit?usp=sharing"",""พะเยา!J149"")"),15)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IFERROR(__xludf.DUMMYFUNCTION("IMPORTRANGE(""https://docs.google.com/spreadsheets/d/11923uPwbBZFjjGgGUA6NLw09EwE0CqkOc4q9oUmW1yo/edit?usp=sharing"",""พะเยา!J151"")"),0)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IFERROR(__xludf.DUMMYFUNCTION("IMPORTRANGE(""https://docs.google.com/spreadsheets/d/11923uPwbBZFjjGgGUA6NLw09EwE0CqkOc4q9oUmW1yo/edit?usp=sharing"",""พะเยา!J152"")"),1)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IFERROR(__xludf.DUMMYFUNCTION("IMPORTRANGE(""https://docs.google.com/spreadsheets/d/11923uPwbBZFjjGgGUA6NLw09EwE0CqkOc4q9oUmW1yo/edit?usp=sharing"",""พะเยา!J153"")"),1)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IFERROR(__xludf.DUMMYFUNCTION("IMPORTRANGE(""https://docs.google.com/spreadsheets/d/11923uPwbBZFjjGgGUA6NLw09EwE0CqkOc4q9oUmW1yo/edit?usp=sharing"",""พะเยา!J154"")"),1)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IFERROR(__xludf.DUMMYFUNCTION("IMPORTRANGE(""https://docs.google.com/spreadsheets/d/11923uPwbBZFjjGgGUA6NLw09EwE0CqkOc4q9oUmW1yo/edit?usp=sharing"",""พะเยา!I155"")"),15)</f>
        <v>15</v>
      </c>
      <c r="J235" s="198">
        <f ca="1">IFERROR(__xludf.DUMMYFUNCTION("IMPORTRANGE(""https://docs.google.com/spreadsheets/d/11923uPwbBZFjjGgGUA6NLw09EwE0CqkOc4q9oUmW1yo/edit?usp=sharing"",""พะเยา!J155"")"),15)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IFERROR(__xludf.DUMMYFUNCTION("IMPORTRANGE(""https://docs.google.com/spreadsheets/d/11923uPwbBZFjjGgGUA6NLw09EwE0CqkOc4q9oUmW1yo/edit?usp=sharing"",""พะเยา!J156"")"),0)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IFERROR(__xludf.DUMMYFUNCTION("IMPORTRANGE(""https://docs.google.com/spreadsheets/d/11923uPwbBZFjjGgGUA6NLw09EwE0CqkOc4q9oUmW1yo/edit?usp=sharing"",""พะเยา!J157"")"),0)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IFERROR(__xludf.DUMMYFUNCTION("IMPORTRANGE(""https://docs.google.com/spreadsheets/d/11923uPwbBZFjjGgGUA6NLw09EwE0CqkOc4q9oUmW1yo/edit?usp=sharing"",""พะเยา!I158"")"),0)</f>
        <v>0</v>
      </c>
      <c r="J238" s="276">
        <f ca="1">IFERROR(__xludf.DUMMYFUNCTION("IMPORTRANGE(""https://docs.google.com/spreadsheets/d/11923uPwbBZFjjGgGUA6NLw09EwE0CqkOc4q9oUmW1yo/edit?usp=sharing"",""พะเยา!J158"")"),0)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IFERROR(__xludf.DUMMYFUNCTION("IMPORTRANGE(""https://docs.google.com/spreadsheets/d/11923uPwbBZFjjGgGUA6NLw09EwE0CqkOc4q9oUmW1yo/edit?usp=sharing"",""พะเยา!J159"")"),"")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IFERROR(__xludf.DUMMYFUNCTION("IMPORTRANGE(""https://docs.google.com/spreadsheets/d/11923uPwbBZFjjGgGUA6NLw09EwE0CqkOc4q9oUmW1yo/edit?usp=sharing"",""พะเยา!J161"")"),0)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IFERROR(__xludf.DUMMYFUNCTION("IMPORTRANGE(""https://docs.google.com/spreadsheets/d/11923uPwbBZFjjGgGUA6NLw09EwE0CqkOc4q9oUmW1yo/edit?usp=sharing"",""พะเยา!J162"")"),0)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IFERROR(__xludf.DUMMYFUNCTION("IMPORTRANGE(""https://docs.google.com/spreadsheets/d/11923uPwbBZFjjGgGUA6NLw09EwE0CqkOc4q9oUmW1yo/edit?usp=sharing"",""พะเยา!J163"")"),0)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IFERROR(__xludf.DUMMYFUNCTION("IMPORTRANGE(""https://docs.google.com/spreadsheets/d/11923uPwbBZFjjGgGUA6NLw09EwE0CqkOc4q9oUmW1yo/edit?usp=sharing"",""พะเยา!I164"")"),0)</f>
        <v>0</v>
      </c>
      <c r="J244" s="197">
        <f ca="1">IFERROR(__xludf.DUMMYFUNCTION("IMPORTRANGE(""https://docs.google.com/spreadsheets/d/11923uPwbBZFjjGgGUA6NLw09EwE0CqkOc4q9oUmW1yo/edit?usp=sharing"",""พะเยา!J164"")"),0)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IFERROR(__xludf.DUMMYFUNCTION("IMPORTRANGE(""https://docs.google.com/spreadsheets/d/11923uPwbBZFjjGgGUA6NLw09EwE0CqkOc4q9oUmW1yo/edit?usp=sharing"",""พะเยา!J165"")"),0)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IFERROR(__xludf.DUMMYFUNCTION("IMPORTRANGE(""https://docs.google.com/spreadsheets/d/11923uPwbBZFjjGgGUA6NLw09EwE0CqkOc4q9oUmW1yo/edit?usp=sharing"",""พะเยา!J166"")"),0)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IFERROR(__xludf.DUMMYFUNCTION("IMPORTRANGE(""https://docs.google.com/spreadsheets/d/11923uPwbBZFjjGgGUA6NLw09EwE0CqkOc4q9oUmW1yo/edit?usp=sharing"",""พะเยา!I169"")"),20)</f>
        <v>20</v>
      </c>
      <c r="J249" s="324">
        <f ca="1">IFERROR(__xludf.DUMMYFUNCTION("IMPORTRANGE(""https://docs.google.com/spreadsheets/d/11923uPwbBZFjjGgGUA6NLw09EwE0CqkOc4q9oUmW1yo/edit?usp=sharing"",""พะเยา!J169"")"),20)</f>
        <v>20</v>
      </c>
      <c r="K249" s="325">
        <f ca="1">IF(I249&gt;0,J249*100/I249,0)</f>
        <v>100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71400</v>
      </c>
      <c r="M250" s="158">
        <f t="shared" ca="1" si="77"/>
        <v>37000</v>
      </c>
      <c r="N250" s="158">
        <f t="shared" ca="1" si="77"/>
        <v>13274</v>
      </c>
      <c r="O250" s="157">
        <f t="shared" ref="O250:O252" ca="1" si="78">IF(L250&gt;0,N250*100/L250,0)</f>
        <v>18.591036414565828</v>
      </c>
      <c r="P250" s="157">
        <f t="shared" ref="P250:P252" ca="1" si="79">IF(M250&gt;0,N250*100/M250,0)</f>
        <v>35.875675675675673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71400</v>
      </c>
      <c r="M252" s="163">
        <f t="shared" ca="1" si="81"/>
        <v>37000</v>
      </c>
      <c r="N252" s="163">
        <f t="shared" ca="1" si="81"/>
        <v>13274</v>
      </c>
      <c r="O252" s="162">
        <f t="shared" ca="1" si="78"/>
        <v>18.591036414565828</v>
      </c>
      <c r="P252" s="162">
        <f t="shared" ca="1" si="79"/>
        <v>35.875675675675673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71400</v>
      </c>
      <c r="M254" s="176">
        <f ca="1">IFERROR(__xludf.DUMMYFUNCTION("IMPORTRANGE(""https://docs.google.com/spreadsheets/d/1Yj_ptqi66GCucihVvJfMjLAmec39IyEx_6qawtMGysU/edit?usp=sharing"",""สบก!CB26"")"),37000)</f>
        <v>37000</v>
      </c>
      <c r="N254" s="177">
        <f ca="1">IFERROR(__xludf.DUMMYFUNCTION("IMPORTRANGE(""https://docs.google.com/spreadsheets/d/1Yj_ptqi66GCucihVvJfMjLAmec39IyEx_6qawtMGysU/edit?usp=sharing"",""สบก!CC26"")"),13274)</f>
        <v>13274</v>
      </c>
      <c r="O254" s="178">
        <f ca="1">IF(L254&gt;0,N254*100/L254,0)</f>
        <v>18.591036414565828</v>
      </c>
      <c r="P254" s="178">
        <f ca="1">IF(M254&gt;0,N254*100/M254,0)</f>
        <v>35.875675675675673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IFERROR(__xludf.DUMMYFUNCTION("IMPORTRANGE(""https://docs.google.com/spreadsheets/d/1Yj_ptqi66GCucihVvJfMjLAmec39IyEx_6qawtMGysU/edit?usp=sharing"",""สบก!BX26"")"),0)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IFERROR(__xludf.DUMMYFUNCTION("IMPORTRANGE(""https://docs.google.com/spreadsheets/d/1Yj_ptqi66GCucihVvJfMjLAmec39IyEx_6qawtMGysU/edit?usp=sharing"",""สบก!BY26"")"),71400)</f>
        <v>71400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IFERROR(__xludf.DUMMYFUNCTION("IMPORTRANGE(""https://docs.google.com/spreadsheets/d/1Yj_ptqi66GCucihVvJfMjLAmec39IyEx_6qawtMGysU/edit?usp=sharing"",""สบก!BZ26"")"),0)</f>
        <v>0</v>
      </c>
      <c r="M258" s="103"/>
      <c r="N258" s="93">
        <f ca="1">IFERROR(__xludf.DUMMYFUNCTION("IMPORTRANGE(""https://docs.google.com/spreadsheets/d/1Yj_ptqi66GCucihVvJfMjLAmec39IyEx_6qawtMGysU/edit?usp=sharing"",""สบก!CD26"")"),0)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IFERROR(__xludf.DUMMYFUNCTION("IMPORTRANGE(""https://docs.google.com/spreadsheets/d/11923uPwbBZFjjGgGUA6NLw09EwE0CqkOc4q9oUmW1yo/edit?usp=sharing"",""พะเยา!J175"")"),0)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IFERROR(__xludf.DUMMYFUNCTION("IMPORTRANGE(""https://docs.google.com/spreadsheets/d/11923uPwbBZFjjGgGUA6NLw09EwE0CqkOc4q9oUmW1yo/edit?usp=sharing"",""พะเยา!J176"")"),1)</f>
        <v>1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IFERROR(__xludf.DUMMYFUNCTION("IMPORTRANGE(""https://docs.google.com/spreadsheets/d/11923uPwbBZFjjGgGUA6NLw09EwE0CqkOc4q9oUmW1yo/edit?usp=sharing"",""พะเยา!J177"")"),1)</f>
        <v>1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IFERROR(__xludf.DUMMYFUNCTION("IMPORTRANGE(""https://docs.google.com/spreadsheets/d/11923uPwbBZFjjGgGUA6NLw09EwE0CqkOc4q9oUmW1yo/edit?usp=sharing"",""พะเยา!J178"")"),1)</f>
        <v>1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IFERROR(__xludf.DUMMYFUNCTION("IMPORTRANGE(""https://docs.google.com/spreadsheets/d/11923uPwbBZFjjGgGUA6NLw09EwE0CqkOc4q9oUmW1yo/edit?usp=sharing"",""พะเยา!I179"")"),1)</f>
        <v>1</v>
      </c>
      <c r="J264" s="198">
        <f ca="1">IFERROR(__xludf.DUMMYFUNCTION("IMPORTRANGE(""https://docs.google.com/spreadsheets/d/11923uPwbBZFjjGgGUA6NLw09EwE0CqkOc4q9oUmW1yo/edit?usp=sharing"",""พะเยา!J179"")"),1)</f>
        <v>1</v>
      </c>
      <c r="K264" s="171">
        <f t="shared" ref="K264:K267" ca="1" si="82">IF(I264&gt;0,J264*100/I264,0)</f>
        <v>100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IFERROR(__xludf.DUMMYFUNCTION("IMPORTRANGE(""https://docs.google.com/spreadsheets/d/11923uPwbBZFjjGgGUA6NLw09EwE0CqkOc4q9oUmW1yo/edit?usp=sharing"",""พะเยา!I180"")"),20)</f>
        <v>20</v>
      </c>
      <c r="J265" s="198">
        <f ca="1">IFERROR(__xludf.DUMMYFUNCTION("IMPORTRANGE(""https://docs.google.com/spreadsheets/d/11923uPwbBZFjjGgGUA6NLw09EwE0CqkOc4q9oUmW1yo/edit?usp=sharing"",""พะเยา!J180"")"),20)</f>
        <v>20</v>
      </c>
      <c r="K265" s="171">
        <f t="shared" ca="1" si="82"/>
        <v>100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IFERROR(__xludf.DUMMYFUNCTION("IMPORTRANGE(""https://docs.google.com/spreadsheets/d/11923uPwbBZFjjGgGUA6NLw09EwE0CqkOc4q9oUmW1yo/edit?usp=sharing"",""พะเยา!I181"")"),20)</f>
        <v>20</v>
      </c>
      <c r="J266" s="198">
        <f ca="1">IFERROR(__xludf.DUMMYFUNCTION("IMPORTRANGE(""https://docs.google.com/spreadsheets/d/11923uPwbBZFjjGgGUA6NLw09EwE0CqkOc4q9oUmW1yo/edit?usp=sharing"",""พะเยา!J181"")"),0)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IFERROR(__xludf.DUMMYFUNCTION("IMPORTRANGE(""https://docs.google.com/spreadsheets/d/11923uPwbBZFjjGgGUA6NLw09EwE0CqkOc4q9oUmW1yo/edit?usp=sharing"",""พะเยา!I182"")"),1)</f>
        <v>1</v>
      </c>
      <c r="J267" s="198">
        <f ca="1">IFERROR(__xludf.DUMMYFUNCTION("IMPORTRANGE(""https://docs.google.com/spreadsheets/d/11923uPwbBZFjjGgGUA6NLw09EwE0CqkOc4q9oUmW1yo/edit?usp=sharing"",""พะเยา!J182"")"),1)</f>
        <v>1</v>
      </c>
      <c r="K267" s="171">
        <f t="shared" ca="1" si="82"/>
        <v>100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IFERROR(__xludf.DUMMYFUNCTION("IMPORTRANGE(""https://docs.google.com/spreadsheets/d/11923uPwbBZFjjGgGUA6NLw09EwE0CqkOc4q9oUmW1yo/edit?usp=sharing"",""พะเยา!J183"")"),0)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IFERROR(__xludf.DUMMYFUNCTION("IMPORTRANGE(""https://docs.google.com/spreadsheets/d/11923uPwbBZFjjGgGUA6NLw09EwE0CqkOc4q9oUmW1yo/edit?usp=sharing"",""พะเยา!J184"")"),0)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IFERROR(__xludf.DUMMYFUNCTION("IMPORTRANGE(""https://docs.google.com/spreadsheets/d/11923uPwbBZFjjGgGUA6NLw09EwE0CqkOc4q9oUmW1yo/edit?usp=sharing"",""พะเยา!I185"")"),20)</f>
        <v>20</v>
      </c>
      <c r="J270" s="324">
        <f ca="1">IFERROR(__xludf.DUMMYFUNCTION("IMPORTRANGE(""https://docs.google.com/spreadsheets/d/11923uPwbBZFjjGgGUA6NLw09EwE0CqkOc4q9oUmW1yo/edit?usp=sharing"",""พะเยา!J185"")"),20)</f>
        <v>20</v>
      </c>
      <c r="K270" s="325">
        <f ca="1">IF(I270&gt;0,J270*100/I270,0)</f>
        <v>100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183600</v>
      </c>
      <c r="M271" s="158">
        <f t="shared" ca="1" si="83"/>
        <v>88000</v>
      </c>
      <c r="N271" s="158">
        <f t="shared" ca="1" si="83"/>
        <v>75291</v>
      </c>
      <c r="O271" s="157">
        <f t="shared" ref="O271:O273" ca="1" si="84">IF(L271&gt;0,N271*100/L271,0)</f>
        <v>41.00816993464052</v>
      </c>
      <c r="P271" s="157">
        <f t="shared" ref="P271:P273" ca="1" si="85">IF(M271&gt;0,N271*100/M271,0)</f>
        <v>85.55795454545455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183600</v>
      </c>
      <c r="M273" s="163">
        <f t="shared" ca="1" si="87"/>
        <v>88000</v>
      </c>
      <c r="N273" s="163">
        <f t="shared" ca="1" si="87"/>
        <v>75291</v>
      </c>
      <c r="O273" s="162">
        <f t="shared" ca="1" si="84"/>
        <v>41.00816993464052</v>
      </c>
      <c r="P273" s="162">
        <f t="shared" ca="1" si="85"/>
        <v>85.55795454545455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183600</v>
      </c>
      <c r="M275" s="176">
        <f ca="1">IFERROR(__xludf.DUMMYFUNCTION("IMPORTRANGE(""https://docs.google.com/spreadsheets/d/1Yj_ptqi66GCucihVvJfMjLAmec39IyEx_6qawtMGysU/edit?usp=sharing"",""สบก!CK26"")"),88000)</f>
        <v>88000</v>
      </c>
      <c r="N275" s="177">
        <f ca="1">IFERROR(__xludf.DUMMYFUNCTION("IMPORTRANGE(""https://docs.google.com/spreadsheets/d/1Yj_ptqi66GCucihVvJfMjLAmec39IyEx_6qawtMGysU/edit?usp=sharing"",""สบก!CL26"")"),75291)</f>
        <v>75291</v>
      </c>
      <c r="O275" s="178">
        <f ca="1">IF(L275&gt;0,N275*100/L275,0)</f>
        <v>41.00816993464052</v>
      </c>
      <c r="P275" s="178">
        <f ca="1">IF(M275&gt;0,N275*100/M275,0)</f>
        <v>85.55795454545455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IFERROR(__xludf.DUMMYFUNCTION("IMPORTRANGE(""https://docs.google.com/spreadsheets/d/1Yj_ptqi66GCucihVvJfMjLAmec39IyEx_6qawtMGysU/edit?usp=sharing"",""สบก!CG26"")"),0)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IFERROR(__xludf.DUMMYFUNCTION("IMPORTRANGE(""https://docs.google.com/spreadsheets/d/1Yj_ptqi66GCucihVvJfMjLAmec39IyEx_6qawtMGysU/edit?usp=sharing"",""สบก!CH26"")"),183600)</f>
        <v>183600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IFERROR(__xludf.DUMMYFUNCTION("IMPORTRANGE(""https://docs.google.com/spreadsheets/d/1Yj_ptqi66GCucihVvJfMjLAmec39IyEx_6qawtMGysU/edit?usp=sharing"",""สบก!CI26"")"),0)</f>
        <v>0</v>
      </c>
      <c r="M279" s="103"/>
      <c r="N279" s="93">
        <f ca="1">IFERROR(__xludf.DUMMYFUNCTION("IMPORTRANGE(""https://docs.google.com/spreadsheets/d/1Yj_ptqi66GCucihVvJfMjLAmec39IyEx_6qawtMGysU/edit?usp=sharing"",""สบก!CM26"")"),0)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IFERROR(__xludf.DUMMYFUNCTION("IMPORTRANGE(""https://docs.google.com/spreadsheets/d/11923uPwbBZFjjGgGUA6NLw09EwE0CqkOc4q9oUmW1yo/edit?usp=sharing"",""พะเยา!J191"")"),0)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IFERROR(__xludf.DUMMYFUNCTION("IMPORTRANGE(""https://docs.google.com/spreadsheets/d/11923uPwbBZFjjGgGUA6NLw09EwE0CqkOc4q9oUmW1yo/edit?usp=sharing"",""พะเยา!J192"")"),1)</f>
        <v>1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IFERROR(__xludf.DUMMYFUNCTION("IMPORTRANGE(""https://docs.google.com/spreadsheets/d/11923uPwbBZFjjGgGUA6NLw09EwE0CqkOc4q9oUmW1yo/edit?usp=sharing"",""พะเยา!J193"")"),1)</f>
        <v>1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IFERROR(__xludf.DUMMYFUNCTION("IMPORTRANGE(""https://docs.google.com/spreadsheets/d/11923uPwbBZFjjGgGUA6NLw09EwE0CqkOc4q9oUmW1yo/edit?usp=sharing"",""พะเยา!J194"")"),1)</f>
        <v>1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IFERROR(__xludf.DUMMYFUNCTION("IMPORTRANGE(""https://docs.google.com/spreadsheets/d/11923uPwbBZFjjGgGUA6NLw09EwE0CqkOc4q9oUmW1yo/edit?usp=sharing"",""พะเยา!I195"")"),20)</f>
        <v>20</v>
      </c>
      <c r="J285" s="198">
        <f ca="1">IFERROR(__xludf.DUMMYFUNCTION("IMPORTRANGE(""https://docs.google.com/spreadsheets/d/11923uPwbBZFjjGgGUA6NLw09EwE0CqkOc4q9oUmW1yo/edit?usp=sharing"",""พะเยา!J195"")"),20)</f>
        <v>20</v>
      </c>
      <c r="K285" s="171">
        <f ca="1">IF(I285&gt;0,J285*100/I285,0)</f>
        <v>100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IFERROR(__xludf.DUMMYFUNCTION("IMPORTRANGE(""https://docs.google.com/spreadsheets/d/11923uPwbBZFjjGgGUA6NLw09EwE0CqkOc4q9oUmW1yo/edit?usp=sharing"",""พะเยา!J196"")"),0)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IFERROR(__xludf.DUMMYFUNCTION("IMPORTRANGE(""https://docs.google.com/spreadsheets/d/11923uPwbBZFjjGgGUA6NLw09EwE0CqkOc4q9oUmW1yo/edit?usp=sharing"",""พะเยา!J197"")"),0)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IFERROR(__xludf.DUMMYFUNCTION("IMPORTRANGE(""https://docs.google.com/spreadsheets/d/11923uPwbBZFjjGgGUA6NLw09EwE0CqkOc4q9oUmW1yo/edit?usp=sharing"",""พะเยา!I199"")"),0)</f>
        <v>0</v>
      </c>
      <c r="J289" s="324">
        <f ca="1">IFERROR(__xludf.DUMMYFUNCTION("IMPORTRANGE(""https://docs.google.com/spreadsheets/d/11923uPwbBZFjjGgGUA6NLw09EwE0CqkOc4q9oUmW1yo/edit?usp=sharing"",""พะเยา!J199"")"),0)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IFERROR(__xludf.DUMMYFUNCTION("IMPORTRANGE(""https://docs.google.com/spreadsheets/d/1Yj_ptqi66GCucihVvJfMjLAmec39IyEx_6qawtMGysU/edit?usp=sharing"",""สบก!CT26"")"),0)</f>
        <v>0</v>
      </c>
      <c r="N294" s="177">
        <f ca="1">IFERROR(__xludf.DUMMYFUNCTION("IMPORTRANGE(""https://docs.google.com/spreadsheets/d/1Yj_ptqi66GCucihVvJfMjLAmec39IyEx_6qawtMGysU/edit?usp=sharing"",""สบก!CU26"")"),0)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IFERROR(__xludf.DUMMYFUNCTION("IMPORTRANGE(""https://docs.google.com/spreadsheets/d/1Yj_ptqi66GCucihVvJfMjLAmec39IyEx_6qawtMGysU/edit?usp=sharing"",""สบก!CP26"")"),0)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IFERROR(__xludf.DUMMYFUNCTION("IMPORTRANGE(""https://docs.google.com/spreadsheets/d/1Yj_ptqi66GCucihVvJfMjLAmec39IyEx_6qawtMGysU/edit?usp=sharing"",""สบก!CQ26"")"),0)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IFERROR(__xludf.DUMMYFUNCTION("IMPORTRANGE(""https://docs.google.com/spreadsheets/d/1Yj_ptqi66GCucihVvJfMjLAmec39IyEx_6qawtMGysU/edit?usp=sharing"",""สบก!CR26"")"),0)</f>
        <v>0</v>
      </c>
      <c r="M298" s="103"/>
      <c r="N298" s="93">
        <f ca="1">IFERROR(__xludf.DUMMYFUNCTION("IMPORTRANGE(""https://docs.google.com/spreadsheets/d/1Yj_ptqi66GCucihVvJfMjLAmec39IyEx_6qawtMGysU/edit?usp=sharing"",""สบก!CV26"")"),0)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IFERROR(__xludf.DUMMYFUNCTION("IMPORTRANGE(""https://docs.google.com/spreadsheets/d/11923uPwbBZFjjGgGUA6NLw09EwE0CqkOc4q9oUmW1yo/edit?usp=sharing"",""พะเยา!J205"")"),0)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IFERROR(__xludf.DUMMYFUNCTION("IMPORTRANGE(""https://docs.google.com/spreadsheets/d/11923uPwbBZFjjGgGUA6NLw09EwE0CqkOc4q9oUmW1yo/edit?usp=sharing"",""พะเยา!J206"")"),0)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IFERROR(__xludf.DUMMYFUNCTION("IMPORTRANGE(""https://docs.google.com/spreadsheets/d/11923uPwbBZFjjGgGUA6NLw09EwE0CqkOc4q9oUmW1yo/edit?usp=sharing"",""พะเยา!J207"")"),0)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IFERROR(__xludf.DUMMYFUNCTION("IMPORTRANGE(""https://docs.google.com/spreadsheets/d/11923uPwbBZFjjGgGUA6NLw09EwE0CqkOc4q9oUmW1yo/edit?usp=sharing"",""พะเยา!J208"")"),0)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IFERROR(__xludf.DUMMYFUNCTION("IMPORTRANGE(""https://docs.google.com/spreadsheets/d/11923uPwbBZFjjGgGUA6NLw09EwE0CqkOc4q9oUmW1yo/edit?usp=sharing"",""พะเยา!I209"")"),0)</f>
        <v>0</v>
      </c>
      <c r="J304" s="213">
        <f ca="1">IFERROR(__xludf.DUMMYFUNCTION("IMPORTRANGE(""https://docs.google.com/spreadsheets/d/11923uPwbBZFjjGgGUA6NLw09EwE0CqkOc4q9oUmW1yo/edit?usp=sharing"",""พะเยา!J209"")"),0)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IFERROR(__xludf.DUMMYFUNCTION("IMPORTRANGE(""https://docs.google.com/spreadsheets/d/11923uPwbBZFjjGgGUA6NLw09EwE0CqkOc4q9oUmW1yo/edit?usp=sharing"",""พะเยา!I211"")"),0)</f>
        <v>0</v>
      </c>
      <c r="J306" s="213">
        <f ca="1">IFERROR(__xludf.DUMMYFUNCTION("IMPORTRANGE(""https://docs.google.com/spreadsheets/d/11923uPwbBZFjjGgGUA6NLw09EwE0CqkOc4q9oUmW1yo/edit?usp=sharing"",""พะเยา!J211"")"),0)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IFERROR(__xludf.DUMMYFUNCTION("IMPORTRANGE(""https://docs.google.com/spreadsheets/d/11923uPwbBZFjjGgGUA6NLw09EwE0CqkOc4q9oUmW1yo/edit?usp=sharing"",""พะเยา!J212"")"),0)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IFERROR(__xludf.DUMMYFUNCTION("IMPORTRANGE(""https://docs.google.com/spreadsheets/d/11923uPwbBZFjjGgGUA6NLw09EwE0CqkOc4q9oUmW1yo/edit?usp=sharing"",""พะเยา!J213"")"),0)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IFERROR(__xludf.DUMMYFUNCTION("IMPORTRANGE(""https://docs.google.com/spreadsheets/d/11923uPwbBZFjjGgGUA6NLw09EwE0CqkOc4q9oUmW1yo/edit?usp=sharing"",""พะเยา!I214"")"),0)</f>
        <v>0</v>
      </c>
      <c r="J309" s="341">
        <f ca="1">IFERROR(__xludf.DUMMYFUNCTION("IMPORTRANGE(""https://docs.google.com/spreadsheets/d/11923uPwbBZFjjGgGUA6NLw09EwE0CqkOc4q9oUmW1yo/edit?usp=sharing"",""พะเยา!J214"")"),0)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IFERROR(__xludf.DUMMYFUNCTION("IMPORTRANGE(""https://docs.google.com/spreadsheets/d/1Yj_ptqi66GCucihVvJfMjLAmec39IyEx_6qawtMGysU/edit?usp=sharing"",""สบก!DC26"")"),0)</f>
        <v>0</v>
      </c>
      <c r="N314" s="177">
        <f ca="1">IFERROR(__xludf.DUMMYFUNCTION("IMPORTRANGE(""https://docs.google.com/spreadsheets/d/1Yj_ptqi66GCucihVvJfMjLAmec39IyEx_6qawtMGysU/edit?usp=sharing"",""สบก!DD26"")"),0)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IFERROR(__xludf.DUMMYFUNCTION("IMPORTRANGE(""https://docs.google.com/spreadsheets/d/1Yj_ptqi66GCucihVvJfMjLAmec39IyEx_6qawtMGysU/edit?usp=sharing"",""สบก!CY26"")"),0)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IFERROR(__xludf.DUMMYFUNCTION("IMPORTRANGE(""https://docs.google.com/spreadsheets/d/1Yj_ptqi66GCucihVvJfMjLAmec39IyEx_6qawtMGysU/edit?usp=sharing"",""สบก!CZ26"")"),0)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IFERROR(__xludf.DUMMYFUNCTION("IMPORTRANGE(""https://docs.google.com/spreadsheets/d/1Yj_ptqi66GCucihVvJfMjLAmec39IyEx_6qawtMGysU/edit?usp=sharing"",""สบก!DA26"")"),0)</f>
        <v>0</v>
      </c>
      <c r="M318" s="103"/>
      <c r="N318" s="93">
        <f ca="1">IFERROR(__xludf.DUMMYFUNCTION("IMPORTRANGE(""https://docs.google.com/spreadsheets/d/1Yj_ptqi66GCucihVvJfMjLAmec39IyEx_6qawtMGysU/edit?usp=sharing"",""สบก!DE26"")"),0)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IFERROR(__xludf.DUMMYFUNCTION("IMPORTRANGE(""https://docs.google.com/spreadsheets/d/11923uPwbBZFjjGgGUA6NLw09EwE0CqkOc4q9oUmW1yo/edit?usp=sharing"",""พะเยา!J220"")"),0)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IFERROR(__xludf.DUMMYFUNCTION("IMPORTRANGE(""https://docs.google.com/spreadsheets/d/11923uPwbBZFjjGgGUA6NLw09EwE0CqkOc4q9oUmW1yo/edit?usp=sharing"",""พะเยา!J221"")"),0)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IFERROR(__xludf.DUMMYFUNCTION("IMPORTRANGE(""https://docs.google.com/spreadsheets/d/11923uPwbBZFjjGgGUA6NLw09EwE0CqkOc4q9oUmW1yo/edit?usp=sharing"",""พะเยา!J222"")"),0)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IFERROR(__xludf.DUMMYFUNCTION("IMPORTRANGE(""https://docs.google.com/spreadsheets/d/11923uPwbBZFjjGgGUA6NLw09EwE0CqkOc4q9oUmW1yo/edit?usp=sharing"",""พะเยา!J223"")"),0)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IFERROR(__xludf.DUMMYFUNCTION("IMPORTRANGE(""https://docs.google.com/spreadsheets/d/11923uPwbBZFjjGgGUA6NLw09EwE0CqkOc4q9oUmW1yo/edit?usp=sharing"",""พะเยา!I224"")"),0)</f>
        <v>0</v>
      </c>
      <c r="J324" s="213">
        <f ca="1">IFERROR(__xludf.DUMMYFUNCTION("IMPORTRANGE(""https://docs.google.com/spreadsheets/d/11923uPwbBZFjjGgGUA6NLw09EwE0CqkOc4q9oUmW1yo/edit?usp=sharing"",""พะเยา!J224"")"),0)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IFERROR(__xludf.DUMMYFUNCTION("IMPORTRANGE(""https://docs.google.com/spreadsheets/d/11923uPwbBZFjjGgGUA6NLw09EwE0CqkOc4q9oUmW1yo/edit?usp=sharing"",""พะเยา!J225"")"),0)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IFERROR(__xludf.DUMMYFUNCTION("IMPORTRANGE(""https://docs.google.com/spreadsheets/d/11923uPwbBZFjjGgGUA6NLw09EwE0CqkOc4q9oUmW1yo/edit?usp=sharing"",""พะเยา!J226"")"),0)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IFERROR(__xludf.DUMMYFUNCTION("IMPORTRANGE(""https://docs.google.com/spreadsheets/d/11923uPwbBZFjjGgGUA6NLw09EwE0CqkOc4q9oUmW1yo/edit?usp=sharing"",""พะเยา!I228"")"),580)</f>
        <v>580</v>
      </c>
      <c r="J328" s="347">
        <f ca="1">IFERROR(__xludf.DUMMYFUNCTION("IMPORTRANGE(""https://docs.google.com/spreadsheets/d/11923uPwbBZFjjGgGUA6NLw09EwE0CqkOc4q9oUmW1yo/edit?usp=sharing"",""พะเยา!J228"")"),0)</f>
        <v>0</v>
      </c>
      <c r="K328" s="325">
        <f ca="1">IF(I328&gt;0,J328*100/I328,0)</f>
        <v>0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613050</v>
      </c>
      <c r="M329" s="158">
        <f t="shared" ca="1" si="98"/>
        <v>338630</v>
      </c>
      <c r="N329" s="158">
        <f t="shared" ca="1" si="98"/>
        <v>142839</v>
      </c>
      <c r="O329" s="157">
        <f t="shared" ref="O329:O331" ca="1" si="99">IF(L329&gt;0,N329*100/L329,0)</f>
        <v>23.299730853927088</v>
      </c>
      <c r="P329" s="157">
        <f t="shared" ref="P329:P331" ca="1" si="100">IF(M329&gt;0,N329*100/M329,0)</f>
        <v>42.181436966600714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613050</v>
      </c>
      <c r="M331" s="163">
        <f t="shared" ca="1" si="102"/>
        <v>338630</v>
      </c>
      <c r="N331" s="163">
        <f t="shared" ca="1" si="102"/>
        <v>142839</v>
      </c>
      <c r="O331" s="162">
        <f t="shared" ca="1" si="99"/>
        <v>23.299730853927088</v>
      </c>
      <c r="P331" s="162">
        <f t="shared" ca="1" si="100"/>
        <v>42.181436966600714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598050</v>
      </c>
      <c r="M333" s="176">
        <f ca="1">IFERROR(__xludf.DUMMYFUNCTION("IMPORTRANGE(""https://docs.google.com/spreadsheets/d/1Yj_ptqi66GCucihVvJfMjLAmec39IyEx_6qawtMGysU/edit?usp=sharing"",""สบก!DL26"")"),338630)</f>
        <v>338630</v>
      </c>
      <c r="N333" s="177">
        <f ca="1">IFERROR(__xludf.DUMMYFUNCTION("IMPORTRANGE(""https://docs.google.com/spreadsheets/d/1Yj_ptqi66GCucihVvJfMjLAmec39IyEx_6qawtMGysU/edit?usp=sharing"",""สบก!DM26"")"),127839)</f>
        <v>127839</v>
      </c>
      <c r="O333" s="178">
        <f ca="1">IF(L333&gt;0,N333*100/L333,0)</f>
        <v>21.375971908703285</v>
      </c>
      <c r="P333" s="178">
        <f ca="1">IF(M333&gt;0,N333*100/M333,0)</f>
        <v>37.751823524200454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IFERROR(__xludf.DUMMYFUNCTION("IMPORTRANGE(""https://docs.google.com/spreadsheets/d/1Yj_ptqi66GCucihVvJfMjLAmec39IyEx_6qawtMGysU/edit?usp=sharing"",""สบก!DH26"")"),194400)</f>
        <v>194400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IFERROR(__xludf.DUMMYFUNCTION("IMPORTRANGE(""https://docs.google.com/spreadsheets/d/1Yj_ptqi66GCucihVvJfMjLAmec39IyEx_6qawtMGysU/edit?usp=sharing"",""สบก!DI26"")"),403650)</f>
        <v>403650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IFERROR(__xludf.DUMMYFUNCTION("IMPORTRANGE(""https://docs.google.com/spreadsheets/d/1Yj_ptqi66GCucihVvJfMjLAmec39IyEx_6qawtMGysU/edit?usp=sharing"",""สบก!DJ26"")"),15000)</f>
        <v>15000</v>
      </c>
      <c r="M337" s="103"/>
      <c r="N337" s="93">
        <f ca="1">IFERROR(__xludf.DUMMYFUNCTION("IMPORTRANGE(""https://docs.google.com/spreadsheets/d/1Yj_ptqi66GCucihVvJfMjLAmec39IyEx_6qawtMGysU/edit?usp=sharing"",""สบก!DN26"")"),15000)</f>
        <v>15000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IFERROR(__xludf.DUMMYFUNCTION("IMPORTRANGE(""https://docs.google.com/spreadsheets/d/11923uPwbBZFjjGgGUA6NLw09EwE0CqkOc4q9oUmW1yo/edit?usp=sharing"",""พะเยา!I234"")"),0)</f>
        <v>0</v>
      </c>
      <c r="J339" s="197">
        <f ca="1">IFERROR(__xludf.DUMMYFUNCTION("IMPORTRANGE(""https://docs.google.com/spreadsheets/d/11923uPwbBZFjjGgGUA6NLw09EwE0CqkOc4q9oUmW1yo/edit?usp=sharing"",""พะเยา!J234"")"),34)</f>
        <v>34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IFERROR(__xludf.DUMMYFUNCTION("IMPORTRANGE(""https://docs.google.com/spreadsheets/d/11923uPwbBZFjjGgGUA6NLw09EwE0CqkOc4q9oUmW1yo/edit?usp=sharing"",""พะเยา!I235"")"),2000)</f>
        <v>2000</v>
      </c>
      <c r="J340" s="197">
        <f ca="1">IFERROR(__xludf.DUMMYFUNCTION("IMPORTRANGE(""https://docs.google.com/spreadsheets/d/11923uPwbBZFjjGgGUA6NLw09EwE0CqkOc4q9oUmW1yo/edit?usp=sharing"",""พะเยา!J235"")"),326.59)</f>
        <v>326.58999999999997</v>
      </c>
      <c r="K340" s="350">
        <f t="shared" ca="1" si="103"/>
        <v>16.329499999999999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IFERROR(__xludf.DUMMYFUNCTION("IMPORTRANGE(""https://docs.google.com/spreadsheets/d/11923uPwbBZFjjGgGUA6NLw09EwE0CqkOc4q9oUmW1yo/edit?usp=sharing"",""พะเยา!I236"")"),580)</f>
        <v>580</v>
      </c>
      <c r="J341" s="197">
        <f ca="1">IFERROR(__xludf.DUMMYFUNCTION("IMPORTRANGE(""https://docs.google.com/spreadsheets/d/11923uPwbBZFjjGgGUA6NLw09EwE0CqkOc4q9oUmW1yo/edit?usp=sharing"",""พะเยา!J236"")"),0)</f>
        <v>0</v>
      </c>
      <c r="K341" s="350">
        <f t="shared" ca="1" si="103"/>
        <v>0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IFERROR(__xludf.DUMMYFUNCTION("IMPORTRANGE(""https://docs.google.com/spreadsheets/d/11923uPwbBZFjjGgGUA6NLw09EwE0CqkOc4q9oUmW1yo/edit?usp=sharing"",""พะเยา!I237"")"),0)</f>
        <v>0</v>
      </c>
      <c r="J342" s="197">
        <f ca="1">IFERROR(__xludf.DUMMYFUNCTION("IMPORTRANGE(""https://docs.google.com/spreadsheets/d/11923uPwbBZFjjGgGUA6NLw09EwE0CqkOc4q9oUmW1yo/edit?usp=sharing"",""พะเยา!J237"")"),0)</f>
        <v>0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IFERROR(__xludf.DUMMYFUNCTION("IMPORTRANGE(""https://docs.google.com/spreadsheets/d/11923uPwbBZFjjGgGUA6NLw09EwE0CqkOc4q9oUmW1yo/edit?usp=sharing"",""พะเยา!I238"")"),580)</f>
        <v>580</v>
      </c>
      <c r="J343" s="197">
        <f ca="1">IFERROR(__xludf.DUMMYFUNCTION("IMPORTRANGE(""https://docs.google.com/spreadsheets/d/11923uPwbBZFjjGgGUA6NLw09EwE0CqkOc4q9oUmW1yo/edit?usp=sharing"",""พะเยา!J238"")"),0)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IFERROR(__xludf.DUMMYFUNCTION("IMPORTRANGE(""https://docs.google.com/spreadsheets/d/11923uPwbBZFjjGgGUA6NLw09EwE0CqkOc4q9oUmW1yo/edit?usp=sharing"",""พะเยา!I239"")"),0)</f>
        <v>0</v>
      </c>
      <c r="J344" s="197">
        <f ca="1">IFERROR(__xludf.DUMMYFUNCTION("IMPORTRANGE(""https://docs.google.com/spreadsheets/d/11923uPwbBZFjjGgGUA6NLw09EwE0CqkOc4q9oUmW1yo/edit?usp=sharing"",""พะเยา!J239"")"),0)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IFERROR(__xludf.DUMMYFUNCTION("IMPORTRANGE(""https://docs.google.com/spreadsheets/d/11923uPwbBZFjjGgGUA6NLw09EwE0CqkOc4q9oUmW1yo/edit?usp=sharing"",""พะเยา!I240"")"),580)</f>
        <v>580</v>
      </c>
      <c r="J345" s="197">
        <f ca="1">IFERROR(__xludf.DUMMYFUNCTION("IMPORTRANGE(""https://docs.google.com/spreadsheets/d/11923uPwbBZFjjGgGUA6NLw09EwE0CqkOc4q9oUmW1yo/edit?usp=sharing"",""พะเยา!J240"")"),0)</f>
        <v>0</v>
      </c>
      <c r="K345" s="350">
        <f t="shared" ca="1" si="103"/>
        <v>0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IFERROR(__xludf.DUMMYFUNCTION("IMPORTRANGE(""https://docs.google.com/spreadsheets/d/11923uPwbBZFjjGgGUA6NLw09EwE0CqkOc4q9oUmW1yo/edit?usp=sharing"",""พะเยา!I241"")"),0)</f>
        <v>0</v>
      </c>
      <c r="J346" s="197">
        <f ca="1">IFERROR(__xludf.DUMMYFUNCTION("IMPORTRANGE(""https://docs.google.com/spreadsheets/d/11923uPwbBZFjjGgGUA6NLw09EwE0CqkOc4q9oUmW1yo/edit?usp=sharing"",""พะเยา!J241"")"),0)</f>
        <v>0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IFERROR(__xludf.DUMMYFUNCTION("IMPORTRANGE(""https://docs.google.com/spreadsheets/d/11923uPwbBZFjjGgGUA6NLw09EwE0CqkOc4q9oUmW1yo/edit?usp=sharing"",""พะเยา!L242"")"),2535236)</f>
        <v>2535236</v>
      </c>
      <c r="M347" s="366"/>
      <c r="N347" s="366">
        <f ca="1">IFERROR(__xludf.DUMMYFUNCTION("IMPORTRANGE(""https://docs.google.com/spreadsheets/d/11923uPwbBZFjjGgGUA6NLw09EwE0CqkOc4q9oUmW1yo/edit?usp=sharing"",""พะเยา!M242"")"),317217.089999999)</f>
        <v>317217.08999999898</v>
      </c>
      <c r="O347" s="366">
        <f ca="1">+IF(L347&gt;0,N347*100/L347,0)</f>
        <v>12.512329818604618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IFERROR(__xludf.DUMMYFUNCTION("IMPORTRANGE(""https://docs.google.com/spreadsheets/d/11923uPwbBZFjjGgGUA6NLw09EwE0CqkOc4q9oUmW1yo/edit?usp=sharing"",""พะเยา!I244"")"),105)</f>
        <v>105</v>
      </c>
      <c r="J349" s="379">
        <f ca="1">IFERROR(__xludf.DUMMYFUNCTION("IMPORTRANGE(""https://docs.google.com/spreadsheets/d/11923uPwbBZFjjGgGUA6NLw09EwE0CqkOc4q9oUmW1yo/edit?usp=sharing"",""พะเยา!J244"")"),0)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IFERROR(__xludf.DUMMYFUNCTION("IMPORTRANGE(""https://docs.google.com/spreadsheets/d/11923uPwbBZFjjGgGUA6NLw09EwE0CqkOc4q9oUmW1yo/edit?usp=sharing"",""พะเยา!L244"")"),363980)</f>
        <v>363980</v>
      </c>
      <c r="M349" s="381"/>
      <c r="N349" s="381">
        <f ca="1">IFERROR(__xludf.DUMMYFUNCTION("IMPORTRANGE(""https://docs.google.com/spreadsheets/d/11923uPwbBZFjjGgGUA6NLw09EwE0CqkOc4q9oUmW1yo/edit?usp=sharing"",""พะเยา!M244"")"),65709.74)</f>
        <v>65709.740000000005</v>
      </c>
      <c r="O349" s="381">
        <f ca="1">+IF(L349&gt;0,N349*100/L349,0)</f>
        <v>18.053118303203476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IFERROR(__xludf.DUMMYFUNCTION("IMPORTRANGE(""https://docs.google.com/spreadsheets/d/11923uPwbBZFjjGgGUA6NLw09EwE0CqkOc4q9oUmW1yo/edit?usp=sharing"",""พะเยา!I245"")"),60)</f>
        <v>60</v>
      </c>
      <c r="J350" s="379">
        <f ca="1">IFERROR(__xludf.DUMMYFUNCTION("IMPORTRANGE(""https://docs.google.com/spreadsheets/d/11923uPwbBZFjjGgGUA6NLw09EwE0CqkOc4q9oUmW1yo/edit?usp=sharing"",""พะเยา!J245"")"),0)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IFERROR(__xludf.DUMMYFUNCTION("IMPORTRANGE(""https://docs.google.com/spreadsheets/d/11923uPwbBZFjjGgGUA6NLw09EwE0CqkOc4q9oUmW1yo/edit?usp=sharing"",""พะเยา!L246"")"),0)</f>
        <v>0</v>
      </c>
      <c r="M351" s="172"/>
      <c r="N351" s="172">
        <f ca="1">IFERROR(__xludf.DUMMYFUNCTION("IMPORTRANGE(""https://docs.google.com/spreadsheets/d/11923uPwbBZFjjGgGUA6NLw09EwE0CqkOc4q9oUmW1yo/edit?usp=sharing"",""พะเยา!M246"")"),0)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IFERROR(__xludf.DUMMYFUNCTION("IMPORTRANGE(""https://docs.google.com/spreadsheets/d/11923uPwbBZFjjGgGUA6NLw09EwE0CqkOc4q9oUmW1yo/edit?usp=sharing"",""พะเยา!L247"")"),363980)</f>
        <v>363980</v>
      </c>
      <c r="M352" s="173"/>
      <c r="N352" s="172">
        <f ca="1">IFERROR(__xludf.DUMMYFUNCTION("IMPORTRANGE(""https://docs.google.com/spreadsheets/d/11923uPwbBZFjjGgGUA6NLw09EwE0CqkOc4q9oUmW1yo/edit?usp=sharing"",""พะเยา!M247"")"),65709.74)</f>
        <v>65709.740000000005</v>
      </c>
      <c r="O352" s="173">
        <f t="shared" ca="1" si="105"/>
        <v>18.053118303203476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IFERROR(__xludf.DUMMYFUNCTION("IMPORTRANGE(""https://docs.google.com/spreadsheets/d/11923uPwbBZFjjGgGUA6NLw09EwE0CqkOc4q9oUmW1yo/edit?usp=sharing"",""พะเยา!L248"")"),0)</f>
        <v>0</v>
      </c>
      <c r="M353" s="178"/>
      <c r="N353" s="178">
        <f ca="1">IFERROR(__xludf.DUMMYFUNCTION("IMPORTRANGE(""https://docs.google.com/spreadsheets/d/11923uPwbBZFjjGgGUA6NLw09EwE0CqkOc4q9oUmW1yo/edit?usp=sharing"",""พะเยา!M248"")"),0)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IFERROR(__xludf.DUMMYFUNCTION("IMPORTRANGE(""https://docs.google.com/spreadsheets/d/11923uPwbBZFjjGgGUA6NLw09EwE0CqkOc4q9oUmW1yo/edit?usp=sharing"",""พะเยา!L249"")"),363980)</f>
        <v>363980</v>
      </c>
      <c r="M354" s="178"/>
      <c r="N354" s="175">
        <f ca="1">IFERROR(__xludf.DUMMYFUNCTION("IMPORTRANGE(""https://docs.google.com/spreadsheets/d/11923uPwbBZFjjGgGUA6NLw09EwE0CqkOc4q9oUmW1yo/edit?usp=sharing"",""พะเยา!M249"")"),65709.74)</f>
        <v>65709.740000000005</v>
      </c>
      <c r="O354" s="178">
        <f t="shared" ca="1" si="105"/>
        <v>18.053118303203476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IFERROR(__xludf.DUMMYFUNCTION("IMPORTRANGE(""https://docs.google.com/spreadsheets/d/11923uPwbBZFjjGgGUA6NLw09EwE0CqkOc4q9oUmW1yo/edit?usp=sharing"",""พะเยา!M250"")"),21500)</f>
        <v>21500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IFERROR(__xludf.DUMMYFUNCTION("IMPORTRANGE(""https://docs.google.com/spreadsheets/d/11923uPwbBZFjjGgGUA6NLw09EwE0CqkOc4q9oUmW1yo/edit?usp=sharing"",""พะเยา!M251"")"),0)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IFERROR(__xludf.DUMMYFUNCTION("IMPORTRANGE(""https://docs.google.com/spreadsheets/d/11923uPwbBZFjjGgGUA6NLw09EwE0CqkOc4q9oUmW1yo/edit?usp=sharing"",""พะเยา!M252"")"),26600.74)</f>
        <v>26600.74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IFERROR(__xludf.DUMMYFUNCTION("IMPORTRANGE(""https://docs.google.com/spreadsheets/d/11923uPwbBZFjjGgGUA6NLw09EwE0CqkOc4q9oUmW1yo/edit?usp=sharing"",""พะเยา!M253"")"),17609)</f>
        <v>17609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IFERROR(__xludf.DUMMYFUNCTION("IMPORTRANGE(""https://docs.google.com/spreadsheets/d/11923uPwbBZFjjGgGUA6NLw09EwE0CqkOc4q9oUmW1yo/edit?usp=sharing"",""พะเยา!J255"")"),0)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IFERROR(__xludf.DUMMYFUNCTION("IMPORTRANGE(""https://docs.google.com/spreadsheets/d/11923uPwbBZFjjGgGUA6NLw09EwE0CqkOc4q9oUmW1yo/edit?usp=sharing"",""พะเยา!J256"")"),1)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IFERROR(__xludf.DUMMYFUNCTION("IMPORTRANGE(""https://docs.google.com/spreadsheets/d/11923uPwbBZFjjGgGUA6NLw09EwE0CqkOc4q9oUmW1yo/edit?usp=sharing"",""พะเยา!J257"")"),1)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IFERROR(__xludf.DUMMYFUNCTION("IMPORTRANGE(""https://docs.google.com/spreadsheets/d/11923uPwbBZFjjGgGUA6NLw09EwE0CqkOc4q9oUmW1yo/edit?usp=sharing"",""พะเยา!J258"")"),1)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IFERROR(__xludf.DUMMYFUNCTION("IMPORTRANGE(""https://docs.google.com/spreadsheets/d/11923uPwbBZFjjGgGUA6NLw09EwE0CqkOc4q9oUmW1yo/edit?usp=sharing"",""พะเยา!J166"")"),0)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IFERROR(__xludf.DUMMYFUNCTION("IMPORTRANGE(""https://docs.google.com/spreadsheets/d/11923uPwbBZFjjGgGUA6NLw09EwE0CqkOc4q9oUmW1yo/edit?usp=sharing"",""พะเยา!J166"")"),0)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IFERROR(__xludf.DUMMYFUNCTION("IMPORTRANGE(""https://docs.google.com/spreadsheets/d/11923uPwbBZFjjGgGUA6NLw09EwE0CqkOc4q9oUmW1yo/edit?usp=sharing"",""พะเยา!J166"")"),0)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IFERROR(__xludf.DUMMYFUNCTION("IMPORTRANGE(""https://docs.google.com/spreadsheets/d/11923uPwbBZFjjGgGUA6NLw09EwE0CqkOc4q9oUmW1yo/edit?usp=sharing"",""พะเยา!J166"")"),0)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IFERROR(__xludf.DUMMYFUNCTION("IMPORTRANGE(""https://docs.google.com/spreadsheets/d/11923uPwbBZFjjGgGUA6NLw09EwE0CqkOc4q9oUmW1yo/edit?usp=sharing"",""พะเยา!I263"")"),60)</f>
        <v>60</v>
      </c>
      <c r="J368" s="197">
        <f ca="1">IFERROR(__xludf.DUMMYFUNCTION("IMPORTRANGE(""https://docs.google.com/spreadsheets/d/11923uPwbBZFjjGgGUA6NLw09EwE0CqkOc4q9oUmW1yo/edit?usp=sharing"",""พะเยา!J263"")"),0)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IFERROR(__xludf.DUMMYFUNCTION("IMPORTRANGE(""https://docs.google.com/spreadsheets/d/11923uPwbBZFjjGgGUA6NLw09EwE0CqkOc4q9oUmW1yo/edit?usp=sharing"",""พะเยา!I164"")"),0)</f>
        <v>0</v>
      </c>
      <c r="J369" s="213">
        <f ca="1">IFERROR(__xludf.DUMMYFUNCTION("IMPORTRANGE(""https://docs.google.com/spreadsheets/d/11923uPwbBZFjjGgGUA6NLw09EwE0CqkOc4q9oUmW1yo/edit?usp=sharing"",""พะเยา!J164"")"),0)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IFERROR(__xludf.DUMMYFUNCTION("IMPORTRANGE(""https://docs.google.com/spreadsheets/d/11923uPwbBZFjjGgGUA6NLw09EwE0CqkOc4q9oUmW1yo/edit?usp=sharing"",""พะเยา!I265"")"),60)</f>
        <v>60</v>
      </c>
      <c r="J370" s="213">
        <f ca="1">IFERROR(__xludf.DUMMYFUNCTION("IMPORTRANGE(""https://docs.google.com/spreadsheets/d/11923uPwbBZFjjGgGUA6NLw09EwE0CqkOc4q9oUmW1yo/edit?usp=sharing"",""พะเยา!J265"")"),40)</f>
        <v>40</v>
      </c>
      <c r="K370" s="171">
        <f t="shared" ca="1" si="106"/>
        <v>66.666666666666671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IFERROR(__xludf.DUMMYFUNCTION("IMPORTRANGE(""https://docs.google.com/spreadsheets/d/11923uPwbBZFjjGgGUA6NLw09EwE0CqkOc4q9oUmW1yo/edit?usp=sharing"",""พะเยา!I164"")"),0)</f>
        <v>0</v>
      </c>
      <c r="J371" s="198">
        <f ca="1">IFERROR(__xludf.DUMMYFUNCTION("IMPORTRANGE(""https://docs.google.com/spreadsheets/d/11923uPwbBZFjjGgGUA6NLw09EwE0CqkOc4q9oUmW1yo/edit?usp=sharing"",""พะเยา!J164"")"),0)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IFERROR(__xludf.DUMMYFUNCTION("IMPORTRANGE(""https://docs.google.com/spreadsheets/d/11923uPwbBZFjjGgGUA6NLw09EwE0CqkOc4q9oUmW1yo/edit?usp=sharing"",""พะเยา!I267"")"),60)</f>
        <v>60</v>
      </c>
      <c r="J372" s="198">
        <f ca="1">IFERROR(__xludf.DUMMYFUNCTION("IMPORTRANGE(""https://docs.google.com/spreadsheets/d/11923uPwbBZFjjGgGUA6NLw09EwE0CqkOc4q9oUmW1yo/edit?usp=sharing"",""พะเยา!J267"")"),0)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IFERROR(__xludf.DUMMYFUNCTION("IMPORTRANGE(""https://docs.google.com/spreadsheets/d/11923uPwbBZFjjGgGUA6NLw09EwE0CqkOc4q9oUmW1yo/edit?usp=sharing"",""พะเยา!I164"")"),0)</f>
        <v>0</v>
      </c>
      <c r="J373" s="213">
        <f ca="1">IFERROR(__xludf.DUMMYFUNCTION("IMPORTRANGE(""https://docs.google.com/spreadsheets/d/11923uPwbBZFjjGgGUA6NLw09EwE0CqkOc4q9oUmW1yo/edit?usp=sharing"",""พะเยา!J164"")"),0)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IFERROR(__xludf.DUMMYFUNCTION("IMPORTRANGE(""https://docs.google.com/spreadsheets/d/11923uPwbBZFjjGgGUA6NLw09EwE0CqkOc4q9oUmW1yo/edit?usp=sharing"",""พะเยา!I164"")"),0)</f>
        <v>0</v>
      </c>
      <c r="J374" s="197">
        <f ca="1">IFERROR(__xludf.DUMMYFUNCTION("IMPORTRANGE(""https://docs.google.com/spreadsheets/d/11923uPwbBZFjjGgGUA6NLw09EwE0CqkOc4q9oUmW1yo/edit?usp=sharing"",""พะเยา!J164"")"),0)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IFERROR(__xludf.DUMMYFUNCTION("IMPORTRANGE(""https://docs.google.com/spreadsheets/d/11923uPwbBZFjjGgGUA6NLw09EwE0CqkOc4q9oUmW1yo/edit?usp=sharing"",""พะเยา!I270"")"),105)</f>
        <v>105</v>
      </c>
      <c r="J375" s="197">
        <f ca="1">IFERROR(__xludf.DUMMYFUNCTION("IMPORTRANGE(""https://docs.google.com/spreadsheets/d/11923uPwbBZFjjGgGUA6NLw09EwE0CqkOc4q9oUmW1yo/edit?usp=sharing"",""พะเยา!J270"")"),0)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IFERROR(__xludf.DUMMYFUNCTION("IMPORTRANGE(""https://docs.google.com/spreadsheets/d/11923uPwbBZFjjGgGUA6NLw09EwE0CqkOc4q9oUmW1yo/edit?usp=sharing"",""พะเยา!I271"")"),30)</f>
        <v>30</v>
      </c>
      <c r="J376" s="198">
        <f ca="1">IFERROR(__xludf.DUMMYFUNCTION("IMPORTRANGE(""https://docs.google.com/spreadsheets/d/11923uPwbBZFjjGgGUA6NLw09EwE0CqkOc4q9oUmW1yo/edit?usp=sharing"",""พะเยา!J271"")"),0)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IFERROR(__xludf.DUMMYFUNCTION("IMPORTRANGE(""https://docs.google.com/spreadsheets/d/11923uPwbBZFjjGgGUA6NLw09EwE0CqkOc4q9oUmW1yo/edit?usp=sharing"",""พะเยา!I272"")"),75)</f>
        <v>75</v>
      </c>
      <c r="J377" s="213">
        <f ca="1">IFERROR(__xludf.DUMMYFUNCTION("IMPORTRANGE(""https://docs.google.com/spreadsheets/d/11923uPwbBZFjjGgGUA6NLw09EwE0CqkOc4q9oUmW1yo/edit?usp=sharing"",""พะเยา!J272"")"),0)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IFERROR(__xludf.DUMMYFUNCTION("IMPORTRANGE(""https://docs.google.com/spreadsheets/d/11923uPwbBZFjjGgGUA6NLw09EwE0CqkOc4q9oUmW1yo/edit?usp=sharing"",""พะเยา!J273"")"),0)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IFERROR(__xludf.DUMMYFUNCTION("IMPORTRANGE(""https://docs.google.com/spreadsheets/d/11923uPwbBZFjjGgGUA6NLw09EwE0CqkOc4q9oUmW1yo/edit?usp=sharing"",""พะเยา!J274"")"),0)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IFERROR(__xludf.DUMMYFUNCTION("IMPORTRANGE(""https://docs.google.com/spreadsheets/d/11923uPwbBZFjjGgGUA6NLw09EwE0CqkOc4q9oUmW1yo/edit?usp=sharing"",""พะเยา!I275"")"),1000)</f>
        <v>1000</v>
      </c>
      <c r="J380" s="379">
        <f ca="1">IFERROR(__xludf.DUMMYFUNCTION("IMPORTRANGE(""https://docs.google.com/spreadsheets/d/11923uPwbBZFjjGgGUA6NLw09EwE0CqkOc4q9oUmW1yo/edit?usp=sharing"",""พะเยา!J275"")"),0)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IFERROR(__xludf.DUMMYFUNCTION("IMPORTRANGE(""https://docs.google.com/spreadsheets/d/11923uPwbBZFjjGgGUA6NLw09EwE0CqkOc4q9oUmW1yo/edit?usp=sharing"",""พะเยา!L275"")"),1028520)</f>
        <v>1028520</v>
      </c>
      <c r="M380" s="381"/>
      <c r="N380" s="381">
        <f ca="1">IFERROR(__xludf.DUMMYFUNCTION("IMPORTRANGE(""https://docs.google.com/spreadsheets/d/11923uPwbBZFjjGgGUA6NLw09EwE0CqkOc4q9oUmW1yo/edit?usp=sharing"",""พะเยา!M275"")"),107482)</f>
        <v>107482</v>
      </c>
      <c r="O380" s="381">
        <f ca="1">+IF(L380&gt;0,N380*100/L380,0)</f>
        <v>10.450161396958737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IFERROR(__xludf.DUMMYFUNCTION("IMPORTRANGE(""https://docs.google.com/spreadsheets/d/11923uPwbBZFjjGgGUA6NLw09EwE0CqkOc4q9oUmW1yo/edit?usp=sharing"",""พะเยา!I276"")"),100)</f>
        <v>100</v>
      </c>
      <c r="J381" s="379">
        <f ca="1">IFERROR(__xludf.DUMMYFUNCTION("IMPORTRANGE(""https://docs.google.com/spreadsheets/d/11923uPwbBZFjjGgGUA6NLw09EwE0CqkOc4q9oUmW1yo/edit?usp=sharing"",""พะเยา!J276"")"),30)</f>
        <v>30</v>
      </c>
      <c r="K381" s="380">
        <f t="shared" ca="1" si="108"/>
        <v>30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IFERROR(__xludf.DUMMYFUNCTION("IMPORTRANGE(""https://docs.google.com/spreadsheets/d/11923uPwbBZFjjGgGUA6NLw09EwE0CqkOc4q9oUmW1yo/edit?usp=sharing"",""พะเยา!L277"")"),0)</f>
        <v>0</v>
      </c>
      <c r="M382" s="172"/>
      <c r="N382" s="172">
        <f ca="1">IFERROR(__xludf.DUMMYFUNCTION("IMPORTRANGE(""https://docs.google.com/spreadsheets/d/11923uPwbBZFjjGgGUA6NLw09EwE0CqkOc4q9oUmW1yo/edit?usp=sharing"",""พะเยา!M277"")"),0)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IFERROR(__xludf.DUMMYFUNCTION("IMPORTRANGE(""https://docs.google.com/spreadsheets/d/11923uPwbBZFjjGgGUA6NLw09EwE0CqkOc4q9oUmW1yo/edit?usp=sharing"",""พะเยา!L278"")"),1028520)</f>
        <v>1028520</v>
      </c>
      <c r="M383" s="173"/>
      <c r="N383" s="173">
        <f ca="1">IFERROR(__xludf.DUMMYFUNCTION("IMPORTRANGE(""https://docs.google.com/spreadsheets/d/11923uPwbBZFjjGgGUA6NLw09EwE0CqkOc4q9oUmW1yo/edit?usp=sharing"",""พะเยา!M278"")"),107482)</f>
        <v>107482</v>
      </c>
      <c r="O383" s="173">
        <f t="shared" ca="1" si="109"/>
        <v>10.450161396958737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IFERROR(__xludf.DUMMYFUNCTION("IMPORTRANGE(""https://docs.google.com/spreadsheets/d/11923uPwbBZFjjGgGUA6NLw09EwE0CqkOc4q9oUmW1yo/edit?usp=sharing"",""พะเยา!L279"")"),0)</f>
        <v>0</v>
      </c>
      <c r="M384" s="178"/>
      <c r="N384" s="178">
        <f ca="1">IFERROR(__xludf.DUMMYFUNCTION("IMPORTRANGE(""https://docs.google.com/spreadsheets/d/11923uPwbBZFjjGgGUA6NLw09EwE0CqkOc4q9oUmW1yo/edit?usp=sharing"",""พะเยา!M279"")"),0)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IFERROR(__xludf.DUMMYFUNCTION("IMPORTRANGE(""https://docs.google.com/spreadsheets/d/11923uPwbBZFjjGgGUA6NLw09EwE0CqkOc4q9oUmW1yo/edit?usp=sharing"",""พะเยา!L280"")"),1028520)</f>
        <v>1028520</v>
      </c>
      <c r="M385" s="178"/>
      <c r="N385" s="175">
        <f ca="1">IFERROR(__xludf.DUMMYFUNCTION("IMPORTRANGE(""https://docs.google.com/spreadsheets/d/11923uPwbBZFjjGgGUA6NLw09EwE0CqkOc4q9oUmW1yo/edit?usp=sharing"",""พะเยา!M280"")"),107482)</f>
        <v>107482</v>
      </c>
      <c r="O385" s="178">
        <f t="shared" ca="1" si="109"/>
        <v>10.450161396958737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IFERROR(__xludf.DUMMYFUNCTION("IMPORTRANGE(""https://docs.google.com/spreadsheets/d/11923uPwbBZFjjGgGUA6NLw09EwE0CqkOc4q9oUmW1yo/edit?usp=sharing"",""พะเยา!M281"")"),79870)</f>
        <v>79870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IFERROR(__xludf.DUMMYFUNCTION("IMPORTRANGE(""https://docs.google.com/spreadsheets/d/11923uPwbBZFjjGgGUA6NLw09EwE0CqkOc4q9oUmW1yo/edit?usp=sharing"",""พะเยา!M282"")"),0)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IFERROR(__xludf.DUMMYFUNCTION("IMPORTRANGE(""https://docs.google.com/spreadsheets/d/11923uPwbBZFjjGgGUA6NLw09EwE0CqkOc4q9oUmW1yo/edit?usp=sharing"",""พะเยา!M283"")"),20532)</f>
        <v>20532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IFERROR(__xludf.DUMMYFUNCTION("IMPORTRANGE(""https://docs.google.com/spreadsheets/d/11923uPwbBZFjjGgGUA6NLw09EwE0CqkOc4q9oUmW1yo/edit?usp=sharing"",""พะเยา!M284"")"),7080)</f>
        <v>7080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IFERROR(__xludf.DUMMYFUNCTION("IMPORTRANGE(""https://docs.google.com/spreadsheets/d/11923uPwbBZFjjGgGUA6NLw09EwE0CqkOc4q9oUmW1yo/edit?usp=sharing"",""พะเยา!J286"")"),0)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IFERROR(__xludf.DUMMYFUNCTION("IMPORTRANGE(""https://docs.google.com/spreadsheets/d/11923uPwbBZFjjGgGUA6NLw09EwE0CqkOc4q9oUmW1yo/edit?usp=sharing"",""พะเยา!J287"")"),1)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IFERROR(__xludf.DUMMYFUNCTION("IMPORTRANGE(""https://docs.google.com/spreadsheets/d/11923uPwbBZFjjGgGUA6NLw09EwE0CqkOc4q9oUmW1yo/edit?usp=sharing"",""พะเยา!J288"")"),1)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IFERROR(__xludf.DUMMYFUNCTION("IMPORTRANGE(""https://docs.google.com/spreadsheets/d/11923uPwbBZFjjGgGUA6NLw09EwE0CqkOc4q9oUmW1yo/edit?usp=sharing"",""พะเยา!J289"")"),1)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IFERROR(__xludf.DUMMYFUNCTION("IMPORTRANGE(""https://docs.google.com/spreadsheets/d/11923uPwbBZFjjGgGUA6NLw09EwE0CqkOc4q9oUmW1yo/edit?usp=sharing"",""พะเยา!I291"")"),100)</f>
        <v>100</v>
      </c>
      <c r="J396" s="207">
        <f ca="1">IFERROR(__xludf.DUMMYFUNCTION("IMPORTRANGE(""https://docs.google.com/spreadsheets/d/11923uPwbBZFjjGgGUA6NLw09EwE0CqkOc4q9oUmW1yo/edit?usp=sharing"",""พะเยา!J291"")"),30)</f>
        <v>30</v>
      </c>
      <c r="K396" s="171">
        <f t="shared" ref="K396:K398" ca="1" si="110">IF(I396&gt;0,J396*100/I396,0)</f>
        <v>30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IFERROR(__xludf.DUMMYFUNCTION("IMPORTRANGE(""https://docs.google.com/spreadsheets/d/11923uPwbBZFjjGgGUA6NLw09EwE0CqkOc4q9oUmW1yo/edit?usp=sharing"",""พะเยา!I292"")"),1000)</f>
        <v>1000</v>
      </c>
      <c r="J397" s="207">
        <f ca="1">IFERROR(__xludf.DUMMYFUNCTION("IMPORTRANGE(""https://docs.google.com/spreadsheets/d/11923uPwbBZFjjGgGUA6NLw09EwE0CqkOc4q9oUmW1yo/edit?usp=sharing"",""พะเยา!J292"")"),0)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IFERROR(__xludf.DUMMYFUNCTION("IMPORTRANGE(""https://docs.google.com/spreadsheets/d/11923uPwbBZFjjGgGUA6NLw09EwE0CqkOc4q9oUmW1yo/edit?usp=sharing"",""พะเยา!I293"")"),100)</f>
        <v>100</v>
      </c>
      <c r="J398" s="207">
        <f ca="1">IFERROR(__xludf.DUMMYFUNCTION("IMPORTRANGE(""https://docs.google.com/spreadsheets/d/11923uPwbBZFjjGgGUA6NLw09EwE0CqkOc4q9oUmW1yo/edit?usp=sharing"",""พะเยา!J293"")"),0)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IFERROR(__xludf.DUMMYFUNCTION("IMPORTRANGE(""https://docs.google.com/spreadsheets/d/11923uPwbBZFjjGgGUA6NLw09EwE0CqkOc4q9oUmW1yo/edit?usp=sharing"",""พะเยา!J294"")"),0)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IFERROR(__xludf.DUMMYFUNCTION("IMPORTRANGE(""https://docs.google.com/spreadsheets/d/11923uPwbBZFjjGgGUA6NLw09EwE0CqkOc4q9oUmW1yo/edit?usp=sharing"",""พะเยา!J295"")"),0)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IFERROR(__xludf.DUMMYFUNCTION("IMPORTRANGE(""https://docs.google.com/spreadsheets/d/11923uPwbBZFjjGgGUA6NLw09EwE0CqkOc4q9oUmW1yo/edit?usp=sharing"",""พะเยา!I296"")"),261)</f>
        <v>261</v>
      </c>
      <c r="J401" s="379">
        <f ca="1">IFERROR(__xludf.DUMMYFUNCTION("IMPORTRANGE(""https://docs.google.com/spreadsheets/d/11923uPwbBZFjjGgGUA6NLw09EwE0CqkOc4q9oUmW1yo/edit?usp=sharing"",""พะเยา!J296"")"),0)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IFERROR(__xludf.DUMMYFUNCTION("IMPORTRANGE(""https://docs.google.com/spreadsheets/d/11923uPwbBZFjjGgGUA6NLw09EwE0CqkOc4q9oUmW1yo/edit?usp=sharing"",""พะเยา!L296"")"),271920)</f>
        <v>271920</v>
      </c>
      <c r="M401" s="381"/>
      <c r="N401" s="381">
        <f ca="1">IFERROR(__xludf.DUMMYFUNCTION("IMPORTRANGE(""https://docs.google.com/spreadsheets/d/11923uPwbBZFjjGgGUA6NLw09EwE0CqkOc4q9oUmW1yo/edit?usp=sharing"",""พะเยา!M296"")"),0)</f>
        <v>0</v>
      </c>
      <c r="O401" s="381">
        <f ca="1">+IF(L401&gt;0,N401*100/L401,0)</f>
        <v>0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IFERROR(__xludf.DUMMYFUNCTION("IMPORTRANGE(""https://docs.google.com/spreadsheets/d/11923uPwbBZFjjGgGUA6NLw09EwE0CqkOc4q9oUmW1yo/edit?usp=sharing"",""พะเยา!I297"")"),87)</f>
        <v>87</v>
      </c>
      <c r="J402" s="379">
        <f ca="1">IFERROR(__xludf.DUMMYFUNCTION("IMPORTRANGE(""https://docs.google.com/spreadsheets/d/11923uPwbBZFjjGgGUA6NLw09EwE0CqkOc4q9oUmW1yo/edit?usp=sharing"",""พะเยา!J297"")"),0)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IFERROR(__xludf.DUMMYFUNCTION("IMPORTRANGE(""https://docs.google.com/spreadsheets/d/11923uPwbBZFjjGgGUA6NLw09EwE0CqkOc4q9oUmW1yo/edit?usp=sharing"",""พะเยา!L298"")"),0)</f>
        <v>0</v>
      </c>
      <c r="M403" s="172"/>
      <c r="N403" s="178">
        <f ca="1">IFERROR(__xludf.DUMMYFUNCTION("IMPORTRANGE(""https://docs.google.com/spreadsheets/d/11923uPwbBZFjjGgGUA6NLw09EwE0CqkOc4q9oUmW1yo/edit?usp=sharing"",""พะเยา!M298"")"),0)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IFERROR(__xludf.DUMMYFUNCTION("IMPORTRANGE(""https://docs.google.com/spreadsheets/d/11923uPwbBZFjjGgGUA6NLw09EwE0CqkOc4q9oUmW1yo/edit?usp=sharing"",""พะเยา!L299"")"),271920)</f>
        <v>271920</v>
      </c>
      <c r="M404" s="173"/>
      <c r="N404" s="178">
        <f ca="1">IFERROR(__xludf.DUMMYFUNCTION("IMPORTRANGE(""https://docs.google.com/spreadsheets/d/11923uPwbBZFjjGgGUA6NLw09EwE0CqkOc4q9oUmW1yo/edit?usp=sharing"",""พะเยา!M299"")"),0)</f>
        <v>0</v>
      </c>
      <c r="O404" s="178">
        <f t="shared" ca="1" si="112"/>
        <v>0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IFERROR(__xludf.DUMMYFUNCTION("IMPORTRANGE(""https://docs.google.com/spreadsheets/d/11923uPwbBZFjjGgGUA6NLw09EwE0CqkOc4q9oUmW1yo/edit?usp=sharing"",""พะเยา!L300"")"),0)</f>
        <v>0</v>
      </c>
      <c r="M405" s="178"/>
      <c r="N405" s="178">
        <f ca="1">IFERROR(__xludf.DUMMYFUNCTION("IMPORTRANGE(""https://docs.google.com/spreadsheets/d/11923uPwbBZFjjGgGUA6NLw09EwE0CqkOc4q9oUmW1yo/edit?usp=sharing"",""พะเยา!M300"")"),0)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IFERROR(__xludf.DUMMYFUNCTION("IMPORTRANGE(""https://docs.google.com/spreadsheets/d/11923uPwbBZFjjGgGUA6NLw09EwE0CqkOc4q9oUmW1yo/edit?usp=sharing"",""พะเยา!L301"")"),271920)</f>
        <v>271920</v>
      </c>
      <c r="M406" s="178"/>
      <c r="N406" s="178">
        <f ca="1">IFERROR(__xludf.DUMMYFUNCTION("IMPORTRANGE(""https://docs.google.com/spreadsheets/d/11923uPwbBZFjjGgGUA6NLw09EwE0CqkOc4q9oUmW1yo/edit?usp=sharing"",""พะเยา!M301"")"),0)</f>
        <v>0</v>
      </c>
      <c r="O406" s="178">
        <f t="shared" ca="1" si="112"/>
        <v>0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IFERROR(__xludf.DUMMYFUNCTION("IMPORTRANGE(""https://docs.google.com/spreadsheets/d/11923uPwbBZFjjGgGUA6NLw09EwE0CqkOc4q9oUmW1yo/edit?usp=sharing"",""พะเยา!M302"")"),0)</f>
        <v>0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IFERROR(__xludf.DUMMYFUNCTION("IMPORTRANGE(""https://docs.google.com/spreadsheets/d/11923uPwbBZFjjGgGUA6NLw09EwE0CqkOc4q9oUmW1yo/edit?usp=sharing"",""พะเยา!M303"")"),0)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IFERROR(__xludf.DUMMYFUNCTION("IMPORTRANGE(""https://docs.google.com/spreadsheets/d/11923uPwbBZFjjGgGUA6NLw09EwE0CqkOc4q9oUmW1yo/edit?usp=sharing"",""พะเยา!M304"")"),0)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IFERROR(__xludf.DUMMYFUNCTION("IMPORTRANGE(""https://docs.google.com/spreadsheets/d/11923uPwbBZFjjGgGUA6NLw09EwE0CqkOc4q9oUmW1yo/edit?usp=sharing"",""พะเยา!M305"")"),0)</f>
        <v>0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IFERROR(__xludf.DUMMYFUNCTION("IMPORTRANGE(""https://docs.google.com/spreadsheets/d/11923uPwbBZFjjGgGUA6NLw09EwE0CqkOc4q9oUmW1yo/edit?usp=sharing"",""พะเยา!J307"")"),0)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IFERROR(__xludf.DUMMYFUNCTION("IMPORTRANGE(""https://docs.google.com/spreadsheets/d/11923uPwbBZFjjGgGUA6NLw09EwE0CqkOc4q9oUmW1yo/edit?usp=sharing"",""พะเยา!J308"")"),1)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IFERROR(__xludf.DUMMYFUNCTION("IMPORTRANGE(""https://docs.google.com/spreadsheets/d/11923uPwbBZFjjGgGUA6NLw09EwE0CqkOc4q9oUmW1yo/edit?usp=sharing"",""พะเยา!J309"")"),1)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IFERROR(__xludf.DUMMYFUNCTION("IMPORTRANGE(""https://docs.google.com/spreadsheets/d/11923uPwbBZFjjGgGUA6NLw09EwE0CqkOc4q9oUmW1yo/edit?usp=sharing"",""พะเยา!J310"")"),1)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IFERROR(__xludf.DUMMYFUNCTION("IMPORTRANGE(""https://docs.google.com/spreadsheets/d/11923uPwbBZFjjGgGUA6NLw09EwE0CqkOc4q9oUmW1yo/edit?usp=sharing"",""พะเยา!I311"")"),87)</f>
        <v>87</v>
      </c>
      <c r="J416" s="210">
        <f ca="1">IFERROR(__xludf.DUMMYFUNCTION("IMPORTRANGE(""https://docs.google.com/spreadsheets/d/11923uPwbBZFjjGgGUA6NLw09EwE0CqkOc4q9oUmW1yo/edit?usp=sharing"",""พะเยา!J311"")"),0)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IFERROR(__xludf.DUMMYFUNCTION("IMPORTRANGE(""https://docs.google.com/spreadsheets/d/11923uPwbBZFjjGgGUA6NLw09EwE0CqkOc4q9oUmW1yo/edit?usp=sharing"",""พะเยา!I312"")"),20)</f>
        <v>20</v>
      </c>
      <c r="J417" s="400">
        <f ca="1">IFERROR(__xludf.DUMMYFUNCTION("IMPORTRANGE(""https://docs.google.com/spreadsheets/d/11923uPwbBZFjjGgGUA6NLw09EwE0CqkOc4q9oUmW1yo/edit?usp=sharing"",""พะเยา!J312"")"),0)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IFERROR(__xludf.DUMMYFUNCTION("IMPORTRANGE(""https://docs.google.com/spreadsheets/d/11923uPwbBZFjjGgGUA6NLw09EwE0CqkOc4q9oUmW1yo/edit?usp=sharing"",""พะเยา!I313"")"),60)</f>
        <v>60</v>
      </c>
      <c r="J418" s="401">
        <f ca="1">IFERROR(__xludf.DUMMYFUNCTION("IMPORTRANGE(""https://docs.google.com/spreadsheets/d/11923uPwbBZFjjGgGUA6NLw09EwE0CqkOc4q9oUmW1yo/edit?usp=sharing"",""พะเยา!J313"")"),0)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IFERROR(__xludf.DUMMYFUNCTION("IMPORTRANGE(""https://docs.google.com/spreadsheets/d/11923uPwbBZFjjGgGUA6NLw09EwE0CqkOc4q9oUmW1yo/edit?usp=sharing"",""พะเยา!I314"")"),20)</f>
        <v>20</v>
      </c>
      <c r="J419" s="402">
        <f ca="1">IFERROR(__xludf.DUMMYFUNCTION("IMPORTRANGE(""https://docs.google.com/spreadsheets/d/11923uPwbBZFjjGgGUA6NLw09EwE0CqkOc4q9oUmW1yo/edit?usp=sharing"",""พะเยา!J314"")"),0)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IFERROR(__xludf.DUMMYFUNCTION("IMPORTRANGE(""https://docs.google.com/spreadsheets/d/11923uPwbBZFjjGgGUA6NLw09EwE0CqkOc4q9oUmW1yo/edit?usp=sharing"",""พะเยา!I315"")"),20)</f>
        <v>20</v>
      </c>
      <c r="J420" s="402">
        <f ca="1">IFERROR(__xludf.DUMMYFUNCTION("IMPORTRANGE(""https://docs.google.com/spreadsheets/d/11923uPwbBZFjjGgGUA6NLw09EwE0CqkOc4q9oUmW1yo/edit?usp=sharing"",""พะเยา!J315"")"),0)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IFERROR(__xludf.DUMMYFUNCTION("IMPORTRANGE(""https://docs.google.com/spreadsheets/d/11923uPwbBZFjjGgGUA6NLw09EwE0CqkOc4q9oUmW1yo/edit?usp=sharing"",""พะเยา!I316"")"),50)</f>
        <v>50</v>
      </c>
      <c r="J421" s="400">
        <f ca="1">IFERROR(__xludf.DUMMYFUNCTION("IMPORTRANGE(""https://docs.google.com/spreadsheets/d/11923uPwbBZFjjGgGUA6NLw09EwE0CqkOc4q9oUmW1yo/edit?usp=sharing"",""พะเยา!J316"")"),0)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IFERROR(__xludf.DUMMYFUNCTION("IMPORTRANGE(""https://docs.google.com/spreadsheets/d/11923uPwbBZFjjGgGUA6NLw09EwE0CqkOc4q9oUmW1yo/edit?usp=sharing"",""พะเยา!I317"")"),150)</f>
        <v>150</v>
      </c>
      <c r="J422" s="401">
        <f ca="1">IFERROR(__xludf.DUMMYFUNCTION("IMPORTRANGE(""https://docs.google.com/spreadsheets/d/11923uPwbBZFjjGgGUA6NLw09EwE0CqkOc4q9oUmW1yo/edit?usp=sharing"",""พะเยา!J317"")"),0)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IFERROR(__xludf.DUMMYFUNCTION("IMPORTRANGE(""https://docs.google.com/spreadsheets/d/11923uPwbBZFjjGgGUA6NLw09EwE0CqkOc4q9oUmW1yo/edit?usp=sharing"",""พะเยา!I318"")"),50)</f>
        <v>50</v>
      </c>
      <c r="J423" s="402">
        <f ca="1">IFERROR(__xludf.DUMMYFUNCTION("IMPORTRANGE(""https://docs.google.com/spreadsheets/d/11923uPwbBZFjjGgGUA6NLw09EwE0CqkOc4q9oUmW1yo/edit?usp=sharing"",""พะเยา!J318"")"),0)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IFERROR(__xludf.DUMMYFUNCTION("IMPORTRANGE(""https://docs.google.com/spreadsheets/d/11923uPwbBZFjjGgGUA6NLw09EwE0CqkOc4q9oUmW1yo/edit?usp=sharing"",""พะเยา!I319"")"),50)</f>
        <v>50</v>
      </c>
      <c r="J424" s="402">
        <f ca="1">IFERROR(__xludf.DUMMYFUNCTION("IMPORTRANGE(""https://docs.google.com/spreadsheets/d/11923uPwbBZFjjGgGUA6NLw09EwE0CqkOc4q9oUmW1yo/edit?usp=sharing"",""พะเยา!J319"")"),0)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IFERROR(__xludf.DUMMYFUNCTION("IMPORTRANGE(""https://docs.google.com/spreadsheets/d/11923uPwbBZFjjGgGUA6NLw09EwE0CqkOc4q9oUmW1yo/edit?usp=sharing"",""พะเยา!I320"")"),50)</f>
        <v>50</v>
      </c>
      <c r="J425" s="402">
        <f ca="1">IFERROR(__xludf.DUMMYFUNCTION("IMPORTRANGE(""https://docs.google.com/spreadsheets/d/11923uPwbBZFjjGgGUA6NLw09EwE0CqkOc4q9oUmW1yo/edit?usp=sharing"",""พะเยา!J320"")"),0)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IFERROR(__xludf.DUMMYFUNCTION("IMPORTRANGE(""https://docs.google.com/spreadsheets/d/11923uPwbBZFjjGgGUA6NLw09EwE0CqkOc4q9oUmW1yo/edit?usp=sharing"",""พะเยา!I321"")"),17)</f>
        <v>17</v>
      </c>
      <c r="J426" s="400">
        <f ca="1">IFERROR(__xludf.DUMMYFUNCTION("IMPORTRANGE(""https://docs.google.com/spreadsheets/d/11923uPwbBZFjjGgGUA6NLw09EwE0CqkOc4q9oUmW1yo/edit?usp=sharing"",""พะเยา!J321"")"),0)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IFERROR(__xludf.DUMMYFUNCTION("IMPORTRANGE(""https://docs.google.com/spreadsheets/d/11923uPwbBZFjjGgGUA6NLw09EwE0CqkOc4q9oUmW1yo/edit?usp=sharing"",""พะเยา!I322"")"),51)</f>
        <v>51</v>
      </c>
      <c r="J427" s="401">
        <f ca="1">IFERROR(__xludf.DUMMYFUNCTION("IMPORTRANGE(""https://docs.google.com/spreadsheets/d/11923uPwbBZFjjGgGUA6NLw09EwE0CqkOc4q9oUmW1yo/edit?usp=sharing"",""พะเยา!J322"")"),0)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IFERROR(__xludf.DUMMYFUNCTION("IMPORTRANGE(""https://docs.google.com/spreadsheets/d/11923uPwbBZFjjGgGUA6NLw09EwE0CqkOc4q9oUmW1yo/edit?usp=sharing"",""พะเยา!I323"")"),17)</f>
        <v>17</v>
      </c>
      <c r="J428" s="402">
        <f ca="1">IFERROR(__xludf.DUMMYFUNCTION("IMPORTRANGE(""https://docs.google.com/spreadsheets/d/11923uPwbBZFjjGgGUA6NLw09EwE0CqkOc4q9oUmW1yo/edit?usp=sharing"",""พะเยา!J323"")"),0)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IFERROR(__xludf.DUMMYFUNCTION("IMPORTRANGE(""https://docs.google.com/spreadsheets/d/11923uPwbBZFjjGgGUA6NLw09EwE0CqkOc4q9oUmW1yo/edit?usp=sharing"",""พะเยา!I324"")"),17)</f>
        <v>17</v>
      </c>
      <c r="J429" s="402">
        <f ca="1">IFERROR(__xludf.DUMMYFUNCTION("IMPORTRANGE(""https://docs.google.com/spreadsheets/d/11923uPwbBZFjjGgGUA6NLw09EwE0CqkOc4q9oUmW1yo/edit?usp=sharing"",""พะเยา!J324"")"),0)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IFERROR(__xludf.DUMMYFUNCTION("IMPORTRANGE(""https://docs.google.com/spreadsheets/d/11923uPwbBZFjjGgGUA6NLw09EwE0CqkOc4q9oUmW1yo/edit?usp=sharing"",""พะเยา!I325"")"),70)</f>
        <v>70</v>
      </c>
      <c r="J430" s="400">
        <f ca="1">IFERROR(__xludf.DUMMYFUNCTION("IMPORTRANGE(""https://docs.google.com/spreadsheets/d/11923uPwbBZFjjGgGUA6NLw09EwE0CqkOc4q9oUmW1yo/edit?usp=sharing"",""พะเยา!J325"")"),0)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IFERROR(__xludf.DUMMYFUNCTION("IMPORTRANGE(""https://docs.google.com/spreadsheets/d/11923uPwbBZFjjGgGUA6NLw09EwE0CqkOc4q9oUmW1yo/edit?usp=sharing"",""พะเยา!I326"")"),20)</f>
        <v>20</v>
      </c>
      <c r="J431" s="402">
        <f ca="1">IFERROR(__xludf.DUMMYFUNCTION("IMPORTRANGE(""https://docs.google.com/spreadsheets/d/11923uPwbBZFjjGgGUA6NLw09EwE0CqkOc4q9oUmW1yo/edit?usp=sharing"",""พะเยา!J326"")"),0)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IFERROR(__xludf.DUMMYFUNCTION("IMPORTRANGE(""https://docs.google.com/spreadsheets/d/11923uPwbBZFjjGgGUA6NLw09EwE0CqkOc4q9oUmW1yo/edit?usp=sharing"",""พะเยา!I327"")"),50)</f>
        <v>50</v>
      </c>
      <c r="J432" s="402">
        <f ca="1">IFERROR(__xludf.DUMMYFUNCTION("IMPORTRANGE(""https://docs.google.com/spreadsheets/d/11923uPwbBZFjjGgGUA6NLw09EwE0CqkOc4q9oUmW1yo/edit?usp=sharing"",""พะเยา!J327"")"),0)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IFERROR(__xludf.DUMMYFUNCTION("IMPORTRANGE(""https://docs.google.com/spreadsheets/d/11923uPwbBZFjjGgGUA6NLw09EwE0CqkOc4q9oUmW1yo/edit?usp=sharing"",""พะเยา!J328"")"),0)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IFERROR(__xludf.DUMMYFUNCTION("IMPORTRANGE(""https://docs.google.com/spreadsheets/d/11923uPwbBZFjjGgGUA6NLw09EwE0CqkOc4q9oUmW1yo/edit?usp=sharing"",""พะเยา!J329"")"),0)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IFERROR(__xludf.DUMMYFUNCTION("IMPORTRANGE(""https://docs.google.com/spreadsheets/d/11923uPwbBZFjjGgGUA6NLw09EwE0CqkOc4q9oUmW1yo/edit?usp=sharing"",""พะเยา!I330"")"),43)</f>
        <v>43</v>
      </c>
      <c r="J435" s="418">
        <f ca="1">IFERROR(__xludf.DUMMYFUNCTION("IMPORTRANGE(""https://docs.google.com/spreadsheets/d/11923uPwbBZFjjGgGUA6NLw09EwE0CqkOc4q9oUmW1yo/edit?usp=sharing"",""พะเยา!J330"")"),43)</f>
        <v>43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IFERROR(__xludf.DUMMYFUNCTION("IMPORTRANGE(""https://docs.google.com/spreadsheets/d/11923uPwbBZFjjGgGUA6NLw09EwE0CqkOc4q9oUmW1yo/edit?usp=sharing"",""พะเยา!L330"")"),145000)</f>
        <v>145000</v>
      </c>
      <c r="M435" s="420"/>
      <c r="N435" s="420">
        <f ca="1">IFERROR(__xludf.DUMMYFUNCTION("IMPORTRANGE(""https://docs.google.com/spreadsheets/d/11923uPwbBZFjjGgGUA6NLw09EwE0CqkOc4q9oUmW1yo/edit?usp=sharing"",""พะเยา!M330"")"),58918)</f>
        <v>58918</v>
      </c>
      <c r="O435" s="420">
        <f t="shared" ref="O435:O439" ca="1" si="114">+IF(L435&gt;0,N435*100/L435,0)</f>
        <v>40.633103448275861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IFERROR(__xludf.DUMMYFUNCTION("IMPORTRANGE(""https://docs.google.com/spreadsheets/d/11923uPwbBZFjjGgGUA6NLw09EwE0CqkOc4q9oUmW1yo/edit?usp=sharing"",""พะเยา!L331"")"),0)</f>
        <v>0</v>
      </c>
      <c r="M436" s="172"/>
      <c r="N436" s="178">
        <f ca="1">IFERROR(__xludf.DUMMYFUNCTION("IMPORTRANGE(""https://docs.google.com/spreadsheets/d/11923uPwbBZFjjGgGUA6NLw09EwE0CqkOc4q9oUmW1yo/edit?usp=sharing"",""พะเยา!M331"")"),0)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IFERROR(__xludf.DUMMYFUNCTION("IMPORTRANGE(""https://docs.google.com/spreadsheets/d/11923uPwbBZFjjGgGUA6NLw09EwE0CqkOc4q9oUmW1yo/edit?usp=sharing"",""พะเยา!L332"")"),145000)</f>
        <v>145000</v>
      </c>
      <c r="M437" s="173"/>
      <c r="N437" s="178">
        <f ca="1">IFERROR(__xludf.DUMMYFUNCTION("IMPORTRANGE(""https://docs.google.com/spreadsheets/d/11923uPwbBZFjjGgGUA6NLw09EwE0CqkOc4q9oUmW1yo/edit?usp=sharing"",""พะเยา!M332"")"),58918)</f>
        <v>58918</v>
      </c>
      <c r="O437" s="178">
        <f t="shared" ca="1" si="114"/>
        <v>40.633103448275861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IFERROR(__xludf.DUMMYFUNCTION("IMPORTRANGE(""https://docs.google.com/spreadsheets/d/11923uPwbBZFjjGgGUA6NLw09EwE0CqkOc4q9oUmW1yo/edit?usp=sharing"",""พะเยา!L333"")"),0)</f>
        <v>0</v>
      </c>
      <c r="M438" s="178"/>
      <c r="N438" s="178">
        <f ca="1">IFERROR(__xludf.DUMMYFUNCTION("IMPORTRANGE(""https://docs.google.com/spreadsheets/d/11923uPwbBZFjjGgGUA6NLw09EwE0CqkOc4q9oUmW1yo/edit?usp=sharing"",""พะเยา!M333"")"),0)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IFERROR(__xludf.DUMMYFUNCTION("IMPORTRANGE(""https://docs.google.com/spreadsheets/d/11923uPwbBZFjjGgGUA6NLw09EwE0CqkOc4q9oUmW1yo/edit?usp=sharing"",""พะเยา!L334"")"),145000)</f>
        <v>145000</v>
      </c>
      <c r="M439" s="178"/>
      <c r="N439" s="178">
        <f ca="1">IFERROR(__xludf.DUMMYFUNCTION("IMPORTRANGE(""https://docs.google.com/spreadsheets/d/11923uPwbBZFjjGgGUA6NLw09EwE0CqkOc4q9oUmW1yo/edit?usp=sharing"",""พะเยา!M334"")"),58918)</f>
        <v>58918</v>
      </c>
      <c r="O439" s="178">
        <f t="shared" ca="1" si="114"/>
        <v>40.633103448275861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IFERROR(__xludf.DUMMYFUNCTION("IMPORTRANGE(""https://docs.google.com/spreadsheets/d/11923uPwbBZFjjGgGUA6NLw09EwE0CqkOc4q9oUmW1yo/edit?usp=sharing"",""พะเยา!M335"")"),55918)</f>
        <v>55918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IFERROR(__xludf.DUMMYFUNCTION("IMPORTRANGE(""https://docs.google.com/spreadsheets/d/11923uPwbBZFjjGgGUA6NLw09EwE0CqkOc4q9oUmW1yo/edit?usp=sharing"",""พะเยา!M336"")"),0)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IFERROR(__xludf.DUMMYFUNCTION("IMPORTRANGE(""https://docs.google.com/spreadsheets/d/11923uPwbBZFjjGgGUA6NLw09EwE0CqkOc4q9oUmW1yo/edit?usp=sharing"",""พะเยา!M337"")"),0)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IFERROR(__xludf.DUMMYFUNCTION("IMPORTRANGE(""https://docs.google.com/spreadsheets/d/11923uPwbBZFjjGgGUA6NLw09EwE0CqkOc4q9oUmW1yo/edit?usp=sharing"",""พะเยา!M338"")"),3000)</f>
        <v>3000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IFERROR(__xludf.DUMMYFUNCTION("IMPORTRANGE(""https://docs.google.com/spreadsheets/d/11923uPwbBZFjjGgGUA6NLw09EwE0CqkOc4q9oUmW1yo/edit?usp=sharing"",""พะเยา!J340"")"),0)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IFERROR(__xludf.DUMMYFUNCTION("IMPORTRANGE(""https://docs.google.com/spreadsheets/d/11923uPwbBZFjjGgGUA6NLw09EwE0CqkOc4q9oUmW1yo/edit?usp=sharing"",""พะเยา!J341"")"),1)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IFERROR(__xludf.DUMMYFUNCTION("IMPORTRANGE(""https://docs.google.com/spreadsheets/d/11923uPwbBZFjjGgGUA6NLw09EwE0CqkOc4q9oUmW1yo/edit?usp=sharing"",""พะเยา!J342"")"),1)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IFERROR(__xludf.DUMMYFUNCTION("IMPORTRANGE(""https://docs.google.com/spreadsheets/d/11923uPwbBZFjjGgGUA6NLw09EwE0CqkOc4q9oUmW1yo/edit?usp=sharing"",""พะเยา!J343"")"),1)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IFERROR(__xludf.DUMMYFUNCTION("IMPORTRANGE(""https://docs.google.com/spreadsheets/d/11923uPwbBZFjjGgGUA6NLw09EwE0CqkOc4q9oUmW1yo/edit?usp=sharing"",""พะเยา!I344"")"),43)</f>
        <v>43</v>
      </c>
      <c r="J449" s="210">
        <f ca="1">IFERROR(__xludf.DUMMYFUNCTION("IMPORTRANGE(""https://docs.google.com/spreadsheets/d/11923uPwbBZFjjGgGUA6NLw09EwE0CqkOc4q9oUmW1yo/edit?usp=sharing"",""พะเยา!J344"")"),43)</f>
        <v>43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IFERROR(__xludf.DUMMYFUNCTION("IMPORTRANGE(""https://docs.google.com/spreadsheets/d/11923uPwbBZFjjGgGUA6NLw09EwE0CqkOc4q9oUmW1yo/edit?usp=sharing"",""พะเยา!I345"")"),43)</f>
        <v>43</v>
      </c>
      <c r="J450" s="198">
        <f ca="1">IFERROR(__xludf.DUMMYFUNCTION("IMPORTRANGE(""https://docs.google.com/spreadsheets/d/11923uPwbBZFjjGgGUA6NLw09EwE0CqkOc4q9oUmW1yo/edit?usp=sharing"",""พะเยา!J345"")"),43)</f>
        <v>43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IFERROR(__xludf.DUMMYFUNCTION("IMPORTRANGE(""https://docs.google.com/spreadsheets/d/11923uPwbBZFjjGgGUA6NLw09EwE0CqkOc4q9oUmW1yo/edit?usp=sharing"",""พะเยา!I346"")"),0)</f>
        <v>0</v>
      </c>
      <c r="J451" s="197">
        <f ca="1">IFERROR(__xludf.DUMMYFUNCTION("IMPORTRANGE(""https://docs.google.com/spreadsheets/d/11923uPwbBZFjjGgGUA6NLw09EwE0CqkOc4q9oUmW1yo/edit?usp=sharing"",""พะเยา!J346"")"),0)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IFERROR(__xludf.DUMMYFUNCTION("IMPORTRANGE(""https://docs.google.com/spreadsheets/d/11923uPwbBZFjjGgGUA6NLw09EwE0CqkOc4q9oUmW1yo/edit?usp=sharing"",""พะเยา!I347"")"),0)</f>
        <v>0</v>
      </c>
      <c r="J452" s="197">
        <f ca="1">IFERROR(__xludf.DUMMYFUNCTION("IMPORTRANGE(""https://docs.google.com/spreadsheets/d/11923uPwbBZFjjGgGUA6NLw09EwE0CqkOc4q9oUmW1yo/edit?usp=sharing"",""พะเยา!J347"")"),0)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IFERROR(__xludf.DUMMYFUNCTION("IMPORTRANGE(""https://docs.google.com/spreadsheets/d/11923uPwbBZFjjGgGUA6NLw09EwE0CqkOc4q9oUmW1yo/edit?usp=sharing"",""พะเยา!J348"")"),0)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IFERROR(__xludf.DUMMYFUNCTION("IMPORTRANGE(""https://docs.google.com/spreadsheets/d/11923uPwbBZFjjGgGUA6NLw09EwE0CqkOc4q9oUmW1yo/edit?usp=sharing"",""พะเยา!J349"")"),0)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IFERROR(__xludf.DUMMYFUNCTION("IMPORTRANGE(""https://docs.google.com/spreadsheets/d/11923uPwbBZFjjGgGUA6NLw09EwE0CqkOc4q9oUmW1yo/edit?usp=sharing"",""พะเยา!I350"")"),28514)</f>
        <v>28514</v>
      </c>
      <c r="J455" s="379">
        <f ca="1">IFERROR(__xludf.DUMMYFUNCTION("IMPORTRANGE(""https://docs.google.com/spreadsheets/d/11923uPwbBZFjjGgGUA6NLw09EwE0CqkOc4q9oUmW1yo/edit?usp=sharing"",""พะเยา!J350"")"),0)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IFERROR(__xludf.DUMMYFUNCTION("IMPORTRANGE(""https://docs.google.com/spreadsheets/d/11923uPwbBZFjjGgGUA6NLw09EwE0CqkOc4q9oUmW1yo/edit?usp=sharing"",""พะเยา!L350"")"),396346)</f>
        <v>396346</v>
      </c>
      <c r="M455" s="381"/>
      <c r="N455" s="381">
        <f ca="1">IFERROR(__xludf.DUMMYFUNCTION("IMPORTRANGE(""https://docs.google.com/spreadsheets/d/11923uPwbBZFjjGgGUA6NLw09EwE0CqkOc4q9oUmW1yo/edit?usp=sharing"",""พะเยา!M350"")"),66447.35)</f>
        <v>66447.350000000006</v>
      </c>
      <c r="O455" s="381">
        <f t="shared" ref="O455:O459" ca="1" si="116">+IF(L455&gt;0,N455*100/L455,0)</f>
        <v>16.764985643856633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IFERROR(__xludf.DUMMYFUNCTION("IMPORTRANGE(""https://docs.google.com/spreadsheets/d/11923uPwbBZFjjGgGUA6NLw09EwE0CqkOc4q9oUmW1yo/edit?usp=sharing"",""พะเยา!L351"")"),0)</f>
        <v>0</v>
      </c>
      <c r="M456" s="172"/>
      <c r="N456" s="178">
        <f ca="1">IFERROR(__xludf.DUMMYFUNCTION("IMPORTRANGE(""https://docs.google.com/spreadsheets/d/11923uPwbBZFjjGgGUA6NLw09EwE0CqkOc4q9oUmW1yo/edit?usp=sharing"",""พะเยา!M351"")"),0)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IFERROR(__xludf.DUMMYFUNCTION("IMPORTRANGE(""https://docs.google.com/spreadsheets/d/11923uPwbBZFjjGgGUA6NLw09EwE0CqkOc4q9oUmW1yo/edit?usp=sharing"",""พะเยา!L352"")"),396346)</f>
        <v>396346</v>
      </c>
      <c r="M457" s="173"/>
      <c r="N457" s="178">
        <f ca="1">IFERROR(__xludf.DUMMYFUNCTION("IMPORTRANGE(""https://docs.google.com/spreadsheets/d/11923uPwbBZFjjGgGUA6NLw09EwE0CqkOc4q9oUmW1yo/edit?usp=sharing"",""พะเยา!M352"")"),66447.35)</f>
        <v>66447.350000000006</v>
      </c>
      <c r="O457" s="178">
        <f t="shared" ca="1" si="116"/>
        <v>16.764985643856633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IFERROR(__xludf.DUMMYFUNCTION("IMPORTRANGE(""https://docs.google.com/spreadsheets/d/11923uPwbBZFjjGgGUA6NLw09EwE0CqkOc4q9oUmW1yo/edit?usp=sharing"",""พะเยา!L353"")"),0)</f>
        <v>0</v>
      </c>
      <c r="M458" s="178"/>
      <c r="N458" s="178">
        <f ca="1">IFERROR(__xludf.DUMMYFUNCTION("IMPORTRANGE(""https://docs.google.com/spreadsheets/d/11923uPwbBZFjjGgGUA6NLw09EwE0CqkOc4q9oUmW1yo/edit?usp=sharing"",""พะเยา!M353"")"),0)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IFERROR(__xludf.DUMMYFUNCTION("IMPORTRANGE(""https://docs.google.com/spreadsheets/d/11923uPwbBZFjjGgGUA6NLw09EwE0CqkOc4q9oUmW1yo/edit?usp=sharing"",""พะเยา!L354"")"),396346)</f>
        <v>396346</v>
      </c>
      <c r="M459" s="178"/>
      <c r="N459" s="178">
        <f ca="1">IFERROR(__xludf.DUMMYFUNCTION("IMPORTRANGE(""https://docs.google.com/spreadsheets/d/11923uPwbBZFjjGgGUA6NLw09EwE0CqkOc4q9oUmW1yo/edit?usp=sharing"",""พะเยา!M354"")"),66447.35)</f>
        <v>66447.350000000006</v>
      </c>
      <c r="O459" s="178">
        <f t="shared" ca="1" si="116"/>
        <v>16.764985643856633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IFERROR(__xludf.DUMMYFUNCTION("IMPORTRANGE(""https://docs.google.com/spreadsheets/d/11923uPwbBZFjjGgGUA6NLw09EwE0CqkOc4q9oUmW1yo/edit?usp=sharing"",""พะเยา!M355"")"),0)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IFERROR(__xludf.DUMMYFUNCTION("IMPORTRANGE(""https://docs.google.com/spreadsheets/d/11923uPwbBZFjjGgGUA6NLw09EwE0CqkOc4q9oUmW1yo/edit?usp=sharing"",""พะเยา!M356"")"),0)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IFERROR(__xludf.DUMMYFUNCTION("IMPORTRANGE(""https://docs.google.com/spreadsheets/d/11923uPwbBZFjjGgGUA6NLw09EwE0CqkOc4q9oUmW1yo/edit?usp=sharing"",""พะเยา!M357"")"),29419.35)</f>
        <v>29419.35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IFERROR(__xludf.DUMMYFUNCTION("IMPORTRANGE(""https://docs.google.com/spreadsheets/d/11923uPwbBZFjjGgGUA6NLw09EwE0CqkOc4q9oUmW1yo/edit?usp=sharing"",""พะเยา!M358"")"),37028)</f>
        <v>37028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IFERROR(__xludf.DUMMYFUNCTION("IMPORTRANGE(""https://docs.google.com/spreadsheets/d/11923uPwbBZFjjGgGUA6NLw09EwE0CqkOc4q9oUmW1yo/edit?usp=sharing"",""พะเยา!I359"")"),28514)</f>
        <v>28514</v>
      </c>
      <c r="J464" s="276">
        <f ca="1">IFERROR(__xludf.DUMMYFUNCTION("IMPORTRANGE(""https://docs.google.com/spreadsheets/d/11923uPwbBZFjjGgGUA6NLw09EwE0CqkOc4q9oUmW1yo/edit?usp=sharing"",""พะเยา!J359"")"),0)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IFERROR(__xludf.DUMMYFUNCTION("IMPORTRANGE(""https://docs.google.com/spreadsheets/d/11923uPwbBZFjjGgGUA6NLw09EwE0CqkOc4q9oUmW1yo/edit?usp=sharing"",""พะเยา!I360"")"),28514)</f>
        <v>28514</v>
      </c>
      <c r="J465" s="428">
        <f ca="1">IFERROR(__xludf.DUMMYFUNCTION("IMPORTRANGE(""https://docs.google.com/spreadsheets/d/11923uPwbBZFjjGgGUA6NLw09EwE0CqkOc4q9oUmW1yo/edit?usp=sharing"",""พะเยา!J360"")"),0)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IFERROR(__xludf.DUMMYFUNCTION("IMPORTRANGE(""https://docs.google.com/spreadsheets/d/11923uPwbBZFjjGgGUA6NLw09EwE0CqkOc4q9oUmW1yo/edit?usp=sharing"",""พะเยา!I361"")"),5512)</f>
        <v>5512</v>
      </c>
      <c r="J466" s="428">
        <f ca="1">IFERROR(__xludf.DUMMYFUNCTION("IMPORTRANGE(""https://docs.google.com/spreadsheets/d/11923uPwbBZFjjGgGUA6NLw09EwE0CqkOc4q9oUmW1yo/edit?usp=sharing"",""พะเยา!J361"")"),0)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IFERROR(__xludf.DUMMYFUNCTION("IMPORTRANGE(""https://docs.google.com/spreadsheets/d/11923uPwbBZFjjGgGUA6NLw09EwE0CqkOc4q9oUmW1yo/edit?usp=sharing"",""พะเยา!I362"")"),0)</f>
        <v>0</v>
      </c>
      <c r="J467" s="198">
        <f ca="1">IFERROR(__xludf.DUMMYFUNCTION("IMPORTRANGE(""https://docs.google.com/spreadsheets/d/11923uPwbBZFjjGgGUA6NLw09EwE0CqkOc4q9oUmW1yo/edit?usp=sharing"",""พะเยา!J362"")"),0)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IFERROR(__xludf.DUMMYFUNCTION("IMPORTRANGE(""https://docs.google.com/spreadsheets/d/11923uPwbBZFjjGgGUA6NLw09EwE0CqkOc4q9oUmW1yo/edit?usp=sharing"",""พะเยา!I363"")"),0)</f>
        <v>0</v>
      </c>
      <c r="J468" s="198">
        <f ca="1">IFERROR(__xludf.DUMMYFUNCTION("IMPORTRANGE(""https://docs.google.com/spreadsheets/d/11923uPwbBZFjjGgGUA6NLw09EwE0CqkOc4q9oUmW1yo/edit?usp=sharing"",""พะเยา!J363"")"),0)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IFERROR(__xludf.DUMMYFUNCTION("IMPORTRANGE(""https://docs.google.com/spreadsheets/d/11923uPwbBZFjjGgGUA6NLw09EwE0CqkOc4q9oUmW1yo/edit?usp=sharing"",""พะเยา!I364"")"),0)</f>
        <v>0</v>
      </c>
      <c r="J469" s="198">
        <f ca="1">IFERROR(__xludf.DUMMYFUNCTION("IMPORTRANGE(""https://docs.google.com/spreadsheets/d/11923uPwbBZFjjGgGUA6NLw09EwE0CqkOc4q9oUmW1yo/edit?usp=sharing"",""พะเยา!J364"")"),0)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IFERROR(__xludf.DUMMYFUNCTION("IMPORTRANGE(""https://docs.google.com/spreadsheets/d/11923uPwbBZFjjGgGUA6NLw09EwE0CqkOc4q9oUmW1yo/edit?usp=sharing"",""พะเยา!I365"")"),0)</f>
        <v>0</v>
      </c>
      <c r="J470" s="198">
        <f ca="1">IFERROR(__xludf.DUMMYFUNCTION("IMPORTRANGE(""https://docs.google.com/spreadsheets/d/11923uPwbBZFjjGgGUA6NLw09EwE0CqkOc4q9oUmW1yo/edit?usp=sharing"",""พะเยา!J365"")"),0)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IFERROR(__xludf.DUMMYFUNCTION("IMPORTRANGE(""https://docs.google.com/spreadsheets/d/11923uPwbBZFjjGgGUA6NLw09EwE0CqkOc4q9oUmW1yo/edit?usp=sharing"",""พะเยา!I366"")"),0)</f>
        <v>0</v>
      </c>
      <c r="J471" s="198">
        <f ca="1">IFERROR(__xludf.DUMMYFUNCTION("IMPORTRANGE(""https://docs.google.com/spreadsheets/d/11923uPwbBZFjjGgGUA6NLw09EwE0CqkOc4q9oUmW1yo/edit?usp=sharing"",""พะเยา!J366"")"),0)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IFERROR(__xludf.DUMMYFUNCTION("IMPORTRANGE(""https://docs.google.com/spreadsheets/d/11923uPwbBZFjjGgGUA6NLw09EwE0CqkOc4q9oUmW1yo/edit?usp=sharing"",""พะเยา!I367"")"),0)</f>
        <v>0</v>
      </c>
      <c r="J472" s="198">
        <f ca="1">IFERROR(__xludf.DUMMYFUNCTION("IMPORTRANGE(""https://docs.google.com/spreadsheets/d/11923uPwbBZFjjGgGUA6NLw09EwE0CqkOc4q9oUmW1yo/edit?usp=sharing"",""พะเยา!J367"")"),0)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IFERROR(__xludf.DUMMYFUNCTION("IMPORTRANGE(""https://docs.google.com/spreadsheets/d/11923uPwbBZFjjGgGUA6NLw09EwE0CqkOc4q9oUmW1yo/edit?usp=sharing"",""พะเยา!I368"")"),28514)</f>
        <v>28514</v>
      </c>
      <c r="J473" s="428">
        <f ca="1">IFERROR(__xludf.DUMMYFUNCTION("IMPORTRANGE(""https://docs.google.com/spreadsheets/d/11923uPwbBZFjjGgGUA6NLw09EwE0CqkOc4q9oUmW1yo/edit?usp=sharing"",""พะเยา!J368"")"),0)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IFERROR(__xludf.DUMMYFUNCTION("IMPORTRANGE(""https://docs.google.com/spreadsheets/d/11923uPwbBZFjjGgGUA6NLw09EwE0CqkOc4q9oUmW1yo/edit?usp=sharing"",""พะเยา!I369"")"),5512)</f>
        <v>5512</v>
      </c>
      <c r="J474" s="428">
        <f ca="1">IFERROR(__xludf.DUMMYFUNCTION("IMPORTRANGE(""https://docs.google.com/spreadsheets/d/11923uPwbBZFjjGgGUA6NLw09EwE0CqkOc4q9oUmW1yo/edit?usp=sharing"",""พะเยา!J369"")"),0)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IFERROR(__xludf.DUMMYFUNCTION("IMPORTRANGE(""https://docs.google.com/spreadsheets/d/11923uPwbBZFjjGgGUA6NLw09EwE0CqkOc4q9oUmW1yo/edit?usp=sharing"",""พะเยา!I370"")"),0)</f>
        <v>0</v>
      </c>
      <c r="J475" s="198">
        <f ca="1">IFERROR(__xludf.DUMMYFUNCTION("IMPORTRANGE(""https://docs.google.com/spreadsheets/d/11923uPwbBZFjjGgGUA6NLw09EwE0CqkOc4q9oUmW1yo/edit?usp=sharing"",""พะเยา!J370"")"),0)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IFERROR(__xludf.DUMMYFUNCTION("IMPORTRANGE(""https://docs.google.com/spreadsheets/d/11923uPwbBZFjjGgGUA6NLw09EwE0CqkOc4q9oUmW1yo/edit?usp=sharing"",""พะเยา!I371"")"),0)</f>
        <v>0</v>
      </c>
      <c r="J476" s="198">
        <f ca="1">IFERROR(__xludf.DUMMYFUNCTION("IMPORTRANGE(""https://docs.google.com/spreadsheets/d/11923uPwbBZFjjGgGUA6NLw09EwE0CqkOc4q9oUmW1yo/edit?usp=sharing"",""พะเยา!J371"")"),0)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IFERROR(__xludf.DUMMYFUNCTION("IMPORTRANGE(""https://docs.google.com/spreadsheets/d/11923uPwbBZFjjGgGUA6NLw09EwE0CqkOc4q9oUmW1yo/edit?usp=sharing"",""พะเยา!I372"")"),0)</f>
        <v>0</v>
      </c>
      <c r="J477" s="198">
        <f ca="1">IFERROR(__xludf.DUMMYFUNCTION("IMPORTRANGE(""https://docs.google.com/spreadsheets/d/11923uPwbBZFjjGgGUA6NLw09EwE0CqkOc4q9oUmW1yo/edit?usp=sharing"",""พะเยา!J372"")"),0)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IFERROR(__xludf.DUMMYFUNCTION("IMPORTRANGE(""https://docs.google.com/spreadsheets/d/11923uPwbBZFjjGgGUA6NLw09EwE0CqkOc4q9oUmW1yo/edit?usp=sharing"",""พะเยา!I373"")"),0)</f>
        <v>0</v>
      </c>
      <c r="J478" s="198">
        <f ca="1">IFERROR(__xludf.DUMMYFUNCTION("IMPORTRANGE(""https://docs.google.com/spreadsheets/d/11923uPwbBZFjjGgGUA6NLw09EwE0CqkOc4q9oUmW1yo/edit?usp=sharing"",""พะเยา!J373"")"),0)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IFERROR(__xludf.DUMMYFUNCTION("IMPORTRANGE(""https://docs.google.com/spreadsheets/d/11923uPwbBZFjjGgGUA6NLw09EwE0CqkOc4q9oUmW1yo/edit?usp=sharing"",""พะเยา!I374"")"),0)</f>
        <v>0</v>
      </c>
      <c r="J479" s="198">
        <f ca="1">IFERROR(__xludf.DUMMYFUNCTION("IMPORTRANGE(""https://docs.google.com/spreadsheets/d/11923uPwbBZFjjGgGUA6NLw09EwE0CqkOc4q9oUmW1yo/edit?usp=sharing"",""พะเยา!J374"")"),0)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IFERROR(__xludf.DUMMYFUNCTION("IMPORTRANGE(""https://docs.google.com/spreadsheets/d/11923uPwbBZFjjGgGUA6NLw09EwE0CqkOc4q9oUmW1yo/edit?usp=sharing"",""พะเยา!I375"")"),0)</f>
        <v>0</v>
      </c>
      <c r="J480" s="198">
        <f ca="1">IFERROR(__xludf.DUMMYFUNCTION("IMPORTRANGE(""https://docs.google.com/spreadsheets/d/11923uPwbBZFjjGgGUA6NLw09EwE0CqkOc4q9oUmW1yo/edit?usp=sharing"",""พะเยา!J375"")"),0)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IFERROR(__xludf.DUMMYFUNCTION("IMPORTRANGE(""https://docs.google.com/spreadsheets/d/11923uPwbBZFjjGgGUA6NLw09EwE0CqkOc4q9oUmW1yo/edit?usp=sharing"",""พะเยา!I376"")"),28514)</f>
        <v>28514</v>
      </c>
      <c r="J481" s="428">
        <f ca="1">IFERROR(__xludf.DUMMYFUNCTION("IMPORTRANGE(""https://docs.google.com/spreadsheets/d/11923uPwbBZFjjGgGUA6NLw09EwE0CqkOc4q9oUmW1yo/edit?usp=sharing"",""พะเยา!J376"")"),0)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IFERROR(__xludf.DUMMYFUNCTION("IMPORTRANGE(""https://docs.google.com/spreadsheets/d/11923uPwbBZFjjGgGUA6NLw09EwE0CqkOc4q9oUmW1yo/edit?usp=sharing"",""พะเยา!I377"")"),5512)</f>
        <v>5512</v>
      </c>
      <c r="J482" s="428">
        <f ca="1">IFERROR(__xludf.DUMMYFUNCTION("IMPORTRANGE(""https://docs.google.com/spreadsheets/d/11923uPwbBZFjjGgGUA6NLw09EwE0CqkOc4q9oUmW1yo/edit?usp=sharing"",""พะเยา!J377"")"),0)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IFERROR(__xludf.DUMMYFUNCTION("IMPORTRANGE(""https://docs.google.com/spreadsheets/d/11923uPwbBZFjjGgGUA6NLw09EwE0CqkOc4q9oUmW1yo/edit?usp=sharing"",""พะเยา!I378"")"),0)</f>
        <v>0</v>
      </c>
      <c r="J483" s="198">
        <f ca="1">IFERROR(__xludf.DUMMYFUNCTION("IMPORTRANGE(""https://docs.google.com/spreadsheets/d/11923uPwbBZFjjGgGUA6NLw09EwE0CqkOc4q9oUmW1yo/edit?usp=sharing"",""พะเยา!J378"")"),0)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IFERROR(__xludf.DUMMYFUNCTION("IMPORTRANGE(""https://docs.google.com/spreadsheets/d/11923uPwbBZFjjGgGUA6NLw09EwE0CqkOc4q9oUmW1yo/edit?usp=sharing"",""พะเยา!I379"")"),0)</f>
        <v>0</v>
      </c>
      <c r="J484" s="198">
        <f ca="1">IFERROR(__xludf.DUMMYFUNCTION("IMPORTRANGE(""https://docs.google.com/spreadsheets/d/11923uPwbBZFjjGgGUA6NLw09EwE0CqkOc4q9oUmW1yo/edit?usp=sharing"",""พะเยา!J379"")"),0)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IFERROR(__xludf.DUMMYFUNCTION("IMPORTRANGE(""https://docs.google.com/spreadsheets/d/11923uPwbBZFjjGgGUA6NLw09EwE0CqkOc4q9oUmW1yo/edit?usp=sharing"",""พะเยา!I380"")"),0)</f>
        <v>0</v>
      </c>
      <c r="J485" s="198">
        <f ca="1">IFERROR(__xludf.DUMMYFUNCTION("IMPORTRANGE(""https://docs.google.com/spreadsheets/d/11923uPwbBZFjjGgGUA6NLw09EwE0CqkOc4q9oUmW1yo/edit?usp=sharing"",""พะเยา!J380"")"),0)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IFERROR(__xludf.DUMMYFUNCTION("IMPORTRANGE(""https://docs.google.com/spreadsheets/d/11923uPwbBZFjjGgGUA6NLw09EwE0CqkOc4q9oUmW1yo/edit?usp=sharing"",""พะเยา!I381"")"),0)</f>
        <v>0</v>
      </c>
      <c r="J486" s="198">
        <f ca="1">IFERROR(__xludf.DUMMYFUNCTION("IMPORTRANGE(""https://docs.google.com/spreadsheets/d/11923uPwbBZFjjGgGUA6NLw09EwE0CqkOc4q9oUmW1yo/edit?usp=sharing"",""พะเยา!J381"")"),0)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IFERROR(__xludf.DUMMYFUNCTION("IMPORTRANGE(""https://docs.google.com/spreadsheets/d/11923uPwbBZFjjGgGUA6NLw09EwE0CqkOc4q9oUmW1yo/edit?usp=sharing"",""พะเยา!I382"")"),0)</f>
        <v>0</v>
      </c>
      <c r="J487" s="428">
        <f ca="1">IFERROR(__xludf.DUMMYFUNCTION("IMPORTRANGE(""https://docs.google.com/spreadsheets/d/11923uPwbBZFjjGgGUA6NLw09EwE0CqkOc4q9oUmW1yo/edit?usp=sharing"",""พะเยา!J382"")"),0)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IFERROR(__xludf.DUMMYFUNCTION("IMPORTRANGE(""https://docs.google.com/spreadsheets/d/11923uPwbBZFjjGgGUA6NLw09EwE0CqkOc4q9oUmW1yo/edit?usp=sharing"",""พะเยา!I383"")"),0)</f>
        <v>0</v>
      </c>
      <c r="J488" s="428">
        <f ca="1">IFERROR(__xludf.DUMMYFUNCTION("IMPORTRANGE(""https://docs.google.com/spreadsheets/d/11923uPwbBZFjjGgGUA6NLw09EwE0CqkOc4q9oUmW1yo/edit?usp=sharing"",""พะเยา!J383"")"),0)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IFERROR(__xludf.DUMMYFUNCTION("IMPORTRANGE(""https://docs.google.com/spreadsheets/d/11923uPwbBZFjjGgGUA6NLw09EwE0CqkOc4q9oUmW1yo/edit?usp=sharing"",""พะเยา!I384"")"),0)</f>
        <v>0</v>
      </c>
      <c r="J489" s="198">
        <f ca="1">IFERROR(__xludf.DUMMYFUNCTION("IMPORTRANGE(""https://docs.google.com/spreadsheets/d/11923uPwbBZFjjGgGUA6NLw09EwE0CqkOc4q9oUmW1yo/edit?usp=sharing"",""พะเยา!J384"")"),0)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IFERROR(__xludf.DUMMYFUNCTION("IMPORTRANGE(""https://docs.google.com/spreadsheets/d/11923uPwbBZFjjGgGUA6NLw09EwE0CqkOc4q9oUmW1yo/edit?usp=sharing"",""พะเยา!I385"")"),0)</f>
        <v>0</v>
      </c>
      <c r="J490" s="198">
        <f ca="1">IFERROR(__xludf.DUMMYFUNCTION("IMPORTRANGE(""https://docs.google.com/spreadsheets/d/11923uPwbBZFjjGgGUA6NLw09EwE0CqkOc4q9oUmW1yo/edit?usp=sharing"",""พะเยา!J385"")"),0)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IFERROR(__xludf.DUMMYFUNCTION("IMPORTRANGE(""https://docs.google.com/spreadsheets/d/11923uPwbBZFjjGgGUA6NLw09EwE0CqkOc4q9oUmW1yo/edit?usp=sharing"",""พะเยา!I386"")"),0)</f>
        <v>0</v>
      </c>
      <c r="J491" s="198">
        <f ca="1">IFERROR(__xludf.DUMMYFUNCTION("IMPORTRANGE(""https://docs.google.com/spreadsheets/d/11923uPwbBZFjjGgGUA6NLw09EwE0CqkOc4q9oUmW1yo/edit?usp=sharing"",""พะเยา!J386"")"),0)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IFERROR(__xludf.DUMMYFUNCTION("IMPORTRANGE(""https://docs.google.com/spreadsheets/d/11923uPwbBZFjjGgGUA6NLw09EwE0CqkOc4q9oUmW1yo/edit?usp=sharing"",""พะเยา!I387"")"),0)</f>
        <v>0</v>
      </c>
      <c r="J492" s="198">
        <f ca="1">IFERROR(__xludf.DUMMYFUNCTION("IMPORTRANGE(""https://docs.google.com/spreadsheets/d/11923uPwbBZFjjGgGUA6NLw09EwE0CqkOc4q9oUmW1yo/edit?usp=sharing"",""พะเยา!J387"")"),0)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IFERROR(__xludf.DUMMYFUNCTION("IMPORTRANGE(""https://docs.google.com/spreadsheets/d/11923uPwbBZFjjGgGUA6NLw09EwE0CqkOc4q9oUmW1yo/edit?usp=sharing"",""พะเยา!I388"")"),0)</f>
        <v>0</v>
      </c>
      <c r="J493" s="198">
        <f ca="1">IFERROR(__xludf.DUMMYFUNCTION("IMPORTRANGE(""https://docs.google.com/spreadsheets/d/11923uPwbBZFjjGgGUA6NLw09EwE0CqkOc4q9oUmW1yo/edit?usp=sharing"",""พะเยา!J388"")"),0)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IFERROR(__xludf.DUMMYFUNCTION("IMPORTRANGE(""https://docs.google.com/spreadsheets/d/11923uPwbBZFjjGgGUA6NLw09EwE0CqkOc4q9oUmW1yo/edit?usp=sharing"",""พะเยา!I389"")"),0)</f>
        <v>0</v>
      </c>
      <c r="J494" s="444">
        <f ca="1">IFERROR(__xludf.DUMMYFUNCTION("IMPORTRANGE(""https://docs.google.com/spreadsheets/d/11923uPwbBZFjjGgGUA6NLw09EwE0CqkOc4q9oUmW1yo/edit?usp=sharing"",""พะเยา!J389"")"),0)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IFERROR(__xludf.DUMMYFUNCTION("IMPORTRANGE(""https://docs.google.com/spreadsheets/d/11923uPwbBZFjjGgGUA6NLw09EwE0CqkOc4q9oUmW1yo/edit?usp=sharing"",""พะเยา!I390"")"),0)</f>
        <v>0</v>
      </c>
      <c r="J495" s="444">
        <f ca="1">IFERROR(__xludf.DUMMYFUNCTION("IMPORTRANGE(""https://docs.google.com/spreadsheets/d/11923uPwbBZFjjGgGUA6NLw09EwE0CqkOc4q9oUmW1yo/edit?usp=sharing"",""พะเยา!J390"")"),0)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IFERROR(__xludf.DUMMYFUNCTION("IMPORTRANGE(""https://docs.google.com/spreadsheets/d/11923uPwbBZFjjGgGUA6NLw09EwE0CqkOc4q9oUmW1yo/edit?usp=sharing"",""พะเยา!I391"")"),0)</f>
        <v>0</v>
      </c>
      <c r="J496" s="444">
        <f ca="1">IFERROR(__xludf.DUMMYFUNCTION("IMPORTRANGE(""https://docs.google.com/spreadsheets/d/11923uPwbBZFjjGgGUA6NLw09EwE0CqkOc4q9oUmW1yo/edit?usp=sharing"",""พะเยา!J391"")"),0)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IFERROR(__xludf.DUMMYFUNCTION("IMPORTRANGE(""https://docs.google.com/spreadsheets/d/11923uPwbBZFjjGgGUA6NLw09EwE0CqkOc4q9oUmW1yo/edit?usp=sharing"",""พะเยา!I392"")"),0)</f>
        <v>0</v>
      </c>
      <c r="J497" s="451">
        <f ca="1">IFERROR(__xludf.DUMMYFUNCTION("IMPORTRANGE(""https://docs.google.com/spreadsheets/d/11923uPwbBZFjjGgGUA6NLw09EwE0CqkOc4q9oUmW1yo/edit?usp=sharing"",""พะเยา!J392"")"),6)</f>
        <v>6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IFERROR(__xludf.DUMMYFUNCTION("IMPORTRANGE(""https://docs.google.com/spreadsheets/d/11923uPwbBZFjjGgGUA6NLw09EwE0CqkOc4q9oUmW1yo/edit?usp=sharing"",""พะเยา!I393"")"),0)</f>
        <v>0</v>
      </c>
      <c r="J498" s="428">
        <f ca="1">IFERROR(__xludf.DUMMYFUNCTION("IMPORTRANGE(""https://docs.google.com/spreadsheets/d/11923uPwbBZFjjGgGUA6NLw09EwE0CqkOc4q9oUmW1yo/edit?usp=sharing"",""พะเยา!J393"")"),6)</f>
        <v>6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IFERROR(__xludf.DUMMYFUNCTION("IMPORTRANGE(""https://docs.google.com/spreadsheets/d/11923uPwbBZFjjGgGUA6NLw09EwE0CqkOc4q9oUmW1yo/edit?usp=sharing"",""พะเยา!I394"")"),0)</f>
        <v>0</v>
      </c>
      <c r="J499" s="428">
        <f ca="1">IFERROR(__xludf.DUMMYFUNCTION("IMPORTRANGE(""https://docs.google.com/spreadsheets/d/11923uPwbBZFjjGgGUA6NLw09EwE0CqkOc4q9oUmW1yo/edit?usp=sharing"",""พะเยา!J394"")"),2)</f>
        <v>2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IFERROR(__xludf.DUMMYFUNCTION("IMPORTRANGE(""https://docs.google.com/spreadsheets/d/11923uPwbBZFjjGgGUA6NLw09EwE0CqkOc4q9oUmW1yo/edit?usp=sharing"",""พะเยา!I395"")"),0)</f>
        <v>0</v>
      </c>
      <c r="J500" s="170">
        <f ca="1">IFERROR(__xludf.DUMMYFUNCTION("IMPORTRANGE(""https://docs.google.com/spreadsheets/d/11923uPwbBZFjjGgGUA6NLw09EwE0CqkOc4q9oUmW1yo/edit?usp=sharing"",""พะเยา!J395"")"),0)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IFERROR(__xludf.DUMMYFUNCTION("IMPORTRANGE(""https://docs.google.com/spreadsheets/d/11923uPwbBZFjjGgGUA6NLw09EwE0CqkOc4q9oUmW1yo/edit?usp=sharing"",""พะเยา!I396"")"),0)</f>
        <v>0</v>
      </c>
      <c r="J501" s="170">
        <f ca="1">IFERROR(__xludf.DUMMYFUNCTION("IMPORTRANGE(""https://docs.google.com/spreadsheets/d/11923uPwbBZFjjGgGUA6NLw09EwE0CqkOc4q9oUmW1yo/edit?usp=sharing"",""พะเยา!J396"")"),0)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IFERROR(__xludf.DUMMYFUNCTION("IMPORTRANGE(""https://docs.google.com/spreadsheets/d/11923uPwbBZFjjGgGUA6NLw09EwE0CqkOc4q9oUmW1yo/edit?usp=sharing"",""พะเยา!I397"")"),0)</f>
        <v>0</v>
      </c>
      <c r="J502" s="198">
        <f ca="1">IFERROR(__xludf.DUMMYFUNCTION("IMPORTRANGE(""https://docs.google.com/spreadsheets/d/11923uPwbBZFjjGgGUA6NLw09EwE0CqkOc4q9oUmW1yo/edit?usp=sharing"",""พะเยา!J397"")"),0)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IFERROR(__xludf.DUMMYFUNCTION("IMPORTRANGE(""https://docs.google.com/spreadsheets/d/11923uPwbBZFjjGgGUA6NLw09EwE0CqkOc4q9oUmW1yo/edit?usp=sharing"",""พะเยา!I398"")"),0)</f>
        <v>0</v>
      </c>
      <c r="J503" s="207">
        <f ca="1">IFERROR(__xludf.DUMMYFUNCTION("IMPORTRANGE(""https://docs.google.com/spreadsheets/d/11923uPwbBZFjjGgGUA6NLw09EwE0CqkOc4q9oUmW1yo/edit?usp=sharing"",""พะเยา!J398"")"),0)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IFERROR(__xludf.DUMMYFUNCTION("IMPORTRANGE(""https://docs.google.com/spreadsheets/d/11923uPwbBZFjjGgGUA6NLw09EwE0CqkOc4q9oUmW1yo/edit?usp=sharing"",""พะเยา!I399"")"),0)</f>
        <v>0</v>
      </c>
      <c r="J504" s="198">
        <f ca="1">IFERROR(__xludf.DUMMYFUNCTION("IMPORTRANGE(""https://docs.google.com/spreadsheets/d/11923uPwbBZFjjGgGUA6NLw09EwE0CqkOc4q9oUmW1yo/edit?usp=sharing"",""พะเยา!J399"")"),0)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IFERROR(__xludf.DUMMYFUNCTION("IMPORTRANGE(""https://docs.google.com/spreadsheets/d/11923uPwbBZFjjGgGUA6NLw09EwE0CqkOc4q9oUmW1yo/edit?usp=sharing"",""พะเยา!I400"")"),0)</f>
        <v>0</v>
      </c>
      <c r="J505" s="207">
        <f ca="1">IFERROR(__xludf.DUMMYFUNCTION("IMPORTRANGE(""https://docs.google.com/spreadsheets/d/11923uPwbBZFjjGgGUA6NLw09EwE0CqkOc4q9oUmW1yo/edit?usp=sharing"",""พะเยา!J400"")"),0)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IFERROR(__xludf.DUMMYFUNCTION("IMPORTRANGE(""https://docs.google.com/spreadsheets/d/11923uPwbBZFjjGgGUA6NLw09EwE0CqkOc4q9oUmW1yo/edit?usp=sharing"",""พะเยา!I401"")"),0)</f>
        <v>0</v>
      </c>
      <c r="J506" s="198">
        <f ca="1">IFERROR(__xludf.DUMMYFUNCTION("IMPORTRANGE(""https://docs.google.com/spreadsheets/d/11923uPwbBZFjjGgGUA6NLw09EwE0CqkOc4q9oUmW1yo/edit?usp=sharing"",""พะเยา!J401"")"),0)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IFERROR(__xludf.DUMMYFUNCTION("IMPORTRANGE(""https://docs.google.com/spreadsheets/d/11923uPwbBZFjjGgGUA6NLw09EwE0CqkOc4q9oUmW1yo/edit?usp=sharing"",""พะเยา!I402"")"),0)</f>
        <v>0</v>
      </c>
      <c r="J507" s="207">
        <f ca="1">IFERROR(__xludf.DUMMYFUNCTION("IMPORTRANGE(""https://docs.google.com/spreadsheets/d/11923uPwbBZFjjGgGUA6NLw09EwE0CqkOc4q9oUmW1yo/edit?usp=sharing"",""พะเยา!J402"")"),0)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IFERROR(__xludf.DUMMYFUNCTION("IMPORTRANGE(""https://docs.google.com/spreadsheets/d/11923uPwbBZFjjGgGUA6NLw09EwE0CqkOc4q9oUmW1yo/edit?usp=sharing"",""พะเยา!I403"")"),0)</f>
        <v>0</v>
      </c>
      <c r="J508" s="170">
        <f ca="1">IFERROR(__xludf.DUMMYFUNCTION("IMPORTRANGE(""https://docs.google.com/spreadsheets/d/11923uPwbBZFjjGgGUA6NLw09EwE0CqkOc4q9oUmW1yo/edit?usp=sharing"",""พะเยา!J403"")"),6)</f>
        <v>6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IFERROR(__xludf.DUMMYFUNCTION("IMPORTRANGE(""https://docs.google.com/spreadsheets/d/11923uPwbBZFjjGgGUA6NLw09EwE0CqkOc4q9oUmW1yo/edit?usp=sharing"",""พะเยา!I404"")"),0)</f>
        <v>0</v>
      </c>
      <c r="J509" s="170">
        <f ca="1">IFERROR(__xludf.DUMMYFUNCTION("IMPORTRANGE(""https://docs.google.com/spreadsheets/d/11923uPwbBZFjjGgGUA6NLw09EwE0CqkOc4q9oUmW1yo/edit?usp=sharing"",""พะเยา!J404"")"),2)</f>
        <v>2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IFERROR(__xludf.DUMMYFUNCTION("IMPORTRANGE(""https://docs.google.com/spreadsheets/d/11923uPwbBZFjjGgGUA6NLw09EwE0CqkOc4q9oUmW1yo/edit?usp=sharing"",""พะเยา!I405"")"),0)</f>
        <v>0</v>
      </c>
      <c r="J510" s="207">
        <f ca="1">IFERROR(__xludf.DUMMYFUNCTION("IMPORTRANGE(""https://docs.google.com/spreadsheets/d/11923uPwbBZFjjGgGUA6NLw09EwE0CqkOc4q9oUmW1yo/edit?usp=sharing"",""พะเยา!J405"")"),6)</f>
        <v>6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IFERROR(__xludf.DUMMYFUNCTION("IMPORTRANGE(""https://docs.google.com/spreadsheets/d/11923uPwbBZFjjGgGUA6NLw09EwE0CqkOc4q9oUmW1yo/edit?usp=sharing"",""พะเยา!I406"")"),0)</f>
        <v>0</v>
      </c>
      <c r="J511" s="207">
        <f ca="1">IFERROR(__xludf.DUMMYFUNCTION("IMPORTRANGE(""https://docs.google.com/spreadsheets/d/11923uPwbBZFjjGgGUA6NLw09EwE0CqkOc4q9oUmW1yo/edit?usp=sharing"",""พะเยา!J406"")"),2)</f>
        <v>2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IFERROR(__xludf.DUMMYFUNCTION("IMPORTRANGE(""https://docs.google.com/spreadsheets/d/11923uPwbBZFjjGgGUA6NLw09EwE0CqkOc4q9oUmW1yo/edit?usp=sharing"",""พะเยา!I407"")"),0)</f>
        <v>0</v>
      </c>
      <c r="J512" s="207">
        <f ca="1">IFERROR(__xludf.DUMMYFUNCTION("IMPORTRANGE(""https://docs.google.com/spreadsheets/d/11923uPwbBZFjjGgGUA6NLw09EwE0CqkOc4q9oUmW1yo/edit?usp=sharing"",""พะเยา!J407"")"),0)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IFERROR(__xludf.DUMMYFUNCTION("IMPORTRANGE(""https://docs.google.com/spreadsheets/d/11923uPwbBZFjjGgGUA6NLw09EwE0CqkOc4q9oUmW1yo/edit?usp=sharing"",""พะเยา!I408"")"),0)</f>
        <v>0</v>
      </c>
      <c r="J513" s="207">
        <f ca="1">IFERROR(__xludf.DUMMYFUNCTION("IMPORTRANGE(""https://docs.google.com/spreadsheets/d/11923uPwbBZFjjGgGUA6NLw09EwE0CqkOc4q9oUmW1yo/edit?usp=sharing"",""พะเยา!J408"")"),0)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IFERROR(__xludf.DUMMYFUNCTION("IMPORTRANGE(""https://docs.google.com/spreadsheets/d/11923uPwbBZFjjGgGUA6NLw09EwE0CqkOc4q9oUmW1yo/edit?usp=sharing"",""พะเยา!I409"")"),0)</f>
        <v>0</v>
      </c>
      <c r="J514" s="207">
        <f ca="1">IFERROR(__xludf.DUMMYFUNCTION("IMPORTRANGE(""https://docs.google.com/spreadsheets/d/11923uPwbBZFjjGgGUA6NLw09EwE0CqkOc4q9oUmW1yo/edit?usp=sharing"",""พะเยา!J409"")"),0)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IFERROR(__xludf.DUMMYFUNCTION("IMPORTRANGE(""https://docs.google.com/spreadsheets/d/11923uPwbBZFjjGgGUA6NLw09EwE0CqkOc4q9oUmW1yo/edit?usp=sharing"",""พะเยา!I410"")"),0)</f>
        <v>0</v>
      </c>
      <c r="J515" s="207">
        <f ca="1">IFERROR(__xludf.DUMMYFUNCTION("IMPORTRANGE(""https://docs.google.com/spreadsheets/d/11923uPwbBZFjjGgGUA6NLw09EwE0CqkOc4q9oUmW1yo/edit?usp=sharing"",""พะเยา!J410"")"),0)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IFERROR(__xludf.DUMMYFUNCTION("IMPORTRANGE(""https://docs.google.com/spreadsheets/d/11923uPwbBZFjjGgGUA6NLw09EwE0CqkOc4q9oUmW1yo/edit?usp=sharing"",""พะเยา!I411"")"),0)</f>
        <v>0</v>
      </c>
      <c r="J516" s="276">
        <f ca="1">IFERROR(__xludf.DUMMYFUNCTION("IMPORTRANGE(""https://docs.google.com/spreadsheets/d/11923uPwbBZFjjGgGUA6NLw09EwE0CqkOc4q9oUmW1yo/edit?usp=sharing"",""พะเยา!J411"")"),0)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IFERROR(__xludf.DUMMYFUNCTION("IMPORTRANGE(""https://docs.google.com/spreadsheets/d/11923uPwbBZFjjGgGUA6NLw09EwE0CqkOc4q9oUmW1yo/edit?usp=sharing"",""พะเยา!I412"")"),0)</f>
        <v>0</v>
      </c>
      <c r="J517" s="292">
        <f ca="1">IFERROR(__xludf.DUMMYFUNCTION("IMPORTRANGE(""https://docs.google.com/spreadsheets/d/11923uPwbBZFjjGgGUA6NLw09EwE0CqkOc4q9oUmW1yo/edit?usp=sharing"",""พะเยา!J412"")"),0)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IFERROR(__xludf.DUMMYFUNCTION("IMPORTRANGE(""https://docs.google.com/spreadsheets/d/11923uPwbBZFjjGgGUA6NLw09EwE0CqkOc4q9oUmW1yo/edit?usp=sharing"",""พะเยา!I413"")"),0)</f>
        <v>0</v>
      </c>
      <c r="J518" s="292">
        <f ca="1">IFERROR(__xludf.DUMMYFUNCTION("IMPORTRANGE(""https://docs.google.com/spreadsheets/d/11923uPwbBZFjjGgGUA6NLw09EwE0CqkOc4q9oUmW1yo/edit?usp=sharing"",""พะเยา!J413"")"),0)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IFERROR(__xludf.DUMMYFUNCTION("IMPORTRANGE(""https://docs.google.com/spreadsheets/d/11923uPwbBZFjjGgGUA6NLw09EwE0CqkOc4q9oUmW1yo/edit?usp=sharing"",""พะเยา!I414"")"),0)</f>
        <v>0</v>
      </c>
      <c r="J519" s="197">
        <f ca="1">IFERROR(__xludf.DUMMYFUNCTION("IMPORTRANGE(""https://docs.google.com/spreadsheets/d/11923uPwbBZFjjGgGUA6NLw09EwE0CqkOc4q9oUmW1yo/edit?usp=sharing"",""พะเยา!J414"")"),0)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IFERROR(__xludf.DUMMYFUNCTION("IMPORTRANGE(""https://docs.google.com/spreadsheets/d/11923uPwbBZFjjGgGUA6NLw09EwE0CqkOc4q9oUmW1yo/edit?usp=sharing"",""พะเยา!I415"")"),0)</f>
        <v>0</v>
      </c>
      <c r="J520" s="197">
        <f ca="1">IFERROR(__xludf.DUMMYFUNCTION("IMPORTRANGE(""https://docs.google.com/spreadsheets/d/11923uPwbBZFjjGgGUA6NLw09EwE0CqkOc4q9oUmW1yo/edit?usp=sharing"",""พะเยา!J415"")"),0)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IFERROR(__xludf.DUMMYFUNCTION("IMPORTRANGE(""https://docs.google.com/spreadsheets/d/11923uPwbBZFjjGgGUA6NLw09EwE0CqkOc4q9oUmW1yo/edit?usp=sharing"",""พะเยา!I416"")"),0)</f>
        <v>0</v>
      </c>
      <c r="J521" s="197">
        <f ca="1">IFERROR(__xludf.DUMMYFUNCTION("IMPORTRANGE(""https://docs.google.com/spreadsheets/d/11923uPwbBZFjjGgGUA6NLw09EwE0CqkOc4q9oUmW1yo/edit?usp=sharing"",""พะเยา!J416"")"),0)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IFERROR(__xludf.DUMMYFUNCTION("IMPORTRANGE(""https://docs.google.com/spreadsheets/d/11923uPwbBZFjjGgGUA6NLw09EwE0CqkOc4q9oUmW1yo/edit?usp=sharing"",""พะเยา!I417"")"),0)</f>
        <v>0</v>
      </c>
      <c r="J522" s="197">
        <f ca="1">IFERROR(__xludf.DUMMYFUNCTION("IMPORTRANGE(""https://docs.google.com/spreadsheets/d/11923uPwbBZFjjGgGUA6NLw09EwE0CqkOc4q9oUmW1yo/edit?usp=sharing"",""พะเยา!J417"")"),0)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IFERROR(__xludf.DUMMYFUNCTION("IMPORTRANGE(""https://docs.google.com/spreadsheets/d/11923uPwbBZFjjGgGUA6NLw09EwE0CqkOc4q9oUmW1yo/edit?usp=sharing"",""พะเยา!I418"")"),0)</f>
        <v>0</v>
      </c>
      <c r="J523" s="197">
        <f ca="1">IFERROR(__xludf.DUMMYFUNCTION("IMPORTRANGE(""https://docs.google.com/spreadsheets/d/11923uPwbBZFjjGgGUA6NLw09EwE0CqkOc4q9oUmW1yo/edit?usp=sharing"",""พะเยา!J418"")"),0)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IFERROR(__xludf.DUMMYFUNCTION("IMPORTRANGE(""https://docs.google.com/spreadsheets/d/11923uPwbBZFjjGgGUA6NLw09EwE0CqkOc4q9oUmW1yo/edit?usp=sharing"",""พะเยา!I419"")"),0)</f>
        <v>0</v>
      </c>
      <c r="J524" s="197">
        <f ca="1">IFERROR(__xludf.DUMMYFUNCTION("IMPORTRANGE(""https://docs.google.com/spreadsheets/d/11923uPwbBZFjjGgGUA6NLw09EwE0CqkOc4q9oUmW1yo/edit?usp=sharing"",""พะเยา!J419"")"),0)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IFERROR(__xludf.DUMMYFUNCTION("IMPORTRANGE(""https://docs.google.com/spreadsheets/d/11923uPwbBZFjjGgGUA6NLw09EwE0CqkOc4q9oUmW1yo/edit?usp=sharing"",""พะเยา!I420"")"),0)</f>
        <v>0</v>
      </c>
      <c r="J525" s="292">
        <f ca="1">IFERROR(__xludf.DUMMYFUNCTION("IMPORTRANGE(""https://docs.google.com/spreadsheets/d/11923uPwbBZFjjGgGUA6NLw09EwE0CqkOc4q9oUmW1yo/edit?usp=sharing"",""พะเยา!J420"")"),0)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IFERROR(__xludf.DUMMYFUNCTION("IMPORTRANGE(""https://docs.google.com/spreadsheets/d/11923uPwbBZFjjGgGUA6NLw09EwE0CqkOc4q9oUmW1yo/edit?usp=sharing"",""พะเยา!I421"")"),0)</f>
        <v>0</v>
      </c>
      <c r="J526" s="292">
        <f ca="1">IFERROR(__xludf.DUMMYFUNCTION("IMPORTRANGE(""https://docs.google.com/spreadsheets/d/11923uPwbBZFjjGgGUA6NLw09EwE0CqkOc4q9oUmW1yo/edit?usp=sharing"",""พะเยา!J421"")"),0)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IFERROR(__xludf.DUMMYFUNCTION("IMPORTRANGE(""https://docs.google.com/spreadsheets/d/11923uPwbBZFjjGgGUA6NLw09EwE0CqkOc4q9oUmW1yo/edit?usp=sharing"",""พะเยา!I422"")"),0)</f>
        <v>0</v>
      </c>
      <c r="J527" s="207">
        <f ca="1">IFERROR(__xludf.DUMMYFUNCTION("IMPORTRANGE(""https://docs.google.com/spreadsheets/d/11923uPwbBZFjjGgGUA6NLw09EwE0CqkOc4q9oUmW1yo/edit?usp=sharing"",""พะเยา!J422"")"),0)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IFERROR(__xludf.DUMMYFUNCTION("IMPORTRANGE(""https://docs.google.com/spreadsheets/d/11923uPwbBZFjjGgGUA6NLw09EwE0CqkOc4q9oUmW1yo/edit?usp=sharing"",""พะเยา!I423"")"),0)</f>
        <v>0</v>
      </c>
      <c r="J528" s="207">
        <f ca="1">IFERROR(__xludf.DUMMYFUNCTION("IMPORTRANGE(""https://docs.google.com/spreadsheets/d/11923uPwbBZFjjGgGUA6NLw09EwE0CqkOc4q9oUmW1yo/edit?usp=sharing"",""พะเยา!J423"")"),0)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IFERROR(__xludf.DUMMYFUNCTION("IMPORTRANGE(""https://docs.google.com/spreadsheets/d/11923uPwbBZFjjGgGUA6NLw09EwE0CqkOc4q9oUmW1yo/edit?usp=sharing"",""พะเยา!I424"")"),0)</f>
        <v>0</v>
      </c>
      <c r="J529" s="207">
        <f ca="1">IFERROR(__xludf.DUMMYFUNCTION("IMPORTRANGE(""https://docs.google.com/spreadsheets/d/11923uPwbBZFjjGgGUA6NLw09EwE0CqkOc4q9oUmW1yo/edit?usp=sharing"",""พะเยา!J424"")"),0)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IFERROR(__xludf.DUMMYFUNCTION("IMPORTRANGE(""https://docs.google.com/spreadsheets/d/11923uPwbBZFjjGgGUA6NLw09EwE0CqkOc4q9oUmW1yo/edit?usp=sharing"",""พะเยา!I425"")"),0)</f>
        <v>0</v>
      </c>
      <c r="J530" s="207">
        <f ca="1">IFERROR(__xludf.DUMMYFUNCTION("IMPORTRANGE(""https://docs.google.com/spreadsheets/d/11923uPwbBZFjjGgGUA6NLw09EwE0CqkOc4q9oUmW1yo/edit?usp=sharing"",""พะเยา!J425"")"),0)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IFERROR(__xludf.DUMMYFUNCTION("IMPORTRANGE(""https://docs.google.com/spreadsheets/d/11923uPwbBZFjjGgGUA6NLw09EwE0CqkOc4q9oUmW1yo/edit?usp=sharing"",""พะเยา!I426"")"),0)</f>
        <v>0</v>
      </c>
      <c r="J531" s="207">
        <f ca="1">IFERROR(__xludf.DUMMYFUNCTION("IMPORTRANGE(""https://docs.google.com/spreadsheets/d/11923uPwbBZFjjGgGUA6NLw09EwE0CqkOc4q9oUmW1yo/edit?usp=sharing"",""พะเยา!J426"")"),0)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IFERROR(__xludf.DUMMYFUNCTION("IMPORTRANGE(""https://docs.google.com/spreadsheets/d/11923uPwbBZFjjGgGUA6NLw09EwE0CqkOc4q9oUmW1yo/edit?usp=sharing"",""พะเยา!I427"")"),0)</f>
        <v>0</v>
      </c>
      <c r="J532" s="474">
        <f ca="1">IFERROR(__xludf.DUMMYFUNCTION("IMPORTRANGE(""https://docs.google.com/spreadsheets/d/11923uPwbBZFjjGgGUA6NLw09EwE0CqkOc4q9oUmW1yo/edit?usp=sharing"",""พะเยา!J427"")"),0)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IFERROR(__xludf.DUMMYFUNCTION("IMPORTRANGE(""https://docs.google.com/spreadsheets/d/11923uPwbBZFjjGgGUA6NLw09EwE0CqkOc4q9oUmW1yo/edit?usp=sharing"",""พะเยา!I428"")"),22)</f>
        <v>22</v>
      </c>
      <c r="J533" s="418">
        <f ca="1">IFERROR(__xludf.DUMMYFUNCTION("IMPORTRANGE(""https://docs.google.com/spreadsheets/d/11923uPwbBZFjjGgGUA6NLw09EwE0CqkOc4q9oUmW1yo/edit?usp=sharing"",""พะเยา!J428"")"),22)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IFERROR(__xludf.DUMMYFUNCTION("IMPORTRANGE(""https://docs.google.com/spreadsheets/d/11923uPwbBZFjjGgGUA6NLw09EwE0CqkOc4q9oUmW1yo/edit?usp=sharing"",""พะเยา!L428"")"),34340)</f>
        <v>34340</v>
      </c>
      <c r="M533" s="420"/>
      <c r="N533" s="420">
        <f ca="1">IFERROR(__xludf.DUMMYFUNCTION("IMPORTRANGE(""https://docs.google.com/spreadsheets/d/11923uPwbBZFjjGgGUA6NLw09EwE0CqkOc4q9oUmW1yo/edit?usp=sharing"",""พะเยา!M428"")"),18660)</f>
        <v>18660</v>
      </c>
      <c r="O533" s="420">
        <f t="shared" ref="O533:O537" ca="1" si="118">+IF(L533&gt;0,N533*100/L533,0)</f>
        <v>54.338963308095515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IFERROR(__xludf.DUMMYFUNCTION("IMPORTRANGE(""https://docs.google.com/spreadsheets/d/11923uPwbBZFjjGgGUA6NLw09EwE0CqkOc4q9oUmW1yo/edit?usp=sharing"",""พะเยา!L429"")"),0)</f>
        <v>0</v>
      </c>
      <c r="M534" s="172"/>
      <c r="N534" s="178">
        <f ca="1">IFERROR(__xludf.DUMMYFUNCTION("IMPORTRANGE(""https://docs.google.com/spreadsheets/d/11923uPwbBZFjjGgGUA6NLw09EwE0CqkOc4q9oUmW1yo/edit?usp=sharing"",""พะเยา!M429"")"),0)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IFERROR(__xludf.DUMMYFUNCTION("IMPORTRANGE(""https://docs.google.com/spreadsheets/d/11923uPwbBZFjjGgGUA6NLw09EwE0CqkOc4q9oUmW1yo/edit?usp=sharing"",""พะเยา!L430"")"),34340)</f>
        <v>34340</v>
      </c>
      <c r="M535" s="173"/>
      <c r="N535" s="178">
        <f ca="1">IFERROR(__xludf.DUMMYFUNCTION("IMPORTRANGE(""https://docs.google.com/spreadsheets/d/11923uPwbBZFjjGgGUA6NLw09EwE0CqkOc4q9oUmW1yo/edit?usp=sharing"",""พะเยา!M430"")"),18660)</f>
        <v>18660</v>
      </c>
      <c r="O535" s="178">
        <f t="shared" ca="1" si="118"/>
        <v>54.338963308095515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IFERROR(__xludf.DUMMYFUNCTION("IMPORTRANGE(""https://docs.google.com/spreadsheets/d/11923uPwbBZFjjGgGUA6NLw09EwE0CqkOc4q9oUmW1yo/edit?usp=sharing"",""พะเยา!L431"")"),0)</f>
        <v>0</v>
      </c>
      <c r="M536" s="178"/>
      <c r="N536" s="178">
        <f ca="1">IFERROR(__xludf.DUMMYFUNCTION("IMPORTRANGE(""https://docs.google.com/spreadsheets/d/11923uPwbBZFjjGgGUA6NLw09EwE0CqkOc4q9oUmW1yo/edit?usp=sharing"",""พะเยา!M431"")"),0)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IFERROR(__xludf.DUMMYFUNCTION("IMPORTRANGE(""https://docs.google.com/spreadsheets/d/11923uPwbBZFjjGgGUA6NLw09EwE0CqkOc4q9oUmW1yo/edit?usp=sharing"",""พะเยา!L432"")"),34340)</f>
        <v>34340</v>
      </c>
      <c r="M537" s="178"/>
      <c r="N537" s="178">
        <f ca="1">IFERROR(__xludf.DUMMYFUNCTION("IMPORTRANGE(""https://docs.google.com/spreadsheets/d/11923uPwbBZFjjGgGUA6NLw09EwE0CqkOc4q9oUmW1yo/edit?usp=sharing"",""พะเยา!M432"")"),18660)</f>
        <v>18660</v>
      </c>
      <c r="O537" s="178">
        <f t="shared" ca="1" si="118"/>
        <v>54.338963308095515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IFERROR(__xludf.DUMMYFUNCTION("IMPORTRANGE(""https://docs.google.com/spreadsheets/d/11923uPwbBZFjjGgGUA6NLw09EwE0CqkOc4q9oUmW1yo/edit?usp=sharing"",""พะเยา!M433"")"),12520)</f>
        <v>12520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IFERROR(__xludf.DUMMYFUNCTION("IMPORTRANGE(""https://docs.google.com/spreadsheets/d/11923uPwbBZFjjGgGUA6NLw09EwE0CqkOc4q9oUmW1yo/edit?usp=sharing"",""พะเยา!M434"")"),0)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IFERROR(__xludf.DUMMYFUNCTION("IMPORTRANGE(""https://docs.google.com/spreadsheets/d/11923uPwbBZFjjGgGUA6NLw09EwE0CqkOc4q9oUmW1yo/edit?usp=sharing"",""พะเยา!M435"")"),0)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IFERROR(__xludf.DUMMYFUNCTION("IMPORTRANGE(""https://docs.google.com/spreadsheets/d/11923uPwbBZFjjGgGUA6NLw09EwE0CqkOc4q9oUmW1yo/edit?usp=sharing"",""พะเยา!M436"")"),6140)</f>
        <v>6140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IFERROR(__xludf.DUMMYFUNCTION("IMPORTRANGE(""https://docs.google.com/spreadsheets/d/11923uPwbBZFjjGgGUA6NLw09EwE0CqkOc4q9oUmW1yo/edit?usp=sharing"",""พะเยา!J438"")"),0)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IFERROR(__xludf.DUMMYFUNCTION("IMPORTRANGE(""https://docs.google.com/spreadsheets/d/11923uPwbBZFjjGgGUA6NLw09EwE0CqkOc4q9oUmW1yo/edit?usp=sharing"",""พะเยา!J439"")"),1)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IFERROR(__xludf.DUMMYFUNCTION("IMPORTRANGE(""https://docs.google.com/spreadsheets/d/11923uPwbBZFjjGgGUA6NLw09EwE0CqkOc4q9oUmW1yo/edit?usp=sharing"",""พะเยา!J440"")"),1)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IFERROR(__xludf.DUMMYFUNCTION("IMPORTRANGE(""https://docs.google.com/spreadsheets/d/11923uPwbBZFjjGgGUA6NLw09EwE0CqkOc4q9oUmW1yo/edit?usp=sharing"",""พะเยา!J441"")"),1)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IFERROR(__xludf.DUMMYFUNCTION("IMPORTRANGE(""https://docs.google.com/spreadsheets/d/11923uPwbBZFjjGgGUA6NLw09EwE0CqkOc4q9oUmW1yo/edit?usp=sharing"",""พะเยา!I442"")"),22)</f>
        <v>22</v>
      </c>
      <c r="J547" s="198">
        <f ca="1">IFERROR(__xludf.DUMMYFUNCTION("IMPORTRANGE(""https://docs.google.com/spreadsheets/d/11923uPwbBZFjjGgGUA6NLw09EwE0CqkOc4q9oUmW1yo/edit?usp=sharing"",""พะเยา!J442"")"),22)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IFERROR(__xludf.DUMMYFUNCTION("IMPORTRANGE(""https://docs.google.com/spreadsheets/d/11923uPwbBZFjjGgGUA6NLw09EwE0CqkOc4q9oUmW1yo/edit?usp=sharing"",""พะเยา!J166"")"),0)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IFERROR(__xludf.DUMMYFUNCTION("IMPORTRANGE(""https://docs.google.com/spreadsheets/d/11923uPwbBZFjjGgGUA6NLw09EwE0CqkOc4q9oUmW1yo/edit?usp=sharing"",""พะเยา!J444"")"),0)</f>
        <v>0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IFERROR(__xludf.DUMMYFUNCTION("IMPORTRANGE(""https://docs.google.com/spreadsheets/d/11923uPwbBZFjjGgGUA6NLw09EwE0CqkOc4q9oUmW1yo/edit?usp=sharing"",""พะเยา!J445"")"),0)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IFERROR(__xludf.DUMMYFUNCTION("IMPORTRANGE(""https://docs.google.com/spreadsheets/d/11923uPwbBZFjjGgGUA6NLw09EwE0CqkOc4q9oUmW1yo/edit?usp=sharing"",""พะเยา!I446"")"),0)</f>
        <v>0</v>
      </c>
      <c r="J551" s="418">
        <f ca="1">IFERROR(__xludf.DUMMYFUNCTION("IMPORTRANGE(""https://docs.google.com/spreadsheets/d/11923uPwbBZFjjGgGUA6NLw09EwE0CqkOc4q9oUmW1yo/edit?usp=sharing"",""พะเยา!J446"")"),0)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IFERROR(__xludf.DUMMYFUNCTION("IMPORTRANGE(""https://docs.google.com/spreadsheets/d/11923uPwbBZFjjGgGUA6NLw09EwE0CqkOc4q9oUmW1yo/edit?usp=sharing"",""พะเยา!L446"")"),0)</f>
        <v>0</v>
      </c>
      <c r="M551" s="420"/>
      <c r="N551" s="420">
        <f ca="1">IFERROR(__xludf.DUMMYFUNCTION("IMPORTRANGE(""https://docs.google.com/spreadsheets/d/11923uPwbBZFjjGgGUA6NLw09EwE0CqkOc4q9oUmW1yo/edit?usp=sharing"",""พะเยา!M446"")"),0)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IFERROR(__xludf.DUMMYFUNCTION("IMPORTRANGE(""https://docs.google.com/spreadsheets/d/11923uPwbBZFjjGgGUA6NLw09EwE0CqkOc4q9oUmW1yo/edit?usp=sharing"",""พะเยา!L447"")"),0)</f>
        <v>0</v>
      </c>
      <c r="M552" s="172"/>
      <c r="N552" s="178">
        <f ca="1">IFERROR(__xludf.DUMMYFUNCTION("IMPORTRANGE(""https://docs.google.com/spreadsheets/d/11923uPwbBZFjjGgGUA6NLw09EwE0CqkOc4q9oUmW1yo/edit?usp=sharing"",""พะเยา!M447"")"),0)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IFERROR(__xludf.DUMMYFUNCTION("IMPORTRANGE(""https://docs.google.com/spreadsheets/d/11923uPwbBZFjjGgGUA6NLw09EwE0CqkOc4q9oUmW1yo/edit?usp=sharing"",""พะเยา!L448"")"),0)</f>
        <v>0</v>
      </c>
      <c r="M553" s="173"/>
      <c r="N553" s="178">
        <f ca="1">IFERROR(__xludf.DUMMYFUNCTION("IMPORTRANGE(""https://docs.google.com/spreadsheets/d/11923uPwbBZFjjGgGUA6NLw09EwE0CqkOc4q9oUmW1yo/edit?usp=sharing"",""พะเยา!M448"")"),0)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IFERROR(__xludf.DUMMYFUNCTION("IMPORTRANGE(""https://docs.google.com/spreadsheets/d/11923uPwbBZFjjGgGUA6NLw09EwE0CqkOc4q9oUmW1yo/edit?usp=sharing"",""พะเยา!L449"")"),0)</f>
        <v>0</v>
      </c>
      <c r="M554" s="178"/>
      <c r="N554" s="178">
        <f ca="1">IFERROR(__xludf.DUMMYFUNCTION("IMPORTRANGE(""https://docs.google.com/spreadsheets/d/11923uPwbBZFjjGgGUA6NLw09EwE0CqkOc4q9oUmW1yo/edit?usp=sharing"",""พะเยา!M449"")"),0)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IFERROR(__xludf.DUMMYFUNCTION("IMPORTRANGE(""https://docs.google.com/spreadsheets/d/11923uPwbBZFjjGgGUA6NLw09EwE0CqkOc4q9oUmW1yo/edit?usp=sharing"",""พะเยา!L450"")"),0)</f>
        <v>0</v>
      </c>
      <c r="M555" s="178"/>
      <c r="N555" s="178">
        <f ca="1">IFERROR(__xludf.DUMMYFUNCTION("IMPORTRANGE(""https://docs.google.com/spreadsheets/d/11923uPwbBZFjjGgGUA6NLw09EwE0CqkOc4q9oUmW1yo/edit?usp=sharing"",""พะเยา!M450"")"),0)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IFERROR(__xludf.DUMMYFUNCTION("IMPORTRANGE(""https://docs.google.com/spreadsheets/d/11923uPwbBZFjjGgGUA6NLw09EwE0CqkOc4q9oUmW1yo/edit?usp=sharing"",""พะเยา!M451"")"),0)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IFERROR(__xludf.DUMMYFUNCTION("IMPORTRANGE(""https://docs.google.com/spreadsheets/d/11923uPwbBZFjjGgGUA6NLw09EwE0CqkOc4q9oUmW1yo/edit?usp=sharing"",""พะเยา!M452"")"),0)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IFERROR(__xludf.DUMMYFUNCTION("IMPORTRANGE(""https://docs.google.com/spreadsheets/d/11923uPwbBZFjjGgGUA6NLw09EwE0CqkOc4q9oUmW1yo/edit?usp=sharing"",""พะเยา!M453"")"),0)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IFERROR(__xludf.DUMMYFUNCTION("IMPORTRANGE(""https://docs.google.com/spreadsheets/d/11923uPwbBZFjjGgGUA6NLw09EwE0CqkOc4q9oUmW1yo/edit?usp=sharing"",""พะเยา!M454"")"),0)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IFERROR(__xludf.DUMMYFUNCTION("IMPORTRANGE(""https://docs.google.com/spreadsheets/d/11923uPwbBZFjjGgGUA6NLw09EwE0CqkOc4q9oUmW1yo/edit?usp=sharing"",""พะเยา!I455"")"),0)</f>
        <v>0</v>
      </c>
      <c r="J560" s="170">
        <f ca="1">IFERROR(__xludf.DUMMYFUNCTION("IMPORTRANGE(""https://docs.google.com/spreadsheets/d/11923uPwbBZFjjGgGUA6NLw09EwE0CqkOc4q9oUmW1yo/edit?usp=sharing"",""พะเยา!J455"")"),0)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IFERROR(__xludf.DUMMYFUNCTION("IMPORTRANGE(""https://docs.google.com/spreadsheets/d/11923uPwbBZFjjGgGUA6NLw09EwE0CqkOc4q9oUmW1yo/edit?usp=sharing"",""พะเยา!I456"")"),0)</f>
        <v>0</v>
      </c>
      <c r="J561" s="213">
        <f ca="1">IFERROR(__xludf.DUMMYFUNCTION("IMPORTRANGE(""https://docs.google.com/spreadsheets/d/11923uPwbBZFjjGgGUA6NLw09EwE0CqkOc4q9oUmW1yo/edit?usp=sharing"",""พะเยา!J456"")"),0)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IFERROR(__xludf.DUMMYFUNCTION("IMPORTRANGE(""https://docs.google.com/spreadsheets/d/11923uPwbBZFjjGgGUA6NLw09EwE0CqkOc4q9oUmW1yo/edit?usp=sharing"",""พะเยา!I457"")"),"")</f>
        <v/>
      </c>
      <c r="J562" s="213" t="str">
        <f ca="1">IFERROR(__xludf.DUMMYFUNCTION("IMPORTRANGE(""https://docs.google.com/spreadsheets/d/11923uPwbBZFjjGgGUA6NLw09EwE0CqkOc4q9oUmW1yo/edit?usp=sharing"",""พะเยา!J457"")"),"")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IFERROR(__xludf.DUMMYFUNCTION("IMPORTRANGE(""https://docs.google.com/spreadsheets/d/11923uPwbBZFjjGgGUA6NLw09EwE0CqkOc4q9oUmW1yo/edit?usp=sharing"",""พะเยา!I458"")"),"")</f>
        <v/>
      </c>
      <c r="J563" s="197" t="str">
        <f ca="1">IFERROR(__xludf.DUMMYFUNCTION("IMPORTRANGE(""https://docs.google.com/spreadsheets/d/11923uPwbBZFjjGgGUA6NLw09EwE0CqkOc4q9oUmW1yo/edit?usp=sharing"",""พะเยา!J458"")"),"")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IFERROR(__xludf.DUMMYFUNCTION("IMPORTRANGE(""https://docs.google.com/spreadsheets/d/11923uPwbBZFjjGgGUA6NLw09EwE0CqkOc4q9oUmW1yo/edit?usp=sharing"",""พะเยา!I459"")"),1950)</f>
        <v>1950</v>
      </c>
      <c r="J564" s="379">
        <f ca="1">IFERROR(__xludf.DUMMYFUNCTION("IMPORTRANGE(""https://docs.google.com/spreadsheets/d/11923uPwbBZFjjGgGUA6NLw09EwE0CqkOc4q9oUmW1yo/edit?usp=sharing"",""พะเยา!J459"")"),710)</f>
        <v>710</v>
      </c>
      <c r="K564" s="380">
        <f t="shared" ca="1" si="121"/>
        <v>36.410256410256409</v>
      </c>
      <c r="L564" s="381">
        <f ca="1">IFERROR(__xludf.DUMMYFUNCTION("IMPORTRANGE(""https://docs.google.com/spreadsheets/d/11923uPwbBZFjjGgGUA6NLw09EwE0CqkOc4q9oUmW1yo/edit?usp=sharing"",""พะเยา!L459"")"),142240)</f>
        <v>142240</v>
      </c>
      <c r="M564" s="381"/>
      <c r="N564" s="381">
        <f ca="1">IFERROR(__xludf.DUMMYFUNCTION("IMPORTRANGE(""https://docs.google.com/spreadsheets/d/11923uPwbBZFjjGgGUA6NLw09EwE0CqkOc4q9oUmW1yo/edit?usp=sharing"",""พะเยา!M459"")"),0)</f>
        <v>0</v>
      </c>
      <c r="O564" s="381">
        <f t="shared" ref="O564:O568" ca="1" si="122">+IF(L564&gt;0,N564*100/L564,0)</f>
        <v>0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IFERROR(__xludf.DUMMYFUNCTION("IMPORTRANGE(""https://docs.google.com/spreadsheets/d/11923uPwbBZFjjGgGUA6NLw09EwE0CqkOc4q9oUmW1yo/edit?usp=sharing"",""พะเยา!L460"")"),0)</f>
        <v>0</v>
      </c>
      <c r="M565" s="172"/>
      <c r="N565" s="178">
        <f ca="1">IFERROR(__xludf.DUMMYFUNCTION("IMPORTRANGE(""https://docs.google.com/spreadsheets/d/11923uPwbBZFjjGgGUA6NLw09EwE0CqkOc4q9oUmW1yo/edit?usp=sharing"",""พะเยา!M460"")"),0)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IFERROR(__xludf.DUMMYFUNCTION("IMPORTRANGE(""https://docs.google.com/spreadsheets/d/11923uPwbBZFjjGgGUA6NLw09EwE0CqkOc4q9oUmW1yo/edit?usp=sharing"",""พะเยา!L461"")"),142240)</f>
        <v>142240</v>
      </c>
      <c r="M566" s="173"/>
      <c r="N566" s="178">
        <f ca="1">IFERROR(__xludf.DUMMYFUNCTION("IMPORTRANGE(""https://docs.google.com/spreadsheets/d/11923uPwbBZFjjGgGUA6NLw09EwE0CqkOc4q9oUmW1yo/edit?usp=sharing"",""พะเยา!M461"")"),0)</f>
        <v>0</v>
      </c>
      <c r="O566" s="178">
        <f t="shared" ca="1" si="122"/>
        <v>0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IFERROR(__xludf.DUMMYFUNCTION("IMPORTRANGE(""https://docs.google.com/spreadsheets/d/11923uPwbBZFjjGgGUA6NLw09EwE0CqkOc4q9oUmW1yo/edit?usp=sharing"",""พะเยา!L462"")"),0)</f>
        <v>0</v>
      </c>
      <c r="M567" s="178"/>
      <c r="N567" s="178">
        <f ca="1">IFERROR(__xludf.DUMMYFUNCTION("IMPORTRANGE(""https://docs.google.com/spreadsheets/d/11923uPwbBZFjjGgGUA6NLw09EwE0CqkOc4q9oUmW1yo/edit?usp=sharing"",""พะเยา!M462"")"),0)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IFERROR(__xludf.DUMMYFUNCTION("IMPORTRANGE(""https://docs.google.com/spreadsheets/d/11923uPwbBZFjjGgGUA6NLw09EwE0CqkOc4q9oUmW1yo/edit?usp=sharing"",""พะเยา!L463"")"),142240)</f>
        <v>142240</v>
      </c>
      <c r="M568" s="178"/>
      <c r="N568" s="178">
        <f ca="1">IFERROR(__xludf.DUMMYFUNCTION("IMPORTRANGE(""https://docs.google.com/spreadsheets/d/11923uPwbBZFjjGgGUA6NLw09EwE0CqkOc4q9oUmW1yo/edit?usp=sharing"",""พะเยา!M463"")"),0)</f>
        <v>0</v>
      </c>
      <c r="O568" s="178">
        <f t="shared" ca="1" si="122"/>
        <v>0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IFERROR(__xludf.DUMMYFUNCTION("IMPORTRANGE(""https://docs.google.com/spreadsheets/d/11923uPwbBZFjjGgGUA6NLw09EwE0CqkOc4q9oUmW1yo/edit?usp=sharing"",""พะเยา!M464"")"),0)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IFERROR(__xludf.DUMMYFUNCTION("IMPORTRANGE(""https://docs.google.com/spreadsheets/d/11923uPwbBZFjjGgGUA6NLw09EwE0CqkOc4q9oUmW1yo/edit?usp=sharing"",""พะเยา!M465"")"),0)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IFERROR(__xludf.DUMMYFUNCTION("IMPORTRANGE(""https://docs.google.com/spreadsheets/d/11923uPwbBZFjjGgGUA6NLw09EwE0CqkOc4q9oUmW1yo/edit?usp=sharing"",""พะเยา!M466"")"),0)</f>
        <v>0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IFERROR(__xludf.DUMMYFUNCTION("IMPORTRANGE(""https://docs.google.com/spreadsheets/d/11923uPwbBZFjjGgGUA6NLw09EwE0CqkOc4q9oUmW1yo/edit?usp=sharing"",""พะเยา!M467"")"),0)</f>
        <v>0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IFERROR(__xludf.DUMMYFUNCTION("IMPORTRANGE(""https://docs.google.com/spreadsheets/d/11923uPwbBZFjjGgGUA6NLw09EwE0CqkOc4q9oUmW1yo/edit?usp=sharing"",""พะเยา!I468"")"),1950)</f>
        <v>1950</v>
      </c>
      <c r="J573" s="428">
        <f ca="1">IFERROR(__xludf.DUMMYFUNCTION("IMPORTRANGE(""https://docs.google.com/spreadsheets/d/11923uPwbBZFjjGgGUA6NLw09EwE0CqkOc4q9oUmW1yo/edit?usp=sharing"",""พะเยา!J468"")"),710)</f>
        <v>710</v>
      </c>
      <c r="K573" s="211">
        <f ca="1">IF(I573&gt;0,J573*100/I573,0)</f>
        <v>36.410256410256409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IFERROR(__xludf.DUMMYFUNCTION("IMPORTRANGE(""https://docs.google.com/spreadsheets/d/11923uPwbBZFjjGgGUA6NLw09EwE0CqkOc4q9oUmW1yo/edit?usp=sharing"",""พะเยา!I470"")"),0)</f>
        <v>0</v>
      </c>
      <c r="J575" s="207">
        <f ca="1">IFERROR(__xludf.DUMMYFUNCTION("IMPORTRANGE(""https://docs.google.com/spreadsheets/d/11923uPwbBZFjjGgGUA6NLw09EwE0CqkOc4q9oUmW1yo/edit?usp=sharing"",""พะเยา!J470"")"),0)</f>
        <v>0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IFERROR(__xludf.DUMMYFUNCTION("IMPORTRANGE(""https://docs.google.com/spreadsheets/d/11923uPwbBZFjjGgGUA6NLw09EwE0CqkOc4q9oUmW1yo/edit?usp=sharing"",""พะเยา!I471"")"),0)</f>
        <v>0</v>
      </c>
      <c r="J576" s="207">
        <f ca="1">IFERROR(__xludf.DUMMYFUNCTION("IMPORTRANGE(""https://docs.google.com/spreadsheets/d/11923uPwbBZFjjGgGUA6NLw09EwE0CqkOc4q9oUmW1yo/edit?usp=sharing"",""พะเยา!J471"")"),0)</f>
        <v>0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IFERROR(__xludf.DUMMYFUNCTION("IMPORTRANGE(""https://docs.google.com/spreadsheets/d/11923uPwbBZFjjGgGUA6NLw09EwE0CqkOc4q9oUmW1yo/edit?usp=sharing"",""พะเยา!I472"")"),0)</f>
        <v>0</v>
      </c>
      <c r="J577" s="198">
        <f ca="1">IFERROR(__xludf.DUMMYFUNCTION("IMPORTRANGE(""https://docs.google.com/spreadsheets/d/11923uPwbBZFjjGgGUA6NLw09EwE0CqkOc4q9oUmW1yo/edit?usp=sharing"",""พะเยา!J472"")"),710)</f>
        <v>710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IFERROR(__xludf.DUMMYFUNCTION("IMPORTRANGE(""https://docs.google.com/spreadsheets/d/11923uPwbBZFjjGgGUA6NLw09EwE0CqkOc4q9oUmW1yo/edit?usp=sharing"",""พะเยา!I473"")"),0)</f>
        <v>0</v>
      </c>
      <c r="J578" s="207">
        <f ca="1">IFERROR(__xludf.DUMMYFUNCTION("IMPORTRANGE(""https://docs.google.com/spreadsheets/d/11923uPwbBZFjjGgGUA6NLw09EwE0CqkOc4q9oUmW1yo/edit?usp=sharing"",""พะเยา!J473"")"),0)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IFERROR(__xludf.DUMMYFUNCTION("IMPORTRANGE(""https://docs.google.com/spreadsheets/d/11923uPwbBZFjjGgGUA6NLw09EwE0CqkOc4q9oUmW1yo/edit?usp=sharing"",""พะเยา!I474"")"),0)</f>
        <v>0</v>
      </c>
      <c r="J579" s="207">
        <f ca="1">IFERROR(__xludf.DUMMYFUNCTION("IMPORTRANGE(""https://docs.google.com/spreadsheets/d/11923uPwbBZFjjGgGUA6NLw09EwE0CqkOc4q9oUmW1yo/edit?usp=sharing"",""พะเยา!J474"")"),0)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IFERROR(__xludf.DUMMYFUNCTION("IMPORTRANGE(""https://docs.google.com/spreadsheets/d/11923uPwbBZFjjGgGUA6NLw09EwE0CqkOc4q9oUmW1yo/edit?usp=sharing"",""พะเยา!I475"")"),40)</f>
        <v>40</v>
      </c>
      <c r="J580" s="379">
        <f ca="1">IFERROR(__xludf.DUMMYFUNCTION("IMPORTRANGE(""https://docs.google.com/spreadsheets/d/11923uPwbBZFjjGgGUA6NLw09EwE0CqkOc4q9oUmW1yo/edit?usp=sharing"",""พะเยา!J475"")"),0)</f>
        <v>0</v>
      </c>
      <c r="K580" s="380">
        <f ca="1">IF(I580&gt;0,J580*100/I580,0)</f>
        <v>0</v>
      </c>
      <c r="L580" s="381">
        <f ca="1">IFERROR(__xludf.DUMMYFUNCTION("IMPORTRANGE(""https://docs.google.com/spreadsheets/d/11923uPwbBZFjjGgGUA6NLw09EwE0CqkOc4q9oUmW1yo/edit?usp=sharing"",""พะเยา!L475"")"),138840)</f>
        <v>138840</v>
      </c>
      <c r="M580" s="381"/>
      <c r="N580" s="381">
        <f ca="1">IFERROR(__xludf.DUMMYFUNCTION("IMPORTRANGE(""https://docs.google.com/spreadsheets/d/11923uPwbBZFjjGgGUA6NLw09EwE0CqkOc4q9oUmW1yo/edit?usp=sharing"",""พะเยา!M475"")"),0)</f>
        <v>0</v>
      </c>
      <c r="O580" s="381">
        <f t="shared" ref="O580:O584" ca="1" si="124">+IF(L580&gt;0,N580*100/L580,0)</f>
        <v>0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IFERROR(__xludf.DUMMYFUNCTION("IMPORTRANGE(""https://docs.google.com/spreadsheets/d/11923uPwbBZFjjGgGUA6NLw09EwE0CqkOc4q9oUmW1yo/edit?usp=sharing"",""พะเยา!L476"")"),0)</f>
        <v>0</v>
      </c>
      <c r="M581" s="172"/>
      <c r="N581" s="178">
        <f ca="1">IFERROR(__xludf.DUMMYFUNCTION("IMPORTRANGE(""https://docs.google.com/spreadsheets/d/11923uPwbBZFjjGgGUA6NLw09EwE0CqkOc4q9oUmW1yo/edit?usp=sharing"",""พะเยา!M476"")"),0)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IFERROR(__xludf.DUMMYFUNCTION("IMPORTRANGE(""https://docs.google.com/spreadsheets/d/11923uPwbBZFjjGgGUA6NLw09EwE0CqkOc4q9oUmW1yo/edit?usp=sharing"",""พะเยา!L477"")"),138840)</f>
        <v>138840</v>
      </c>
      <c r="M582" s="173"/>
      <c r="N582" s="178">
        <f ca="1">IFERROR(__xludf.DUMMYFUNCTION("IMPORTRANGE(""https://docs.google.com/spreadsheets/d/11923uPwbBZFjjGgGUA6NLw09EwE0CqkOc4q9oUmW1yo/edit?usp=sharing"",""พะเยา!M477"")"),0)</f>
        <v>0</v>
      </c>
      <c r="O582" s="178">
        <f t="shared" ca="1" si="124"/>
        <v>0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IFERROR(__xludf.DUMMYFUNCTION("IMPORTRANGE(""https://docs.google.com/spreadsheets/d/11923uPwbBZFjjGgGUA6NLw09EwE0CqkOc4q9oUmW1yo/edit?usp=sharing"",""พะเยา!L478"")"),0)</f>
        <v>0</v>
      </c>
      <c r="M583" s="178"/>
      <c r="N583" s="178">
        <f ca="1">IFERROR(__xludf.DUMMYFUNCTION("IMPORTRANGE(""https://docs.google.com/spreadsheets/d/11923uPwbBZFjjGgGUA6NLw09EwE0CqkOc4q9oUmW1yo/edit?usp=sharing"",""พะเยา!M478"")"),0)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IFERROR(__xludf.DUMMYFUNCTION("IMPORTRANGE(""https://docs.google.com/spreadsheets/d/11923uPwbBZFjjGgGUA6NLw09EwE0CqkOc4q9oUmW1yo/edit?usp=sharing"",""พะเยา!L479"")"),138840)</f>
        <v>138840</v>
      </c>
      <c r="M584" s="178"/>
      <c r="N584" s="178">
        <f ca="1">IFERROR(__xludf.DUMMYFUNCTION("IMPORTRANGE(""https://docs.google.com/spreadsheets/d/11923uPwbBZFjjGgGUA6NLw09EwE0CqkOc4q9oUmW1yo/edit?usp=sharing"",""พะเยา!M479"")"),0)</f>
        <v>0</v>
      </c>
      <c r="O584" s="178">
        <f t="shared" ca="1" si="124"/>
        <v>0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IFERROR(__xludf.DUMMYFUNCTION("IMPORTRANGE(""https://docs.google.com/spreadsheets/d/11923uPwbBZFjjGgGUA6NLw09EwE0CqkOc4q9oUmW1yo/edit?usp=sharing"",""พะเยา!M480"")"),0)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IFERROR(__xludf.DUMMYFUNCTION("IMPORTRANGE(""https://docs.google.com/spreadsheets/d/11923uPwbBZFjjGgGUA6NLw09EwE0CqkOc4q9oUmW1yo/edit?usp=sharing"",""พะเยา!M481"")"),0)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IFERROR(__xludf.DUMMYFUNCTION("IMPORTRANGE(""https://docs.google.com/spreadsheets/d/11923uPwbBZFjjGgGUA6NLw09EwE0CqkOc4q9oUmW1yo/edit?usp=sharing"",""พะเยา!M482"")"),0)</f>
        <v>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IFERROR(__xludf.DUMMYFUNCTION("IMPORTRANGE(""https://docs.google.com/spreadsheets/d/11923uPwbBZFjjGgGUA6NLw09EwE0CqkOc4q9oUmW1yo/edit?usp=sharing"",""พะเยา!M483"")"),0)</f>
        <v>0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IFERROR(__xludf.DUMMYFUNCTION("IMPORTRANGE(""https://docs.google.com/spreadsheets/d/11923uPwbBZFjjGgGUA6NLw09EwE0CqkOc4q9oUmW1yo/edit?usp=sharing"",""พะเยา!I484"")"),40)</f>
        <v>40</v>
      </c>
      <c r="J589" s="197">
        <f ca="1">IFERROR(__xludf.DUMMYFUNCTION("IMPORTRANGE(""https://docs.google.com/spreadsheets/d/11923uPwbBZFjjGgGUA6NLw09EwE0CqkOc4q9oUmW1yo/edit?usp=sharing"",""พะเยา!J484"")"),0)</f>
        <v>0</v>
      </c>
      <c r="K589" s="171">
        <f t="shared" ref="K589:K596" ca="1" si="125">IF(I589&gt;0,J589*100/I589,0)</f>
        <v>0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IFERROR(__xludf.DUMMYFUNCTION("IMPORTRANGE(""https://docs.google.com/spreadsheets/d/11923uPwbBZFjjGgGUA6NLw09EwE0CqkOc4q9oUmW1yo/edit?usp=sharing"",""พะเยา!I485"")"),0)</f>
        <v>0</v>
      </c>
      <c r="J590" s="197">
        <f ca="1">IFERROR(__xludf.DUMMYFUNCTION("IMPORTRANGE(""https://docs.google.com/spreadsheets/d/11923uPwbBZFjjGgGUA6NLw09EwE0CqkOc4q9oUmW1yo/edit?usp=sharing"",""พะเยา!J485"")"),0)</f>
        <v>0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IFERROR(__xludf.DUMMYFUNCTION("IMPORTRANGE(""https://docs.google.com/spreadsheets/d/11923uPwbBZFjjGgGUA6NLw09EwE0CqkOc4q9oUmW1yo/edit?usp=sharing"",""พะเยา!I486"")"),40)</f>
        <v>40</v>
      </c>
      <c r="J591" s="197">
        <f ca="1">IFERROR(__xludf.DUMMYFUNCTION("IMPORTRANGE(""https://docs.google.com/spreadsheets/d/11923uPwbBZFjjGgGUA6NLw09EwE0CqkOc4q9oUmW1yo/edit?usp=sharing"",""พะเยา!J486"")"),0)</f>
        <v>0</v>
      </c>
      <c r="K591" s="171">
        <f t="shared" ca="1" si="125"/>
        <v>0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IFERROR(__xludf.DUMMYFUNCTION("IMPORTRANGE(""https://docs.google.com/spreadsheets/d/11923uPwbBZFjjGgGUA6NLw09EwE0CqkOc4q9oUmW1yo/edit?usp=sharing"",""พะเยา!I487"")"),0)</f>
        <v>0</v>
      </c>
      <c r="J592" s="197">
        <f ca="1">IFERROR(__xludf.DUMMYFUNCTION("IMPORTRANGE(""https://docs.google.com/spreadsheets/d/11923uPwbBZFjjGgGUA6NLw09EwE0CqkOc4q9oUmW1yo/edit?usp=sharing"",""พะเยา!J487"")"),0)</f>
        <v>0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IFERROR(__xludf.DUMMYFUNCTION("IMPORTRANGE(""https://docs.google.com/spreadsheets/d/11923uPwbBZFjjGgGUA6NLw09EwE0CqkOc4q9oUmW1yo/edit?usp=sharing"",""พะเยา!I488"")"),40)</f>
        <v>40</v>
      </c>
      <c r="J593" s="197">
        <f ca="1">IFERROR(__xludf.DUMMYFUNCTION("IMPORTRANGE(""https://docs.google.com/spreadsheets/d/11923uPwbBZFjjGgGUA6NLw09EwE0CqkOc4q9oUmW1yo/edit?usp=sharing"",""พะเยา!J488"")"),0)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IFERROR(__xludf.DUMMYFUNCTION("IMPORTRANGE(""https://docs.google.com/spreadsheets/d/11923uPwbBZFjjGgGUA6NLw09EwE0CqkOc4q9oUmW1yo/edit?usp=sharing"",""พะเยา!I489"")"),0)</f>
        <v>0</v>
      </c>
      <c r="J594" s="197">
        <f ca="1">IFERROR(__xludf.DUMMYFUNCTION("IMPORTRANGE(""https://docs.google.com/spreadsheets/d/11923uPwbBZFjjGgGUA6NLw09EwE0CqkOc4q9oUmW1yo/edit?usp=sharing"",""พะเยา!J489"")"),0)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IFERROR(__xludf.DUMMYFUNCTION("IMPORTRANGE(""https://docs.google.com/spreadsheets/d/11923uPwbBZFjjGgGUA6NLw09EwE0CqkOc4q9oUmW1yo/edit?usp=sharing"",""พะเยา!I490"")"),40)</f>
        <v>40</v>
      </c>
      <c r="J595" s="197">
        <f ca="1">IFERROR(__xludf.DUMMYFUNCTION("IMPORTRANGE(""https://docs.google.com/spreadsheets/d/11923uPwbBZFjjGgGUA6NLw09EwE0CqkOc4q9oUmW1yo/edit?usp=sharing"",""พะเยา!J490"")"),0)</f>
        <v>0</v>
      </c>
      <c r="K595" s="171">
        <f t="shared" ca="1" si="125"/>
        <v>0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IFERROR(__xludf.DUMMYFUNCTION("IMPORTRANGE(""https://docs.google.com/spreadsheets/d/11923uPwbBZFjjGgGUA6NLw09EwE0CqkOc4q9oUmW1yo/edit?usp=sharing"",""พะเยา!I491"")"),0)</f>
        <v>0</v>
      </c>
      <c r="J596" s="250">
        <f ca="1">IFERROR(__xludf.DUMMYFUNCTION("IMPORTRANGE(""https://docs.google.com/spreadsheets/d/11923uPwbBZFjjGgGUA6NLw09EwE0CqkOc4q9oUmW1yo/edit?usp=sharing"",""พะเยา!J491"")"),0)</f>
        <v>0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IFERROR(__xludf.DUMMYFUNCTION("IMPORTRANGE(""https://docs.google.com/spreadsheets/d/11923uPwbBZFjjGgGUA6NLw09EwE0CqkOc4q9oUmW1yo/edit?usp=sharing"",""พะเยา!I492"")"),150)</f>
        <v>150</v>
      </c>
      <c r="J597" s="495">
        <f ca="1">IFERROR(__xludf.DUMMYFUNCTION("IMPORTRANGE(""https://docs.google.com/spreadsheets/d/11923uPwbBZFjjGgGUA6NLw09EwE0CqkOc4q9oUmW1yo/edit?usp=sharing"",""พะเยา!J492"")"),0)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IFERROR(__xludf.DUMMYFUNCTION("IMPORTRANGE(""https://docs.google.com/spreadsheets/d/11923uPwbBZFjjGgGUA6NLw09EwE0CqkOc4q9oUmW1yo/edit?usp=sharing"",""พะเยา!L492"")"),14050)</f>
        <v>14050</v>
      </c>
      <c r="M597" s="420"/>
      <c r="N597" s="420">
        <f ca="1">IFERROR(__xludf.DUMMYFUNCTION("IMPORTRANGE(""https://docs.google.com/spreadsheets/d/11923uPwbBZFjjGgGUA6NLw09EwE0CqkOc4q9oUmW1yo/edit?usp=sharing"",""พะเยา!M492"")"),0)</f>
        <v>0</v>
      </c>
      <c r="O597" s="420">
        <f t="shared" ref="O597:O601" ca="1" si="126">+IF(L597&gt;0,N597*100/L597,0)</f>
        <v>0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IFERROR(__xludf.DUMMYFUNCTION("IMPORTRANGE(""https://docs.google.com/spreadsheets/d/11923uPwbBZFjjGgGUA6NLw09EwE0CqkOc4q9oUmW1yo/edit?usp=sharing"",""พะเยา!L493"")"),0)</f>
        <v>0</v>
      </c>
      <c r="M598" s="172"/>
      <c r="N598" s="178">
        <f ca="1">IFERROR(__xludf.DUMMYFUNCTION("IMPORTRANGE(""https://docs.google.com/spreadsheets/d/11923uPwbBZFjjGgGUA6NLw09EwE0CqkOc4q9oUmW1yo/edit?usp=sharing"",""พะเยา!M493"")"),0)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IFERROR(__xludf.DUMMYFUNCTION("IMPORTRANGE(""https://docs.google.com/spreadsheets/d/11923uPwbBZFjjGgGUA6NLw09EwE0CqkOc4q9oUmW1yo/edit?usp=sharing"",""พะเยา!L494"")"),14050)</f>
        <v>14050</v>
      </c>
      <c r="M599" s="173"/>
      <c r="N599" s="178">
        <f ca="1">IFERROR(__xludf.DUMMYFUNCTION("IMPORTRANGE(""https://docs.google.com/spreadsheets/d/11923uPwbBZFjjGgGUA6NLw09EwE0CqkOc4q9oUmW1yo/edit?usp=sharing"",""พะเยา!M494"")"),0)</f>
        <v>0</v>
      </c>
      <c r="O599" s="178">
        <f t="shared" ca="1" si="126"/>
        <v>0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IFERROR(__xludf.DUMMYFUNCTION("IMPORTRANGE(""https://docs.google.com/spreadsheets/d/11923uPwbBZFjjGgGUA6NLw09EwE0CqkOc4q9oUmW1yo/edit?usp=sharing"",""พะเยา!L495"")"),0)</f>
        <v>0</v>
      </c>
      <c r="M600" s="178"/>
      <c r="N600" s="178">
        <f ca="1">IFERROR(__xludf.DUMMYFUNCTION("IMPORTRANGE(""https://docs.google.com/spreadsheets/d/11923uPwbBZFjjGgGUA6NLw09EwE0CqkOc4q9oUmW1yo/edit?usp=sharing"",""พะเยา!M495"")"),0)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IFERROR(__xludf.DUMMYFUNCTION("IMPORTRANGE(""https://docs.google.com/spreadsheets/d/11923uPwbBZFjjGgGUA6NLw09EwE0CqkOc4q9oUmW1yo/edit?usp=sharing"",""พะเยา!L496"")"),14050)</f>
        <v>14050</v>
      </c>
      <c r="M601" s="178"/>
      <c r="N601" s="178">
        <f ca="1">IFERROR(__xludf.DUMMYFUNCTION("IMPORTRANGE(""https://docs.google.com/spreadsheets/d/11923uPwbBZFjjGgGUA6NLw09EwE0CqkOc4q9oUmW1yo/edit?usp=sharing"",""พะเยา!M496"")"),0)</f>
        <v>0</v>
      </c>
      <c r="O601" s="178">
        <f t="shared" ca="1" si="126"/>
        <v>0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IFERROR(__xludf.DUMMYFUNCTION("IMPORTRANGE(""https://docs.google.com/spreadsheets/d/11923uPwbBZFjjGgGUA6NLw09EwE0CqkOc4q9oUmW1yo/edit?usp=sharing"",""พะเยา!M497"")"),0)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IFERROR(__xludf.DUMMYFUNCTION("IMPORTRANGE(""https://docs.google.com/spreadsheets/d/11923uPwbBZFjjGgGUA6NLw09EwE0CqkOc4q9oUmW1yo/edit?usp=sharing"",""พะเยา!M498"")"),0)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IFERROR(__xludf.DUMMYFUNCTION("IMPORTRANGE(""https://docs.google.com/spreadsheets/d/11923uPwbBZFjjGgGUA6NLw09EwE0CqkOc4q9oUmW1yo/edit?usp=sharing"",""พะเยา!M499"")"),0)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IFERROR(__xludf.DUMMYFUNCTION("IMPORTRANGE(""https://docs.google.com/spreadsheets/d/11923uPwbBZFjjGgGUA6NLw09EwE0CqkOc4q9oUmW1yo/edit?usp=sharing"",""พะเยา!M500"")"),0)</f>
        <v>0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IFERROR(__xludf.DUMMYFUNCTION("IMPORTRANGE(""https://docs.google.com/spreadsheets/d/11923uPwbBZFjjGgGUA6NLw09EwE0CqkOc4q9oUmW1yo/edit?usp=sharing"",""พะเยา!J502"")"),0)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IFERROR(__xludf.DUMMYFUNCTION("IMPORTRANGE(""https://docs.google.com/spreadsheets/d/11923uPwbBZFjjGgGUA6NLw09EwE0CqkOc4q9oUmW1yo/edit?usp=sharing"",""พะเยา!J503"")"),1)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IFERROR(__xludf.DUMMYFUNCTION("IMPORTRANGE(""https://docs.google.com/spreadsheets/d/11923uPwbBZFjjGgGUA6NLw09EwE0CqkOc4q9oUmW1yo/edit?usp=sharing"",""พะเยา!J166"")"),0)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IFERROR(__xludf.DUMMYFUNCTION("IMPORTRANGE(""https://docs.google.com/spreadsheets/d/11923uPwbBZFjjGgGUA6NLw09EwE0CqkOc4q9oUmW1yo/edit?usp=sharing"",""พะเยา!J166"")"),0)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IFERROR(__xludf.DUMMYFUNCTION("IMPORTRANGE(""https://docs.google.com/spreadsheets/d/11923uPwbBZFjjGgGUA6NLw09EwE0CqkOc4q9oUmW1yo/edit?usp=sharing"",""พะเยา!I506"")"),150)</f>
        <v>150</v>
      </c>
      <c r="J611" s="170">
        <f ca="1">IFERROR(__xludf.DUMMYFUNCTION("IMPORTRANGE(""https://docs.google.com/spreadsheets/d/11923uPwbBZFjjGgGUA6NLw09EwE0CqkOc4q9oUmW1yo/edit?usp=sharing"",""พะเยา!J506"")"),0)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IFERROR(__xludf.DUMMYFUNCTION("IMPORTRANGE(""https://docs.google.com/spreadsheets/d/11923uPwbBZFjjGgGUA6NLw09EwE0CqkOc4q9oUmW1yo/edit?usp=sharing"",""พะเยา!I507"")"),0)</f>
        <v>0</v>
      </c>
      <c r="J612" s="207">
        <f ca="1">IFERROR(__xludf.DUMMYFUNCTION("IMPORTRANGE(""https://docs.google.com/spreadsheets/d/11923uPwbBZFjjGgGUA6NLw09EwE0CqkOc4q9oUmW1yo/edit?usp=sharing"",""พะเยา!J507"")"),0)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IFERROR(__xludf.DUMMYFUNCTION("IMPORTRANGE(""https://docs.google.com/spreadsheets/d/11923uPwbBZFjjGgGUA6NLw09EwE0CqkOc4q9oUmW1yo/edit?usp=sharing"",""พะเยา!I508"")"),0)</f>
        <v>0</v>
      </c>
      <c r="J613" s="207">
        <f ca="1">IFERROR(__xludf.DUMMYFUNCTION("IMPORTRANGE(""https://docs.google.com/spreadsheets/d/11923uPwbBZFjjGgGUA6NLw09EwE0CqkOc4q9oUmW1yo/edit?usp=sharing"",""พะเยา!J508"")"),0)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IFERROR(__xludf.DUMMYFUNCTION("IMPORTRANGE(""https://docs.google.com/spreadsheets/d/11923uPwbBZFjjGgGUA6NLw09EwE0CqkOc4q9oUmW1yo/edit?usp=sharing"",""พะเยา!I509"")"),0)</f>
        <v>0</v>
      </c>
      <c r="J614" s="207">
        <f ca="1">IFERROR(__xludf.DUMMYFUNCTION("IMPORTRANGE(""https://docs.google.com/spreadsheets/d/11923uPwbBZFjjGgGUA6NLw09EwE0CqkOc4q9oUmW1yo/edit?usp=sharing"",""พะเยา!J509"")"),0)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IFERROR(__xludf.DUMMYFUNCTION("IMPORTRANGE(""https://docs.google.com/spreadsheets/d/11923uPwbBZFjjGgGUA6NLw09EwE0CqkOc4q9oUmW1yo/edit?usp=sharing"",""พะเยา!I510"")"),0)</f>
        <v>0</v>
      </c>
      <c r="J615" s="207">
        <f ca="1">IFERROR(__xludf.DUMMYFUNCTION("IMPORTRANGE(""https://docs.google.com/spreadsheets/d/11923uPwbBZFjjGgGUA6NLw09EwE0CqkOc4q9oUmW1yo/edit?usp=sharing"",""พะเยา!J510"")"),0)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IFERROR(__xludf.DUMMYFUNCTION("IMPORTRANGE(""https://docs.google.com/spreadsheets/d/11923uPwbBZFjjGgGUA6NLw09EwE0CqkOc4q9oUmW1yo/edit?usp=sharing"",""พะเยา!I511"")"),0)</f>
        <v>0</v>
      </c>
      <c r="J616" s="207">
        <f ca="1">IFERROR(__xludf.DUMMYFUNCTION("IMPORTRANGE(""https://docs.google.com/spreadsheets/d/11923uPwbBZFjjGgGUA6NLw09EwE0CqkOc4q9oUmW1yo/edit?usp=sharing"",""พะเยา!J511"")"),0)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IFERROR(__xludf.DUMMYFUNCTION("IMPORTRANGE(""https://docs.google.com/spreadsheets/d/11923uPwbBZFjjGgGUA6NLw09EwE0CqkOc4q9oUmW1yo/edit?usp=sharing"",""พะเยา!I512"")"),0)</f>
        <v>0</v>
      </c>
      <c r="J617" s="197">
        <f ca="1">IFERROR(__xludf.DUMMYFUNCTION("IMPORTRANGE(""https://docs.google.com/spreadsheets/d/11923uPwbBZFjjGgGUA6NLw09EwE0CqkOc4q9oUmW1yo/edit?usp=sharing"",""พะเยา!J512"")"),0)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IFERROR(__xludf.DUMMYFUNCTION("IMPORTRANGE(""https://docs.google.com/spreadsheets/d/11923uPwbBZFjjGgGUA6NLw09EwE0CqkOc4q9oUmW1yo/edit?usp=sharing"",""พะเยา!I513"")"),0)</f>
        <v>0</v>
      </c>
      <c r="J618" s="198">
        <f ca="1">IFERROR(__xludf.DUMMYFUNCTION("IMPORTRANGE(""https://docs.google.com/spreadsheets/d/11923uPwbBZFjjGgGUA6NLw09EwE0CqkOc4q9oUmW1yo/edit?usp=sharing"",""พะเยา!J513"")"),0)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IFERROR(__xludf.DUMMYFUNCTION("IMPORTRANGE(""https://docs.google.com/spreadsheets/d/11923uPwbBZFjjGgGUA6NLw09EwE0CqkOc4q9oUmW1yo/edit?usp=sharing"",""พะเยา!I514"")"),0)</f>
        <v>0</v>
      </c>
      <c r="J619" s="198">
        <f ca="1">IFERROR(__xludf.DUMMYFUNCTION("IMPORTRANGE(""https://docs.google.com/spreadsheets/d/11923uPwbBZFjjGgGUA6NLw09EwE0CqkOc4q9oUmW1yo/edit?usp=sharing"",""พะเยา!J514"")"),0)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IFERROR(__xludf.DUMMYFUNCTION("IMPORTRANGE(""https://docs.google.com/spreadsheets/d/11923uPwbBZFjjGgGUA6NLw09EwE0CqkOc4q9oUmW1yo/edit?usp=sharing"",""พะเยา!I515"")"),0)</f>
        <v>0</v>
      </c>
      <c r="J620" s="212">
        <f ca="1">IFERROR(__xludf.DUMMYFUNCTION("IMPORTRANGE(""https://docs.google.com/spreadsheets/d/11923uPwbBZFjjGgGUA6NLw09EwE0CqkOc4q9oUmW1yo/edit?usp=sharing"",""พะเยา!J515"")"),0)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IFERROR(__xludf.DUMMYFUNCTION("IMPORTRANGE(""https://docs.google.com/spreadsheets/d/11923uPwbBZFjjGgGUA6NLw09EwE0CqkOc4q9oUmW1yo/edit?usp=sharing"",""พะเยา!I516"")"),0)</f>
        <v>0</v>
      </c>
      <c r="J621" s="212">
        <f ca="1">IFERROR(__xludf.DUMMYFUNCTION("IMPORTRANGE(""https://docs.google.com/spreadsheets/d/11923uPwbBZFjjGgGUA6NLw09EwE0CqkOc4q9oUmW1yo/edit?usp=sharing"",""พะเยา!J516"")"),0)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IFERROR(__xludf.DUMMYFUNCTION("IMPORTRANGE(""https://docs.google.com/spreadsheets/d/11923uPwbBZFjjGgGUA6NLw09EwE0CqkOc4q9oUmW1yo/edit?usp=sharing"",""พะเยา!I517"")"),0)</f>
        <v>0</v>
      </c>
      <c r="J622" s="198">
        <f ca="1">IFERROR(__xludf.DUMMYFUNCTION("IMPORTRANGE(""https://docs.google.com/spreadsheets/d/11923uPwbBZFjjGgGUA6NLw09EwE0CqkOc4q9oUmW1yo/edit?usp=sharing"",""พะเยา!J517"")"),0)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IFERROR(__xludf.DUMMYFUNCTION("IMPORTRANGE(""https://docs.google.com/spreadsheets/d/11923uPwbBZFjjGgGUA6NLw09EwE0CqkOc4q9oUmW1yo/edit?usp=sharing"",""พะเยา!I518"")"),0)</f>
        <v>0</v>
      </c>
      <c r="J623" s="198">
        <f ca="1">IFERROR(__xludf.DUMMYFUNCTION("IMPORTRANGE(""https://docs.google.com/spreadsheets/d/11923uPwbBZFjjGgGUA6NLw09EwE0CqkOc4q9oUmW1yo/edit?usp=sharing"",""พะเยา!J518"")"),0)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IFERROR(__xludf.DUMMYFUNCTION("IMPORTRANGE(""https://docs.google.com/spreadsheets/d/11923uPwbBZFjjGgGUA6NLw09EwE0CqkOc4q9oUmW1yo/edit?usp=sharing"",""พะเยา!I519"")"),0)</f>
        <v>0</v>
      </c>
      <c r="J624" s="197">
        <f ca="1">IFERROR(__xludf.DUMMYFUNCTION("IMPORTRANGE(""https://docs.google.com/spreadsheets/d/11923uPwbBZFjjGgGUA6NLw09EwE0CqkOc4q9oUmW1yo/edit?usp=sharing"",""พะเยา!J519"")"),0)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IFERROR(__xludf.DUMMYFUNCTION("IMPORTRANGE(""https://docs.google.com/spreadsheets/d/11923uPwbBZFjjGgGUA6NLw09EwE0CqkOc4q9oUmW1yo/edit?usp=sharing"",""พะเยา!I520"")"),0)</f>
        <v>0</v>
      </c>
      <c r="J625" s="198">
        <f ca="1">IFERROR(__xludf.DUMMYFUNCTION("IMPORTRANGE(""https://docs.google.com/spreadsheets/d/11923uPwbBZFjjGgGUA6NLw09EwE0CqkOc4q9oUmW1yo/edit?usp=sharing"",""พะเยา!J520"")"),0)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IFERROR(__xludf.DUMMYFUNCTION("IMPORTRANGE(""https://docs.google.com/spreadsheets/d/11923uPwbBZFjjGgGUA6NLw09EwE0CqkOc4q9oUmW1yo/edit?usp=sharing"",""พะเยา!I521"")"),0)</f>
        <v>0</v>
      </c>
      <c r="J626" s="198">
        <f ca="1">IFERROR(__xludf.DUMMYFUNCTION("IMPORTRANGE(""https://docs.google.com/spreadsheets/d/11923uPwbBZFjjGgGUA6NLw09EwE0CqkOc4q9oUmW1yo/edit?usp=sharing"",""พะเยา!J521"")"),0)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IFERROR(__xludf.DUMMYFUNCTION("IMPORTRANGE(""https://docs.google.com/spreadsheets/d/11923uPwbBZFjjGgGUA6NLw09EwE0CqkOc4q9oUmW1yo/edit?usp=sharing"",""พะเยา!I523"")"),4799661.59)</f>
        <v>4799661.59</v>
      </c>
      <c r="J628" s="349">
        <f ca="1">IFERROR(__xludf.DUMMYFUNCTION("IMPORTRANGE(""https://docs.google.com/spreadsheets/d/11923uPwbBZFjjGgGUA6NLw09EwE0CqkOc4q9oUmW1yo/edit?usp=sharing"",""พะเยา!J523"")"),589472.45)</f>
        <v>589472.44999999995</v>
      </c>
      <c r="K628" s="350">
        <f t="shared" ref="K628:K635" ca="1" si="129">IF(I628&gt;0,J628*100/I628,0)</f>
        <v>12.281541915958286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IFERROR(__xludf.DUMMYFUNCTION("IMPORTRANGE(""https://docs.google.com/spreadsheets/d/11923uPwbBZFjjGgGUA6NLw09EwE0CqkOc4q9oUmW1yo/edit?usp=sharing"",""พะเยา!I524"")"),454)</f>
        <v>454</v>
      </c>
      <c r="J629" s="349">
        <f ca="1">IFERROR(__xludf.DUMMYFUNCTION("IMPORTRANGE(""https://docs.google.com/spreadsheets/d/11923uPwbBZFjjGgGUA6NLw09EwE0CqkOc4q9oUmW1yo/edit?usp=sharing"",""พะเยา!J524"")"),62)</f>
        <v>62</v>
      </c>
      <c r="K629" s="350">
        <f t="shared" ca="1" si="129"/>
        <v>13.656387665198238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9">
        <f ca="1">IFERROR(__xludf.DUMMYFUNCTION("IMPORTRANGE(""https://docs.google.com/spreadsheets/d/11923uPwbBZFjjGgGUA6NLw09EwE0CqkOc4q9oUmW1yo/edit?usp=sharing"",""พะเยา!J525"")"),237111.4)</f>
        <v>237111.4</v>
      </c>
      <c r="K630" s="350">
        <f t="shared" ca="1" si="129"/>
        <v>2.3901577274934249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IFERROR(__xludf.DUMMYFUNCTION("IMPORTRANGE(""https://docs.google.com/spreadsheets/d/11923uPwbBZFjjGgGUA6NLw09EwE0CqkOc4q9oUmW1yo/edit?usp=sharing"",""พะเยา!I526"")"),332)</f>
        <v>332</v>
      </c>
      <c r="J631" s="349">
        <f ca="1">IFERROR(__xludf.DUMMYFUNCTION("IMPORTRANGE(""https://docs.google.com/spreadsheets/d/11923uPwbBZFjjGgGUA6NLw09EwE0CqkOc4q9oUmW1yo/edit?usp=sharing"",""พะเยา!J526"")"),63)</f>
        <v>63</v>
      </c>
      <c r="K631" s="350">
        <f t="shared" ca="1" si="129"/>
        <v>18.975903614457831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IFERROR(__xludf.DUMMYFUNCTION("IMPORTRANGE(""https://docs.google.com/spreadsheets/d/11923uPwbBZFjjGgGUA6NLw09EwE0CqkOc4q9oUmW1yo/edit?usp=sharing"",""พะเยา!I527"")"),61819.65)</f>
        <v>61819.65</v>
      </c>
      <c r="J632" s="349">
        <f ca="1">IFERROR(__xludf.DUMMYFUNCTION("IMPORTRANGE(""https://docs.google.com/spreadsheets/d/11923uPwbBZFjjGgGUA6NLw09EwE0CqkOc4q9oUmW1yo/edit?usp=sharing"",""พะเยา!J527"")"),0)</f>
        <v>0</v>
      </c>
      <c r="K632" s="350">
        <f t="shared" ca="1" si="129"/>
        <v>0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IFERROR(__xludf.DUMMYFUNCTION("IMPORTRANGE(""https://docs.google.com/spreadsheets/d/11923uPwbBZFjjGgGUA6NLw09EwE0CqkOc4q9oUmW1yo/edit?usp=sharing"",""พะเยา!I528"")"),107)</f>
        <v>107</v>
      </c>
      <c r="J633" s="349">
        <f ca="1">IFERROR(__xludf.DUMMYFUNCTION("IMPORTRANGE(""https://docs.google.com/spreadsheets/d/11923uPwbBZFjjGgGUA6NLw09EwE0CqkOc4q9oUmW1yo/edit?usp=sharing"",""พะเยา!J528"")"),0)</f>
        <v>0</v>
      </c>
      <c r="K633" s="350">
        <f t="shared" ca="1" si="129"/>
        <v>0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IFERROR(__xludf.DUMMYFUNCTION("IMPORTRANGE(""https://docs.google.com/spreadsheets/d/11923uPwbBZFjjGgGUA6NLw09EwE0CqkOc4q9oUmW1yo/edit?usp=sharing"",""พะเยา!I529"")"),6000000)</f>
        <v>6000000</v>
      </c>
      <c r="J634" s="349">
        <f ca="1">IFERROR(__xludf.DUMMYFUNCTION("IMPORTRANGE(""https://docs.google.com/spreadsheets/d/11923uPwbBZFjjGgGUA6NLw09EwE0CqkOc4q9oUmW1yo/edit?usp=sharing"",""พะเยา!J529"")"),0)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IFERROR(__xludf.DUMMYFUNCTION("IMPORTRANGE(""https://docs.google.com/spreadsheets/d/11923uPwbBZFjjGgGUA6NLw09EwE0CqkOc4q9oUmW1yo/edit?usp=sharing"",""พะเยา!I530"")"),120)</f>
        <v>120</v>
      </c>
      <c r="J635" s="519">
        <f ca="1">IFERROR(__xludf.DUMMYFUNCTION("IMPORTRANGE(""https://docs.google.com/spreadsheets/d/11923uPwbBZFjjGgGUA6NLw09EwE0CqkOc4q9oUmW1yo/edit?usp=sharing"",""พะเยา!J530"")"),0)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pane="bottomLeft" activeCell="B8" sqref="B8"/>
    </sheetView>
  </sheetViews>
  <sheetFormatPr defaultColWidth="12.625" defaultRowHeight="15" customHeight="1" x14ac:dyDescent="0.2"/>
  <cols>
    <col min="1" max="3" width="2.75" customWidth="1"/>
    <col min="4" max="6" width="5" customWidth="1"/>
    <col min="7" max="7" width="70.875" customWidth="1"/>
    <col min="8" max="8" width="9.5" customWidth="1"/>
    <col min="9" max="10" width="13.875" customWidth="1"/>
    <col min="11" max="11" width="8.875" customWidth="1"/>
    <col min="12" max="13" width="17.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2">
      <c r="A1" s="528" t="s">
        <v>0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1"/>
    </row>
    <row r="2" spans="1:16" ht="18" customHeight="1" x14ac:dyDescent="0.2">
      <c r="A2" s="528" t="s">
        <v>253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2"/>
    </row>
    <row r="3" spans="1:16" ht="18" customHeight="1" x14ac:dyDescent="0.2">
      <c r="A3" s="528" t="s">
        <v>2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2"/>
    </row>
    <row r="4" spans="1:16" ht="33.75" customHeight="1" x14ac:dyDescent="0.2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2">
      <c r="A5" s="537" t="s">
        <v>3</v>
      </c>
      <c r="B5" s="538"/>
      <c r="C5" s="538"/>
      <c r="D5" s="538"/>
      <c r="E5" s="538"/>
      <c r="F5" s="538"/>
      <c r="G5" s="539"/>
      <c r="H5" s="530" t="s">
        <v>4</v>
      </c>
      <c r="I5" s="532" t="s">
        <v>5</v>
      </c>
      <c r="J5" s="533"/>
      <c r="K5" s="534"/>
      <c r="L5" s="535" t="s">
        <v>6</v>
      </c>
      <c r="M5" s="534"/>
      <c r="N5" s="536" t="s">
        <v>7</v>
      </c>
      <c r="O5" s="533"/>
      <c r="P5" s="534"/>
    </row>
    <row r="6" spans="1:16" ht="21.75" customHeight="1" x14ac:dyDescent="0.2">
      <c r="A6" s="540"/>
      <c r="B6" s="541"/>
      <c r="C6" s="541"/>
      <c r="D6" s="541"/>
      <c r="E6" s="541"/>
      <c r="F6" s="541"/>
      <c r="G6" s="542"/>
      <c r="H6" s="531"/>
      <c r="I6" s="7" t="s">
        <v>8</v>
      </c>
      <c r="J6" s="8" t="s">
        <v>9</v>
      </c>
      <c r="K6" s="7" t="s">
        <v>10</v>
      </c>
      <c r="L6" s="9" t="s">
        <v>11</v>
      </c>
      <c r="M6" s="10" t="s">
        <v>12</v>
      </c>
      <c r="N6" s="11" t="s">
        <v>13</v>
      </c>
      <c r="O6" s="12" t="s">
        <v>14</v>
      </c>
      <c r="P6" s="13" t="s">
        <v>15</v>
      </c>
    </row>
    <row r="7" spans="1:16" ht="21.75" customHeight="1" x14ac:dyDescent="0.3">
      <c r="A7" s="543" t="s">
        <v>16</v>
      </c>
      <c r="B7" s="533"/>
      <c r="C7" s="533"/>
      <c r="D7" s="533"/>
      <c r="E7" s="533"/>
      <c r="F7" s="533"/>
      <c r="G7" s="53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3">
      <c r="A8" s="19"/>
      <c r="B8" s="20"/>
      <c r="C8" s="21" t="s">
        <v>17</v>
      </c>
      <c r="D8" s="544" t="s">
        <v>18</v>
      </c>
      <c r="E8" s="545"/>
      <c r="F8" s="545"/>
      <c r="G8" s="545"/>
      <c r="H8" s="22" t="s">
        <v>13</v>
      </c>
      <c r="I8" s="23"/>
      <c r="J8" s="23"/>
      <c r="K8" s="24"/>
      <c r="L8" s="25">
        <f t="shared" ref="L8:N8" ca="1" si="0">L9+L10</f>
        <v>4592912</v>
      </c>
      <c r="M8" s="25">
        <f t="shared" ca="1" si="0"/>
        <v>1320955</v>
      </c>
      <c r="N8" s="25">
        <f t="shared" ca="1" si="0"/>
        <v>1162623.33</v>
      </c>
      <c r="O8" s="24">
        <f t="shared" ref="O8:O16" ca="1" si="1">IF(L8&gt;0,N8*100/L8,0)</f>
        <v>25.313424903416394</v>
      </c>
      <c r="P8" s="24">
        <f t="shared" ref="P8:P16" ca="1" si="2">IF(M8&gt;0,N8*100/M8,0)</f>
        <v>88.01384831428777</v>
      </c>
    </row>
    <row r="9" spans="1:16" ht="21.75" customHeight="1" x14ac:dyDescent="0.3">
      <c r="A9" s="26"/>
      <c r="B9" s="27"/>
      <c r="C9" s="27"/>
      <c r="D9" s="27"/>
      <c r="E9" s="27"/>
      <c r="F9" s="27"/>
      <c r="G9" s="28" t="s">
        <v>19</v>
      </c>
      <c r="H9" s="29" t="s">
        <v>13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3">
      <c r="A10" s="26"/>
      <c r="B10" s="27"/>
      <c r="C10" s="27"/>
      <c r="D10" s="27"/>
      <c r="E10" s="27"/>
      <c r="F10" s="27"/>
      <c r="G10" s="28" t="s">
        <v>20</v>
      </c>
      <c r="H10" s="29" t="s">
        <v>13</v>
      </c>
      <c r="I10" s="30"/>
      <c r="J10" s="30"/>
      <c r="K10" s="31"/>
      <c r="L10" s="32">
        <f t="shared" ref="L10:N10" ca="1" si="4">L12+L16</f>
        <v>4592912</v>
      </c>
      <c r="M10" s="32">
        <f t="shared" ca="1" si="4"/>
        <v>1320955</v>
      </c>
      <c r="N10" s="32">
        <f t="shared" ca="1" si="4"/>
        <v>1162623.33</v>
      </c>
      <c r="O10" s="31">
        <f t="shared" ca="1" si="1"/>
        <v>25.313424903416394</v>
      </c>
      <c r="P10" s="31">
        <f t="shared" ca="1" si="2"/>
        <v>88.01384831428777</v>
      </c>
    </row>
    <row r="11" spans="1:16" ht="21.75" customHeight="1" x14ac:dyDescent="0.3">
      <c r="A11" s="33"/>
      <c r="B11" s="34"/>
      <c r="C11" s="35" t="s">
        <v>17</v>
      </c>
      <c r="D11" s="546" t="s">
        <v>21</v>
      </c>
      <c r="E11" s="547"/>
      <c r="F11" s="547"/>
      <c r="G11" s="36" t="s">
        <v>19</v>
      </c>
      <c r="H11" s="37" t="s">
        <v>13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3">
      <c r="A12" s="33"/>
      <c r="B12" s="34"/>
      <c r="C12" s="34"/>
      <c r="D12" s="34"/>
      <c r="E12" s="41"/>
      <c r="F12" s="42"/>
      <c r="G12" s="36" t="s">
        <v>20</v>
      </c>
      <c r="H12" s="37" t="s">
        <v>13</v>
      </c>
      <c r="I12" s="38"/>
      <c r="J12" s="38"/>
      <c r="K12" s="39"/>
      <c r="L12" s="40">
        <f t="shared" ref="L12:N12" ca="1" si="6">L22+L32</f>
        <v>4517312</v>
      </c>
      <c r="M12" s="40">
        <f t="shared" ca="1" si="6"/>
        <v>1320955</v>
      </c>
      <c r="N12" s="40">
        <f t="shared" ca="1" si="6"/>
        <v>1087023.33</v>
      </c>
      <c r="O12" s="40">
        <f t="shared" ca="1" si="1"/>
        <v>24.063499045450037</v>
      </c>
      <c r="P12" s="40">
        <f t="shared" ca="1" si="2"/>
        <v>82.290716186395443</v>
      </c>
    </row>
    <row r="13" spans="1:16" ht="21.75" customHeight="1" x14ac:dyDescent="0.3">
      <c r="A13" s="33"/>
      <c r="B13" s="34"/>
      <c r="C13" s="34"/>
      <c r="D13" s="34"/>
      <c r="E13" s="41"/>
      <c r="F13" s="41"/>
      <c r="G13" s="36" t="s">
        <v>22</v>
      </c>
      <c r="H13" s="37" t="s">
        <v>13</v>
      </c>
      <c r="I13" s="38"/>
      <c r="J13" s="38"/>
      <c r="K13" s="39"/>
      <c r="L13" s="40">
        <f t="shared" ref="L13:N13" ca="1" si="7">L23+L33</f>
        <v>2124700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3">
      <c r="A14" s="33"/>
      <c r="B14" s="34"/>
      <c r="C14" s="34"/>
      <c r="D14" s="34"/>
      <c r="E14" s="41"/>
      <c r="F14" s="41"/>
      <c r="G14" s="36" t="s">
        <v>23</v>
      </c>
      <c r="H14" s="37" t="s">
        <v>13</v>
      </c>
      <c r="I14" s="38"/>
      <c r="J14" s="38"/>
      <c r="K14" s="39"/>
      <c r="L14" s="40">
        <f t="shared" ref="L14:N14" ca="1" si="8">L24+L34</f>
        <v>2392612</v>
      </c>
      <c r="M14" s="40">
        <f t="shared" si="8"/>
        <v>0</v>
      </c>
      <c r="N14" s="40">
        <f t="shared" ca="1" si="8"/>
        <v>260508.33000000002</v>
      </c>
      <c r="O14" s="43">
        <f t="shared" ca="1" si="1"/>
        <v>10.888030737955004</v>
      </c>
      <c r="P14" s="43">
        <f t="shared" si="2"/>
        <v>0</v>
      </c>
    </row>
    <row r="15" spans="1:16" ht="21.75" customHeight="1" x14ac:dyDescent="0.3">
      <c r="A15" s="33"/>
      <c r="B15" s="34"/>
      <c r="C15" s="35" t="s">
        <v>17</v>
      </c>
      <c r="D15" s="546" t="s">
        <v>24</v>
      </c>
      <c r="E15" s="547"/>
      <c r="F15" s="41"/>
      <c r="G15" s="36" t="s">
        <v>19</v>
      </c>
      <c r="H15" s="37" t="s">
        <v>13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3">
      <c r="A16" s="45"/>
      <c r="B16" s="46"/>
      <c r="C16" s="46"/>
      <c r="D16" s="46"/>
      <c r="E16" s="47"/>
      <c r="F16" s="47"/>
      <c r="G16" s="48" t="s">
        <v>20</v>
      </c>
      <c r="H16" s="49" t="s">
        <v>13</v>
      </c>
      <c r="I16" s="50"/>
      <c r="J16" s="50"/>
      <c r="K16" s="51"/>
      <c r="L16" s="40">
        <f t="shared" ref="L16:N16" ca="1" si="10">L26+L36</f>
        <v>75600</v>
      </c>
      <c r="M16" s="40">
        <f t="shared" si="10"/>
        <v>0</v>
      </c>
      <c r="N16" s="40">
        <f t="shared" ca="1" si="10"/>
        <v>75600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3">
      <c r="A17" s="543" t="s">
        <v>25</v>
      </c>
      <c r="B17" s="533"/>
      <c r="C17" s="533"/>
      <c r="D17" s="533"/>
      <c r="E17" s="533"/>
      <c r="F17" s="533"/>
      <c r="G17" s="53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3">
      <c r="A18" s="19"/>
      <c r="B18" s="20"/>
      <c r="C18" s="21" t="s">
        <v>17</v>
      </c>
      <c r="D18" s="544" t="s">
        <v>18</v>
      </c>
      <c r="E18" s="545"/>
      <c r="F18" s="545"/>
      <c r="G18" s="545"/>
      <c r="H18" s="22" t="s">
        <v>13</v>
      </c>
      <c r="I18" s="23"/>
      <c r="J18" s="23"/>
      <c r="K18" s="24"/>
      <c r="L18" s="25">
        <f t="shared" ref="L18:N18" ca="1" si="11">L19+L20</f>
        <v>2603065</v>
      </c>
      <c r="M18" s="25">
        <f t="shared" ca="1" si="11"/>
        <v>1320955</v>
      </c>
      <c r="N18" s="25">
        <f t="shared" ca="1" si="11"/>
        <v>902115</v>
      </c>
      <c r="O18" s="24">
        <f t="shared" ref="O18:O20" ca="1" si="12">IF(L18&gt;0,N18*100/L18,0)</f>
        <v>34.655876822130836</v>
      </c>
      <c r="P18" s="24">
        <f t="shared" ref="P18:P26" ca="1" si="13">IF(M18&gt;0,N18*100/M18,0)</f>
        <v>68.292636766581751</v>
      </c>
    </row>
    <row r="19" spans="1:16" ht="21.75" customHeight="1" x14ac:dyDescent="0.3">
      <c r="A19" s="26"/>
      <c r="B19" s="27"/>
      <c r="C19" s="27"/>
      <c r="D19" s="27"/>
      <c r="E19" s="27"/>
      <c r="F19" s="27"/>
      <c r="G19" s="28" t="s">
        <v>19</v>
      </c>
      <c r="H19" s="29" t="s">
        <v>13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3">
      <c r="A20" s="26"/>
      <c r="B20" s="27"/>
      <c r="C20" s="27"/>
      <c r="D20" s="27"/>
      <c r="E20" s="27"/>
      <c r="F20" s="27"/>
      <c r="G20" s="28" t="s">
        <v>20</v>
      </c>
      <c r="H20" s="29" t="s">
        <v>13</v>
      </c>
      <c r="I20" s="30"/>
      <c r="J20" s="30"/>
      <c r="K20" s="31"/>
      <c r="L20" s="32">
        <f t="shared" ref="L20:N20" ca="1" si="15">L22+L26</f>
        <v>2603065</v>
      </c>
      <c r="M20" s="32">
        <f t="shared" ca="1" si="15"/>
        <v>1320955</v>
      </c>
      <c r="N20" s="32">
        <f t="shared" ca="1" si="15"/>
        <v>902115</v>
      </c>
      <c r="O20" s="31">
        <f t="shared" ca="1" si="12"/>
        <v>34.655876822130836</v>
      </c>
      <c r="P20" s="31">
        <f t="shared" ca="1" si="13"/>
        <v>68.292636766581751</v>
      </c>
    </row>
    <row r="21" spans="1:16" ht="21.75" customHeight="1" x14ac:dyDescent="0.3">
      <c r="A21" s="33"/>
      <c r="B21" s="34"/>
      <c r="C21" s="35" t="s">
        <v>17</v>
      </c>
      <c r="D21" s="546" t="s">
        <v>21</v>
      </c>
      <c r="E21" s="547"/>
      <c r="F21" s="547"/>
      <c r="G21" s="36" t="s">
        <v>19</v>
      </c>
      <c r="H21" s="37" t="s">
        <v>13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3">
      <c r="A22" s="33"/>
      <c r="B22" s="34"/>
      <c r="C22" s="34"/>
      <c r="D22" s="34"/>
      <c r="E22" s="41"/>
      <c r="F22" s="42"/>
      <c r="G22" s="36" t="s">
        <v>20</v>
      </c>
      <c r="H22" s="37" t="s">
        <v>13</v>
      </c>
      <c r="I22" s="38"/>
      <c r="J22" s="38"/>
      <c r="K22" s="39"/>
      <c r="L22" s="43">
        <f t="shared" ref="L22:N22" ca="1" si="18">L45+L57+L70+L98+L122+L144+L224+L254+L275+L294+L314+L333</f>
        <v>2527465</v>
      </c>
      <c r="M22" s="44">
        <f t="shared" ca="1" si="18"/>
        <v>1320955</v>
      </c>
      <c r="N22" s="43">
        <f t="shared" ca="1" si="18"/>
        <v>826515</v>
      </c>
      <c r="O22" s="43">
        <f t="shared" ca="1" si="17"/>
        <v>32.701343045304284</v>
      </c>
      <c r="P22" s="43">
        <f t="shared" ca="1" si="13"/>
        <v>62.56950463868943</v>
      </c>
    </row>
    <row r="23" spans="1:16" ht="21.75" customHeight="1" x14ac:dyDescent="0.3">
      <c r="A23" s="33"/>
      <c r="B23" s="34"/>
      <c r="C23" s="34"/>
      <c r="D23" s="34"/>
      <c r="E23" s="41"/>
      <c r="F23" s="41"/>
      <c r="G23" s="36" t="s">
        <v>22</v>
      </c>
      <c r="H23" s="37" t="s">
        <v>13</v>
      </c>
      <c r="I23" s="38"/>
      <c r="J23" s="38"/>
      <c r="K23" s="39"/>
      <c r="L23" s="43">
        <f t="shared" ref="L23:N23" ca="1" si="19">L46+L58+L71+L99+L123+L145+L225+L255+L276+L295+L315+L334</f>
        <v>2124700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3">
      <c r="A24" s="33"/>
      <c r="B24" s="34"/>
      <c r="C24" s="34"/>
      <c r="D24" s="34"/>
      <c r="E24" s="41"/>
      <c r="F24" s="41"/>
      <c r="G24" s="36" t="s">
        <v>23</v>
      </c>
      <c r="H24" s="37" t="s">
        <v>13</v>
      </c>
      <c r="I24" s="38"/>
      <c r="J24" s="38"/>
      <c r="K24" s="39"/>
      <c r="L24" s="43">
        <f t="shared" ref="L24:N24" ca="1" si="20">L47+L59+L72+L100+L124+L146+L226+L256+L277+L296+L316+L335</f>
        <v>402765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3">
      <c r="A25" s="33"/>
      <c r="B25" s="34"/>
      <c r="C25" s="35" t="s">
        <v>17</v>
      </c>
      <c r="D25" s="546" t="s">
        <v>24</v>
      </c>
      <c r="E25" s="547"/>
      <c r="F25" s="41"/>
      <c r="G25" s="36" t="s">
        <v>19</v>
      </c>
      <c r="H25" s="37" t="s">
        <v>13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3">
      <c r="A26" s="45"/>
      <c r="B26" s="46"/>
      <c r="C26" s="46"/>
      <c r="D26" s="46"/>
      <c r="E26" s="47"/>
      <c r="F26" s="47"/>
      <c r="G26" s="48" t="s">
        <v>20</v>
      </c>
      <c r="H26" s="49" t="s">
        <v>13</v>
      </c>
      <c r="I26" s="50"/>
      <c r="J26" s="50"/>
      <c r="K26" s="51"/>
      <c r="L26" s="52">
        <f t="shared" ref="L26:N26" ca="1" si="22">L49+L61+L74+L102+L126+L148+L228+L258+L279+L298+L318+L337</f>
        <v>75600</v>
      </c>
      <c r="M26" s="52">
        <f t="shared" si="22"/>
        <v>0</v>
      </c>
      <c r="N26" s="52">
        <f t="shared" ca="1" si="22"/>
        <v>75600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3">
      <c r="A27" s="543" t="s">
        <v>26</v>
      </c>
      <c r="B27" s="533"/>
      <c r="C27" s="533"/>
      <c r="D27" s="533"/>
      <c r="E27" s="533"/>
      <c r="F27" s="533"/>
      <c r="G27" s="53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3">
      <c r="A28" s="19"/>
      <c r="B28" s="20"/>
      <c r="C28" s="21" t="s">
        <v>17</v>
      </c>
      <c r="D28" s="544" t="s">
        <v>18</v>
      </c>
      <c r="E28" s="545"/>
      <c r="F28" s="545"/>
      <c r="G28" s="545"/>
      <c r="H28" s="22" t="s">
        <v>13</v>
      </c>
      <c r="I28" s="23"/>
      <c r="J28" s="23"/>
      <c r="K28" s="24"/>
      <c r="L28" s="25">
        <f t="shared" ref="L28:N28" ca="1" si="23">L29+L30</f>
        <v>1989847</v>
      </c>
      <c r="M28" s="25">
        <f t="shared" si="23"/>
        <v>0</v>
      </c>
      <c r="N28" s="25">
        <f t="shared" ca="1" si="23"/>
        <v>260508.33000000002</v>
      </c>
      <c r="O28" s="24">
        <f t="shared" ref="O28:O30" ca="1" si="24">IF(L28&gt;0,N28*100/L28,0)</f>
        <v>13.091877415700806</v>
      </c>
      <c r="P28" s="24">
        <f t="shared" ref="P28:P37" si="25">IF(M28&gt;0,N28*100/M28,0)</f>
        <v>0</v>
      </c>
    </row>
    <row r="29" spans="1:16" ht="21.75" customHeight="1" x14ac:dyDescent="0.3">
      <c r="A29" s="26"/>
      <c r="B29" s="27"/>
      <c r="C29" s="27"/>
      <c r="D29" s="27"/>
      <c r="E29" s="27"/>
      <c r="F29" s="27"/>
      <c r="G29" s="28" t="s">
        <v>19</v>
      </c>
      <c r="H29" s="29" t="s">
        <v>13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3">
      <c r="A30" s="26"/>
      <c r="B30" s="27"/>
      <c r="C30" s="27"/>
      <c r="D30" s="27"/>
      <c r="E30" s="27"/>
      <c r="F30" s="27"/>
      <c r="G30" s="28" t="s">
        <v>20</v>
      </c>
      <c r="H30" s="29" t="s">
        <v>13</v>
      </c>
      <c r="I30" s="30"/>
      <c r="J30" s="30"/>
      <c r="K30" s="31"/>
      <c r="L30" s="32">
        <f t="shared" ref="L30:N30" ca="1" si="27">L32+L36</f>
        <v>1989847</v>
      </c>
      <c r="M30" s="32">
        <f t="shared" si="27"/>
        <v>0</v>
      </c>
      <c r="N30" s="32">
        <f t="shared" ca="1" si="27"/>
        <v>260508.33000000002</v>
      </c>
      <c r="O30" s="31">
        <f t="shared" ca="1" si="24"/>
        <v>13.091877415700806</v>
      </c>
      <c r="P30" s="31">
        <f t="shared" si="25"/>
        <v>0</v>
      </c>
    </row>
    <row r="31" spans="1:16" ht="21.75" customHeight="1" x14ac:dyDescent="0.3">
      <c r="A31" s="33"/>
      <c r="B31" s="34"/>
      <c r="C31" s="35" t="s">
        <v>17</v>
      </c>
      <c r="D31" s="546" t="s">
        <v>21</v>
      </c>
      <c r="E31" s="547"/>
      <c r="F31" s="547"/>
      <c r="G31" s="36" t="s">
        <v>19</v>
      </c>
      <c r="H31" s="37" t="s">
        <v>13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3">
      <c r="A32" s="33"/>
      <c r="B32" s="34"/>
      <c r="C32" s="34"/>
      <c r="D32" s="34"/>
      <c r="E32" s="41"/>
      <c r="F32" s="42"/>
      <c r="G32" s="36" t="s">
        <v>20</v>
      </c>
      <c r="H32" s="37" t="s">
        <v>13</v>
      </c>
      <c r="I32" s="38"/>
      <c r="J32" s="38"/>
      <c r="K32" s="39"/>
      <c r="L32" s="43">
        <f t="shared" ref="L32:N32" ca="1" si="30">L352+L383+L404+L437+L457+L535+L553+L566+L582+L599</f>
        <v>1989847</v>
      </c>
      <c r="M32" s="43">
        <f t="shared" si="30"/>
        <v>0</v>
      </c>
      <c r="N32" s="43">
        <f t="shared" ca="1" si="30"/>
        <v>260508.33000000002</v>
      </c>
      <c r="O32" s="43">
        <f t="shared" ca="1" si="29"/>
        <v>13.091877415700806</v>
      </c>
      <c r="P32" s="43">
        <f t="shared" si="25"/>
        <v>0</v>
      </c>
    </row>
    <row r="33" spans="1:16" ht="21.75" customHeight="1" x14ac:dyDescent="0.3">
      <c r="A33" s="33"/>
      <c r="B33" s="34"/>
      <c r="C33" s="34"/>
      <c r="D33" s="34"/>
      <c r="E33" s="41"/>
      <c r="F33" s="41"/>
      <c r="G33" s="36" t="s">
        <v>22</v>
      </c>
      <c r="H33" s="37" t="s">
        <v>13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3">
      <c r="A34" s="33"/>
      <c r="B34" s="34"/>
      <c r="C34" s="34"/>
      <c r="D34" s="34"/>
      <c r="E34" s="41"/>
      <c r="F34" s="41"/>
      <c r="G34" s="36" t="s">
        <v>23</v>
      </c>
      <c r="H34" s="37" t="s">
        <v>13</v>
      </c>
      <c r="I34" s="38"/>
      <c r="J34" s="38"/>
      <c r="K34" s="39"/>
      <c r="L34" s="43">
        <f t="shared" ref="L34:N34" ca="1" si="32">L354+L385+L406+L439+L459+L537+L555+L568+L584+L601</f>
        <v>1989847</v>
      </c>
      <c r="M34" s="43">
        <f t="shared" si="32"/>
        <v>0</v>
      </c>
      <c r="N34" s="43">
        <f t="shared" ca="1" si="32"/>
        <v>260508.33000000002</v>
      </c>
      <c r="O34" s="43">
        <f t="shared" ca="1" si="29"/>
        <v>13.091877415700806</v>
      </c>
      <c r="P34" s="43">
        <f t="shared" si="25"/>
        <v>0</v>
      </c>
    </row>
    <row r="35" spans="1:16" ht="21.75" customHeight="1" x14ac:dyDescent="0.3">
      <c r="A35" s="33"/>
      <c r="B35" s="34"/>
      <c r="C35" s="35" t="s">
        <v>17</v>
      </c>
      <c r="D35" s="546" t="s">
        <v>24</v>
      </c>
      <c r="E35" s="547"/>
      <c r="F35" s="41"/>
      <c r="G35" s="36" t="s">
        <v>19</v>
      </c>
      <c r="H35" s="37" t="s">
        <v>13</v>
      </c>
      <c r="I35" s="38"/>
      <c r="J35" s="38"/>
      <c r="K35" s="39"/>
      <c r="L35" s="53">
        <v>0</v>
      </c>
      <c r="M35" s="53">
        <v>0</v>
      </c>
      <c r="N35" s="53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3">
      <c r="A36" s="45"/>
      <c r="B36" s="46"/>
      <c r="C36" s="46"/>
      <c r="D36" s="46"/>
      <c r="E36" s="47"/>
      <c r="F36" s="47"/>
      <c r="G36" s="48" t="s">
        <v>20</v>
      </c>
      <c r="H36" s="49" t="s">
        <v>13</v>
      </c>
      <c r="I36" s="50"/>
      <c r="J36" s="50"/>
      <c r="K36" s="51"/>
      <c r="L36" s="54">
        <v>0</v>
      </c>
      <c r="M36" s="54">
        <v>0</v>
      </c>
      <c r="N36" s="54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2">
      <c r="A37" s="55" t="s">
        <v>27</v>
      </c>
      <c r="B37" s="55"/>
      <c r="C37" s="55"/>
      <c r="D37" s="55"/>
      <c r="E37" s="55"/>
      <c r="F37" s="55"/>
      <c r="G37" s="55"/>
      <c r="H37" s="55"/>
      <c r="I37" s="56"/>
      <c r="J37" s="56"/>
      <c r="K37" s="57"/>
      <c r="L37" s="57">
        <f t="shared" ref="L37:N37" ca="1" si="33">L41+L53+L66+L94+L118+L140+L220+L250+L271+L290+L310+L329</f>
        <v>2603065</v>
      </c>
      <c r="M37" s="57">
        <f t="shared" ca="1" si="33"/>
        <v>1320955</v>
      </c>
      <c r="N37" s="57">
        <f t="shared" ca="1" si="33"/>
        <v>902115</v>
      </c>
      <c r="O37" s="58">
        <f t="shared" ca="1" si="29"/>
        <v>34.655876822130836</v>
      </c>
      <c r="P37" s="58">
        <f t="shared" ca="1" si="25"/>
        <v>68.292636766581751</v>
      </c>
    </row>
    <row r="38" spans="1:16" ht="21.75" customHeight="1" x14ac:dyDescent="0.3">
      <c r="A38" s="548" t="s">
        <v>28</v>
      </c>
      <c r="B38" s="533"/>
      <c r="C38" s="533"/>
      <c r="D38" s="533"/>
      <c r="E38" s="533"/>
      <c r="F38" s="533"/>
      <c r="G38" s="534"/>
      <c r="H38" s="59"/>
      <c r="I38" s="60"/>
      <c r="J38" s="60"/>
      <c r="K38" s="61"/>
      <c r="L38" s="62"/>
      <c r="M38" s="62"/>
      <c r="N38" s="62"/>
      <c r="O38" s="62"/>
      <c r="P38" s="62"/>
    </row>
    <row r="39" spans="1:16" ht="21.75" customHeight="1" x14ac:dyDescent="0.3">
      <c r="A39" s="63"/>
      <c r="B39" s="549" t="s">
        <v>29</v>
      </c>
      <c r="C39" s="545"/>
      <c r="D39" s="545"/>
      <c r="E39" s="545"/>
      <c r="F39" s="545"/>
      <c r="G39" s="545"/>
      <c r="H39" s="64"/>
      <c r="I39" s="65"/>
      <c r="J39" s="65"/>
      <c r="K39" s="66"/>
      <c r="L39" s="67"/>
      <c r="M39" s="67"/>
      <c r="N39" s="67"/>
      <c r="O39" s="66"/>
      <c r="P39" s="66"/>
    </row>
    <row r="40" spans="1:16" ht="21.75" customHeight="1" x14ac:dyDescent="0.3">
      <c r="A40" s="68"/>
      <c r="B40" s="69" t="s">
        <v>30</v>
      </c>
      <c r="C40" s="70"/>
      <c r="D40" s="70"/>
      <c r="E40" s="70"/>
      <c r="F40" s="70"/>
      <c r="G40" s="70"/>
      <c r="H40" s="71"/>
      <c r="I40" s="72"/>
      <c r="J40" s="72"/>
      <c r="K40" s="73"/>
      <c r="L40" s="74"/>
      <c r="M40" s="74"/>
      <c r="N40" s="74"/>
      <c r="O40" s="73"/>
      <c r="P40" s="73"/>
    </row>
    <row r="41" spans="1:16" ht="21.75" customHeight="1" x14ac:dyDescent="0.3">
      <c r="A41" s="75"/>
      <c r="B41" s="76"/>
      <c r="C41" s="77" t="s">
        <v>17</v>
      </c>
      <c r="D41" s="550" t="s">
        <v>18</v>
      </c>
      <c r="E41" s="547"/>
      <c r="F41" s="547"/>
      <c r="G41" s="547"/>
      <c r="H41" s="78" t="s">
        <v>13</v>
      </c>
      <c r="I41" s="79"/>
      <c r="J41" s="79"/>
      <c r="K41" s="80"/>
      <c r="L41" s="81">
        <f t="shared" ref="L41:N41" ca="1" si="34">L42+L43</f>
        <v>658100</v>
      </c>
      <c r="M41" s="81">
        <f t="shared" ca="1" si="34"/>
        <v>329100</v>
      </c>
      <c r="N41" s="81">
        <f t="shared" ca="1" si="34"/>
        <v>241317</v>
      </c>
      <c r="O41" s="80">
        <f t="shared" ref="O41:O43" ca="1" si="35">IF(L41&gt;0,N41*100/L41,0)</f>
        <v>36.668743352074152</v>
      </c>
      <c r="P41" s="80">
        <f t="shared" ref="P41:P43" ca="1" si="36">IF(M41&gt;0,N41*100/M41,0)</f>
        <v>73.326344576116682</v>
      </c>
    </row>
    <row r="42" spans="1:16" ht="21.75" customHeight="1" x14ac:dyDescent="0.3">
      <c r="A42" s="75"/>
      <c r="B42" s="76"/>
      <c r="C42" s="76"/>
      <c r="D42" s="76"/>
      <c r="E42" s="76"/>
      <c r="F42" s="76"/>
      <c r="G42" s="77" t="s">
        <v>19</v>
      </c>
      <c r="H42" s="78" t="s">
        <v>13</v>
      </c>
      <c r="I42" s="79"/>
      <c r="J42" s="79"/>
      <c r="K42" s="80"/>
      <c r="L42" s="81">
        <f t="shared" ref="L42:N42" si="37">L44+L48</f>
        <v>0</v>
      </c>
      <c r="M42" s="81">
        <f t="shared" si="37"/>
        <v>0</v>
      </c>
      <c r="N42" s="81">
        <f t="shared" si="37"/>
        <v>0</v>
      </c>
      <c r="O42" s="80">
        <f t="shared" si="35"/>
        <v>0</v>
      </c>
      <c r="P42" s="80">
        <f t="shared" si="36"/>
        <v>0</v>
      </c>
    </row>
    <row r="43" spans="1:16" ht="21.75" customHeight="1" x14ac:dyDescent="0.3">
      <c r="A43" s="75"/>
      <c r="B43" s="76"/>
      <c r="C43" s="76"/>
      <c r="D43" s="76"/>
      <c r="E43" s="76"/>
      <c r="F43" s="76"/>
      <c r="G43" s="77" t="s">
        <v>20</v>
      </c>
      <c r="H43" s="78" t="s">
        <v>13</v>
      </c>
      <c r="I43" s="79"/>
      <c r="J43" s="79"/>
      <c r="K43" s="80"/>
      <c r="L43" s="81">
        <f t="shared" ref="L43:N43" ca="1" si="38">L45+L49</f>
        <v>658100</v>
      </c>
      <c r="M43" s="81">
        <f t="shared" ca="1" si="38"/>
        <v>329100</v>
      </c>
      <c r="N43" s="81">
        <f t="shared" ca="1" si="38"/>
        <v>241317</v>
      </c>
      <c r="O43" s="80">
        <f t="shared" ca="1" si="35"/>
        <v>36.668743352074152</v>
      </c>
      <c r="P43" s="80">
        <f t="shared" ca="1" si="36"/>
        <v>73.326344576116682</v>
      </c>
    </row>
    <row r="44" spans="1:16" ht="21.75" customHeight="1" x14ac:dyDescent="0.3">
      <c r="A44" s="82"/>
      <c r="B44" s="83"/>
      <c r="C44" s="84" t="s">
        <v>17</v>
      </c>
      <c r="D44" s="551" t="s">
        <v>21</v>
      </c>
      <c r="E44" s="547"/>
      <c r="F44" s="547"/>
      <c r="G44" s="85" t="s">
        <v>19</v>
      </c>
      <c r="H44" s="86" t="s">
        <v>13</v>
      </c>
      <c r="I44" s="87"/>
      <c r="J44" s="87"/>
      <c r="K44" s="88"/>
      <c r="L44" s="40">
        <v>0</v>
      </c>
      <c r="M44" s="89"/>
      <c r="N44" s="90"/>
      <c r="O44" s="90"/>
      <c r="P44" s="90"/>
    </row>
    <row r="45" spans="1:16" ht="21.75" customHeight="1" x14ac:dyDescent="0.3">
      <c r="A45" s="82"/>
      <c r="B45" s="83"/>
      <c r="C45" s="83"/>
      <c r="D45" s="83"/>
      <c r="E45" s="91"/>
      <c r="F45" s="92"/>
      <c r="G45" s="85" t="s">
        <v>20</v>
      </c>
      <c r="H45" s="86" t="s">
        <v>13</v>
      </c>
      <c r="I45" s="87"/>
      <c r="J45" s="87"/>
      <c r="K45" s="88"/>
      <c r="L45" s="43">
        <f ca="1">L46+L47</f>
        <v>658100</v>
      </c>
      <c r="M45" s="93">
        <f ca="1">IFERROR(__xludf.DUMMYFUNCTION("IMPORTRANGE(""https://docs.google.com/spreadsheets/d/1Yj_ptqi66GCucihVvJfMjLAmec39IyEx_6qawtMGysU/edit?usp=sharing"",""สบก!Q27"")"),329100)</f>
        <v>329100</v>
      </c>
      <c r="N45" s="93">
        <f ca="1">IFERROR(__xludf.DUMMYFUNCTION("IMPORTRANGE(""https://docs.google.com/spreadsheets/d/1Yj_ptqi66GCucihVvJfMjLAmec39IyEx_6qawtMGysU/edit?usp=sharing"",""สบก!R27"")"),241317)</f>
        <v>241317</v>
      </c>
      <c r="O45" s="94">
        <f ca="1">IF(L45&gt;0,N45*100/L45,0)</f>
        <v>36.668743352074152</v>
      </c>
      <c r="P45" s="94">
        <f ca="1">IF(M45&gt;0,N45*100/M45,0)</f>
        <v>73.326344576116682</v>
      </c>
    </row>
    <row r="46" spans="1:16" ht="21.75" customHeight="1" x14ac:dyDescent="0.3">
      <c r="A46" s="82"/>
      <c r="B46" s="83"/>
      <c r="C46" s="83"/>
      <c r="D46" s="83"/>
      <c r="E46" s="91"/>
      <c r="F46" s="91"/>
      <c r="G46" s="85" t="s">
        <v>22</v>
      </c>
      <c r="H46" s="86" t="s">
        <v>13</v>
      </c>
      <c r="I46" s="87"/>
      <c r="J46" s="87"/>
      <c r="K46" s="88"/>
      <c r="L46" s="93">
        <f ca="1">IFERROR(__xludf.DUMMYFUNCTION("IMPORTRANGE(""https://docs.google.com/spreadsheets/d/1Yj_ptqi66GCucihVvJfMjLAmec39IyEx_6qawtMGysU/edit?usp=sharing"",""สบก!M27"")"),658100)</f>
        <v>658100</v>
      </c>
      <c r="M46" s="95"/>
      <c r="N46" s="43"/>
      <c r="O46" s="94"/>
      <c r="P46" s="94"/>
    </row>
    <row r="47" spans="1:16" ht="21.75" customHeight="1" x14ac:dyDescent="0.3">
      <c r="A47" s="82"/>
      <c r="B47" s="83"/>
      <c r="C47" s="83"/>
      <c r="D47" s="83"/>
      <c r="E47" s="91"/>
      <c r="F47" s="91"/>
      <c r="G47" s="85" t="s">
        <v>23</v>
      </c>
      <c r="H47" s="86" t="s">
        <v>13</v>
      </c>
      <c r="I47" s="87"/>
      <c r="J47" s="87"/>
      <c r="K47" s="88"/>
      <c r="L47" s="93">
        <f ca="1">IFERROR(__xludf.DUMMYFUNCTION("IMPORTRANGE(""https://docs.google.com/spreadsheets/d/1Yj_ptqi66GCucihVvJfMjLAmec39IyEx_6qawtMGysU/edit?usp=sharing"",""สบก!N27"")"),0)</f>
        <v>0</v>
      </c>
      <c r="M47" s="95"/>
      <c r="N47" s="43"/>
      <c r="O47" s="94"/>
      <c r="P47" s="94"/>
    </row>
    <row r="48" spans="1:16" ht="21.75" customHeight="1" x14ac:dyDescent="0.3">
      <c r="A48" s="82"/>
      <c r="B48" s="83"/>
      <c r="C48" s="84" t="s">
        <v>17</v>
      </c>
      <c r="D48" s="551" t="s">
        <v>24</v>
      </c>
      <c r="E48" s="547"/>
      <c r="F48" s="91"/>
      <c r="G48" s="85" t="s">
        <v>19</v>
      </c>
      <c r="H48" s="86" t="s">
        <v>13</v>
      </c>
      <c r="I48" s="87"/>
      <c r="J48" s="87"/>
      <c r="K48" s="88"/>
      <c r="L48" s="53">
        <v>0</v>
      </c>
      <c r="M48" s="95"/>
      <c r="N48" s="44"/>
      <c r="O48" s="95"/>
      <c r="P48" s="95"/>
    </row>
    <row r="49" spans="1:16" ht="21.75" customHeight="1" x14ac:dyDescent="0.3">
      <c r="A49" s="96"/>
      <c r="B49" s="97"/>
      <c r="C49" s="97"/>
      <c r="D49" s="97"/>
      <c r="E49" s="98"/>
      <c r="F49" s="98"/>
      <c r="G49" s="99" t="s">
        <v>20</v>
      </c>
      <c r="H49" s="100" t="s">
        <v>13</v>
      </c>
      <c r="I49" s="101"/>
      <c r="J49" s="101"/>
      <c r="K49" s="102"/>
      <c r="L49" s="93">
        <f ca="1">IFERROR(__xludf.DUMMYFUNCTION("IMPORTRANGE(""https://docs.google.com/spreadsheets/d/1Yj_ptqi66GCucihVvJfMjLAmec39IyEx_6qawtMGysU/edit?usp=sharing"",""สบก!O27"")"),0)</f>
        <v>0</v>
      </c>
      <c r="M49" s="103"/>
      <c r="N49" s="93">
        <f ca="1">IFERROR(__xludf.DUMMYFUNCTION("IMPORTRANGE(""https://docs.google.com/spreadsheets/d/1Yj_ptqi66GCucihVvJfMjLAmec39IyEx_6qawtMGysU/edit?usp=sharing"",""สบก!S27"")"),0)</f>
        <v>0</v>
      </c>
      <c r="O49" s="103">
        <f ca="1">IF(L49&gt;0,N49*100/L49,0)</f>
        <v>0</v>
      </c>
      <c r="P49" s="103"/>
    </row>
    <row r="50" spans="1:16" ht="21.75" customHeight="1" x14ac:dyDescent="0.3">
      <c r="A50" s="104" t="s">
        <v>31</v>
      </c>
      <c r="B50" s="105"/>
      <c r="C50" s="105"/>
      <c r="D50" s="105"/>
      <c r="E50" s="105"/>
      <c r="F50" s="105"/>
      <c r="G50" s="105"/>
      <c r="H50" s="106"/>
      <c r="I50" s="107"/>
      <c r="J50" s="107"/>
      <c r="K50" s="108"/>
      <c r="L50" s="109"/>
      <c r="M50" s="109"/>
      <c r="N50" s="109"/>
      <c r="O50" s="108"/>
      <c r="P50" s="108"/>
    </row>
    <row r="51" spans="1:16" ht="21.75" customHeight="1" x14ac:dyDescent="0.3">
      <c r="A51" s="110"/>
      <c r="B51" s="111" t="s">
        <v>32</v>
      </c>
      <c r="C51" s="111"/>
      <c r="D51" s="111"/>
      <c r="E51" s="111"/>
      <c r="F51" s="111"/>
      <c r="G51" s="111"/>
      <c r="H51" s="112"/>
      <c r="I51" s="113"/>
      <c r="J51" s="113"/>
      <c r="K51" s="114"/>
      <c r="L51" s="115"/>
      <c r="M51" s="115"/>
      <c r="N51" s="115"/>
      <c r="O51" s="114"/>
      <c r="P51" s="114"/>
    </row>
    <row r="52" spans="1:16" ht="21.75" customHeight="1" x14ac:dyDescent="0.3">
      <c r="A52" s="116"/>
      <c r="B52" s="552" t="s">
        <v>33</v>
      </c>
      <c r="C52" s="547"/>
      <c r="D52" s="547"/>
      <c r="E52" s="547"/>
      <c r="F52" s="547"/>
      <c r="G52" s="547"/>
      <c r="H52" s="117"/>
      <c r="I52" s="118"/>
      <c r="J52" s="118"/>
      <c r="K52" s="119"/>
      <c r="L52" s="120"/>
      <c r="M52" s="120"/>
      <c r="N52" s="120"/>
      <c r="O52" s="119"/>
      <c r="P52" s="119"/>
    </row>
    <row r="53" spans="1:16" ht="21.75" customHeight="1" x14ac:dyDescent="0.3">
      <c r="A53" s="121"/>
      <c r="B53" s="122"/>
      <c r="C53" s="123" t="s">
        <v>17</v>
      </c>
      <c r="D53" s="553" t="s">
        <v>18</v>
      </c>
      <c r="E53" s="547"/>
      <c r="F53" s="547"/>
      <c r="G53" s="547"/>
      <c r="H53" s="124" t="s">
        <v>13</v>
      </c>
      <c r="I53" s="125"/>
      <c r="J53" s="125"/>
      <c r="K53" s="126"/>
      <c r="L53" s="127">
        <f t="shared" ref="L53:N53" ca="1" si="39">L54+L55</f>
        <v>612000</v>
      </c>
      <c r="M53" s="127">
        <f t="shared" ca="1" si="39"/>
        <v>319500</v>
      </c>
      <c r="N53" s="127">
        <f t="shared" ca="1" si="39"/>
        <v>201116</v>
      </c>
      <c r="O53" s="126">
        <f t="shared" ref="O53:O55" ca="1" si="40">IF(L53&gt;0,N53*100/L53,0)</f>
        <v>32.862091503267976</v>
      </c>
      <c r="P53" s="126">
        <f t="shared" ref="P53:P55" ca="1" si="41">IF(M53&gt;0,N53*100/M53,0)</f>
        <v>62.947104851330202</v>
      </c>
    </row>
    <row r="54" spans="1:16" ht="21.75" customHeight="1" x14ac:dyDescent="0.3">
      <c r="A54" s="121"/>
      <c r="B54" s="122"/>
      <c r="C54" s="122"/>
      <c r="D54" s="122"/>
      <c r="E54" s="122"/>
      <c r="F54" s="122"/>
      <c r="G54" s="123" t="s">
        <v>19</v>
      </c>
      <c r="H54" s="124" t="s">
        <v>13</v>
      </c>
      <c r="I54" s="125"/>
      <c r="J54" s="125"/>
      <c r="K54" s="126"/>
      <c r="L54" s="127">
        <f t="shared" ref="L54:N54" si="42">L56+L60</f>
        <v>0</v>
      </c>
      <c r="M54" s="127">
        <f t="shared" si="42"/>
        <v>0</v>
      </c>
      <c r="N54" s="127">
        <f t="shared" si="42"/>
        <v>0</v>
      </c>
      <c r="O54" s="126">
        <f t="shared" si="40"/>
        <v>0</v>
      </c>
      <c r="P54" s="126">
        <f t="shared" si="41"/>
        <v>0</v>
      </c>
    </row>
    <row r="55" spans="1:16" ht="21.75" customHeight="1" x14ac:dyDescent="0.3">
      <c r="A55" s="121"/>
      <c r="B55" s="122"/>
      <c r="C55" s="122"/>
      <c r="D55" s="122"/>
      <c r="E55" s="122"/>
      <c r="F55" s="122"/>
      <c r="G55" s="123" t="s">
        <v>20</v>
      </c>
      <c r="H55" s="124" t="s">
        <v>13</v>
      </c>
      <c r="I55" s="125"/>
      <c r="J55" s="125"/>
      <c r="K55" s="126"/>
      <c r="L55" s="127">
        <f t="shared" ref="L55:N55" ca="1" si="43">L57+L61</f>
        <v>612000</v>
      </c>
      <c r="M55" s="127">
        <f t="shared" ca="1" si="43"/>
        <v>319500</v>
      </c>
      <c r="N55" s="127">
        <f t="shared" ca="1" si="43"/>
        <v>201116</v>
      </c>
      <c r="O55" s="126">
        <f t="shared" ca="1" si="40"/>
        <v>32.862091503267976</v>
      </c>
      <c r="P55" s="126">
        <f t="shared" ca="1" si="41"/>
        <v>62.947104851330202</v>
      </c>
    </row>
    <row r="56" spans="1:16" ht="21.75" customHeight="1" x14ac:dyDescent="0.3">
      <c r="A56" s="82"/>
      <c r="B56" s="83"/>
      <c r="C56" s="84" t="s">
        <v>17</v>
      </c>
      <c r="D56" s="551" t="s">
        <v>21</v>
      </c>
      <c r="E56" s="547"/>
      <c r="F56" s="547"/>
      <c r="G56" s="85" t="s">
        <v>19</v>
      </c>
      <c r="H56" s="86" t="s">
        <v>13</v>
      </c>
      <c r="I56" s="87"/>
      <c r="J56" s="87"/>
      <c r="K56" s="88"/>
      <c r="L56" s="90">
        <v>0</v>
      </c>
      <c r="M56" s="89"/>
      <c r="N56" s="90"/>
      <c r="O56" s="90"/>
      <c r="P56" s="90"/>
    </row>
    <row r="57" spans="1:16" ht="21.75" customHeight="1" x14ac:dyDescent="0.3">
      <c r="A57" s="82"/>
      <c r="B57" s="83"/>
      <c r="C57" s="83"/>
      <c r="D57" s="83"/>
      <c r="E57" s="91"/>
      <c r="F57" s="92"/>
      <c r="G57" s="85" t="s">
        <v>20</v>
      </c>
      <c r="H57" s="86" t="s">
        <v>13</v>
      </c>
      <c r="I57" s="87"/>
      <c r="J57" s="87"/>
      <c r="K57" s="88"/>
      <c r="L57" s="43">
        <f ca="1">L58+L59</f>
        <v>612000</v>
      </c>
      <c r="M57" s="93">
        <f ca="1">IFERROR(__xludf.DUMMYFUNCTION("IMPORTRANGE(""https://docs.google.com/spreadsheets/d/1Yj_ptqi66GCucihVvJfMjLAmec39IyEx_6qawtMGysU/edit?usp=sharing"",""สบก!Z27"")"),319500)</f>
        <v>319500</v>
      </c>
      <c r="N57" s="93">
        <f ca="1">IFERROR(__xludf.DUMMYFUNCTION("IMPORTRANGE(""https://docs.google.com/spreadsheets/d/1Yj_ptqi66GCucihVvJfMjLAmec39IyEx_6qawtMGysU/edit?usp=sharing"",""สบก!AA27"")"),201116)</f>
        <v>201116</v>
      </c>
      <c r="O57" s="94">
        <f ca="1">IF(L57&gt;0,N57*100/L57,0)</f>
        <v>32.862091503267976</v>
      </c>
      <c r="P57" s="94">
        <f ca="1">IF(M57&gt;0,N57*100/M57,0)</f>
        <v>62.947104851330202</v>
      </c>
    </row>
    <row r="58" spans="1:16" ht="21.75" customHeight="1" x14ac:dyDescent="0.3">
      <c r="A58" s="82"/>
      <c r="B58" s="83"/>
      <c r="C58" s="83"/>
      <c r="D58" s="83"/>
      <c r="E58" s="91"/>
      <c r="F58" s="91"/>
      <c r="G58" s="85" t="s">
        <v>22</v>
      </c>
      <c r="H58" s="86" t="s">
        <v>13</v>
      </c>
      <c r="I58" s="87"/>
      <c r="J58" s="87"/>
      <c r="K58" s="88"/>
      <c r="L58" s="93">
        <f ca="1">IFERROR(__xludf.DUMMYFUNCTION("IMPORTRANGE(""https://docs.google.com/spreadsheets/d/1Yj_ptqi66GCucihVvJfMjLAmec39IyEx_6qawtMGysU/edit?usp=sharing"",""สบก!V27"")"),612000)</f>
        <v>612000</v>
      </c>
      <c r="M58" s="95"/>
      <c r="N58" s="43"/>
      <c r="O58" s="94"/>
      <c r="P58" s="94"/>
    </row>
    <row r="59" spans="1:16" ht="21.75" customHeight="1" x14ac:dyDescent="0.3">
      <c r="A59" s="82"/>
      <c r="B59" s="83"/>
      <c r="C59" s="83"/>
      <c r="D59" s="83"/>
      <c r="E59" s="91"/>
      <c r="F59" s="91"/>
      <c r="G59" s="85" t="s">
        <v>23</v>
      </c>
      <c r="H59" s="86" t="s">
        <v>13</v>
      </c>
      <c r="I59" s="87"/>
      <c r="J59" s="87"/>
      <c r="K59" s="88"/>
      <c r="L59" s="93">
        <f ca="1">IFERROR(__xludf.DUMMYFUNCTION("IMPORTRANGE(""https://docs.google.com/spreadsheets/d/1Yj_ptqi66GCucihVvJfMjLAmec39IyEx_6qawtMGysU/edit?usp=sharing"",""สบก!W27"")"),0)</f>
        <v>0</v>
      </c>
      <c r="M59" s="95"/>
      <c r="N59" s="43"/>
      <c r="O59" s="94"/>
      <c r="P59" s="94"/>
    </row>
    <row r="60" spans="1:16" ht="21.75" customHeight="1" x14ac:dyDescent="0.3">
      <c r="A60" s="82"/>
      <c r="B60" s="83"/>
      <c r="C60" s="84" t="s">
        <v>17</v>
      </c>
      <c r="D60" s="551" t="s">
        <v>24</v>
      </c>
      <c r="E60" s="547"/>
      <c r="F60" s="91"/>
      <c r="G60" s="85" t="s">
        <v>19</v>
      </c>
      <c r="H60" s="86" t="s">
        <v>13</v>
      </c>
      <c r="I60" s="87"/>
      <c r="J60" s="87"/>
      <c r="K60" s="88"/>
      <c r="L60" s="53">
        <v>0</v>
      </c>
      <c r="M60" s="95"/>
      <c r="N60" s="44"/>
      <c r="O60" s="95"/>
      <c r="P60" s="95"/>
    </row>
    <row r="61" spans="1:16" ht="21.75" customHeight="1" x14ac:dyDescent="0.3">
      <c r="A61" s="96"/>
      <c r="B61" s="97"/>
      <c r="C61" s="97"/>
      <c r="D61" s="97"/>
      <c r="E61" s="98"/>
      <c r="F61" s="98"/>
      <c r="G61" s="99" t="s">
        <v>20</v>
      </c>
      <c r="H61" s="100" t="s">
        <v>13</v>
      </c>
      <c r="I61" s="101"/>
      <c r="J61" s="101"/>
      <c r="K61" s="102"/>
      <c r="L61" s="93">
        <f ca="1">IFERROR(__xludf.DUMMYFUNCTION("IMPORTRANGE(""https://docs.google.com/spreadsheets/d/1Yj_ptqi66GCucihVvJfMjLAmec39IyEx_6qawtMGysU/edit?usp=sharing"",""สบก!X27"")"),0)</f>
        <v>0</v>
      </c>
      <c r="M61" s="103"/>
      <c r="N61" s="93">
        <f ca="1">IFERROR(__xludf.DUMMYFUNCTION("IMPORTRANGE(""https://docs.google.com/spreadsheets/d/1Yj_ptqi66GCucihVvJfMjLAmec39IyEx_6qawtMGysU/edit?usp=sharing"",""สบก!AB27"")"),0)</f>
        <v>0</v>
      </c>
      <c r="O61" s="103">
        <f ca="1">IF(L61&gt;0,N61*100/L61,0)</f>
        <v>0</v>
      </c>
      <c r="P61" s="103"/>
    </row>
    <row r="62" spans="1:16" ht="21.75" customHeight="1" x14ac:dyDescent="0.2">
      <c r="A62" s="128" t="s">
        <v>34</v>
      </c>
      <c r="B62" s="129"/>
      <c r="C62" s="129"/>
      <c r="D62" s="129"/>
      <c r="E62" s="130"/>
      <c r="F62" s="130"/>
      <c r="G62" s="130"/>
      <c r="H62" s="131"/>
      <c r="I62" s="132"/>
      <c r="J62" s="132"/>
      <c r="K62" s="133"/>
      <c r="L62" s="134"/>
      <c r="M62" s="134"/>
      <c r="N62" s="134"/>
      <c r="O62" s="134"/>
      <c r="P62" s="134"/>
    </row>
    <row r="63" spans="1:16" ht="21.75" customHeight="1" x14ac:dyDescent="0.2">
      <c r="A63" s="135" t="s">
        <v>35</v>
      </c>
      <c r="B63" s="136"/>
      <c r="C63" s="137"/>
      <c r="D63" s="136"/>
      <c r="E63" s="138"/>
      <c r="F63" s="138"/>
      <c r="G63" s="138"/>
      <c r="H63" s="139"/>
      <c r="I63" s="140"/>
      <c r="J63" s="140"/>
      <c r="K63" s="141"/>
      <c r="L63" s="142"/>
      <c r="M63" s="142"/>
      <c r="N63" s="142"/>
      <c r="O63" s="143"/>
      <c r="P63" s="143"/>
    </row>
    <row r="64" spans="1:16" ht="21.75" customHeight="1" x14ac:dyDescent="0.2">
      <c r="A64" s="144"/>
      <c r="B64" s="145" t="s">
        <v>36</v>
      </c>
      <c r="C64" s="145"/>
      <c r="D64" s="146"/>
      <c r="E64" s="145"/>
      <c r="F64" s="145"/>
      <c r="G64" s="145"/>
      <c r="H64" s="147" t="s">
        <v>37</v>
      </c>
      <c r="I64" s="148">
        <f ca="1">IFERROR(__xludf.DUMMYFUNCTION("IMPORTRANGE(""https://docs.google.com/spreadsheets/d/11923uPwbBZFjjGgGUA6NLw09EwE0CqkOc4q9oUmW1yo/edit?usp=sharing"",""พิจิตร!I9"")"),0)</f>
        <v>0</v>
      </c>
      <c r="J64" s="148">
        <f ca="1">IFERROR(__xludf.DUMMYFUNCTION("IMPORTRANGE(""https://docs.google.com/spreadsheets/d/11923uPwbBZFjjGgGUA6NLw09EwE0CqkOc4q9oUmW1yo/edit?usp=sharing"",""พิจิตร!J9"")"),0)</f>
        <v>0</v>
      </c>
      <c r="K64" s="149">
        <f t="shared" ref="K64:K65" ca="1" si="44">IF(I64&gt;0,J64*100/I64,0)</f>
        <v>0</v>
      </c>
      <c r="L64" s="150"/>
      <c r="M64" s="150"/>
      <c r="N64" s="151"/>
      <c r="O64" s="149"/>
      <c r="P64" s="149"/>
    </row>
    <row r="65" spans="1:16" ht="21.75" customHeight="1" x14ac:dyDescent="0.2">
      <c r="A65" s="144"/>
      <c r="B65" s="145"/>
      <c r="C65" s="145"/>
      <c r="D65" s="146"/>
      <c r="E65" s="145"/>
      <c r="F65" s="145"/>
      <c r="G65" s="145"/>
      <c r="H65" s="147" t="s">
        <v>38</v>
      </c>
      <c r="I65" s="148">
        <f ca="1">IFERROR(__xludf.DUMMYFUNCTION("IMPORTRANGE(""https://docs.google.com/spreadsheets/d/11923uPwbBZFjjGgGUA6NLw09EwE0CqkOc4q9oUmW1yo/edit?usp=sharing"",""พิจิตร!I10"")"),0)</f>
        <v>0</v>
      </c>
      <c r="J65" s="148">
        <f ca="1">IFERROR(__xludf.DUMMYFUNCTION("IMPORTRANGE(""https://docs.google.com/spreadsheets/d/11923uPwbBZFjjGgGUA6NLw09EwE0CqkOc4q9oUmW1yo/edit?usp=sharing"",""พิจิตร!J10"")"),0)</f>
        <v>0</v>
      </c>
      <c r="K65" s="149">
        <f t="shared" ca="1" si="44"/>
        <v>0</v>
      </c>
      <c r="L65" s="151"/>
      <c r="M65" s="151"/>
      <c r="N65" s="151"/>
      <c r="O65" s="149"/>
      <c r="P65" s="149"/>
    </row>
    <row r="66" spans="1:16" ht="21.75" customHeight="1" x14ac:dyDescent="0.3">
      <c r="A66" s="152"/>
      <c r="B66" s="153"/>
      <c r="C66" s="154" t="s">
        <v>17</v>
      </c>
      <c r="D66" s="554" t="s">
        <v>18</v>
      </c>
      <c r="E66" s="545"/>
      <c r="F66" s="545"/>
      <c r="G66" s="545"/>
      <c r="H66" s="155" t="s">
        <v>13</v>
      </c>
      <c r="I66" s="156"/>
      <c r="J66" s="156"/>
      <c r="K66" s="157"/>
      <c r="L66" s="158">
        <f t="shared" ref="L66:N66" ca="1" si="45">L67+L68</f>
        <v>0</v>
      </c>
      <c r="M66" s="158">
        <f t="shared" ca="1" si="45"/>
        <v>0</v>
      </c>
      <c r="N66" s="158">
        <f t="shared" ca="1" si="45"/>
        <v>0</v>
      </c>
      <c r="O66" s="157">
        <f t="shared" ref="O66:O68" ca="1" si="46">IF(L66&gt;0,N66*100/L66,0)</f>
        <v>0</v>
      </c>
      <c r="P66" s="157">
        <f t="shared" ref="P66:P68" ca="1" si="47">IF(M66&gt;0,N66*100/M66,0)</f>
        <v>0</v>
      </c>
    </row>
    <row r="67" spans="1:16" ht="21.75" customHeight="1" x14ac:dyDescent="0.3">
      <c r="A67" s="159"/>
      <c r="B67" s="34"/>
      <c r="C67" s="34"/>
      <c r="D67" s="34"/>
      <c r="E67" s="34"/>
      <c r="F67" s="34"/>
      <c r="G67" s="35" t="s">
        <v>19</v>
      </c>
      <c r="H67" s="160" t="s">
        <v>13</v>
      </c>
      <c r="I67" s="161"/>
      <c r="J67" s="161"/>
      <c r="K67" s="162"/>
      <c r="L67" s="163">
        <f t="shared" ref="L67:N67" si="48">L69+L73</f>
        <v>0</v>
      </c>
      <c r="M67" s="163">
        <f t="shared" si="48"/>
        <v>0</v>
      </c>
      <c r="N67" s="163">
        <f t="shared" si="48"/>
        <v>0</v>
      </c>
      <c r="O67" s="162">
        <f t="shared" si="46"/>
        <v>0</v>
      </c>
      <c r="P67" s="162">
        <f t="shared" si="47"/>
        <v>0</v>
      </c>
    </row>
    <row r="68" spans="1:16" ht="21.75" customHeight="1" x14ac:dyDescent="0.3">
      <c r="A68" s="159"/>
      <c r="B68" s="34"/>
      <c r="C68" s="34"/>
      <c r="D68" s="34"/>
      <c r="E68" s="34"/>
      <c r="F68" s="34"/>
      <c r="G68" s="35" t="s">
        <v>20</v>
      </c>
      <c r="H68" s="160" t="s">
        <v>13</v>
      </c>
      <c r="I68" s="161"/>
      <c r="J68" s="161"/>
      <c r="K68" s="162"/>
      <c r="L68" s="163">
        <f t="shared" ref="L68:N68" ca="1" si="49">L70+L74</f>
        <v>0</v>
      </c>
      <c r="M68" s="163">
        <f t="shared" ca="1" si="49"/>
        <v>0</v>
      </c>
      <c r="N68" s="163">
        <f t="shared" ca="1" si="49"/>
        <v>0</v>
      </c>
      <c r="O68" s="162">
        <f t="shared" ca="1" si="46"/>
        <v>0</v>
      </c>
      <c r="P68" s="162">
        <f t="shared" ca="1" si="47"/>
        <v>0</v>
      </c>
    </row>
    <row r="69" spans="1:16" ht="21.75" customHeight="1" x14ac:dyDescent="0.2">
      <c r="A69" s="164"/>
      <c r="B69" s="165"/>
      <c r="C69" s="165" t="s">
        <v>17</v>
      </c>
      <c r="D69" s="166" t="s">
        <v>39</v>
      </c>
      <c r="E69" s="167"/>
      <c r="F69" s="167"/>
      <c r="G69" s="168" t="s">
        <v>40</v>
      </c>
      <c r="H69" s="169" t="s">
        <v>13</v>
      </c>
      <c r="I69" s="170" t="s">
        <v>41</v>
      </c>
      <c r="J69" s="170"/>
      <c r="K69" s="171"/>
      <c r="L69" s="172">
        <v>0</v>
      </c>
      <c r="M69" s="172"/>
      <c r="N69" s="172">
        <v>0</v>
      </c>
      <c r="O69" s="173">
        <f>+IF(L69&gt;0,N69*100/L69,0)</f>
        <v>0</v>
      </c>
      <c r="P69" s="173"/>
    </row>
    <row r="70" spans="1:16" ht="21.75" customHeight="1" x14ac:dyDescent="0.2">
      <c r="A70" s="164"/>
      <c r="B70" s="165"/>
      <c r="C70" s="165"/>
      <c r="D70" s="174"/>
      <c r="E70" s="167"/>
      <c r="F70" s="167" t="s">
        <v>41</v>
      </c>
      <c r="G70" s="168" t="s">
        <v>42</v>
      </c>
      <c r="H70" s="169" t="s">
        <v>13</v>
      </c>
      <c r="I70" s="170"/>
      <c r="J70" s="170"/>
      <c r="K70" s="171"/>
      <c r="L70" s="175">
        <f ca="1">L71+L72</f>
        <v>0</v>
      </c>
      <c r="M70" s="176">
        <f ca="1">IFERROR(__xludf.DUMMYFUNCTION("IMPORTRANGE(""https://docs.google.com/spreadsheets/d/1Yj_ptqi66GCucihVvJfMjLAmec39IyEx_6qawtMGysU/edit?usp=sharing"",""สบก!AI27"")"),0)</f>
        <v>0</v>
      </c>
      <c r="N70" s="177">
        <f ca="1">IFERROR(__xludf.DUMMYFUNCTION("IMPORTRANGE(""https://docs.google.com/spreadsheets/d/1Yj_ptqi66GCucihVvJfMjLAmec39IyEx_6qawtMGysU/edit?usp=sharing"",""สบก!AJ27"")"),0)</f>
        <v>0</v>
      </c>
      <c r="O70" s="178">
        <f ca="1">IF(L70&gt;0,N70*100/L70,0)</f>
        <v>0</v>
      </c>
      <c r="P70" s="178">
        <f ca="1">IF(M70&gt;0,N70*100/M70,0)</f>
        <v>0</v>
      </c>
    </row>
    <row r="71" spans="1:16" ht="21.75" customHeight="1" x14ac:dyDescent="0.2">
      <c r="A71" s="164"/>
      <c r="B71" s="165"/>
      <c r="C71" s="165"/>
      <c r="D71" s="174"/>
      <c r="E71" s="167"/>
      <c r="F71" s="167"/>
      <c r="G71" s="179" t="s">
        <v>43</v>
      </c>
      <c r="H71" s="169" t="s">
        <v>13</v>
      </c>
      <c r="I71" s="170"/>
      <c r="J71" s="170"/>
      <c r="K71" s="171"/>
      <c r="L71" s="176">
        <f ca="1">IFERROR(__xludf.DUMMYFUNCTION("IMPORTRANGE(""https://docs.google.com/spreadsheets/d/1Yj_ptqi66GCucihVvJfMjLAmec39IyEx_6qawtMGysU/edit?usp=sharing"",""สบก!AE27"")"),0)</f>
        <v>0</v>
      </c>
      <c r="M71" s="175"/>
      <c r="N71" s="175"/>
      <c r="O71" s="178"/>
      <c r="P71" s="178"/>
    </row>
    <row r="72" spans="1:16" ht="21.75" customHeight="1" x14ac:dyDescent="0.2">
      <c r="A72" s="164"/>
      <c r="B72" s="165"/>
      <c r="C72" s="165"/>
      <c r="D72" s="174"/>
      <c r="E72" s="167"/>
      <c r="F72" s="167"/>
      <c r="G72" s="179" t="s">
        <v>44</v>
      </c>
      <c r="H72" s="169" t="s">
        <v>13</v>
      </c>
      <c r="I72" s="170"/>
      <c r="J72" s="170"/>
      <c r="K72" s="171"/>
      <c r="L72" s="176">
        <f ca="1">IFERROR(__xludf.DUMMYFUNCTION("IMPORTRANGE(""https://docs.google.com/spreadsheets/d/1Yj_ptqi66GCucihVvJfMjLAmec39IyEx_6qawtMGysU/edit?usp=sharing"",""สบก!AF27"")"),0)</f>
        <v>0</v>
      </c>
      <c r="M72" s="175"/>
      <c r="N72" s="175"/>
      <c r="O72" s="178"/>
      <c r="P72" s="178"/>
    </row>
    <row r="73" spans="1:16" ht="21.75" customHeight="1" x14ac:dyDescent="0.3">
      <c r="A73" s="180"/>
      <c r="B73" s="83"/>
      <c r="C73" s="84" t="s">
        <v>17</v>
      </c>
      <c r="D73" s="551" t="s">
        <v>24</v>
      </c>
      <c r="E73" s="547"/>
      <c r="F73" s="91"/>
      <c r="G73" s="85" t="s">
        <v>19</v>
      </c>
      <c r="H73" s="181" t="s">
        <v>13</v>
      </c>
      <c r="I73" s="87"/>
      <c r="J73" s="87"/>
      <c r="K73" s="88"/>
      <c r="L73" s="95">
        <v>0</v>
      </c>
      <c r="M73" s="95"/>
      <c r="N73" s="44"/>
      <c r="O73" s="95"/>
      <c r="P73" s="95"/>
    </row>
    <row r="74" spans="1:16" ht="21.75" customHeight="1" x14ac:dyDescent="0.3">
      <c r="A74" s="182"/>
      <c r="B74" s="97"/>
      <c r="C74" s="97"/>
      <c r="D74" s="183"/>
      <c r="E74" s="98"/>
      <c r="F74" s="98"/>
      <c r="G74" s="99" t="s">
        <v>20</v>
      </c>
      <c r="H74" s="184" t="s">
        <v>13</v>
      </c>
      <c r="I74" s="101"/>
      <c r="J74" s="101"/>
      <c r="K74" s="102"/>
      <c r="L74" s="93">
        <f ca="1">IFERROR(__xludf.DUMMYFUNCTION("IMPORTRANGE(""https://docs.google.com/spreadsheets/d/1Yj_ptqi66GCucihVvJfMjLAmec39IyEx_6qawtMGysU/edit?usp=sharing"",""สบก!AG27"")"),0)</f>
        <v>0</v>
      </c>
      <c r="M74" s="103"/>
      <c r="N74" s="93">
        <f ca="1">IFERROR(__xludf.DUMMYFUNCTION("IMPORTRANGE(""https://docs.google.com/spreadsheets/d/1Yj_ptqi66GCucihVvJfMjLAmec39IyEx_6qawtMGysU/edit?usp=sharing"",""สบก!AK27"")"),0)</f>
        <v>0</v>
      </c>
      <c r="O74" s="103">
        <f ca="1">IF(L74&gt;0,N74*100/L74,0)</f>
        <v>0</v>
      </c>
      <c r="P74" s="103"/>
    </row>
    <row r="75" spans="1:16" ht="21.75" customHeight="1" x14ac:dyDescent="0.2">
      <c r="A75" s="185"/>
      <c r="B75" s="186"/>
      <c r="C75" s="165" t="s">
        <v>17</v>
      </c>
      <c r="D75" s="187" t="s">
        <v>45</v>
      </c>
      <c r="E75" s="188"/>
      <c r="F75" s="188"/>
      <c r="G75" s="189"/>
      <c r="H75" s="190"/>
      <c r="I75" s="170"/>
      <c r="J75" s="170"/>
      <c r="K75" s="171"/>
      <c r="L75" s="191"/>
      <c r="M75" s="191"/>
      <c r="N75" s="191"/>
      <c r="O75" s="191"/>
      <c r="P75" s="191"/>
    </row>
    <row r="76" spans="1:16" ht="21.75" customHeight="1" x14ac:dyDescent="0.2">
      <c r="A76" s="185"/>
      <c r="B76" s="186"/>
      <c r="C76" s="186"/>
      <c r="D76" s="192">
        <v>1</v>
      </c>
      <c r="E76" s="193" t="s">
        <v>46</v>
      </c>
      <c r="F76" s="194"/>
      <c r="G76" s="195"/>
      <c r="H76" s="196"/>
      <c r="I76" s="197"/>
      <c r="J76" s="198">
        <f ca="1">IFERROR(__xludf.DUMMYFUNCTION("IMPORTRANGE(""https://docs.google.com/spreadsheets/d/11923uPwbBZFjjGgGUA6NLw09EwE0CqkOc4q9oUmW1yo/edit?usp=sharing"",""พิจิตร!J16"")"),0)</f>
        <v>0</v>
      </c>
      <c r="K76" s="171"/>
      <c r="L76" s="191"/>
      <c r="M76" s="191"/>
      <c r="N76" s="191"/>
      <c r="O76" s="191"/>
      <c r="P76" s="191"/>
    </row>
    <row r="77" spans="1:16" ht="21.75" customHeight="1" x14ac:dyDescent="0.2">
      <c r="A77" s="185"/>
      <c r="B77" s="186"/>
      <c r="C77" s="186"/>
      <c r="D77" s="199">
        <v>2</v>
      </c>
      <c r="E77" s="200" t="s">
        <v>47</v>
      </c>
      <c r="F77" s="201"/>
      <c r="G77" s="202"/>
      <c r="H77" s="196"/>
      <c r="I77" s="197"/>
      <c r="J77" s="198">
        <f ca="1">IFERROR(__xludf.DUMMYFUNCTION("IMPORTRANGE(""https://docs.google.com/spreadsheets/d/11923uPwbBZFjjGgGUA6NLw09EwE0CqkOc4q9oUmW1yo/edit?usp=sharing"",""พิจิตร!J17"")"),0)</f>
        <v>0</v>
      </c>
      <c r="K77" s="171"/>
      <c r="L77" s="191" t="s">
        <v>41</v>
      </c>
      <c r="M77" s="191"/>
      <c r="N77" s="191" t="s">
        <v>41</v>
      </c>
      <c r="O77" s="191"/>
      <c r="P77" s="191"/>
    </row>
    <row r="78" spans="1:16" ht="21.75" customHeight="1" x14ac:dyDescent="0.2">
      <c r="A78" s="185"/>
      <c r="B78" s="186"/>
      <c r="C78" s="186"/>
      <c r="D78" s="203"/>
      <c r="E78" s="204" t="s">
        <v>48</v>
      </c>
      <c r="F78" s="205"/>
      <c r="G78" s="206"/>
      <c r="H78" s="196"/>
      <c r="I78" s="197"/>
      <c r="J78" s="198">
        <f ca="1">IFERROR(__xludf.DUMMYFUNCTION("IMPORTRANGE(""https://docs.google.com/spreadsheets/d/11923uPwbBZFjjGgGUA6NLw09EwE0CqkOc4q9oUmW1yo/edit?usp=sharing"",""พิจิตร!J18"")"),0)</f>
        <v>0</v>
      </c>
      <c r="K78" s="171"/>
      <c r="L78" s="191"/>
      <c r="M78" s="191"/>
      <c r="N78" s="191"/>
      <c r="O78" s="191"/>
      <c r="P78" s="191"/>
    </row>
    <row r="79" spans="1:16" ht="21.75" customHeight="1" x14ac:dyDescent="0.2">
      <c r="A79" s="185"/>
      <c r="B79" s="186"/>
      <c r="C79" s="186"/>
      <c r="D79" s="203"/>
      <c r="E79" s="204" t="s">
        <v>49</v>
      </c>
      <c r="F79" s="205"/>
      <c r="G79" s="206"/>
      <c r="H79" s="196"/>
      <c r="I79" s="197"/>
      <c r="J79" s="207">
        <f ca="1">IFERROR(__xludf.DUMMYFUNCTION("IMPORTRANGE(""https://docs.google.com/spreadsheets/d/11923uPwbBZFjjGgGUA6NLw09EwE0CqkOc4q9oUmW1yo/edit?usp=sharing"",""พิจิตร!J19"")"),0)</f>
        <v>0</v>
      </c>
      <c r="K79" s="171"/>
      <c r="L79" s="191"/>
      <c r="M79" s="191"/>
      <c r="N79" s="191"/>
      <c r="O79" s="191"/>
      <c r="P79" s="191"/>
    </row>
    <row r="80" spans="1:16" ht="21.75" customHeight="1" x14ac:dyDescent="0.2">
      <c r="A80" s="185"/>
      <c r="B80" s="186"/>
      <c r="C80" s="186"/>
      <c r="D80" s="203"/>
      <c r="E80" s="208"/>
      <c r="F80" s="204" t="s">
        <v>50</v>
      </c>
      <c r="G80" s="205"/>
      <c r="H80" s="209" t="s">
        <v>37</v>
      </c>
      <c r="I80" s="210">
        <f ca="1">IFERROR(__xludf.DUMMYFUNCTION("IMPORTRANGE(""https://docs.google.com/spreadsheets/d/11923uPwbBZFjjGgGUA6NLw09EwE0CqkOc4q9oUmW1yo/edit?usp=sharing"",""พิจิตร!I20"")"),0)</f>
        <v>0</v>
      </c>
      <c r="J80" s="210">
        <f ca="1">IFERROR(__xludf.DUMMYFUNCTION("IMPORTRANGE(""https://docs.google.com/spreadsheets/d/11923uPwbBZFjjGgGUA6NLw09EwE0CqkOc4q9oUmW1yo/edit?usp=sharing"",""พิจิตร!J20"")"),0)</f>
        <v>0</v>
      </c>
      <c r="K80" s="211">
        <f t="shared" ref="K80:K88" ca="1" si="50">IF(I80&gt;0,J80*100/I80,0)</f>
        <v>0</v>
      </c>
      <c r="L80" s="191"/>
      <c r="M80" s="191"/>
      <c r="N80" s="191"/>
      <c r="O80" s="191"/>
      <c r="P80" s="191"/>
    </row>
    <row r="81" spans="1:16" ht="21.75" customHeight="1" x14ac:dyDescent="0.2">
      <c r="A81" s="185"/>
      <c r="B81" s="186"/>
      <c r="C81" s="186"/>
      <c r="D81" s="203"/>
      <c r="E81" s="208"/>
      <c r="F81" s="205"/>
      <c r="G81" s="206"/>
      <c r="H81" s="209" t="s">
        <v>38</v>
      </c>
      <c r="I81" s="210">
        <f ca="1">IFERROR(__xludf.DUMMYFUNCTION("IMPORTRANGE(""https://docs.google.com/spreadsheets/d/11923uPwbBZFjjGgGUA6NLw09EwE0CqkOc4q9oUmW1yo/edit?usp=sharing"",""พิจิตร!I21"")"),0)</f>
        <v>0</v>
      </c>
      <c r="J81" s="210">
        <f ca="1">IFERROR(__xludf.DUMMYFUNCTION("IMPORTRANGE(""https://docs.google.com/spreadsheets/d/11923uPwbBZFjjGgGUA6NLw09EwE0CqkOc4q9oUmW1yo/edit?usp=sharing"",""พิจิตร!J21"")"),0)</f>
        <v>0</v>
      </c>
      <c r="K81" s="211">
        <f t="shared" ca="1" si="50"/>
        <v>0</v>
      </c>
      <c r="L81" s="191"/>
      <c r="M81" s="191"/>
      <c r="N81" s="191"/>
      <c r="O81" s="191"/>
      <c r="P81" s="191"/>
    </row>
    <row r="82" spans="1:16" ht="21.75" customHeight="1" x14ac:dyDescent="0.2">
      <c r="A82" s="185"/>
      <c r="B82" s="186"/>
      <c r="C82" s="186"/>
      <c r="D82" s="203"/>
      <c r="E82" s="208"/>
      <c r="F82" s="205"/>
      <c r="G82" s="205" t="s">
        <v>51</v>
      </c>
      <c r="H82" s="190" t="s">
        <v>37</v>
      </c>
      <c r="I82" s="212">
        <f ca="1">IFERROR(__xludf.DUMMYFUNCTION("IMPORTRANGE(""https://docs.google.com/spreadsheets/d/11923uPwbBZFjjGgGUA6NLw09EwE0CqkOc4q9oUmW1yo/edit?usp=sharing"",""พิจิตร!I22"")"),0)</f>
        <v>0</v>
      </c>
      <c r="J82" s="213">
        <f ca="1">IFERROR(__xludf.DUMMYFUNCTION("IMPORTRANGE(""https://docs.google.com/spreadsheets/d/11923uPwbBZFjjGgGUA6NLw09EwE0CqkOc4q9oUmW1yo/edit?usp=sharing"",""พิจิตร!J22"")"),0)</f>
        <v>0</v>
      </c>
      <c r="K82" s="171">
        <f t="shared" ca="1" si="50"/>
        <v>0</v>
      </c>
      <c r="L82" s="191"/>
      <c r="M82" s="191"/>
      <c r="N82" s="191"/>
      <c r="O82" s="191"/>
      <c r="P82" s="191"/>
    </row>
    <row r="83" spans="1:16" ht="21.75" customHeight="1" x14ac:dyDescent="0.2">
      <c r="A83" s="185"/>
      <c r="B83" s="186"/>
      <c r="C83" s="186"/>
      <c r="D83" s="203"/>
      <c r="E83" s="208"/>
      <c r="F83" s="205"/>
      <c r="G83" s="206"/>
      <c r="H83" s="190" t="s">
        <v>38</v>
      </c>
      <c r="I83" s="212">
        <f ca="1">IFERROR(__xludf.DUMMYFUNCTION("IMPORTRANGE(""https://docs.google.com/spreadsheets/d/11923uPwbBZFjjGgGUA6NLw09EwE0CqkOc4q9oUmW1yo/edit?usp=sharing"",""พิจิตร!I23"")"),0)</f>
        <v>0</v>
      </c>
      <c r="J83" s="213">
        <f ca="1">IFERROR(__xludf.DUMMYFUNCTION("IMPORTRANGE(""https://docs.google.com/spreadsheets/d/11923uPwbBZFjjGgGUA6NLw09EwE0CqkOc4q9oUmW1yo/edit?usp=sharing"",""พิจิตร!J23"")"),0)</f>
        <v>0</v>
      </c>
      <c r="K83" s="171">
        <f t="shared" ca="1" si="50"/>
        <v>0</v>
      </c>
      <c r="L83" s="191"/>
      <c r="M83" s="191"/>
      <c r="N83" s="191"/>
      <c r="O83" s="191"/>
      <c r="P83" s="191"/>
    </row>
    <row r="84" spans="1:16" ht="21.75" customHeight="1" x14ac:dyDescent="0.2">
      <c r="A84" s="185"/>
      <c r="B84" s="186"/>
      <c r="C84" s="186"/>
      <c r="D84" s="203"/>
      <c r="E84" s="208"/>
      <c r="F84" s="205"/>
      <c r="G84" s="205" t="s">
        <v>52</v>
      </c>
      <c r="H84" s="190" t="s">
        <v>37</v>
      </c>
      <c r="I84" s="212">
        <f ca="1">IFERROR(__xludf.DUMMYFUNCTION("IMPORTRANGE(""https://docs.google.com/spreadsheets/d/11923uPwbBZFjjGgGUA6NLw09EwE0CqkOc4q9oUmW1yo/edit?usp=sharing"",""พิจิตร!I24"")"),0)</f>
        <v>0</v>
      </c>
      <c r="J84" s="198">
        <f ca="1">IFERROR(__xludf.DUMMYFUNCTION("IMPORTRANGE(""https://docs.google.com/spreadsheets/d/11923uPwbBZFjjGgGUA6NLw09EwE0CqkOc4q9oUmW1yo/edit?usp=sharing"",""พิจิตร!J24"")"),0)</f>
        <v>0</v>
      </c>
      <c r="K84" s="171">
        <f t="shared" ca="1" si="50"/>
        <v>0</v>
      </c>
      <c r="L84" s="191"/>
      <c r="M84" s="191"/>
      <c r="N84" s="191"/>
      <c r="O84" s="191"/>
      <c r="P84" s="191"/>
    </row>
    <row r="85" spans="1:16" ht="21.75" customHeight="1" x14ac:dyDescent="0.2">
      <c r="A85" s="185"/>
      <c r="B85" s="186"/>
      <c r="C85" s="186"/>
      <c r="D85" s="203"/>
      <c r="E85" s="208"/>
      <c r="F85" s="205"/>
      <c r="G85" s="206"/>
      <c r="H85" s="190" t="s">
        <v>38</v>
      </c>
      <c r="I85" s="212">
        <f ca="1">IFERROR(__xludf.DUMMYFUNCTION("IMPORTRANGE(""https://docs.google.com/spreadsheets/d/11923uPwbBZFjjGgGUA6NLw09EwE0CqkOc4q9oUmW1yo/edit?usp=sharing"",""พิจิตร!I25"")"),0)</f>
        <v>0</v>
      </c>
      <c r="J85" s="198">
        <f ca="1">IFERROR(__xludf.DUMMYFUNCTION("IMPORTRANGE(""https://docs.google.com/spreadsheets/d/11923uPwbBZFjjGgGUA6NLw09EwE0CqkOc4q9oUmW1yo/edit?usp=sharing"",""พิจิตร!J25"")"),0)</f>
        <v>0</v>
      </c>
      <c r="K85" s="171">
        <f t="shared" ca="1" si="50"/>
        <v>0</v>
      </c>
      <c r="L85" s="191"/>
      <c r="M85" s="191"/>
      <c r="N85" s="191"/>
      <c r="O85" s="191"/>
      <c r="P85" s="191"/>
    </row>
    <row r="86" spans="1:16" ht="21.75" customHeight="1" x14ac:dyDescent="0.2">
      <c r="A86" s="185"/>
      <c r="B86" s="186"/>
      <c r="C86" s="186"/>
      <c r="D86" s="203"/>
      <c r="E86" s="208"/>
      <c r="F86" s="205"/>
      <c r="G86" s="205" t="s">
        <v>53</v>
      </c>
      <c r="H86" s="190" t="s">
        <v>37</v>
      </c>
      <c r="I86" s="212">
        <f ca="1">IFERROR(__xludf.DUMMYFUNCTION("IMPORTRANGE(""https://docs.google.com/spreadsheets/d/11923uPwbBZFjjGgGUA6NLw09EwE0CqkOc4q9oUmW1yo/edit?usp=sharing"",""พิจิตร!I26"")"),0)</f>
        <v>0</v>
      </c>
      <c r="J86" s="213">
        <f ca="1">IFERROR(__xludf.DUMMYFUNCTION("IMPORTRANGE(""https://docs.google.com/spreadsheets/d/11923uPwbBZFjjGgGUA6NLw09EwE0CqkOc4q9oUmW1yo/edit?usp=sharing"",""พิจิตร!J26"")"),0)</f>
        <v>0</v>
      </c>
      <c r="K86" s="171">
        <f t="shared" ca="1" si="50"/>
        <v>0</v>
      </c>
      <c r="L86" s="191"/>
      <c r="M86" s="191"/>
      <c r="N86" s="191"/>
      <c r="O86" s="191"/>
      <c r="P86" s="191"/>
    </row>
    <row r="87" spans="1:16" ht="21.75" customHeight="1" x14ac:dyDescent="0.2">
      <c r="A87" s="185"/>
      <c r="B87" s="186"/>
      <c r="C87" s="186"/>
      <c r="D87" s="203"/>
      <c r="E87" s="208"/>
      <c r="F87" s="205"/>
      <c r="G87" s="206"/>
      <c r="H87" s="190" t="s">
        <v>38</v>
      </c>
      <c r="I87" s="212">
        <f ca="1">IFERROR(__xludf.DUMMYFUNCTION("IMPORTRANGE(""https://docs.google.com/spreadsheets/d/11923uPwbBZFjjGgGUA6NLw09EwE0CqkOc4q9oUmW1yo/edit?usp=sharing"",""พิจิตร!I27"")"),0)</f>
        <v>0</v>
      </c>
      <c r="J87" s="213">
        <f ca="1">IFERROR(__xludf.DUMMYFUNCTION("IMPORTRANGE(""https://docs.google.com/spreadsheets/d/11923uPwbBZFjjGgGUA6NLw09EwE0CqkOc4q9oUmW1yo/edit?usp=sharing"",""พิจิตร!J27"")"),0)</f>
        <v>0</v>
      </c>
      <c r="K87" s="171">
        <f t="shared" ca="1" si="50"/>
        <v>0</v>
      </c>
      <c r="L87" s="191"/>
      <c r="M87" s="191"/>
      <c r="N87" s="191"/>
      <c r="O87" s="191"/>
      <c r="P87" s="191"/>
    </row>
    <row r="88" spans="1:16" ht="21.75" customHeight="1" x14ac:dyDescent="0.2">
      <c r="A88" s="185"/>
      <c r="B88" s="186"/>
      <c r="C88" s="186"/>
      <c r="D88" s="203"/>
      <c r="E88" s="208"/>
      <c r="F88" s="214" t="s">
        <v>54</v>
      </c>
      <c r="G88" s="205"/>
      <c r="H88" s="190" t="s">
        <v>38</v>
      </c>
      <c r="I88" s="212">
        <f ca="1">IFERROR(__xludf.DUMMYFUNCTION("IMPORTRANGE(""https://docs.google.com/spreadsheets/d/11923uPwbBZFjjGgGUA6NLw09EwE0CqkOc4q9oUmW1yo/edit?usp=sharing"",""พิจิตร!I28"")"),0)</f>
        <v>0</v>
      </c>
      <c r="J88" s="213">
        <f ca="1">IFERROR(__xludf.DUMMYFUNCTION("IMPORTRANGE(""https://docs.google.com/spreadsheets/d/11923uPwbBZFjjGgGUA6NLw09EwE0CqkOc4q9oUmW1yo/edit?usp=sharing"",""พิจิตร!J28"")"),0)</f>
        <v>0</v>
      </c>
      <c r="K88" s="171">
        <f t="shared" ca="1" si="50"/>
        <v>0</v>
      </c>
      <c r="L88" s="191"/>
      <c r="M88" s="191"/>
      <c r="N88" s="191"/>
      <c r="O88" s="191"/>
      <c r="P88" s="191"/>
    </row>
    <row r="89" spans="1:16" ht="21.75" customHeight="1" x14ac:dyDescent="0.2">
      <c r="A89" s="185"/>
      <c r="B89" s="186"/>
      <c r="C89" s="186"/>
      <c r="D89" s="203"/>
      <c r="E89" s="204" t="s">
        <v>55</v>
      </c>
      <c r="F89" s="205"/>
      <c r="G89" s="206"/>
      <c r="H89" s="196"/>
      <c r="I89" s="197"/>
      <c r="J89" s="207">
        <f ca="1">IFERROR(__xludf.DUMMYFUNCTION("IMPORTRANGE(""https://docs.google.com/spreadsheets/d/11923uPwbBZFjjGgGUA6NLw09EwE0CqkOc4q9oUmW1yo/edit?usp=sharing"",""พิจิตร!J29"")"),0)</f>
        <v>0</v>
      </c>
      <c r="K89" s="171"/>
      <c r="L89" s="191"/>
      <c r="M89" s="191"/>
      <c r="N89" s="191"/>
      <c r="O89" s="191"/>
      <c r="P89" s="191"/>
    </row>
    <row r="90" spans="1:16" ht="21.75" customHeight="1" x14ac:dyDescent="0.2">
      <c r="A90" s="185"/>
      <c r="B90" s="186"/>
      <c r="C90" s="186"/>
      <c r="D90" s="215">
        <v>3</v>
      </c>
      <c r="E90" s="216" t="s">
        <v>56</v>
      </c>
      <c r="F90" s="217"/>
      <c r="G90" s="218"/>
      <c r="H90" s="196"/>
      <c r="I90" s="197"/>
      <c r="J90" s="219">
        <f ca="1">IFERROR(__xludf.DUMMYFUNCTION("IMPORTRANGE(""https://docs.google.com/spreadsheets/d/11923uPwbBZFjjGgGUA6NLw09EwE0CqkOc4q9oUmW1yo/edit?usp=sharing"",""พิจิตร!J30"")"),0)</f>
        <v>0</v>
      </c>
      <c r="K90" s="171"/>
      <c r="L90" s="191"/>
      <c r="M90" s="191"/>
      <c r="N90" s="191"/>
      <c r="O90" s="191"/>
      <c r="P90" s="191"/>
    </row>
    <row r="91" spans="1:16" ht="21.75" customHeight="1" x14ac:dyDescent="0.2">
      <c r="A91" s="220" t="s">
        <v>57</v>
      </c>
      <c r="B91" s="221"/>
      <c r="C91" s="222"/>
      <c r="D91" s="221"/>
      <c r="E91" s="223"/>
      <c r="F91" s="223"/>
      <c r="G91" s="224"/>
      <c r="H91" s="225"/>
      <c r="I91" s="226"/>
      <c r="J91" s="226"/>
      <c r="K91" s="227"/>
      <c r="L91" s="228"/>
      <c r="M91" s="228"/>
      <c r="N91" s="228"/>
      <c r="O91" s="229"/>
      <c r="P91" s="229"/>
    </row>
    <row r="92" spans="1:16" ht="21.75" customHeight="1" x14ac:dyDescent="0.2">
      <c r="A92" s="144"/>
      <c r="B92" s="145" t="s">
        <v>58</v>
      </c>
      <c r="C92" s="145"/>
      <c r="D92" s="146"/>
      <c r="E92" s="145"/>
      <c r="F92" s="145"/>
      <c r="G92" s="230"/>
      <c r="H92" s="147" t="s">
        <v>38</v>
      </c>
      <c r="I92" s="148">
        <f ca="1">IFERROR(__xludf.DUMMYFUNCTION("IMPORTRANGE(""https://docs.google.com/spreadsheets/d/11923uPwbBZFjjGgGUA6NLw09EwE0CqkOc4q9oUmW1yo/edit?usp=sharing"",""พิจิตร!I32"")"),0)</f>
        <v>0</v>
      </c>
      <c r="J92" s="148">
        <f ca="1">IFERROR(__xludf.DUMMYFUNCTION("IMPORTRANGE(""https://docs.google.com/spreadsheets/d/11923uPwbBZFjjGgGUA6NLw09EwE0CqkOc4q9oUmW1yo/edit?usp=sharing"",""พิจิตร!J32"")"),0)</f>
        <v>0</v>
      </c>
      <c r="K92" s="149">
        <f t="shared" ref="K92:K93" ca="1" si="51">IF(I92&gt;0,J92*100/I92,0)</f>
        <v>0</v>
      </c>
      <c r="L92" s="231"/>
      <c r="M92" s="231"/>
      <c r="N92" s="232"/>
      <c r="O92" s="149"/>
      <c r="P92" s="149"/>
    </row>
    <row r="93" spans="1:16" ht="21.75" customHeight="1" x14ac:dyDescent="0.2">
      <c r="A93" s="144"/>
      <c r="B93" s="145"/>
      <c r="C93" s="145"/>
      <c r="D93" s="146" t="s">
        <v>59</v>
      </c>
      <c r="E93" s="145"/>
      <c r="F93" s="145"/>
      <c r="G93" s="230"/>
      <c r="H93" s="147" t="s">
        <v>60</v>
      </c>
      <c r="I93" s="148">
        <f ca="1">IFERROR(__xludf.DUMMYFUNCTION("IMPORTRANGE(""https://docs.google.com/spreadsheets/d/11923uPwbBZFjjGgGUA6NLw09EwE0CqkOc4q9oUmW1yo/edit?usp=sharing"",""พิจิตร!I33"")"),0)</f>
        <v>0</v>
      </c>
      <c r="J93" s="148">
        <f ca="1">IFERROR(__xludf.DUMMYFUNCTION("IMPORTRANGE(""https://docs.google.com/spreadsheets/d/11923uPwbBZFjjGgGUA6NLw09EwE0CqkOc4q9oUmW1yo/edit?usp=sharing"",""พิจิตร!J33"")"),0)</f>
        <v>0</v>
      </c>
      <c r="K93" s="149">
        <f t="shared" ca="1" si="51"/>
        <v>0</v>
      </c>
      <c r="L93" s="232"/>
      <c r="M93" s="232"/>
      <c r="N93" s="232"/>
      <c r="O93" s="149"/>
      <c r="P93" s="149"/>
    </row>
    <row r="94" spans="1:16" ht="21.75" customHeight="1" x14ac:dyDescent="0.3">
      <c r="A94" s="152"/>
      <c r="B94" s="153"/>
      <c r="C94" s="154" t="s">
        <v>17</v>
      </c>
      <c r="D94" s="554" t="s">
        <v>18</v>
      </c>
      <c r="E94" s="545"/>
      <c r="F94" s="545"/>
      <c r="G94" s="545"/>
      <c r="H94" s="155" t="s">
        <v>13</v>
      </c>
      <c r="I94" s="170"/>
      <c r="J94" s="170"/>
      <c r="K94" s="171"/>
      <c r="L94" s="158">
        <f t="shared" ref="L94:N94" ca="1" si="52">L95+L96</f>
        <v>0</v>
      </c>
      <c r="M94" s="158">
        <f t="shared" ca="1" si="52"/>
        <v>0</v>
      </c>
      <c r="N94" s="158">
        <f t="shared" ca="1" si="52"/>
        <v>0</v>
      </c>
      <c r="O94" s="157">
        <f t="shared" ref="O94:O96" ca="1" si="53">IF(L94&gt;0,N94*100/L94,0)</f>
        <v>0</v>
      </c>
      <c r="P94" s="157">
        <f t="shared" ref="P94:P96" ca="1" si="54">IF(M94&gt;0,N94*100/M94,0)</f>
        <v>0</v>
      </c>
    </row>
    <row r="95" spans="1:16" ht="21.75" customHeight="1" x14ac:dyDescent="0.3">
      <c r="A95" s="159"/>
      <c r="B95" s="34"/>
      <c r="C95" s="34"/>
      <c r="D95" s="34"/>
      <c r="E95" s="34"/>
      <c r="F95" s="34"/>
      <c r="G95" s="35" t="s">
        <v>19</v>
      </c>
      <c r="H95" s="160" t="s">
        <v>13</v>
      </c>
      <c r="I95" s="170"/>
      <c r="J95" s="170"/>
      <c r="K95" s="171"/>
      <c r="L95" s="163">
        <f t="shared" ref="L95:N95" si="55">L97+L101</f>
        <v>0</v>
      </c>
      <c r="M95" s="163">
        <f t="shared" si="55"/>
        <v>0</v>
      </c>
      <c r="N95" s="163">
        <f t="shared" si="55"/>
        <v>0</v>
      </c>
      <c r="O95" s="162">
        <f t="shared" si="53"/>
        <v>0</v>
      </c>
      <c r="P95" s="162">
        <f t="shared" si="54"/>
        <v>0</v>
      </c>
    </row>
    <row r="96" spans="1:16" ht="21.75" customHeight="1" x14ac:dyDescent="0.3">
      <c r="A96" s="159"/>
      <c r="B96" s="34"/>
      <c r="C96" s="34"/>
      <c r="D96" s="34"/>
      <c r="E96" s="34"/>
      <c r="F96" s="34"/>
      <c r="G96" s="35" t="s">
        <v>20</v>
      </c>
      <c r="H96" s="160" t="s">
        <v>13</v>
      </c>
      <c r="I96" s="170"/>
      <c r="J96" s="170"/>
      <c r="K96" s="171"/>
      <c r="L96" s="163">
        <f t="shared" ref="L96:N96" ca="1" si="56">L98+L102</f>
        <v>0</v>
      </c>
      <c r="M96" s="163">
        <f t="shared" ca="1" si="56"/>
        <v>0</v>
      </c>
      <c r="N96" s="163">
        <f t="shared" ca="1" si="56"/>
        <v>0</v>
      </c>
      <c r="O96" s="162">
        <f t="shared" ca="1" si="53"/>
        <v>0</v>
      </c>
      <c r="P96" s="162">
        <f t="shared" ca="1" si="54"/>
        <v>0</v>
      </c>
    </row>
    <row r="97" spans="1:16" ht="21.75" customHeight="1" x14ac:dyDescent="0.2">
      <c r="A97" s="164"/>
      <c r="B97" s="165"/>
      <c r="C97" s="165" t="s">
        <v>17</v>
      </c>
      <c r="D97" s="166" t="s">
        <v>39</v>
      </c>
      <c r="E97" s="167"/>
      <c r="F97" s="167"/>
      <c r="G97" s="168" t="s">
        <v>40</v>
      </c>
      <c r="H97" s="169" t="s">
        <v>13</v>
      </c>
      <c r="I97" s="170" t="s">
        <v>41</v>
      </c>
      <c r="J97" s="170"/>
      <c r="K97" s="171"/>
      <c r="L97" s="172">
        <v>0</v>
      </c>
      <c r="M97" s="172"/>
      <c r="N97" s="172">
        <v>0</v>
      </c>
      <c r="O97" s="173">
        <f>+IF(L97&gt;0,N97*100/L97,0)</f>
        <v>0</v>
      </c>
      <c r="P97" s="173"/>
    </row>
    <row r="98" spans="1:16" ht="21.75" customHeight="1" x14ac:dyDescent="0.2">
      <c r="A98" s="164"/>
      <c r="B98" s="165"/>
      <c r="C98" s="165"/>
      <c r="D98" s="174"/>
      <c r="E98" s="167"/>
      <c r="F98" s="167" t="s">
        <v>41</v>
      </c>
      <c r="G98" s="168" t="s">
        <v>42</v>
      </c>
      <c r="H98" s="169" t="s">
        <v>13</v>
      </c>
      <c r="I98" s="170"/>
      <c r="J98" s="170"/>
      <c r="K98" s="171"/>
      <c r="L98" s="175">
        <f ca="1">L99+L100</f>
        <v>0</v>
      </c>
      <c r="M98" s="176">
        <f ca="1">IFERROR(__xludf.DUMMYFUNCTION("IMPORTRANGE(""https://docs.google.com/spreadsheets/d/1Yj_ptqi66GCucihVvJfMjLAmec39IyEx_6qawtMGysU/edit?usp=sharing"",""สบก!AR27"")"),0)</f>
        <v>0</v>
      </c>
      <c r="N98" s="177">
        <f ca="1">IFERROR(__xludf.DUMMYFUNCTION("IMPORTRANGE(""https://docs.google.com/spreadsheets/d/1Yj_ptqi66GCucihVvJfMjLAmec39IyEx_6qawtMGysU/edit?usp=sharing"",""สบก!AS27"")"),0)</f>
        <v>0</v>
      </c>
      <c r="O98" s="178">
        <f ca="1">IF(L98&gt;0,N98*100/L98,0)</f>
        <v>0</v>
      </c>
      <c r="P98" s="178">
        <f ca="1">IF(M98&gt;0,N98*100/M98,0)</f>
        <v>0</v>
      </c>
    </row>
    <row r="99" spans="1:16" ht="21.75" customHeight="1" x14ac:dyDescent="0.2">
      <c r="A99" s="164"/>
      <c r="B99" s="165"/>
      <c r="C99" s="165"/>
      <c r="D99" s="174"/>
      <c r="E99" s="167"/>
      <c r="F99" s="167"/>
      <c r="G99" s="179" t="s">
        <v>43</v>
      </c>
      <c r="H99" s="169" t="s">
        <v>13</v>
      </c>
      <c r="I99" s="170"/>
      <c r="J99" s="170"/>
      <c r="K99" s="171"/>
      <c r="L99" s="176">
        <f ca="1">IFERROR(__xludf.DUMMYFUNCTION("IMPORTRANGE(""https://docs.google.com/spreadsheets/d/1Yj_ptqi66GCucihVvJfMjLAmec39IyEx_6qawtMGysU/edit?usp=sharing"",""สบก!AN27"")"),0)</f>
        <v>0</v>
      </c>
      <c r="M99" s="175"/>
      <c r="N99" s="175"/>
      <c r="O99" s="178"/>
      <c r="P99" s="178"/>
    </row>
    <row r="100" spans="1:16" ht="21.75" customHeight="1" x14ac:dyDescent="0.2">
      <c r="A100" s="164"/>
      <c r="B100" s="165"/>
      <c r="C100" s="165"/>
      <c r="D100" s="174"/>
      <c r="E100" s="167"/>
      <c r="F100" s="167"/>
      <c r="G100" s="179" t="s">
        <v>44</v>
      </c>
      <c r="H100" s="169" t="s">
        <v>13</v>
      </c>
      <c r="I100" s="170"/>
      <c r="J100" s="197"/>
      <c r="K100" s="233"/>
      <c r="L100" s="176">
        <f ca="1">IFERROR(__xludf.DUMMYFUNCTION("IMPORTRANGE(""https://docs.google.com/spreadsheets/d/1Yj_ptqi66GCucihVvJfMjLAmec39IyEx_6qawtMGysU/edit?usp=sharing"",""สบก!AO27"")"),0)</f>
        <v>0</v>
      </c>
      <c r="M100" s="175"/>
      <c r="N100" s="175"/>
      <c r="O100" s="178"/>
      <c r="P100" s="178"/>
    </row>
    <row r="101" spans="1:16" ht="21.75" customHeight="1" x14ac:dyDescent="0.3">
      <c r="A101" s="180"/>
      <c r="B101" s="83"/>
      <c r="C101" s="84" t="s">
        <v>17</v>
      </c>
      <c r="D101" s="551" t="s">
        <v>24</v>
      </c>
      <c r="E101" s="547"/>
      <c r="F101" s="91"/>
      <c r="G101" s="85" t="s">
        <v>19</v>
      </c>
      <c r="H101" s="181" t="s">
        <v>13</v>
      </c>
      <c r="I101" s="197"/>
      <c r="J101" s="197"/>
      <c r="K101" s="233"/>
      <c r="L101" s="95">
        <v>0</v>
      </c>
      <c r="M101" s="95"/>
      <c r="N101" s="44"/>
      <c r="O101" s="95"/>
      <c r="P101" s="95"/>
    </row>
    <row r="102" spans="1:16" ht="21.75" customHeight="1" x14ac:dyDescent="0.3">
      <c r="A102" s="182"/>
      <c r="B102" s="97"/>
      <c r="C102" s="97"/>
      <c r="D102" s="183"/>
      <c r="E102" s="98"/>
      <c r="F102" s="98"/>
      <c r="G102" s="99" t="s">
        <v>20</v>
      </c>
      <c r="H102" s="184" t="s">
        <v>13</v>
      </c>
      <c r="I102" s="197"/>
      <c r="J102" s="197"/>
      <c r="K102" s="233"/>
      <c r="L102" s="93">
        <f ca="1">IFERROR(__xludf.DUMMYFUNCTION("IMPORTRANGE(""https://docs.google.com/spreadsheets/d/1Yj_ptqi66GCucihVvJfMjLAmec39IyEx_6qawtMGysU/edit?usp=sharing"",""สบก!AP27"")"),0)</f>
        <v>0</v>
      </c>
      <c r="M102" s="103"/>
      <c r="N102" s="93">
        <f ca="1">IFERROR(__xludf.DUMMYFUNCTION("IMPORTRANGE(""https://docs.google.com/spreadsheets/d/1Yj_ptqi66GCucihVvJfMjLAmec39IyEx_6qawtMGysU/edit?usp=sharing"",""สบก!AT27"")"),0)</f>
        <v>0</v>
      </c>
      <c r="O102" s="103">
        <f ca="1">IF(L102&gt;0,N102*100/L102,0)</f>
        <v>0</v>
      </c>
      <c r="P102" s="103"/>
    </row>
    <row r="103" spans="1:16" ht="21.75" customHeight="1" x14ac:dyDescent="0.2">
      <c r="A103" s="185"/>
      <c r="B103" s="186"/>
      <c r="C103" s="165" t="s">
        <v>17</v>
      </c>
      <c r="D103" s="187" t="s">
        <v>45</v>
      </c>
      <c r="E103" s="188"/>
      <c r="F103" s="188"/>
      <c r="G103" s="189"/>
      <c r="H103" s="190"/>
      <c r="I103" s="170"/>
      <c r="J103" s="197"/>
      <c r="K103" s="233"/>
      <c r="L103" s="178"/>
      <c r="M103" s="178"/>
      <c r="N103" s="178"/>
      <c r="O103" s="191"/>
      <c r="P103" s="191"/>
    </row>
    <row r="104" spans="1:16" ht="21.75" customHeight="1" x14ac:dyDescent="0.2">
      <c r="A104" s="185"/>
      <c r="B104" s="186"/>
      <c r="C104" s="186"/>
      <c r="D104" s="192">
        <v>1</v>
      </c>
      <c r="E104" s="193" t="s">
        <v>46</v>
      </c>
      <c r="F104" s="194"/>
      <c r="G104" s="195"/>
      <c r="H104" s="196"/>
      <c r="I104" s="197"/>
      <c r="J104" s="197">
        <f ca="1">IFERROR(__xludf.DUMMYFUNCTION("IMPORTRANGE(""https://docs.google.com/spreadsheets/d/11923uPwbBZFjjGgGUA6NLw09EwE0CqkOc4q9oUmW1yo/edit?usp=sharing"",""พิจิตร!J39"")"),0)</f>
        <v>0</v>
      </c>
      <c r="K104" s="233"/>
      <c r="L104" s="178"/>
      <c r="M104" s="178"/>
      <c r="N104" s="178"/>
      <c r="O104" s="191"/>
      <c r="P104" s="191"/>
    </row>
    <row r="105" spans="1:16" ht="21.75" customHeight="1" x14ac:dyDescent="0.2">
      <c r="A105" s="185"/>
      <c r="B105" s="186"/>
      <c r="C105" s="186"/>
      <c r="D105" s="199">
        <v>2</v>
      </c>
      <c r="E105" s="200" t="s">
        <v>47</v>
      </c>
      <c r="F105" s="201"/>
      <c r="G105" s="202"/>
      <c r="H105" s="196"/>
      <c r="I105" s="197"/>
      <c r="J105" s="197">
        <f ca="1">IFERROR(__xludf.DUMMYFUNCTION("IMPORTRANGE(""https://docs.google.com/spreadsheets/d/11923uPwbBZFjjGgGUA6NLw09EwE0CqkOc4q9oUmW1yo/edit?usp=sharing"",""พิจิตร!J40"")"),0)</f>
        <v>0</v>
      </c>
      <c r="K105" s="233"/>
      <c r="L105" s="178" t="s">
        <v>41</v>
      </c>
      <c r="M105" s="178"/>
      <c r="N105" s="178" t="s">
        <v>41</v>
      </c>
      <c r="O105" s="191"/>
      <c r="P105" s="191"/>
    </row>
    <row r="106" spans="1:16" ht="21.75" customHeight="1" x14ac:dyDescent="0.2">
      <c r="A106" s="185"/>
      <c r="B106" s="186"/>
      <c r="C106" s="186"/>
      <c r="D106" s="203"/>
      <c r="E106" s="204" t="s">
        <v>48</v>
      </c>
      <c r="F106" s="205"/>
      <c r="G106" s="206"/>
      <c r="H106" s="196"/>
      <c r="I106" s="197"/>
      <c r="J106" s="197">
        <f ca="1">IFERROR(__xludf.DUMMYFUNCTION("IMPORTRANGE(""https://docs.google.com/spreadsheets/d/11923uPwbBZFjjGgGUA6NLw09EwE0CqkOc4q9oUmW1yo/edit?usp=sharing"",""พิจิตร!J41"")"),0)</f>
        <v>0</v>
      </c>
      <c r="K106" s="233"/>
      <c r="L106" s="178"/>
      <c r="M106" s="178"/>
      <c r="N106" s="178"/>
      <c r="O106" s="191"/>
      <c r="P106" s="191"/>
    </row>
    <row r="107" spans="1:16" ht="21.75" customHeight="1" x14ac:dyDescent="0.2">
      <c r="A107" s="185"/>
      <c r="B107" s="186"/>
      <c r="C107" s="186"/>
      <c r="D107" s="203"/>
      <c r="E107" s="204" t="s">
        <v>49</v>
      </c>
      <c r="F107" s="205"/>
      <c r="G107" s="206"/>
      <c r="H107" s="196"/>
      <c r="I107" s="197"/>
      <c r="J107" s="197">
        <f ca="1">IFERROR(__xludf.DUMMYFUNCTION("IMPORTRANGE(""https://docs.google.com/spreadsheets/d/11923uPwbBZFjjGgGUA6NLw09EwE0CqkOc4q9oUmW1yo/edit?usp=sharing"",""พิจิตร!J42"")"),0)</f>
        <v>0</v>
      </c>
      <c r="K107" s="233"/>
      <c r="L107" s="178"/>
      <c r="M107" s="178"/>
      <c r="N107" s="178"/>
      <c r="O107" s="191"/>
      <c r="P107" s="191"/>
    </row>
    <row r="108" spans="1:16" ht="21.75" customHeight="1" x14ac:dyDescent="0.2">
      <c r="A108" s="185"/>
      <c r="B108" s="186"/>
      <c r="C108" s="186"/>
      <c r="D108" s="203"/>
      <c r="E108" s="205"/>
      <c r="F108" s="205" t="s">
        <v>61</v>
      </c>
      <c r="G108" s="205"/>
      <c r="H108" s="190" t="s">
        <v>62</v>
      </c>
      <c r="I108" s="212">
        <f ca="1">IFERROR(__xludf.DUMMYFUNCTION("IMPORTRANGE(""https://docs.google.com/spreadsheets/d/11923uPwbBZFjjGgGUA6NLw09EwE0CqkOc4q9oUmW1yo/edit?usp=sharing"",""พิจิตร!I43"")"),0)</f>
        <v>0</v>
      </c>
      <c r="J108" s="213">
        <f ca="1">IFERROR(__xludf.DUMMYFUNCTION("IMPORTRANGE(""https://docs.google.com/spreadsheets/d/11923uPwbBZFjjGgGUA6NLw09EwE0CqkOc4q9oUmW1yo/edit?usp=sharing"",""พิจิตร!J43"")"),0)</f>
        <v>0</v>
      </c>
      <c r="K108" s="233">
        <f t="shared" ref="K108:K113" ca="1" si="57">IF(I108&gt;0,J108*100/I108,0)</f>
        <v>0</v>
      </c>
      <c r="L108" s="178"/>
      <c r="M108" s="178"/>
      <c r="N108" s="178"/>
      <c r="O108" s="191"/>
      <c r="P108" s="191"/>
    </row>
    <row r="109" spans="1:16" ht="21.75" customHeight="1" x14ac:dyDescent="0.2">
      <c r="A109" s="185"/>
      <c r="B109" s="186"/>
      <c r="C109" s="186"/>
      <c r="D109" s="203"/>
      <c r="E109" s="208"/>
      <c r="F109" s="204" t="s">
        <v>63</v>
      </c>
      <c r="G109" s="205"/>
      <c r="H109" s="190" t="s">
        <v>38</v>
      </c>
      <c r="I109" s="212">
        <f ca="1">IFERROR(__xludf.DUMMYFUNCTION("IMPORTRANGE(""https://docs.google.com/spreadsheets/d/11923uPwbBZFjjGgGUA6NLw09EwE0CqkOc4q9oUmW1yo/edit?usp=sharing"",""พิจิตร!I44"")"),0)</f>
        <v>0</v>
      </c>
      <c r="J109" s="213">
        <f ca="1">IFERROR(__xludf.DUMMYFUNCTION("IMPORTRANGE(""https://docs.google.com/spreadsheets/d/11923uPwbBZFjjGgGUA6NLw09EwE0CqkOc4q9oUmW1yo/edit?usp=sharing"",""พิจิตร!J44"")"),0)</f>
        <v>0</v>
      </c>
      <c r="K109" s="233">
        <f t="shared" ca="1" si="57"/>
        <v>0</v>
      </c>
      <c r="L109" s="178"/>
      <c r="M109" s="178"/>
      <c r="N109" s="178"/>
      <c r="O109" s="191"/>
      <c r="P109" s="191"/>
    </row>
    <row r="110" spans="1:16" ht="21.75" customHeight="1" x14ac:dyDescent="0.2">
      <c r="A110" s="185"/>
      <c r="B110" s="186"/>
      <c r="C110" s="186"/>
      <c r="D110" s="203"/>
      <c r="E110" s="208"/>
      <c r="F110" s="205"/>
      <c r="G110" s="234" t="s">
        <v>64</v>
      </c>
      <c r="H110" s="190" t="s">
        <v>38</v>
      </c>
      <c r="I110" s="212">
        <f ca="1">IFERROR(__xludf.DUMMYFUNCTION("IMPORTRANGE(""https://docs.google.com/spreadsheets/d/11923uPwbBZFjjGgGUA6NLw09EwE0CqkOc4q9oUmW1yo/edit?usp=sharing"",""พิจิตร!I45"")"),0)</f>
        <v>0</v>
      </c>
      <c r="J110" s="213">
        <f ca="1">IFERROR(__xludf.DUMMYFUNCTION("IMPORTRANGE(""https://docs.google.com/spreadsheets/d/11923uPwbBZFjjGgGUA6NLw09EwE0CqkOc4q9oUmW1yo/edit?usp=sharing"",""พิจิตร!J45"")"),0)</f>
        <v>0</v>
      </c>
      <c r="K110" s="233">
        <f t="shared" ca="1" si="57"/>
        <v>0</v>
      </c>
      <c r="L110" s="178"/>
      <c r="M110" s="178"/>
      <c r="N110" s="178"/>
      <c r="O110" s="191"/>
      <c r="P110" s="191"/>
    </row>
    <row r="111" spans="1:16" ht="21.75" customHeight="1" x14ac:dyDescent="0.2">
      <c r="A111" s="185"/>
      <c r="B111" s="186"/>
      <c r="C111" s="186"/>
      <c r="D111" s="203"/>
      <c r="E111" s="208"/>
      <c r="F111" s="205"/>
      <c r="G111" s="234" t="s">
        <v>65</v>
      </c>
      <c r="H111" s="190" t="s">
        <v>38</v>
      </c>
      <c r="I111" s="212">
        <f ca="1">IFERROR(__xludf.DUMMYFUNCTION("IMPORTRANGE(""https://docs.google.com/spreadsheets/d/11923uPwbBZFjjGgGUA6NLw09EwE0CqkOc4q9oUmW1yo/edit?usp=sharing"",""พิจิตร!I46"")"),0)</f>
        <v>0</v>
      </c>
      <c r="J111" s="213">
        <f ca="1">IFERROR(__xludf.DUMMYFUNCTION("IMPORTRANGE(""https://docs.google.com/spreadsheets/d/11923uPwbBZFjjGgGUA6NLw09EwE0CqkOc4q9oUmW1yo/edit?usp=sharing"",""พิจิตร!J46"")"),0)</f>
        <v>0</v>
      </c>
      <c r="K111" s="233">
        <f t="shared" ca="1" si="57"/>
        <v>0</v>
      </c>
      <c r="L111" s="178"/>
      <c r="M111" s="178"/>
      <c r="N111" s="178"/>
      <c r="O111" s="191"/>
      <c r="P111" s="191"/>
    </row>
    <row r="112" spans="1:16" ht="21.75" customHeight="1" x14ac:dyDescent="0.2">
      <c r="A112" s="185"/>
      <c r="B112" s="186"/>
      <c r="C112" s="186"/>
      <c r="D112" s="203"/>
      <c r="E112" s="208"/>
      <c r="F112" s="205"/>
      <c r="G112" s="235" t="s">
        <v>66</v>
      </c>
      <c r="H112" s="190" t="s">
        <v>38</v>
      </c>
      <c r="I112" s="212">
        <f ca="1">IFERROR(__xludf.DUMMYFUNCTION("IMPORTRANGE(""https://docs.google.com/spreadsheets/d/11923uPwbBZFjjGgGUA6NLw09EwE0CqkOc4q9oUmW1yo/edit?usp=sharing"",""พิจิตร!I47"")"),0)</f>
        <v>0</v>
      </c>
      <c r="J112" s="213">
        <f ca="1">IFERROR(__xludf.DUMMYFUNCTION("IMPORTRANGE(""https://docs.google.com/spreadsheets/d/11923uPwbBZFjjGgGUA6NLw09EwE0CqkOc4q9oUmW1yo/edit?usp=sharing"",""พิจิตร!J47"")"),0)</f>
        <v>0</v>
      </c>
      <c r="K112" s="233">
        <f t="shared" ca="1" si="57"/>
        <v>0</v>
      </c>
      <c r="L112" s="178"/>
      <c r="M112" s="178"/>
      <c r="N112" s="178"/>
      <c r="O112" s="191"/>
      <c r="P112" s="191"/>
    </row>
    <row r="113" spans="1:16" ht="21.75" customHeight="1" x14ac:dyDescent="0.2">
      <c r="A113" s="185"/>
      <c r="B113" s="186"/>
      <c r="C113" s="186"/>
      <c r="D113" s="203"/>
      <c r="E113" s="208"/>
      <c r="F113" s="205" t="s">
        <v>67</v>
      </c>
      <c r="G113" s="205"/>
      <c r="H113" s="190" t="s">
        <v>60</v>
      </c>
      <c r="I113" s="212">
        <f ca="1">IFERROR(__xludf.DUMMYFUNCTION("IMPORTRANGE(""https://docs.google.com/spreadsheets/d/11923uPwbBZFjjGgGUA6NLw09EwE0CqkOc4q9oUmW1yo/edit?usp=sharing"",""พิจิตร!I48"")"),0)</f>
        <v>0</v>
      </c>
      <c r="J113" s="213">
        <f ca="1">IFERROR(__xludf.DUMMYFUNCTION("IMPORTRANGE(""https://docs.google.com/spreadsheets/d/11923uPwbBZFjjGgGUA6NLw09EwE0CqkOc4q9oUmW1yo/edit?usp=sharing"",""พิจิตร!J48"")"),0)</f>
        <v>0</v>
      </c>
      <c r="K113" s="233">
        <f t="shared" ca="1" si="57"/>
        <v>0</v>
      </c>
      <c r="L113" s="178"/>
      <c r="M113" s="178"/>
      <c r="N113" s="178"/>
      <c r="O113" s="191"/>
      <c r="P113" s="191"/>
    </row>
    <row r="114" spans="1:16" ht="21.75" customHeight="1" x14ac:dyDescent="0.2">
      <c r="A114" s="185"/>
      <c r="B114" s="186"/>
      <c r="C114" s="186"/>
      <c r="D114" s="203"/>
      <c r="E114" s="204" t="s">
        <v>55</v>
      </c>
      <c r="F114" s="205"/>
      <c r="G114" s="206"/>
      <c r="H114" s="196"/>
      <c r="I114" s="197"/>
      <c r="J114" s="197">
        <f ca="1">IFERROR(__xludf.DUMMYFUNCTION("IMPORTRANGE(""https://docs.google.com/spreadsheets/d/11923uPwbBZFjjGgGUA6NLw09EwE0CqkOc4q9oUmW1yo/edit?usp=sharing"",""พิจิตร!J49"")"),0)</f>
        <v>0</v>
      </c>
      <c r="K114" s="233"/>
      <c r="L114" s="178"/>
      <c r="M114" s="178"/>
      <c r="N114" s="178"/>
      <c r="O114" s="191"/>
      <c r="P114" s="191"/>
    </row>
    <row r="115" spans="1:16" ht="21.75" customHeight="1" x14ac:dyDescent="0.2">
      <c r="A115" s="185"/>
      <c r="B115" s="186"/>
      <c r="C115" s="186"/>
      <c r="D115" s="215">
        <v>3</v>
      </c>
      <c r="E115" s="216" t="s">
        <v>56</v>
      </c>
      <c r="F115" s="217"/>
      <c r="G115" s="218"/>
      <c r="H115" s="196"/>
      <c r="I115" s="197"/>
      <c r="J115" s="236">
        <f ca="1">IFERROR(__xludf.DUMMYFUNCTION("IMPORTRANGE(""https://docs.google.com/spreadsheets/d/11923uPwbBZFjjGgGUA6NLw09EwE0CqkOc4q9oUmW1yo/edit?usp=sharing"",""พิจิตร!J50"")"),0)</f>
        <v>0</v>
      </c>
      <c r="K115" s="233"/>
      <c r="L115" s="178"/>
      <c r="M115" s="178"/>
      <c r="N115" s="178"/>
      <c r="O115" s="191"/>
      <c r="P115" s="191"/>
    </row>
    <row r="116" spans="1:16" ht="21.75" customHeight="1" x14ac:dyDescent="0.2">
      <c r="A116" s="220" t="s">
        <v>68</v>
      </c>
      <c r="B116" s="237"/>
      <c r="C116" s="238"/>
      <c r="D116" s="237"/>
      <c r="E116" s="239"/>
      <c r="F116" s="239"/>
      <c r="G116" s="240"/>
      <c r="H116" s="225"/>
      <c r="I116" s="226"/>
      <c r="J116" s="226"/>
      <c r="K116" s="227"/>
      <c r="L116" s="228"/>
      <c r="M116" s="228"/>
      <c r="N116" s="228"/>
      <c r="O116" s="229"/>
      <c r="P116" s="229"/>
    </row>
    <row r="117" spans="1:16" ht="21.75" customHeight="1" x14ac:dyDescent="0.2">
      <c r="A117" s="144"/>
      <c r="B117" s="145" t="s">
        <v>69</v>
      </c>
      <c r="C117" s="241"/>
      <c r="D117" s="146"/>
      <c r="E117" s="145"/>
      <c r="F117" s="145"/>
      <c r="G117" s="230"/>
      <c r="H117" s="147" t="s">
        <v>38</v>
      </c>
      <c r="I117" s="148">
        <f ca="1">IFERROR(__xludf.DUMMYFUNCTION("IMPORTRANGE(""https://docs.google.com/spreadsheets/d/11923uPwbBZFjjGgGUA6NLw09EwE0CqkOc4q9oUmW1yo/edit?usp=sharing"",""พิจิตร!I52"")"),0)</f>
        <v>0</v>
      </c>
      <c r="J117" s="148">
        <f ca="1">IFERROR(__xludf.DUMMYFUNCTION("IMPORTRANGE(""https://docs.google.com/spreadsheets/d/11923uPwbBZFjjGgGUA6NLw09EwE0CqkOc4q9oUmW1yo/edit?usp=sharing"",""พิจิตร!J52"")"),0)</f>
        <v>0</v>
      </c>
      <c r="K117" s="149">
        <f ca="1">IF(I117&gt;0,J117*100/I117,0)</f>
        <v>0</v>
      </c>
      <c r="L117" s="150"/>
      <c r="M117" s="150"/>
      <c r="N117" s="151"/>
      <c r="O117" s="149"/>
      <c r="P117" s="149"/>
    </row>
    <row r="118" spans="1:16" ht="21.75" customHeight="1" x14ac:dyDescent="0.3">
      <c r="A118" s="152"/>
      <c r="B118" s="153"/>
      <c r="C118" s="154" t="s">
        <v>17</v>
      </c>
      <c r="D118" s="554" t="s">
        <v>18</v>
      </c>
      <c r="E118" s="545"/>
      <c r="F118" s="545"/>
      <c r="G118" s="545"/>
      <c r="H118" s="155" t="s">
        <v>13</v>
      </c>
      <c r="I118" s="170"/>
      <c r="J118" s="170"/>
      <c r="K118" s="171"/>
      <c r="L118" s="158">
        <f t="shared" ref="L118:N118" ca="1" si="58">L119+L120</f>
        <v>0</v>
      </c>
      <c r="M118" s="158">
        <f t="shared" ca="1" si="58"/>
        <v>0</v>
      </c>
      <c r="N118" s="158">
        <f t="shared" ca="1" si="58"/>
        <v>0</v>
      </c>
      <c r="O118" s="157">
        <f t="shared" ref="O118:O120" ca="1" si="59">IF(L118&gt;0,N118*100/L118,0)</f>
        <v>0</v>
      </c>
      <c r="P118" s="157">
        <f t="shared" ref="P118:P120" ca="1" si="60">IF(M118&gt;0,N118*100/M118,0)</f>
        <v>0</v>
      </c>
    </row>
    <row r="119" spans="1:16" ht="21.75" customHeight="1" x14ac:dyDescent="0.3">
      <c r="A119" s="159"/>
      <c r="B119" s="34"/>
      <c r="C119" s="34"/>
      <c r="D119" s="34"/>
      <c r="E119" s="34"/>
      <c r="F119" s="34"/>
      <c r="G119" s="35" t="s">
        <v>19</v>
      </c>
      <c r="H119" s="160" t="s">
        <v>13</v>
      </c>
      <c r="I119" s="170"/>
      <c r="J119" s="170"/>
      <c r="K119" s="171"/>
      <c r="L119" s="163">
        <f t="shared" ref="L119:N119" si="61">L121+L125</f>
        <v>0</v>
      </c>
      <c r="M119" s="163">
        <f t="shared" si="61"/>
        <v>0</v>
      </c>
      <c r="N119" s="163">
        <f t="shared" si="61"/>
        <v>0</v>
      </c>
      <c r="O119" s="162">
        <f t="shared" si="59"/>
        <v>0</v>
      </c>
      <c r="P119" s="162">
        <f t="shared" si="60"/>
        <v>0</v>
      </c>
    </row>
    <row r="120" spans="1:16" ht="21.75" customHeight="1" x14ac:dyDescent="0.3">
      <c r="A120" s="159"/>
      <c r="B120" s="34"/>
      <c r="C120" s="34"/>
      <c r="D120" s="34"/>
      <c r="E120" s="34"/>
      <c r="F120" s="34"/>
      <c r="G120" s="35" t="s">
        <v>20</v>
      </c>
      <c r="H120" s="160" t="s">
        <v>13</v>
      </c>
      <c r="I120" s="170"/>
      <c r="J120" s="170"/>
      <c r="K120" s="171"/>
      <c r="L120" s="163">
        <f t="shared" ref="L120:N120" ca="1" si="62">L122+L126</f>
        <v>0</v>
      </c>
      <c r="M120" s="163">
        <f t="shared" ca="1" si="62"/>
        <v>0</v>
      </c>
      <c r="N120" s="163">
        <f t="shared" ca="1" si="62"/>
        <v>0</v>
      </c>
      <c r="O120" s="162">
        <f t="shared" ca="1" si="59"/>
        <v>0</v>
      </c>
      <c r="P120" s="162">
        <f t="shared" ca="1" si="60"/>
        <v>0</v>
      </c>
    </row>
    <row r="121" spans="1:16" ht="21.75" customHeight="1" x14ac:dyDescent="0.2">
      <c r="A121" s="164"/>
      <c r="B121" s="165"/>
      <c r="C121" s="165" t="s">
        <v>17</v>
      </c>
      <c r="D121" s="166" t="s">
        <v>39</v>
      </c>
      <c r="E121" s="167"/>
      <c r="F121" s="167"/>
      <c r="G121" s="168" t="s">
        <v>40</v>
      </c>
      <c r="H121" s="169" t="s">
        <v>13</v>
      </c>
      <c r="I121" s="170" t="s">
        <v>41</v>
      </c>
      <c r="J121" s="170"/>
      <c r="K121" s="171"/>
      <c r="L121" s="172">
        <v>0</v>
      </c>
      <c r="M121" s="172"/>
      <c r="N121" s="172">
        <v>0</v>
      </c>
      <c r="O121" s="173">
        <f>+IF(L121&gt;0,N121*100/L121,0)</f>
        <v>0</v>
      </c>
      <c r="P121" s="173"/>
    </row>
    <row r="122" spans="1:16" ht="21.75" customHeight="1" x14ac:dyDescent="0.2">
      <c r="A122" s="164"/>
      <c r="B122" s="165"/>
      <c r="C122" s="165"/>
      <c r="D122" s="174"/>
      <c r="E122" s="167"/>
      <c r="F122" s="167" t="s">
        <v>41</v>
      </c>
      <c r="G122" s="168" t="s">
        <v>42</v>
      </c>
      <c r="H122" s="169" t="s">
        <v>13</v>
      </c>
      <c r="I122" s="170"/>
      <c r="J122" s="170"/>
      <c r="K122" s="171"/>
      <c r="L122" s="175">
        <f ca="1">L123+L124</f>
        <v>0</v>
      </c>
      <c r="M122" s="176">
        <f ca="1">IFERROR(__xludf.DUMMYFUNCTION("IMPORTRANGE(""https://docs.google.com/spreadsheets/d/1Yj_ptqi66GCucihVvJfMjLAmec39IyEx_6qawtMGysU/edit?usp=sharing"",""สบก!BA27"")"),0)</f>
        <v>0</v>
      </c>
      <c r="N122" s="177">
        <f ca="1">IFERROR(__xludf.DUMMYFUNCTION("IMPORTRANGE(""https://docs.google.com/spreadsheets/d/1Yj_ptqi66GCucihVvJfMjLAmec39IyEx_6qawtMGysU/edit?usp=sharing"",""สบก!BB27"")"),0)</f>
        <v>0</v>
      </c>
      <c r="O122" s="178">
        <f ca="1">IF(L122&gt;0,N122*100/L122,0)</f>
        <v>0</v>
      </c>
      <c r="P122" s="178">
        <f ca="1">IF(M122&gt;0,N122*100/M122,0)</f>
        <v>0</v>
      </c>
    </row>
    <row r="123" spans="1:16" ht="21.75" customHeight="1" x14ac:dyDescent="0.2">
      <c r="A123" s="164"/>
      <c r="B123" s="165"/>
      <c r="C123" s="165"/>
      <c r="D123" s="174"/>
      <c r="E123" s="167"/>
      <c r="F123" s="167"/>
      <c r="G123" s="179" t="s">
        <v>43</v>
      </c>
      <c r="H123" s="169" t="s">
        <v>13</v>
      </c>
      <c r="I123" s="170"/>
      <c r="J123" s="170"/>
      <c r="K123" s="171"/>
      <c r="L123" s="176">
        <f ca="1">IFERROR(__xludf.DUMMYFUNCTION("IMPORTRANGE(""https://docs.google.com/spreadsheets/d/1Yj_ptqi66GCucihVvJfMjLAmec39IyEx_6qawtMGysU/edit?usp=sharing"",""สบก!AW27"")"),0)</f>
        <v>0</v>
      </c>
      <c r="M123" s="175"/>
      <c r="N123" s="175"/>
      <c r="O123" s="178"/>
      <c r="P123" s="178"/>
    </row>
    <row r="124" spans="1:16" ht="21.75" customHeight="1" x14ac:dyDescent="0.2">
      <c r="A124" s="164"/>
      <c r="B124" s="165"/>
      <c r="C124" s="165"/>
      <c r="D124" s="174"/>
      <c r="E124" s="167"/>
      <c r="F124" s="167"/>
      <c r="G124" s="179" t="s">
        <v>44</v>
      </c>
      <c r="H124" s="169" t="s">
        <v>13</v>
      </c>
      <c r="I124" s="170"/>
      <c r="J124" s="197"/>
      <c r="K124" s="233"/>
      <c r="L124" s="176">
        <f ca="1">IFERROR(__xludf.DUMMYFUNCTION("IMPORTRANGE(""https://docs.google.com/spreadsheets/d/1Yj_ptqi66GCucihVvJfMjLAmec39IyEx_6qawtMGysU/edit?usp=sharing"",""สบก!AX27"")"),0)</f>
        <v>0</v>
      </c>
      <c r="M124" s="175"/>
      <c r="N124" s="175"/>
      <c r="O124" s="178"/>
      <c r="P124" s="178"/>
    </row>
    <row r="125" spans="1:16" ht="21.75" customHeight="1" x14ac:dyDescent="0.3">
      <c r="A125" s="180"/>
      <c r="B125" s="83"/>
      <c r="C125" s="84" t="s">
        <v>17</v>
      </c>
      <c r="D125" s="551" t="s">
        <v>24</v>
      </c>
      <c r="E125" s="547"/>
      <c r="F125" s="91"/>
      <c r="G125" s="85" t="s">
        <v>19</v>
      </c>
      <c r="H125" s="181" t="s">
        <v>13</v>
      </c>
      <c r="I125" s="197"/>
      <c r="J125" s="197"/>
      <c r="K125" s="233"/>
      <c r="L125" s="95">
        <v>0</v>
      </c>
      <c r="M125" s="95"/>
      <c r="N125" s="44"/>
      <c r="O125" s="95"/>
      <c r="P125" s="95"/>
    </row>
    <row r="126" spans="1:16" ht="21.75" customHeight="1" x14ac:dyDescent="0.3">
      <c r="A126" s="182"/>
      <c r="B126" s="97"/>
      <c r="C126" s="97"/>
      <c r="D126" s="183"/>
      <c r="E126" s="98"/>
      <c r="F126" s="98"/>
      <c r="G126" s="99" t="s">
        <v>20</v>
      </c>
      <c r="H126" s="184" t="s">
        <v>13</v>
      </c>
      <c r="I126" s="197"/>
      <c r="J126" s="197"/>
      <c r="K126" s="233"/>
      <c r="L126" s="93">
        <f ca="1">IFERROR(__xludf.DUMMYFUNCTION("IMPORTRANGE(""https://docs.google.com/spreadsheets/d/1Yj_ptqi66GCucihVvJfMjLAmec39IyEx_6qawtMGysU/edit?usp=sharing"",""สบก!AY27"")"),0)</f>
        <v>0</v>
      </c>
      <c r="M126" s="103"/>
      <c r="N126" s="93">
        <f ca="1">IFERROR(__xludf.DUMMYFUNCTION("IMPORTRANGE(""https://docs.google.com/spreadsheets/d/1Yj_ptqi66GCucihVvJfMjLAmec39IyEx_6qawtMGysU/edit?usp=sharing"",""สบก!BC27"")"),0)</f>
        <v>0</v>
      </c>
      <c r="O126" s="103">
        <f ca="1">IF(L126&gt;0,N126*100/L126,0)</f>
        <v>0</v>
      </c>
      <c r="P126" s="103"/>
    </row>
    <row r="127" spans="1:16" ht="21.75" customHeight="1" x14ac:dyDescent="0.2">
      <c r="A127" s="185"/>
      <c r="B127" s="186"/>
      <c r="C127" s="165" t="s">
        <v>17</v>
      </c>
      <c r="D127" s="242" t="s">
        <v>254</v>
      </c>
      <c r="E127" s="188"/>
      <c r="F127" s="188"/>
      <c r="G127" s="189"/>
      <c r="H127" s="190"/>
      <c r="I127" s="170"/>
      <c r="J127" s="197"/>
      <c r="K127" s="233"/>
      <c r="L127" s="178"/>
      <c r="M127" s="178"/>
      <c r="N127" s="178"/>
      <c r="O127" s="191"/>
      <c r="P127" s="191"/>
    </row>
    <row r="128" spans="1:16" ht="21.75" customHeight="1" x14ac:dyDescent="0.2">
      <c r="A128" s="185"/>
      <c r="B128" s="186"/>
      <c r="C128" s="186"/>
      <c r="D128" s="192">
        <v>1</v>
      </c>
      <c r="E128" s="193" t="s">
        <v>46</v>
      </c>
      <c r="F128" s="194"/>
      <c r="G128" s="195"/>
      <c r="H128" s="196"/>
      <c r="I128" s="197"/>
      <c r="J128" s="213">
        <f ca="1">IFERROR(__xludf.DUMMYFUNCTION("IMPORTRANGE(""https://docs.google.com/spreadsheets/d/11923uPwbBZFjjGgGUA6NLw09EwE0CqkOc4q9oUmW1yo/edit?usp=sharing"",""พิจิตร!J58"")"),0)</f>
        <v>0</v>
      </c>
      <c r="K128" s="233"/>
      <c r="L128" s="178"/>
      <c r="M128" s="178"/>
      <c r="N128" s="178"/>
      <c r="O128" s="191"/>
      <c r="P128" s="191"/>
    </row>
    <row r="129" spans="1:16" ht="21.75" customHeight="1" x14ac:dyDescent="0.2">
      <c r="A129" s="185"/>
      <c r="B129" s="186"/>
      <c r="C129" s="186"/>
      <c r="D129" s="199">
        <v>2</v>
      </c>
      <c r="E129" s="200" t="s">
        <v>47</v>
      </c>
      <c r="F129" s="201"/>
      <c r="G129" s="202"/>
      <c r="H129" s="196"/>
      <c r="I129" s="197"/>
      <c r="J129" s="197">
        <f ca="1">IFERROR(__xludf.DUMMYFUNCTION("IMPORTRANGE(""https://docs.google.com/spreadsheets/d/11923uPwbBZFjjGgGUA6NLw09EwE0CqkOc4q9oUmW1yo/edit?usp=sharing"",""พิจิตร!J59"")"),0)</f>
        <v>0</v>
      </c>
      <c r="K129" s="233"/>
      <c r="L129" s="178" t="s">
        <v>41</v>
      </c>
      <c r="M129" s="178"/>
      <c r="N129" s="178" t="s">
        <v>41</v>
      </c>
      <c r="O129" s="191"/>
      <c r="P129" s="191"/>
    </row>
    <row r="130" spans="1:16" ht="21.75" customHeight="1" x14ac:dyDescent="0.2">
      <c r="A130" s="185"/>
      <c r="B130" s="186"/>
      <c r="C130" s="186"/>
      <c r="D130" s="203"/>
      <c r="E130" s="204" t="s">
        <v>48</v>
      </c>
      <c r="F130" s="205"/>
      <c r="G130" s="206"/>
      <c r="H130" s="196"/>
      <c r="I130" s="197"/>
      <c r="J130" s="197">
        <f ca="1">IFERROR(__xludf.DUMMYFUNCTION("IMPORTRANGE(""https://docs.google.com/spreadsheets/d/11923uPwbBZFjjGgGUA6NLw09EwE0CqkOc4q9oUmW1yo/edit?usp=sharing"",""พิจิตร!J60"")"),0)</f>
        <v>0</v>
      </c>
      <c r="K130" s="233"/>
      <c r="L130" s="178"/>
      <c r="M130" s="178"/>
      <c r="N130" s="178"/>
      <c r="O130" s="191"/>
      <c r="P130" s="191"/>
    </row>
    <row r="131" spans="1:16" ht="21.75" customHeight="1" x14ac:dyDescent="0.2">
      <c r="A131" s="185"/>
      <c r="B131" s="186"/>
      <c r="C131" s="186"/>
      <c r="D131" s="203"/>
      <c r="E131" s="204" t="s">
        <v>49</v>
      </c>
      <c r="F131" s="205"/>
      <c r="G131" s="206"/>
      <c r="H131" s="196"/>
      <c r="I131" s="197"/>
      <c r="J131" s="197">
        <f ca="1">IFERROR(__xludf.DUMMYFUNCTION("IMPORTRANGE(""https://docs.google.com/spreadsheets/d/11923uPwbBZFjjGgGUA6NLw09EwE0CqkOc4q9oUmW1yo/edit?usp=sharing"",""พิจิตร!J61"")"),0)</f>
        <v>0</v>
      </c>
      <c r="K131" s="233"/>
      <c r="L131" s="178"/>
      <c r="M131" s="178"/>
      <c r="N131" s="178"/>
      <c r="O131" s="191"/>
      <c r="P131" s="191"/>
    </row>
    <row r="132" spans="1:16" ht="21.75" customHeight="1" x14ac:dyDescent="0.2">
      <c r="A132" s="185"/>
      <c r="B132" s="186"/>
      <c r="C132" s="186"/>
      <c r="D132" s="203"/>
      <c r="E132" s="208"/>
      <c r="F132" s="204" t="s">
        <v>71</v>
      </c>
      <c r="G132" s="206"/>
      <c r="H132" s="190" t="s">
        <v>38</v>
      </c>
      <c r="I132" s="197">
        <f ca="1">IFERROR(__xludf.DUMMYFUNCTION("IMPORTRANGE(""https://docs.google.com/spreadsheets/d/11923uPwbBZFjjGgGUA6NLw09EwE0CqkOc4q9oUmW1yo/edit?usp=sharing"",""พิจิตร!I62"")"),0)</f>
        <v>0</v>
      </c>
      <c r="J132" s="213">
        <f ca="1">IFERROR(__xludf.DUMMYFUNCTION("IMPORTRANGE(""https://docs.google.com/spreadsheets/d/11923uPwbBZFjjGgGUA6NLw09EwE0CqkOc4q9oUmW1yo/edit?usp=sharing"",""พิจิตร!J62"")"),0)</f>
        <v>0</v>
      </c>
      <c r="K132" s="233">
        <f t="shared" ref="K132:K133" ca="1" si="63">IF(I132&gt;0,J132*100/I132,0)</f>
        <v>0</v>
      </c>
      <c r="L132" s="178"/>
      <c r="M132" s="178"/>
      <c r="N132" s="178"/>
      <c r="O132" s="191"/>
      <c r="P132" s="191"/>
    </row>
    <row r="133" spans="1:16" ht="21.75" customHeight="1" x14ac:dyDescent="0.2">
      <c r="A133" s="185"/>
      <c r="B133" s="186"/>
      <c r="C133" s="186"/>
      <c r="D133" s="203"/>
      <c r="E133" s="208"/>
      <c r="F133" s="204" t="s">
        <v>72</v>
      </c>
      <c r="G133" s="206"/>
      <c r="H133" s="190" t="s">
        <v>38</v>
      </c>
      <c r="I133" s="197">
        <f ca="1">IFERROR(__xludf.DUMMYFUNCTION("IMPORTRANGE(""https://docs.google.com/spreadsheets/d/11923uPwbBZFjjGgGUA6NLw09EwE0CqkOc4q9oUmW1yo/edit?usp=sharing"",""พิจิตร!I63"")"),0)</f>
        <v>0</v>
      </c>
      <c r="J133" s="213">
        <f ca="1">IFERROR(__xludf.DUMMYFUNCTION("IMPORTRANGE(""https://docs.google.com/spreadsheets/d/11923uPwbBZFjjGgGUA6NLw09EwE0CqkOc4q9oUmW1yo/edit?usp=sharing"",""พิจิตร!J63"")"),0)</f>
        <v>0</v>
      </c>
      <c r="K133" s="233">
        <f t="shared" ca="1" si="63"/>
        <v>0</v>
      </c>
      <c r="L133" s="178"/>
      <c r="M133" s="178"/>
      <c r="N133" s="178"/>
      <c r="O133" s="191"/>
      <c r="P133" s="191"/>
    </row>
    <row r="134" spans="1:16" ht="21.75" customHeight="1" x14ac:dyDescent="0.2">
      <c r="A134" s="185"/>
      <c r="B134" s="186"/>
      <c r="C134" s="186"/>
      <c r="D134" s="203"/>
      <c r="E134" s="204" t="s">
        <v>55</v>
      </c>
      <c r="F134" s="205"/>
      <c r="G134" s="206"/>
      <c r="H134" s="196"/>
      <c r="I134" s="197"/>
      <c r="J134" s="197">
        <f ca="1">IFERROR(__xludf.DUMMYFUNCTION("IMPORTRANGE(""https://docs.google.com/spreadsheets/d/11923uPwbBZFjjGgGUA6NLw09EwE0CqkOc4q9oUmW1yo/edit?usp=sharing"",""พิจิตร!J64"")"),0)</f>
        <v>0</v>
      </c>
      <c r="K134" s="233"/>
      <c r="L134" s="178"/>
      <c r="M134" s="178"/>
      <c r="N134" s="178"/>
      <c r="O134" s="191"/>
      <c r="P134" s="191"/>
    </row>
    <row r="135" spans="1:16" ht="21.75" customHeight="1" x14ac:dyDescent="0.2">
      <c r="A135" s="243"/>
      <c r="B135" s="244"/>
      <c r="C135" s="244"/>
      <c r="D135" s="245">
        <v>3</v>
      </c>
      <c r="E135" s="246" t="s">
        <v>56</v>
      </c>
      <c r="F135" s="247"/>
      <c r="G135" s="248"/>
      <c r="H135" s="249"/>
      <c r="I135" s="250"/>
      <c r="J135" s="251">
        <f ca="1">IFERROR(__xludf.DUMMYFUNCTION("IMPORTRANGE(""https://docs.google.com/spreadsheets/d/11923uPwbBZFjjGgGUA6NLw09EwE0CqkOc4q9oUmW1yo/edit?usp=sharing"",""พิจิตร!J65"")"),0)</f>
        <v>0</v>
      </c>
      <c r="K135" s="252"/>
      <c r="L135" s="253"/>
      <c r="M135" s="253"/>
      <c r="N135" s="253"/>
      <c r="O135" s="254"/>
      <c r="P135" s="254"/>
    </row>
    <row r="136" spans="1:16" ht="21.75" customHeight="1" x14ac:dyDescent="0.2">
      <c r="A136" s="255" t="s">
        <v>73</v>
      </c>
      <c r="B136" s="256"/>
      <c r="C136" s="256"/>
      <c r="D136" s="256"/>
      <c r="E136" s="257"/>
      <c r="F136" s="257"/>
      <c r="G136" s="258"/>
      <c r="H136" s="259"/>
      <c r="I136" s="260"/>
      <c r="J136" s="260"/>
      <c r="K136" s="261"/>
      <c r="L136" s="262"/>
      <c r="M136" s="262"/>
      <c r="N136" s="262"/>
      <c r="O136" s="262"/>
      <c r="P136" s="262"/>
    </row>
    <row r="137" spans="1:16" ht="21.75" customHeight="1" x14ac:dyDescent="0.2">
      <c r="A137" s="263" t="s">
        <v>74</v>
      </c>
      <c r="B137" s="264"/>
      <c r="C137" s="264"/>
      <c r="D137" s="265"/>
      <c r="E137" s="265"/>
      <c r="F137" s="265"/>
      <c r="G137" s="266"/>
      <c r="H137" s="267"/>
      <c r="I137" s="268"/>
      <c r="J137" s="268"/>
      <c r="K137" s="269"/>
      <c r="L137" s="269"/>
      <c r="M137" s="269"/>
      <c r="N137" s="269"/>
      <c r="O137" s="270"/>
      <c r="P137" s="270"/>
    </row>
    <row r="138" spans="1:16" ht="21.75" customHeight="1" x14ac:dyDescent="0.2">
      <c r="A138" s="271"/>
      <c r="B138" s="272" t="s">
        <v>75</v>
      </c>
      <c r="C138" s="273"/>
      <c r="D138" s="272"/>
      <c r="E138" s="272"/>
      <c r="F138" s="272"/>
      <c r="G138" s="274"/>
      <c r="H138" s="275" t="s">
        <v>38</v>
      </c>
      <c r="I138" s="276">
        <f ca="1">IFERROR(__xludf.DUMMYFUNCTION("IMPORTRANGE(""https://docs.google.com/spreadsheets/d/11923uPwbBZFjjGgGUA6NLw09EwE0CqkOc4q9oUmW1yo/edit?usp=sharing"",""พิจิตร!I68"")"),0)</f>
        <v>0</v>
      </c>
      <c r="J138" s="276">
        <f ca="1">IFERROR(__xludf.DUMMYFUNCTION("IMPORTRANGE(""https://docs.google.com/spreadsheets/d/11923uPwbBZFjjGgGUA6NLw09EwE0CqkOc4q9oUmW1yo/edit?usp=sharing"",""พิจิตร!J68"")"),0)</f>
        <v>0</v>
      </c>
      <c r="K138" s="277">
        <f ca="1">IF(I138&gt;0,J138*100/I138,0)</f>
        <v>0</v>
      </c>
      <c r="L138" s="278"/>
      <c r="M138" s="278"/>
      <c r="N138" s="278"/>
      <c r="O138" s="277"/>
      <c r="P138" s="277"/>
    </row>
    <row r="139" spans="1:16" ht="21.75" customHeight="1" x14ac:dyDescent="0.2">
      <c r="A139" s="271"/>
      <c r="B139" s="272" t="s">
        <v>76</v>
      </c>
      <c r="C139" s="273"/>
      <c r="D139" s="272"/>
      <c r="E139" s="272"/>
      <c r="F139" s="272"/>
      <c r="G139" s="274"/>
      <c r="H139" s="275"/>
      <c r="I139" s="276"/>
      <c r="J139" s="276"/>
      <c r="K139" s="277"/>
      <c r="L139" s="278"/>
      <c r="M139" s="278"/>
      <c r="N139" s="278"/>
      <c r="O139" s="277"/>
      <c r="P139" s="277"/>
    </row>
    <row r="140" spans="1:16" ht="21.75" customHeight="1" x14ac:dyDescent="0.3">
      <c r="A140" s="152"/>
      <c r="B140" s="153"/>
      <c r="C140" s="154" t="s">
        <v>17</v>
      </c>
      <c r="D140" s="554" t="s">
        <v>18</v>
      </c>
      <c r="E140" s="545"/>
      <c r="F140" s="545"/>
      <c r="G140" s="545"/>
      <c r="H140" s="155" t="s">
        <v>13</v>
      </c>
      <c r="I140" s="170"/>
      <c r="J140" s="170"/>
      <c r="K140" s="171"/>
      <c r="L140" s="158">
        <f t="shared" ref="L140:N140" ca="1" si="64">L141+L142</f>
        <v>58500</v>
      </c>
      <c r="M140" s="158">
        <f t="shared" ca="1" si="64"/>
        <v>45750</v>
      </c>
      <c r="N140" s="158">
        <f t="shared" ca="1" si="64"/>
        <v>20570</v>
      </c>
      <c r="O140" s="157">
        <f t="shared" ref="O140:O142" ca="1" si="65">IF(L140&gt;0,N140*100/L140,0)</f>
        <v>35.162393162393165</v>
      </c>
      <c r="P140" s="157">
        <f t="shared" ref="P140:P142" ca="1" si="66">IF(M140&gt;0,N140*100/M140,0)</f>
        <v>44.961748633879779</v>
      </c>
    </row>
    <row r="141" spans="1:16" ht="21.75" customHeight="1" x14ac:dyDescent="0.3">
      <c r="A141" s="159"/>
      <c r="B141" s="34"/>
      <c r="C141" s="34"/>
      <c r="D141" s="34"/>
      <c r="E141" s="34"/>
      <c r="F141" s="34"/>
      <c r="G141" s="35" t="s">
        <v>19</v>
      </c>
      <c r="H141" s="160" t="s">
        <v>13</v>
      </c>
      <c r="I141" s="170"/>
      <c r="J141" s="170"/>
      <c r="K141" s="171"/>
      <c r="L141" s="163">
        <f t="shared" ref="L141:N141" si="67">L143+L147</f>
        <v>0</v>
      </c>
      <c r="M141" s="163">
        <f t="shared" si="67"/>
        <v>0</v>
      </c>
      <c r="N141" s="163">
        <f t="shared" si="67"/>
        <v>0</v>
      </c>
      <c r="O141" s="162">
        <f t="shared" si="65"/>
        <v>0</v>
      </c>
      <c r="P141" s="162">
        <f t="shared" si="66"/>
        <v>0</v>
      </c>
    </row>
    <row r="142" spans="1:16" ht="21.75" customHeight="1" x14ac:dyDescent="0.3">
      <c r="A142" s="159"/>
      <c r="B142" s="34"/>
      <c r="C142" s="34"/>
      <c r="D142" s="34"/>
      <c r="E142" s="34"/>
      <c r="F142" s="34"/>
      <c r="G142" s="35" t="s">
        <v>20</v>
      </c>
      <c r="H142" s="160" t="s">
        <v>13</v>
      </c>
      <c r="I142" s="170"/>
      <c r="J142" s="170"/>
      <c r="K142" s="171"/>
      <c r="L142" s="163">
        <f t="shared" ref="L142:N142" ca="1" si="68">L144+L148</f>
        <v>58500</v>
      </c>
      <c r="M142" s="163">
        <f t="shared" ca="1" si="68"/>
        <v>45750</v>
      </c>
      <c r="N142" s="163">
        <f t="shared" ca="1" si="68"/>
        <v>20570</v>
      </c>
      <c r="O142" s="162">
        <f t="shared" ca="1" si="65"/>
        <v>35.162393162393165</v>
      </c>
      <c r="P142" s="162">
        <f t="shared" ca="1" si="66"/>
        <v>44.961748633879779</v>
      </c>
    </row>
    <row r="143" spans="1:16" ht="21.75" customHeight="1" x14ac:dyDescent="0.2">
      <c r="A143" s="164"/>
      <c r="B143" s="165"/>
      <c r="C143" s="165" t="s">
        <v>17</v>
      </c>
      <c r="D143" s="166" t="s">
        <v>39</v>
      </c>
      <c r="E143" s="167"/>
      <c r="F143" s="167"/>
      <c r="G143" s="168" t="s">
        <v>40</v>
      </c>
      <c r="H143" s="169" t="s">
        <v>13</v>
      </c>
      <c r="I143" s="170" t="s">
        <v>41</v>
      </c>
      <c r="J143" s="170"/>
      <c r="K143" s="171"/>
      <c r="L143" s="172">
        <v>0</v>
      </c>
      <c r="M143" s="172"/>
      <c r="N143" s="172">
        <v>0</v>
      </c>
      <c r="O143" s="173">
        <f>+IF(L143&gt;0,N143*100/L143,0)</f>
        <v>0</v>
      </c>
      <c r="P143" s="173"/>
    </row>
    <row r="144" spans="1:16" ht="21.75" customHeight="1" x14ac:dyDescent="0.2">
      <c r="A144" s="164"/>
      <c r="B144" s="165"/>
      <c r="C144" s="165"/>
      <c r="D144" s="174"/>
      <c r="E144" s="167"/>
      <c r="F144" s="167" t="s">
        <v>41</v>
      </c>
      <c r="G144" s="168" t="s">
        <v>42</v>
      </c>
      <c r="H144" s="169" t="s">
        <v>13</v>
      </c>
      <c r="I144" s="170"/>
      <c r="J144" s="170"/>
      <c r="K144" s="171"/>
      <c r="L144" s="175">
        <f ca="1">L145+L146</f>
        <v>58500</v>
      </c>
      <c r="M144" s="176">
        <f ca="1">IFERROR(__xludf.DUMMYFUNCTION("IMPORTRANGE(""https://docs.google.com/spreadsheets/d/1Yj_ptqi66GCucihVvJfMjLAmec39IyEx_6qawtMGysU/edit?usp=sharing"",""สบก!BJ27"")"),45750)</f>
        <v>45750</v>
      </c>
      <c r="N144" s="177">
        <f ca="1">IFERROR(__xludf.DUMMYFUNCTION("IMPORTRANGE(""https://docs.google.com/spreadsheets/d/1Yj_ptqi66GCucihVvJfMjLAmec39IyEx_6qawtMGysU/edit?usp=sharing"",""สบก!BK27"")"),20570)</f>
        <v>20570</v>
      </c>
      <c r="O144" s="178">
        <f ca="1">IF(L144&gt;0,N144*100/L144,0)</f>
        <v>35.162393162393165</v>
      </c>
      <c r="P144" s="178">
        <f ca="1">IF(M144&gt;0,N144*100/M144,0)</f>
        <v>44.961748633879779</v>
      </c>
    </row>
    <row r="145" spans="1:16" ht="21.75" customHeight="1" x14ac:dyDescent="0.2">
      <c r="A145" s="164"/>
      <c r="B145" s="165"/>
      <c r="C145" s="165"/>
      <c r="D145" s="174"/>
      <c r="E145" s="167"/>
      <c r="F145" s="167"/>
      <c r="G145" s="179" t="s">
        <v>43</v>
      </c>
      <c r="H145" s="169" t="s">
        <v>13</v>
      </c>
      <c r="I145" s="170"/>
      <c r="J145" s="170"/>
      <c r="K145" s="171"/>
      <c r="L145" s="176">
        <f ca="1">IFERROR(__xludf.DUMMYFUNCTION("IMPORTRANGE(""https://docs.google.com/spreadsheets/d/1Yj_ptqi66GCucihVvJfMjLAmec39IyEx_6qawtMGysU/edit?usp=sharing"",""สบก!BF27"")"),0)</f>
        <v>0</v>
      </c>
      <c r="M145" s="175"/>
      <c r="N145" s="175"/>
      <c r="O145" s="178"/>
      <c r="P145" s="178"/>
    </row>
    <row r="146" spans="1:16" ht="21.75" customHeight="1" x14ac:dyDescent="0.2">
      <c r="A146" s="164"/>
      <c r="B146" s="165"/>
      <c r="C146" s="165"/>
      <c r="D146" s="174"/>
      <c r="E146" s="167"/>
      <c r="F146" s="167"/>
      <c r="G146" s="179" t="s">
        <v>44</v>
      </c>
      <c r="H146" s="169" t="s">
        <v>13</v>
      </c>
      <c r="I146" s="170"/>
      <c r="J146" s="170"/>
      <c r="K146" s="171"/>
      <c r="L146" s="176">
        <f ca="1">IFERROR(__xludf.DUMMYFUNCTION("IMPORTRANGE(""https://docs.google.com/spreadsheets/d/1Yj_ptqi66GCucihVvJfMjLAmec39IyEx_6qawtMGysU/edit?usp=sharing"",""สบก!BG27"")"),58500)</f>
        <v>58500</v>
      </c>
      <c r="M146" s="175"/>
      <c r="N146" s="175"/>
      <c r="O146" s="178"/>
      <c r="P146" s="178"/>
    </row>
    <row r="147" spans="1:16" ht="21.75" customHeight="1" x14ac:dyDescent="0.3">
      <c r="A147" s="180"/>
      <c r="B147" s="83"/>
      <c r="C147" s="84" t="s">
        <v>17</v>
      </c>
      <c r="D147" s="551" t="s">
        <v>24</v>
      </c>
      <c r="E147" s="547"/>
      <c r="F147" s="91"/>
      <c r="G147" s="85" t="s">
        <v>19</v>
      </c>
      <c r="H147" s="181" t="s">
        <v>13</v>
      </c>
      <c r="I147" s="197"/>
      <c r="J147" s="197"/>
      <c r="K147" s="233"/>
      <c r="L147" s="95">
        <v>0</v>
      </c>
      <c r="M147" s="95"/>
      <c r="N147" s="44"/>
      <c r="O147" s="95"/>
      <c r="P147" s="95"/>
    </row>
    <row r="148" spans="1:16" ht="21.75" customHeight="1" x14ac:dyDescent="0.3">
      <c r="A148" s="182"/>
      <c r="B148" s="97"/>
      <c r="C148" s="97"/>
      <c r="D148" s="183"/>
      <c r="E148" s="98"/>
      <c r="F148" s="98"/>
      <c r="G148" s="99" t="s">
        <v>20</v>
      </c>
      <c r="H148" s="184" t="s">
        <v>13</v>
      </c>
      <c r="I148" s="197"/>
      <c r="J148" s="197"/>
      <c r="K148" s="233"/>
      <c r="L148" s="93">
        <f ca="1">IFERROR(__xludf.DUMMYFUNCTION("IMPORTRANGE(""https://docs.google.com/spreadsheets/d/1Yj_ptqi66GCucihVvJfMjLAmec39IyEx_6qawtMGysU/edit?usp=sharing"",""สบก!BH27"")"),0)</f>
        <v>0</v>
      </c>
      <c r="M148" s="103"/>
      <c r="N148" s="93">
        <f ca="1">IFERROR(__xludf.DUMMYFUNCTION("IMPORTRANGE(""https://docs.google.com/spreadsheets/d/1Yj_ptqi66GCucihVvJfMjLAmec39IyEx_6qawtMGysU/edit?usp=sharing"",""สบก!BL27"")"),0)</f>
        <v>0</v>
      </c>
      <c r="O148" s="103">
        <f ca="1">IF(L148&gt;0,N148*100/L148,0)</f>
        <v>0</v>
      </c>
      <c r="P148" s="103"/>
    </row>
    <row r="149" spans="1:16" ht="21.75" customHeight="1" x14ac:dyDescent="0.2">
      <c r="A149" s="279"/>
      <c r="B149" s="280"/>
      <c r="C149" s="281" t="s">
        <v>77</v>
      </c>
      <c r="D149" s="281"/>
      <c r="E149" s="281"/>
      <c r="F149" s="281"/>
      <c r="G149" s="282"/>
      <c r="H149" s="283" t="s">
        <v>78</v>
      </c>
      <c r="I149" s="284">
        <f ca="1">IFERROR(__xludf.DUMMYFUNCTION("IMPORTRANGE(""https://docs.google.com/spreadsheets/d/11923uPwbBZFjjGgGUA6NLw09EwE0CqkOc4q9oUmW1yo/edit?usp=sharing"",""พิจิตร!I74"")"),4)</f>
        <v>4</v>
      </c>
      <c r="J149" s="284">
        <f ca="1">IFERROR(__xludf.DUMMYFUNCTION("IMPORTRANGE(""https://docs.google.com/spreadsheets/d/11923uPwbBZFjjGgGUA6NLw09EwE0CqkOc4q9oUmW1yo/edit?usp=sharing"",""พิจิตร!J74"")"),1)</f>
        <v>1</v>
      </c>
      <c r="K149" s="285">
        <f ca="1">IF(I149&gt;0,J149*100/I149,0)</f>
        <v>25</v>
      </c>
      <c r="L149" s="286"/>
      <c r="M149" s="286"/>
      <c r="N149" s="286"/>
      <c r="O149" s="286"/>
      <c r="P149" s="286"/>
    </row>
    <row r="150" spans="1:16" ht="21.75" customHeight="1" x14ac:dyDescent="0.2">
      <c r="A150" s="164"/>
      <c r="B150" s="165"/>
      <c r="C150" s="165" t="s">
        <v>17</v>
      </c>
      <c r="D150" s="166" t="s">
        <v>39</v>
      </c>
      <c r="E150" s="167"/>
      <c r="F150" s="167"/>
      <c r="G150" s="168" t="s">
        <v>40</v>
      </c>
      <c r="H150" s="169" t="s">
        <v>13</v>
      </c>
      <c r="I150" s="170" t="s">
        <v>41</v>
      </c>
      <c r="J150" s="170"/>
      <c r="K150" s="171"/>
      <c r="L150" s="172"/>
      <c r="M150" s="172"/>
      <c r="N150" s="173"/>
      <c r="O150" s="173"/>
      <c r="P150" s="173"/>
    </row>
    <row r="151" spans="1:16" ht="21.75" customHeight="1" x14ac:dyDescent="0.2">
      <c r="A151" s="164"/>
      <c r="B151" s="165"/>
      <c r="C151" s="165"/>
      <c r="D151" s="174"/>
      <c r="E151" s="167"/>
      <c r="F151" s="167" t="s">
        <v>41</v>
      </c>
      <c r="G151" s="168" t="s">
        <v>42</v>
      </c>
      <c r="H151" s="169" t="s">
        <v>13</v>
      </c>
      <c r="I151" s="170"/>
      <c r="J151" s="170"/>
      <c r="K151" s="171"/>
      <c r="L151" s="173"/>
      <c r="M151" s="173"/>
      <c r="N151" s="173"/>
      <c r="O151" s="173"/>
      <c r="P151" s="173"/>
    </row>
    <row r="152" spans="1:16" ht="21.75" customHeight="1" x14ac:dyDescent="0.2">
      <c r="A152" s="164"/>
      <c r="B152" s="165"/>
      <c r="C152" s="165"/>
      <c r="D152" s="174"/>
      <c r="E152" s="167"/>
      <c r="F152" s="167"/>
      <c r="G152" s="179" t="s">
        <v>44</v>
      </c>
      <c r="H152" s="169" t="s">
        <v>13</v>
      </c>
      <c r="I152" s="170"/>
      <c r="J152" s="170"/>
      <c r="K152" s="171"/>
      <c r="L152" s="178"/>
      <c r="M152" s="178"/>
      <c r="N152" s="175"/>
      <c r="O152" s="178"/>
      <c r="P152" s="178"/>
    </row>
    <row r="153" spans="1:16" ht="21.75" customHeight="1" x14ac:dyDescent="0.2">
      <c r="A153" s="185"/>
      <c r="B153" s="186"/>
      <c r="C153" s="165" t="s">
        <v>17</v>
      </c>
      <c r="D153" s="187" t="s">
        <v>45</v>
      </c>
      <c r="E153" s="188"/>
      <c r="F153" s="188"/>
      <c r="G153" s="189"/>
      <c r="H153" s="190"/>
      <c r="I153" s="170"/>
      <c r="J153" s="170"/>
      <c r="K153" s="171"/>
      <c r="L153" s="191"/>
      <c r="M153" s="191"/>
      <c r="N153" s="191"/>
      <c r="O153" s="191"/>
      <c r="P153" s="191"/>
    </row>
    <row r="154" spans="1:16" ht="21.75" customHeight="1" x14ac:dyDescent="0.2">
      <c r="A154" s="185"/>
      <c r="B154" s="186"/>
      <c r="C154" s="186"/>
      <c r="D154" s="192">
        <v>1</v>
      </c>
      <c r="E154" s="193" t="s">
        <v>46</v>
      </c>
      <c r="F154" s="194"/>
      <c r="G154" s="195"/>
      <c r="H154" s="196"/>
      <c r="I154" s="197"/>
      <c r="J154" s="198">
        <f ca="1">IFERROR(__xludf.DUMMYFUNCTION("IMPORTRANGE(""https://docs.google.com/spreadsheets/d/11923uPwbBZFjjGgGUA6NLw09EwE0CqkOc4q9oUmW1yo/edit?usp=sharing"",""พิจิตร!J79"")"),0)</f>
        <v>0</v>
      </c>
      <c r="K154" s="171"/>
      <c r="L154" s="191"/>
      <c r="M154" s="191"/>
      <c r="N154" s="191"/>
      <c r="O154" s="191"/>
      <c r="P154" s="191"/>
    </row>
    <row r="155" spans="1:16" ht="21.75" customHeight="1" x14ac:dyDescent="0.2">
      <c r="A155" s="185"/>
      <c r="B155" s="186"/>
      <c r="C155" s="186"/>
      <c r="D155" s="199">
        <v>2</v>
      </c>
      <c r="E155" s="200" t="s">
        <v>47</v>
      </c>
      <c r="F155" s="201"/>
      <c r="G155" s="202"/>
      <c r="H155" s="196"/>
      <c r="I155" s="197"/>
      <c r="J155" s="207">
        <f ca="1">IFERROR(__xludf.DUMMYFUNCTION("IMPORTRANGE(""https://docs.google.com/spreadsheets/d/11923uPwbBZFjjGgGUA6NLw09EwE0CqkOc4q9oUmW1yo/edit?usp=sharing"",""พิจิตร!J80"")"),1)</f>
        <v>1</v>
      </c>
      <c r="K155" s="171"/>
      <c r="L155" s="191"/>
      <c r="M155" s="191"/>
      <c r="N155" s="191"/>
      <c r="O155" s="191"/>
      <c r="P155" s="191"/>
    </row>
    <row r="156" spans="1:16" ht="21.75" customHeight="1" x14ac:dyDescent="0.2">
      <c r="A156" s="185"/>
      <c r="B156" s="186"/>
      <c r="C156" s="186"/>
      <c r="D156" s="203"/>
      <c r="E156" s="204" t="s">
        <v>48</v>
      </c>
      <c r="F156" s="205"/>
      <c r="G156" s="206"/>
      <c r="H156" s="196"/>
      <c r="I156" s="197"/>
      <c r="J156" s="207">
        <f ca="1">IFERROR(__xludf.DUMMYFUNCTION("IMPORTRANGE(""https://docs.google.com/spreadsheets/d/11923uPwbBZFjjGgGUA6NLw09EwE0CqkOc4q9oUmW1yo/edit?usp=sharing"",""พิจิตร!J81"")"),1)</f>
        <v>1</v>
      </c>
      <c r="K156" s="171"/>
      <c r="L156" s="191"/>
      <c r="M156" s="191"/>
      <c r="N156" s="191"/>
      <c r="O156" s="191"/>
      <c r="P156" s="191"/>
    </row>
    <row r="157" spans="1:16" ht="21.75" customHeight="1" x14ac:dyDescent="0.2">
      <c r="A157" s="185"/>
      <c r="B157" s="186"/>
      <c r="C157" s="186"/>
      <c r="D157" s="203"/>
      <c r="E157" s="204" t="s">
        <v>49</v>
      </c>
      <c r="F157" s="205"/>
      <c r="G157" s="206"/>
      <c r="H157" s="196"/>
      <c r="I157" s="197"/>
      <c r="J157" s="207">
        <f ca="1">IFERROR(__xludf.DUMMYFUNCTION("IMPORTRANGE(""https://docs.google.com/spreadsheets/d/11923uPwbBZFjjGgGUA6NLw09EwE0CqkOc4q9oUmW1yo/edit?usp=sharing"",""พิจิตร!J82"")"),1)</f>
        <v>1</v>
      </c>
      <c r="K157" s="171"/>
      <c r="L157" s="191"/>
      <c r="M157" s="191"/>
      <c r="N157" s="191"/>
      <c r="O157" s="191"/>
      <c r="P157" s="191"/>
    </row>
    <row r="158" spans="1:16" ht="21.75" customHeight="1" x14ac:dyDescent="0.2">
      <c r="A158" s="185"/>
      <c r="B158" s="186"/>
      <c r="C158" s="186"/>
      <c r="D158" s="203"/>
      <c r="E158" s="208"/>
      <c r="F158" s="204" t="s">
        <v>79</v>
      </c>
      <c r="G158" s="206"/>
      <c r="H158" s="190" t="s">
        <v>78</v>
      </c>
      <c r="I158" s="197">
        <f ca="1">IFERROR(__xludf.DUMMYFUNCTION("IMPORTRANGE(""https://docs.google.com/spreadsheets/d/11923uPwbBZFjjGgGUA6NLw09EwE0CqkOc4q9oUmW1yo/edit?usp=sharing"",""พิจิตร!I83"")"),4)</f>
        <v>4</v>
      </c>
      <c r="J158" s="198">
        <f ca="1">IFERROR(__xludf.DUMMYFUNCTION("IMPORTRANGE(""https://docs.google.com/spreadsheets/d/11923uPwbBZFjjGgGUA6NLw09EwE0CqkOc4q9oUmW1yo/edit?usp=sharing"",""พิจิตร!J83"")"),1)</f>
        <v>1</v>
      </c>
      <c r="K158" s="171">
        <f ca="1">IF(I158&gt;0,J158*100/I158,0)</f>
        <v>25</v>
      </c>
      <c r="L158" s="191"/>
      <c r="M158" s="191"/>
      <c r="N158" s="191"/>
      <c r="O158" s="191"/>
      <c r="P158" s="191"/>
    </row>
    <row r="159" spans="1:16" ht="21.75" customHeight="1" x14ac:dyDescent="0.2">
      <c r="A159" s="185"/>
      <c r="B159" s="186"/>
      <c r="C159" s="186"/>
      <c r="D159" s="203"/>
      <c r="E159" s="205"/>
      <c r="F159" s="287" t="s">
        <v>80</v>
      </c>
      <c r="G159" s="206"/>
      <c r="H159" s="288" t="s">
        <v>38</v>
      </c>
      <c r="I159" s="197"/>
      <c r="J159" s="213">
        <f ca="1">IFERROR(__xludf.DUMMYFUNCTION("IMPORTRANGE(""https://docs.google.com/spreadsheets/d/11923uPwbBZFjjGgGUA6NLw09EwE0CqkOc4q9oUmW1yo/edit?usp=sharing"",""พิจิตร!J84"")"),28)</f>
        <v>28</v>
      </c>
      <c r="K159" s="171"/>
      <c r="L159" s="191"/>
      <c r="M159" s="191"/>
      <c r="N159" s="191"/>
      <c r="O159" s="191"/>
      <c r="P159" s="191"/>
    </row>
    <row r="160" spans="1:16" ht="21.75" customHeight="1" x14ac:dyDescent="0.3">
      <c r="A160" s="185"/>
      <c r="B160" s="186"/>
      <c r="C160" s="186"/>
      <c r="D160" s="203"/>
      <c r="E160" s="205"/>
      <c r="F160" s="205"/>
      <c r="G160" s="289" t="s">
        <v>81</v>
      </c>
      <c r="H160" s="288" t="s">
        <v>38</v>
      </c>
      <c r="I160" s="197"/>
      <c r="J160" s="290">
        <f ca="1">IFERROR(__xludf.DUMMYFUNCTION("IMPORTRANGE(""https://docs.google.com/spreadsheets/d/11923uPwbBZFjjGgGUA6NLw09EwE0CqkOc4q9oUmW1yo/edit?usp=sharing"",""พิจิตร!J85"")"),28)</f>
        <v>28</v>
      </c>
      <c r="K160" s="171"/>
      <c r="L160" s="191"/>
      <c r="M160" s="191"/>
      <c r="N160" s="191"/>
      <c r="O160" s="191"/>
      <c r="P160" s="191"/>
    </row>
    <row r="161" spans="1:16" ht="21.75" customHeight="1" x14ac:dyDescent="0.3">
      <c r="A161" s="185"/>
      <c r="B161" s="186"/>
      <c r="C161" s="186"/>
      <c r="D161" s="203"/>
      <c r="E161" s="205"/>
      <c r="F161" s="205"/>
      <c r="G161" s="289" t="s">
        <v>82</v>
      </c>
      <c r="H161" s="288" t="s">
        <v>38</v>
      </c>
      <c r="I161" s="197"/>
      <c r="J161" s="290">
        <f ca="1">IFERROR(__xludf.DUMMYFUNCTION("IMPORTRANGE(""https://docs.google.com/spreadsheets/d/11923uPwbBZFjjGgGUA6NLw09EwE0CqkOc4q9oUmW1yo/edit?usp=sharing"",""พิจิตร!J86"")"),0)</f>
        <v>0</v>
      </c>
      <c r="K161" s="171"/>
      <c r="L161" s="191"/>
      <c r="M161" s="191"/>
      <c r="N161" s="191"/>
      <c r="O161" s="191"/>
      <c r="P161" s="191"/>
    </row>
    <row r="162" spans="1:16" ht="21.75" customHeight="1" x14ac:dyDescent="0.2">
      <c r="A162" s="185"/>
      <c r="B162" s="186"/>
      <c r="C162" s="186"/>
      <c r="D162" s="203"/>
      <c r="E162" s="204" t="s">
        <v>55</v>
      </c>
      <c r="F162" s="205"/>
      <c r="G162" s="206"/>
      <c r="H162" s="196"/>
      <c r="I162" s="197"/>
      <c r="J162" s="207">
        <f ca="1">IFERROR(__xludf.DUMMYFUNCTION("IMPORTRANGE(""https://docs.google.com/spreadsheets/d/11923uPwbBZFjjGgGUA6NLw09EwE0CqkOc4q9oUmW1yo/edit?usp=sharing"",""พิจิตร!J87"")"),0)</f>
        <v>0</v>
      </c>
      <c r="K162" s="171"/>
      <c r="L162" s="191"/>
      <c r="M162" s="191"/>
      <c r="N162" s="191"/>
      <c r="O162" s="191"/>
      <c r="P162" s="191"/>
    </row>
    <row r="163" spans="1:16" ht="21.75" customHeight="1" x14ac:dyDescent="0.2">
      <c r="A163" s="185"/>
      <c r="B163" s="186"/>
      <c r="C163" s="186"/>
      <c r="D163" s="215">
        <v>3</v>
      </c>
      <c r="E163" s="216" t="s">
        <v>56</v>
      </c>
      <c r="F163" s="217"/>
      <c r="G163" s="218"/>
      <c r="H163" s="196"/>
      <c r="I163" s="197"/>
      <c r="J163" s="219">
        <f ca="1">IFERROR(__xludf.DUMMYFUNCTION("IMPORTRANGE(""https://docs.google.com/spreadsheets/d/11923uPwbBZFjjGgGUA6NLw09EwE0CqkOc4q9oUmW1yo/edit?usp=sharing"",""พิจิตร!J88"")"),0)</f>
        <v>0</v>
      </c>
      <c r="K163" s="171"/>
      <c r="L163" s="191"/>
      <c r="M163" s="191"/>
      <c r="N163" s="191"/>
      <c r="O163" s="191"/>
      <c r="P163" s="191"/>
    </row>
    <row r="164" spans="1:16" ht="21.75" customHeight="1" x14ac:dyDescent="0.2">
      <c r="A164" s="279"/>
      <c r="B164" s="280"/>
      <c r="C164" s="281" t="s">
        <v>83</v>
      </c>
      <c r="D164" s="281"/>
      <c r="E164" s="281"/>
      <c r="F164" s="281"/>
      <c r="G164" s="282"/>
      <c r="H164" s="291" t="s">
        <v>84</v>
      </c>
      <c r="I164" s="292">
        <f ca="1">IFERROR(__xludf.DUMMYFUNCTION("IMPORTRANGE(""https://docs.google.com/spreadsheets/d/11923uPwbBZFjjGgGUA6NLw09EwE0CqkOc4q9oUmW1yo/edit?usp=sharing"",""พิจิตร!I89"")"),3)</f>
        <v>3</v>
      </c>
      <c r="J164" s="292">
        <f ca="1">IFERROR(__xludf.DUMMYFUNCTION("IMPORTRANGE(""https://docs.google.com/spreadsheets/d/11923uPwbBZFjjGgGUA6NLw09EwE0CqkOc4q9oUmW1yo/edit?usp=sharing"",""พิจิตร!J89"")"),0)</f>
        <v>0</v>
      </c>
      <c r="K164" s="293">
        <f ca="1">IF(I164&gt;0,J164*100/I164,0)</f>
        <v>0</v>
      </c>
      <c r="L164" s="286"/>
      <c r="M164" s="286"/>
      <c r="N164" s="286"/>
      <c r="O164" s="286"/>
      <c r="P164" s="286"/>
    </row>
    <row r="165" spans="1:16" ht="21.75" customHeight="1" x14ac:dyDescent="0.2">
      <c r="A165" s="164"/>
      <c r="B165" s="165"/>
      <c r="C165" s="165" t="s">
        <v>17</v>
      </c>
      <c r="D165" s="166" t="s">
        <v>39</v>
      </c>
      <c r="E165" s="167"/>
      <c r="F165" s="167"/>
      <c r="G165" s="168" t="s">
        <v>40</v>
      </c>
      <c r="H165" s="169" t="s">
        <v>13</v>
      </c>
      <c r="I165" s="170" t="s">
        <v>41</v>
      </c>
      <c r="J165" s="170"/>
      <c r="K165" s="171"/>
      <c r="L165" s="172"/>
      <c r="M165" s="172"/>
      <c r="N165" s="173"/>
      <c r="O165" s="173"/>
      <c r="P165" s="173"/>
    </row>
    <row r="166" spans="1:16" ht="21.75" customHeight="1" x14ac:dyDescent="0.2">
      <c r="A166" s="164"/>
      <c r="B166" s="165"/>
      <c r="C166" s="165"/>
      <c r="D166" s="174"/>
      <c r="E166" s="167"/>
      <c r="F166" s="167" t="s">
        <v>41</v>
      </c>
      <c r="G166" s="168" t="s">
        <v>42</v>
      </c>
      <c r="H166" s="169" t="s">
        <v>13</v>
      </c>
      <c r="I166" s="170"/>
      <c r="J166" s="170"/>
      <c r="K166" s="171"/>
      <c r="L166" s="173"/>
      <c r="M166" s="173"/>
      <c r="N166" s="173"/>
      <c r="O166" s="173"/>
      <c r="P166" s="173"/>
    </row>
    <row r="167" spans="1:16" ht="21.75" customHeight="1" x14ac:dyDescent="0.2">
      <c r="A167" s="164"/>
      <c r="B167" s="165"/>
      <c r="C167" s="165"/>
      <c r="D167" s="174"/>
      <c r="E167" s="167"/>
      <c r="F167" s="167"/>
      <c r="G167" s="179" t="s">
        <v>44</v>
      </c>
      <c r="H167" s="169" t="s">
        <v>13</v>
      </c>
      <c r="I167" s="170"/>
      <c r="J167" s="170"/>
      <c r="K167" s="171"/>
      <c r="L167" s="178"/>
      <c r="M167" s="178"/>
      <c r="N167" s="175"/>
      <c r="O167" s="178"/>
      <c r="P167" s="178"/>
    </row>
    <row r="168" spans="1:16" ht="21.75" customHeight="1" x14ac:dyDescent="0.2">
      <c r="A168" s="185"/>
      <c r="B168" s="186"/>
      <c r="C168" s="165" t="s">
        <v>17</v>
      </c>
      <c r="D168" s="187" t="s">
        <v>45</v>
      </c>
      <c r="E168" s="188"/>
      <c r="F168" s="188"/>
      <c r="G168" s="189"/>
      <c r="H168" s="190"/>
      <c r="I168" s="170"/>
      <c r="J168" s="170"/>
      <c r="K168" s="171"/>
      <c r="L168" s="191"/>
      <c r="M168" s="191"/>
      <c r="N168" s="191"/>
      <c r="O168" s="191"/>
      <c r="P168" s="191"/>
    </row>
    <row r="169" spans="1:16" ht="21.75" customHeight="1" x14ac:dyDescent="0.2">
      <c r="A169" s="185"/>
      <c r="B169" s="186"/>
      <c r="C169" s="186"/>
      <c r="D169" s="192">
        <v>1</v>
      </c>
      <c r="E169" s="193" t="s">
        <v>46</v>
      </c>
      <c r="F169" s="194"/>
      <c r="G169" s="195"/>
      <c r="H169" s="196"/>
      <c r="I169" s="197"/>
      <c r="J169" s="198">
        <f ca="1">IFERROR(__xludf.DUMMYFUNCTION("IMPORTRANGE(""https://docs.google.com/spreadsheets/d/11923uPwbBZFjjGgGUA6NLw09EwE0CqkOc4q9oUmW1yo/edit?usp=sharing"",""พิจิตร!J94"")"),0)</f>
        <v>0</v>
      </c>
      <c r="K169" s="171"/>
      <c r="L169" s="191"/>
      <c r="M169" s="191"/>
      <c r="N169" s="191"/>
      <c r="O169" s="191"/>
      <c r="P169" s="191"/>
    </row>
    <row r="170" spans="1:16" ht="21.75" customHeight="1" x14ac:dyDescent="0.2">
      <c r="A170" s="185"/>
      <c r="B170" s="186"/>
      <c r="C170" s="186"/>
      <c r="D170" s="199">
        <v>2</v>
      </c>
      <c r="E170" s="200" t="s">
        <v>47</v>
      </c>
      <c r="F170" s="201"/>
      <c r="G170" s="202"/>
      <c r="H170" s="196"/>
      <c r="I170" s="197"/>
      <c r="J170" s="207">
        <f ca="1">IFERROR(__xludf.DUMMYFUNCTION("IMPORTRANGE(""https://docs.google.com/spreadsheets/d/11923uPwbBZFjjGgGUA6NLw09EwE0CqkOc4q9oUmW1yo/edit?usp=sharing"",""พิจิตร!J95"")"),1)</f>
        <v>1</v>
      </c>
      <c r="K170" s="171"/>
      <c r="L170" s="191"/>
      <c r="M170" s="191"/>
      <c r="N170" s="191"/>
      <c r="O170" s="191"/>
      <c r="P170" s="191"/>
    </row>
    <row r="171" spans="1:16" ht="21.75" customHeight="1" x14ac:dyDescent="0.2">
      <c r="A171" s="185"/>
      <c r="B171" s="186"/>
      <c r="C171" s="186"/>
      <c r="D171" s="203"/>
      <c r="E171" s="204" t="s">
        <v>48</v>
      </c>
      <c r="F171" s="205"/>
      <c r="G171" s="206"/>
      <c r="H171" s="196"/>
      <c r="I171" s="197"/>
      <c r="J171" s="207">
        <f ca="1">IFERROR(__xludf.DUMMYFUNCTION("IMPORTRANGE(""https://docs.google.com/spreadsheets/d/11923uPwbBZFjjGgGUA6NLw09EwE0CqkOc4q9oUmW1yo/edit?usp=sharing"",""พิจิตร!J96"")"),1)</f>
        <v>1</v>
      </c>
      <c r="K171" s="171"/>
      <c r="L171" s="191"/>
      <c r="M171" s="191"/>
      <c r="N171" s="191"/>
      <c r="O171" s="191"/>
      <c r="P171" s="191"/>
    </row>
    <row r="172" spans="1:16" ht="21.75" customHeight="1" x14ac:dyDescent="0.2">
      <c r="A172" s="185"/>
      <c r="B172" s="186"/>
      <c r="C172" s="186"/>
      <c r="D172" s="203"/>
      <c r="E172" s="204" t="s">
        <v>49</v>
      </c>
      <c r="F172" s="205"/>
      <c r="G172" s="206"/>
      <c r="H172" s="196"/>
      <c r="I172" s="197"/>
      <c r="J172" s="207">
        <f ca="1">IFERROR(__xludf.DUMMYFUNCTION("IMPORTRANGE(""https://docs.google.com/spreadsheets/d/11923uPwbBZFjjGgGUA6NLw09EwE0CqkOc4q9oUmW1yo/edit?usp=sharing"",""พิจิตร!J97"")"),1)</f>
        <v>1</v>
      </c>
      <c r="K172" s="171"/>
      <c r="L172" s="191"/>
      <c r="M172" s="191"/>
      <c r="N172" s="191"/>
      <c r="O172" s="191"/>
      <c r="P172" s="191"/>
    </row>
    <row r="173" spans="1:16" ht="21.75" customHeight="1" x14ac:dyDescent="0.2">
      <c r="A173" s="185"/>
      <c r="B173" s="186"/>
      <c r="C173" s="186"/>
      <c r="D173" s="203"/>
      <c r="E173" s="208"/>
      <c r="F173" s="214" t="s">
        <v>85</v>
      </c>
      <c r="G173" s="206"/>
      <c r="H173" s="190" t="s">
        <v>84</v>
      </c>
      <c r="I173" s="197">
        <f ca="1">IFERROR(__xludf.DUMMYFUNCTION("IMPORTRANGE(""https://docs.google.com/spreadsheets/d/11923uPwbBZFjjGgGUA6NLw09EwE0CqkOc4q9oUmW1yo/edit?usp=sharing"",""พิจิตร!I98"")"),3)</f>
        <v>3</v>
      </c>
      <c r="J173" s="198">
        <f ca="1">IFERROR(__xludf.DUMMYFUNCTION("IMPORTRANGE(""https://docs.google.com/spreadsheets/d/11923uPwbBZFjjGgGUA6NLw09EwE0CqkOc4q9oUmW1yo/edit?usp=sharing"",""พิจิตร!J98"")"),0)</f>
        <v>0</v>
      </c>
      <c r="K173" s="171">
        <f ca="1">IF(I173&gt;0,J173*100/I173,0)</f>
        <v>0</v>
      </c>
      <c r="L173" s="178"/>
      <c r="M173" s="178"/>
      <c r="N173" s="175"/>
      <c r="O173" s="178"/>
      <c r="P173" s="178"/>
    </row>
    <row r="174" spans="1:16" ht="21.75" customHeight="1" x14ac:dyDescent="0.2">
      <c r="A174" s="185"/>
      <c r="B174" s="186"/>
      <c r="C174" s="186"/>
      <c r="D174" s="203"/>
      <c r="E174" s="204" t="s">
        <v>55</v>
      </c>
      <c r="F174" s="205"/>
      <c r="G174" s="206"/>
      <c r="H174" s="196"/>
      <c r="I174" s="197"/>
      <c r="J174" s="207">
        <f ca="1">IFERROR(__xludf.DUMMYFUNCTION("IMPORTRANGE(""https://docs.google.com/spreadsheets/d/11923uPwbBZFjjGgGUA6NLw09EwE0CqkOc4q9oUmW1yo/edit?usp=sharing"",""พิจิตร!J99"")"),0)</f>
        <v>0</v>
      </c>
      <c r="K174" s="171"/>
      <c r="L174" s="191"/>
      <c r="M174" s="191"/>
      <c r="N174" s="191"/>
      <c r="O174" s="191"/>
      <c r="P174" s="191"/>
    </row>
    <row r="175" spans="1:16" ht="21.75" customHeight="1" x14ac:dyDescent="0.2">
      <c r="A175" s="185"/>
      <c r="B175" s="186"/>
      <c r="C175" s="186"/>
      <c r="D175" s="215">
        <v>3</v>
      </c>
      <c r="E175" s="216" t="s">
        <v>56</v>
      </c>
      <c r="F175" s="217"/>
      <c r="G175" s="218"/>
      <c r="H175" s="196"/>
      <c r="I175" s="197"/>
      <c r="J175" s="219">
        <f ca="1">IFERROR(__xludf.DUMMYFUNCTION("IMPORTRANGE(""https://docs.google.com/spreadsheets/d/11923uPwbBZFjjGgGUA6NLw09EwE0CqkOc4q9oUmW1yo/edit?usp=sharing"",""พิจิตร!J100"")"),0)</f>
        <v>0</v>
      </c>
      <c r="K175" s="171"/>
      <c r="L175" s="191"/>
      <c r="M175" s="191"/>
      <c r="N175" s="191"/>
      <c r="O175" s="191"/>
      <c r="P175" s="191"/>
    </row>
    <row r="176" spans="1:16" ht="21.75" customHeight="1" x14ac:dyDescent="0.2">
      <c r="A176" s="279"/>
      <c r="B176" s="280"/>
      <c r="C176" s="281" t="s">
        <v>86</v>
      </c>
      <c r="D176" s="281"/>
      <c r="E176" s="281"/>
      <c r="F176" s="281"/>
      <c r="G176" s="282"/>
      <c r="H176" s="291" t="s">
        <v>84</v>
      </c>
      <c r="I176" s="292">
        <f ca="1">IFERROR(__xludf.DUMMYFUNCTION("IMPORTRANGE(""https://docs.google.com/spreadsheets/d/11923uPwbBZFjjGgGUA6NLw09EwE0CqkOc4q9oUmW1yo/edit?usp=sharing"",""พิจิตร!I101"")"),0)</f>
        <v>0</v>
      </c>
      <c r="J176" s="292">
        <f ca="1">IFERROR(__xludf.DUMMYFUNCTION("IMPORTRANGE(""https://docs.google.com/spreadsheets/d/11923uPwbBZFjjGgGUA6NLw09EwE0CqkOc4q9oUmW1yo/edit?usp=sharing"",""พิจิตร!J101"")"),0)</f>
        <v>0</v>
      </c>
      <c r="K176" s="293">
        <f ca="1">IF(I176&gt;0,J176*100/I176,0)</f>
        <v>0</v>
      </c>
      <c r="L176" s="286"/>
      <c r="M176" s="286"/>
      <c r="N176" s="286"/>
      <c r="O176" s="286"/>
      <c r="P176" s="286"/>
    </row>
    <row r="177" spans="1:16" ht="21.75" customHeight="1" x14ac:dyDescent="0.2">
      <c r="A177" s="164"/>
      <c r="B177" s="165"/>
      <c r="C177" s="165" t="s">
        <v>17</v>
      </c>
      <c r="D177" s="166" t="s">
        <v>39</v>
      </c>
      <c r="E177" s="167"/>
      <c r="F177" s="167"/>
      <c r="G177" s="168" t="s">
        <v>40</v>
      </c>
      <c r="H177" s="169" t="s">
        <v>13</v>
      </c>
      <c r="I177" s="170" t="s">
        <v>41</v>
      </c>
      <c r="J177" s="170"/>
      <c r="K177" s="171"/>
      <c r="L177" s="172"/>
      <c r="M177" s="172"/>
      <c r="N177" s="173"/>
      <c r="O177" s="173"/>
      <c r="P177" s="173"/>
    </row>
    <row r="178" spans="1:16" ht="21.75" customHeight="1" x14ac:dyDescent="0.2">
      <c r="A178" s="164"/>
      <c r="B178" s="165"/>
      <c r="C178" s="165"/>
      <c r="D178" s="174"/>
      <c r="E178" s="167"/>
      <c r="F178" s="167" t="s">
        <v>41</v>
      </c>
      <c r="G178" s="168" t="s">
        <v>42</v>
      </c>
      <c r="H178" s="169" t="s">
        <v>13</v>
      </c>
      <c r="I178" s="170"/>
      <c r="J178" s="170"/>
      <c r="K178" s="171"/>
      <c r="L178" s="173"/>
      <c r="M178" s="173"/>
      <c r="N178" s="173"/>
      <c r="O178" s="173"/>
      <c r="P178" s="173"/>
    </row>
    <row r="179" spans="1:16" ht="21.75" customHeight="1" x14ac:dyDescent="0.2">
      <c r="A179" s="164"/>
      <c r="B179" s="165"/>
      <c r="C179" s="165"/>
      <c r="D179" s="174"/>
      <c r="E179" s="167"/>
      <c r="F179" s="167"/>
      <c r="G179" s="179" t="s">
        <v>44</v>
      </c>
      <c r="H179" s="169" t="s">
        <v>13</v>
      </c>
      <c r="I179" s="170"/>
      <c r="J179" s="197"/>
      <c r="K179" s="233"/>
      <c r="L179" s="178"/>
      <c r="M179" s="178"/>
      <c r="N179" s="175"/>
      <c r="O179" s="178"/>
      <c r="P179" s="178"/>
    </row>
    <row r="180" spans="1:16" ht="21.75" customHeight="1" x14ac:dyDescent="0.2">
      <c r="A180" s="185"/>
      <c r="B180" s="186"/>
      <c r="C180" s="165" t="s">
        <v>17</v>
      </c>
      <c r="D180" s="187" t="s">
        <v>45</v>
      </c>
      <c r="E180" s="188"/>
      <c r="F180" s="188"/>
      <c r="G180" s="189"/>
      <c r="H180" s="190"/>
      <c r="I180" s="170"/>
      <c r="J180" s="197"/>
      <c r="K180" s="233"/>
      <c r="L180" s="178"/>
      <c r="M180" s="178"/>
      <c r="N180" s="178"/>
      <c r="O180" s="191"/>
      <c r="P180" s="191"/>
    </row>
    <row r="181" spans="1:16" ht="21.75" customHeight="1" x14ac:dyDescent="0.2">
      <c r="A181" s="185"/>
      <c r="B181" s="186"/>
      <c r="C181" s="186"/>
      <c r="D181" s="192">
        <v>1</v>
      </c>
      <c r="E181" s="193" t="s">
        <v>46</v>
      </c>
      <c r="F181" s="194"/>
      <c r="G181" s="195"/>
      <c r="H181" s="196"/>
      <c r="I181" s="197"/>
      <c r="J181" s="197">
        <f ca="1">IFERROR(__xludf.DUMMYFUNCTION("IMPORTRANGE(""https://docs.google.com/spreadsheets/d/11923uPwbBZFjjGgGUA6NLw09EwE0CqkOc4q9oUmW1yo/edit?usp=sharing"",""พิจิตร!J106"")"),0)</f>
        <v>0</v>
      </c>
      <c r="K181" s="233"/>
      <c r="L181" s="178"/>
      <c r="M181" s="178"/>
      <c r="N181" s="178"/>
      <c r="O181" s="191"/>
      <c r="P181" s="191"/>
    </row>
    <row r="182" spans="1:16" ht="21.75" customHeight="1" x14ac:dyDescent="0.2">
      <c r="A182" s="185"/>
      <c r="B182" s="186"/>
      <c r="C182" s="186"/>
      <c r="D182" s="199">
        <v>2</v>
      </c>
      <c r="E182" s="200" t="s">
        <v>47</v>
      </c>
      <c r="F182" s="201"/>
      <c r="G182" s="202"/>
      <c r="H182" s="196"/>
      <c r="I182" s="197"/>
      <c r="J182" s="197">
        <f ca="1">IFERROR(__xludf.DUMMYFUNCTION("IMPORTRANGE(""https://docs.google.com/spreadsheets/d/11923uPwbBZFjjGgGUA6NLw09EwE0CqkOc4q9oUmW1yo/edit?usp=sharing"",""พิจิตร!J107"")"),0)</f>
        <v>0</v>
      </c>
      <c r="K182" s="233"/>
      <c r="L182" s="178"/>
      <c r="M182" s="178"/>
      <c r="N182" s="178"/>
      <c r="O182" s="191"/>
      <c r="P182" s="191"/>
    </row>
    <row r="183" spans="1:16" ht="21.75" customHeight="1" x14ac:dyDescent="0.2">
      <c r="A183" s="185"/>
      <c r="B183" s="186"/>
      <c r="C183" s="186"/>
      <c r="D183" s="203"/>
      <c r="E183" s="204" t="s">
        <v>48</v>
      </c>
      <c r="F183" s="205"/>
      <c r="G183" s="206"/>
      <c r="H183" s="196"/>
      <c r="I183" s="197"/>
      <c r="J183" s="197">
        <f ca="1">IFERROR(__xludf.DUMMYFUNCTION("IMPORTRANGE(""https://docs.google.com/spreadsheets/d/11923uPwbBZFjjGgGUA6NLw09EwE0CqkOc4q9oUmW1yo/edit?usp=sharing"",""พิจิตร!J108"")"),0)</f>
        <v>0</v>
      </c>
      <c r="K183" s="233"/>
      <c r="L183" s="178"/>
      <c r="M183" s="178"/>
      <c r="N183" s="178"/>
      <c r="O183" s="191"/>
      <c r="P183" s="191"/>
    </row>
    <row r="184" spans="1:16" ht="21.75" customHeight="1" x14ac:dyDescent="0.2">
      <c r="A184" s="185"/>
      <c r="B184" s="186"/>
      <c r="C184" s="186"/>
      <c r="D184" s="203"/>
      <c r="E184" s="204" t="s">
        <v>49</v>
      </c>
      <c r="F184" s="205"/>
      <c r="G184" s="206"/>
      <c r="H184" s="196"/>
      <c r="I184" s="197"/>
      <c r="J184" s="197">
        <f ca="1">IFERROR(__xludf.DUMMYFUNCTION("IMPORTRANGE(""https://docs.google.com/spreadsheets/d/11923uPwbBZFjjGgGUA6NLw09EwE0CqkOc4q9oUmW1yo/edit?usp=sharing"",""พิจิตร!J109"")"),0)</f>
        <v>0</v>
      </c>
      <c r="K184" s="233"/>
      <c r="L184" s="178"/>
      <c r="M184" s="178"/>
      <c r="N184" s="178"/>
      <c r="O184" s="191"/>
      <c r="P184" s="191"/>
    </row>
    <row r="185" spans="1:16" ht="21.75" customHeight="1" x14ac:dyDescent="0.2">
      <c r="A185" s="185"/>
      <c r="B185" s="186"/>
      <c r="C185" s="186"/>
      <c r="D185" s="203"/>
      <c r="E185" s="208"/>
      <c r="F185" s="204" t="s">
        <v>87</v>
      </c>
      <c r="G185" s="206"/>
      <c r="H185" s="190" t="s">
        <v>84</v>
      </c>
      <c r="I185" s="197">
        <f ca="1">IFERROR(__xludf.DUMMYFUNCTION("IMPORTRANGE(""https://docs.google.com/spreadsheets/d/11923uPwbBZFjjGgGUA6NLw09EwE0CqkOc4q9oUmW1yo/edit?usp=sharing"",""พิจิตร!I110"")"),0)</f>
        <v>0</v>
      </c>
      <c r="J185" s="213">
        <f ca="1">IFERROR(__xludf.DUMMYFUNCTION("IMPORTRANGE(""https://docs.google.com/spreadsheets/d/11923uPwbBZFjjGgGUA6NLw09EwE0CqkOc4q9oUmW1yo/edit?usp=sharing"",""พิจิตร!J110"")"),0)</f>
        <v>0</v>
      </c>
      <c r="K185" s="233">
        <f t="shared" ref="K185:K186" ca="1" si="69">IF(I185&gt;0,J185*100/I185,0)</f>
        <v>0</v>
      </c>
      <c r="L185" s="178"/>
      <c r="M185" s="178"/>
      <c r="N185" s="175"/>
      <c r="O185" s="178"/>
      <c r="P185" s="178"/>
    </row>
    <row r="186" spans="1:16" ht="21.75" customHeight="1" x14ac:dyDescent="0.2">
      <c r="A186" s="185"/>
      <c r="B186" s="186"/>
      <c r="C186" s="186"/>
      <c r="D186" s="203"/>
      <c r="E186" s="208"/>
      <c r="F186" s="204" t="s">
        <v>88</v>
      </c>
      <c r="G186" s="206"/>
      <c r="H186" s="190" t="s">
        <v>84</v>
      </c>
      <c r="I186" s="197">
        <f ca="1">IFERROR(__xludf.DUMMYFUNCTION("IMPORTRANGE(""https://docs.google.com/spreadsheets/d/11923uPwbBZFjjGgGUA6NLw09EwE0CqkOc4q9oUmW1yo/edit?usp=sharing"",""พิจิตร!I111"")"),0)</f>
        <v>0</v>
      </c>
      <c r="J186" s="213">
        <f ca="1">IFERROR(__xludf.DUMMYFUNCTION("IMPORTRANGE(""https://docs.google.com/spreadsheets/d/11923uPwbBZFjjGgGUA6NLw09EwE0CqkOc4q9oUmW1yo/edit?usp=sharing"",""พิจิตร!J111"")"),0)</f>
        <v>0</v>
      </c>
      <c r="K186" s="233">
        <f t="shared" ca="1" si="69"/>
        <v>0</v>
      </c>
      <c r="L186" s="178"/>
      <c r="M186" s="178"/>
      <c r="N186" s="175"/>
      <c r="O186" s="178"/>
      <c r="P186" s="178"/>
    </row>
    <row r="187" spans="1:16" ht="21.75" customHeight="1" x14ac:dyDescent="0.2">
      <c r="A187" s="185"/>
      <c r="B187" s="186"/>
      <c r="C187" s="186"/>
      <c r="D187" s="203"/>
      <c r="E187" s="204" t="s">
        <v>55</v>
      </c>
      <c r="F187" s="205"/>
      <c r="G187" s="206"/>
      <c r="H187" s="196"/>
      <c r="I187" s="197"/>
      <c r="J187" s="197">
        <f ca="1">IFERROR(__xludf.DUMMYFUNCTION("IMPORTRANGE(""https://docs.google.com/spreadsheets/d/11923uPwbBZFjjGgGUA6NLw09EwE0CqkOc4q9oUmW1yo/edit?usp=sharing"",""พิจิตร!J112"")"),0)</f>
        <v>0</v>
      </c>
      <c r="K187" s="233"/>
      <c r="L187" s="178"/>
      <c r="M187" s="178"/>
      <c r="N187" s="178"/>
      <c r="O187" s="191"/>
      <c r="P187" s="191"/>
    </row>
    <row r="188" spans="1:16" ht="21.75" customHeight="1" x14ac:dyDescent="0.2">
      <c r="A188" s="185"/>
      <c r="B188" s="186"/>
      <c r="C188" s="186"/>
      <c r="D188" s="215">
        <v>3</v>
      </c>
      <c r="E188" s="216" t="s">
        <v>56</v>
      </c>
      <c r="F188" s="217"/>
      <c r="G188" s="218"/>
      <c r="H188" s="196"/>
      <c r="I188" s="197"/>
      <c r="J188" s="236">
        <f ca="1">IFERROR(__xludf.DUMMYFUNCTION("IMPORTRANGE(""https://docs.google.com/spreadsheets/d/11923uPwbBZFjjGgGUA6NLw09EwE0CqkOc4q9oUmW1yo/edit?usp=sharing"",""พิจิตร!J113"")"),0)</f>
        <v>0</v>
      </c>
      <c r="K188" s="233"/>
      <c r="L188" s="178"/>
      <c r="M188" s="178"/>
      <c r="N188" s="178"/>
      <c r="O188" s="191"/>
      <c r="P188" s="191"/>
    </row>
    <row r="189" spans="1:16" ht="21.75" customHeight="1" x14ac:dyDescent="0.2">
      <c r="A189" s="279"/>
      <c r="B189" s="280"/>
      <c r="C189" s="281" t="s">
        <v>89</v>
      </c>
      <c r="D189" s="281"/>
      <c r="E189" s="281"/>
      <c r="F189" s="281"/>
      <c r="G189" s="282"/>
      <c r="H189" s="294" t="s">
        <v>90</v>
      </c>
      <c r="I189" s="292">
        <f ca="1">IFERROR(__xludf.DUMMYFUNCTION("IMPORTRANGE(""https://docs.google.com/spreadsheets/d/11923uPwbBZFjjGgGUA6NLw09EwE0CqkOc4q9oUmW1yo/edit?usp=sharing"",""พิจิตร!I114"")"),20000)</f>
        <v>20000</v>
      </c>
      <c r="J189" s="292">
        <f ca="1">IFERROR(__xludf.DUMMYFUNCTION("IMPORTRANGE(""https://docs.google.com/spreadsheets/d/11923uPwbBZFjjGgGUA6NLw09EwE0CqkOc4q9oUmW1yo/edit?usp=sharing"",""พิจิตร!J114"")"),0)</f>
        <v>0</v>
      </c>
      <c r="K189" s="293">
        <f ca="1">IF(I189&gt;0,J189*100/I189,0)</f>
        <v>0</v>
      </c>
      <c r="L189" s="286"/>
      <c r="M189" s="286"/>
      <c r="N189" s="286"/>
      <c r="O189" s="286"/>
      <c r="P189" s="286"/>
    </row>
    <row r="190" spans="1:16" ht="21.75" customHeight="1" x14ac:dyDescent="0.2">
      <c r="A190" s="164"/>
      <c r="B190" s="165"/>
      <c r="C190" s="165" t="s">
        <v>17</v>
      </c>
      <c r="D190" s="166" t="s">
        <v>39</v>
      </c>
      <c r="E190" s="167"/>
      <c r="F190" s="167"/>
      <c r="G190" s="168" t="s">
        <v>40</v>
      </c>
      <c r="H190" s="169" t="s">
        <v>13</v>
      </c>
      <c r="I190" s="170" t="s">
        <v>41</v>
      </c>
      <c r="J190" s="170"/>
      <c r="K190" s="171"/>
      <c r="L190" s="172"/>
      <c r="M190" s="172"/>
      <c r="N190" s="173"/>
      <c r="O190" s="173"/>
      <c r="P190" s="173"/>
    </row>
    <row r="191" spans="1:16" ht="21.75" customHeight="1" x14ac:dyDescent="0.2">
      <c r="A191" s="164"/>
      <c r="B191" s="165"/>
      <c r="C191" s="165"/>
      <c r="D191" s="174"/>
      <c r="E191" s="167"/>
      <c r="F191" s="167" t="s">
        <v>41</v>
      </c>
      <c r="G191" s="168" t="s">
        <v>42</v>
      </c>
      <c r="H191" s="169" t="s">
        <v>13</v>
      </c>
      <c r="I191" s="170"/>
      <c r="J191" s="170"/>
      <c r="K191" s="171"/>
      <c r="L191" s="173"/>
      <c r="M191" s="173"/>
      <c r="N191" s="173"/>
      <c r="O191" s="173"/>
      <c r="P191" s="173"/>
    </row>
    <row r="192" spans="1:16" ht="21.75" customHeight="1" x14ac:dyDescent="0.2">
      <c r="A192" s="164"/>
      <c r="B192" s="165"/>
      <c r="C192" s="165"/>
      <c r="D192" s="174"/>
      <c r="E192" s="167"/>
      <c r="F192" s="167"/>
      <c r="G192" s="179" t="s">
        <v>44</v>
      </c>
      <c r="H192" s="169" t="s">
        <v>13</v>
      </c>
      <c r="I192" s="170"/>
      <c r="J192" s="170"/>
      <c r="K192" s="171"/>
      <c r="L192" s="178"/>
      <c r="M192" s="178"/>
      <c r="N192" s="175"/>
      <c r="O192" s="178"/>
      <c r="P192" s="178"/>
    </row>
    <row r="193" spans="1:16" ht="21.75" customHeight="1" x14ac:dyDescent="0.2">
      <c r="A193" s="185"/>
      <c r="B193" s="186"/>
      <c r="C193" s="165" t="s">
        <v>17</v>
      </c>
      <c r="D193" s="187" t="s">
        <v>45</v>
      </c>
      <c r="E193" s="188"/>
      <c r="F193" s="188"/>
      <c r="G193" s="189"/>
      <c r="H193" s="190"/>
      <c r="I193" s="170"/>
      <c r="J193" s="170"/>
      <c r="K193" s="171"/>
      <c r="L193" s="191"/>
      <c r="M193" s="191"/>
      <c r="N193" s="191"/>
      <c r="O193" s="191"/>
      <c r="P193" s="191"/>
    </row>
    <row r="194" spans="1:16" ht="21.75" customHeight="1" x14ac:dyDescent="0.2">
      <c r="A194" s="185"/>
      <c r="B194" s="186"/>
      <c r="C194" s="186"/>
      <c r="D194" s="192">
        <v>1</v>
      </c>
      <c r="E194" s="193" t="s">
        <v>46</v>
      </c>
      <c r="F194" s="194"/>
      <c r="G194" s="195"/>
      <c r="H194" s="196"/>
      <c r="I194" s="197"/>
      <c r="J194" s="207">
        <f ca="1">IFERROR(__xludf.DUMMYFUNCTION("IMPORTRANGE(""https://docs.google.com/spreadsheets/d/11923uPwbBZFjjGgGUA6NLw09EwE0CqkOc4q9oUmW1yo/edit?usp=sharing"",""พิจิตร!J119"")"),0)</f>
        <v>0</v>
      </c>
      <c r="K194" s="171"/>
      <c r="L194" s="191"/>
      <c r="M194" s="191"/>
      <c r="N194" s="191"/>
      <c r="O194" s="191"/>
      <c r="P194" s="191"/>
    </row>
    <row r="195" spans="1:16" ht="21.75" customHeight="1" x14ac:dyDescent="0.2">
      <c r="A195" s="185"/>
      <c r="B195" s="186"/>
      <c r="C195" s="186"/>
      <c r="D195" s="199">
        <v>2</v>
      </c>
      <c r="E195" s="200" t="s">
        <v>47</v>
      </c>
      <c r="F195" s="201"/>
      <c r="G195" s="202"/>
      <c r="H195" s="196"/>
      <c r="I195" s="197"/>
      <c r="J195" s="198">
        <f ca="1">IFERROR(__xludf.DUMMYFUNCTION("IMPORTRANGE(""https://docs.google.com/spreadsheets/d/11923uPwbBZFjjGgGUA6NLw09EwE0CqkOc4q9oUmW1yo/edit?usp=sharing"",""พิจิตร!J120"")"),1)</f>
        <v>1</v>
      </c>
      <c r="K195" s="171"/>
      <c r="L195" s="191"/>
      <c r="M195" s="191"/>
      <c r="N195" s="191"/>
      <c r="O195" s="191"/>
      <c r="P195" s="191"/>
    </row>
    <row r="196" spans="1:16" ht="21.75" customHeight="1" x14ac:dyDescent="0.2">
      <c r="A196" s="185"/>
      <c r="B196" s="186"/>
      <c r="C196" s="186"/>
      <c r="D196" s="203"/>
      <c r="E196" s="204" t="s">
        <v>48</v>
      </c>
      <c r="F196" s="205"/>
      <c r="G196" s="206"/>
      <c r="H196" s="196"/>
      <c r="I196" s="197"/>
      <c r="J196" s="198">
        <f ca="1">IFERROR(__xludf.DUMMYFUNCTION("IMPORTRANGE(""https://docs.google.com/spreadsheets/d/11923uPwbBZFjjGgGUA6NLw09EwE0CqkOc4q9oUmW1yo/edit?usp=sharing"",""พิจิตร!J121"")"),1)</f>
        <v>1</v>
      </c>
      <c r="K196" s="171"/>
      <c r="L196" s="191"/>
      <c r="M196" s="191"/>
      <c r="N196" s="191"/>
      <c r="O196" s="191"/>
      <c r="P196" s="191"/>
    </row>
    <row r="197" spans="1:16" ht="21.75" customHeight="1" x14ac:dyDescent="0.2">
      <c r="A197" s="185"/>
      <c r="B197" s="186"/>
      <c r="C197" s="186"/>
      <c r="D197" s="203"/>
      <c r="E197" s="204" t="s">
        <v>49</v>
      </c>
      <c r="F197" s="205"/>
      <c r="G197" s="206"/>
      <c r="H197" s="196"/>
      <c r="I197" s="197"/>
      <c r="J197" s="207">
        <f ca="1">IFERROR(__xludf.DUMMYFUNCTION("IMPORTRANGE(""https://docs.google.com/spreadsheets/d/11923uPwbBZFjjGgGUA6NLw09EwE0CqkOc4q9oUmW1yo/edit?usp=sharing"",""พิจิตร!J122"")"),1)</f>
        <v>1</v>
      </c>
      <c r="K197" s="171"/>
      <c r="L197" s="191"/>
      <c r="M197" s="191"/>
      <c r="N197" s="191"/>
      <c r="O197" s="191"/>
      <c r="P197" s="191"/>
    </row>
    <row r="198" spans="1:16" ht="21.75" customHeight="1" x14ac:dyDescent="0.2">
      <c r="A198" s="185"/>
      <c r="B198" s="186"/>
      <c r="C198" s="186"/>
      <c r="D198" s="203"/>
      <c r="E198" s="205"/>
      <c r="F198" s="205" t="s">
        <v>91</v>
      </c>
      <c r="G198" s="206"/>
      <c r="H198" s="190"/>
      <c r="I198" s="197"/>
      <c r="J198" s="197"/>
      <c r="K198" s="171"/>
      <c r="L198" s="191"/>
      <c r="M198" s="191"/>
      <c r="N198" s="191"/>
      <c r="O198" s="191"/>
      <c r="P198" s="191"/>
    </row>
    <row r="199" spans="1:16" ht="21.75" customHeight="1" x14ac:dyDescent="0.2">
      <c r="A199" s="185"/>
      <c r="B199" s="186"/>
      <c r="C199" s="186"/>
      <c r="D199" s="203"/>
      <c r="E199" s="208"/>
      <c r="F199" s="205"/>
      <c r="G199" s="204" t="s">
        <v>92</v>
      </c>
      <c r="H199" s="190" t="s">
        <v>90</v>
      </c>
      <c r="I199" s="197">
        <f ca="1">IFERROR(__xludf.DUMMYFUNCTION("IMPORTRANGE(""https://docs.google.com/spreadsheets/d/11923uPwbBZFjjGgGUA6NLw09EwE0CqkOc4q9oUmW1yo/edit?usp=sharing"",""พิจิตร!I124"")"),20000)</f>
        <v>20000</v>
      </c>
      <c r="J199" s="198">
        <f ca="1">IFERROR(__xludf.DUMMYFUNCTION("IMPORTRANGE(""https://docs.google.com/spreadsheets/d/11923uPwbBZFjjGgGUA6NLw09EwE0CqkOc4q9oUmW1yo/edit?usp=sharing"",""พิจิตร!J124"")"),0)</f>
        <v>0</v>
      </c>
      <c r="K199" s="171">
        <f t="shared" ref="K199:K201" ca="1" si="70">IF(I199&gt;0,J199*100/I199,0)</f>
        <v>0</v>
      </c>
      <c r="L199" s="191"/>
      <c r="M199" s="191"/>
      <c r="N199" s="191"/>
      <c r="O199" s="191"/>
      <c r="P199" s="191"/>
    </row>
    <row r="200" spans="1:16" ht="21.75" customHeight="1" x14ac:dyDescent="0.2">
      <c r="A200" s="185"/>
      <c r="B200" s="186"/>
      <c r="C200" s="186"/>
      <c r="D200" s="203"/>
      <c r="E200" s="208"/>
      <c r="F200" s="205"/>
      <c r="G200" s="204" t="s">
        <v>93</v>
      </c>
      <c r="H200" s="190" t="s">
        <v>90</v>
      </c>
      <c r="I200" s="197">
        <f ca="1">IFERROR(__xludf.DUMMYFUNCTION("IMPORTRANGE(""https://docs.google.com/spreadsheets/d/11923uPwbBZFjjGgGUA6NLw09EwE0CqkOc4q9oUmW1yo/edit?usp=sharing"",""พิจิตร!I125"")"),20000)</f>
        <v>20000</v>
      </c>
      <c r="J200" s="198">
        <f ca="1">IFERROR(__xludf.DUMMYFUNCTION("IMPORTRANGE(""https://docs.google.com/spreadsheets/d/11923uPwbBZFjjGgGUA6NLw09EwE0CqkOc4q9oUmW1yo/edit?usp=sharing"",""พิจิตร!J125"")"),0)</f>
        <v>0</v>
      </c>
      <c r="K200" s="171">
        <f t="shared" ca="1" si="70"/>
        <v>0</v>
      </c>
      <c r="L200" s="178"/>
      <c r="M200" s="178"/>
      <c r="N200" s="175"/>
      <c r="O200" s="178"/>
      <c r="P200" s="178"/>
    </row>
    <row r="201" spans="1:16" ht="21.75" customHeight="1" x14ac:dyDescent="0.2">
      <c r="A201" s="185"/>
      <c r="B201" s="186"/>
      <c r="C201" s="186"/>
      <c r="D201" s="203"/>
      <c r="E201" s="208"/>
      <c r="F201" s="205" t="s">
        <v>94</v>
      </c>
      <c r="G201" s="206"/>
      <c r="H201" s="190" t="s">
        <v>38</v>
      </c>
      <c r="I201" s="197">
        <f ca="1">IFERROR(__xludf.DUMMYFUNCTION("IMPORTRANGE(""https://docs.google.com/spreadsheets/d/11923uPwbBZFjjGgGUA6NLw09EwE0CqkOc4q9oUmW1yo/edit?usp=sharing"",""พิจิตร!I126"")"),0)</f>
        <v>0</v>
      </c>
      <c r="J201" s="198">
        <f ca="1">IFERROR(__xludf.DUMMYFUNCTION("IMPORTRANGE(""https://docs.google.com/spreadsheets/d/11923uPwbBZFjjGgGUA6NLw09EwE0CqkOc4q9oUmW1yo/edit?usp=sharing"",""พิจิตร!J126"")"),0)</f>
        <v>0</v>
      </c>
      <c r="K201" s="171">
        <f t="shared" ca="1" si="70"/>
        <v>0</v>
      </c>
      <c r="L201" s="178"/>
      <c r="M201" s="178"/>
      <c r="N201" s="175"/>
      <c r="O201" s="178"/>
      <c r="P201" s="178"/>
    </row>
    <row r="202" spans="1:16" ht="21.75" customHeight="1" x14ac:dyDescent="0.2">
      <c r="A202" s="185"/>
      <c r="B202" s="186"/>
      <c r="C202" s="186"/>
      <c r="D202" s="203"/>
      <c r="E202" s="204" t="s">
        <v>55</v>
      </c>
      <c r="F202" s="205"/>
      <c r="G202" s="206"/>
      <c r="H202" s="196"/>
      <c r="I202" s="197"/>
      <c r="J202" s="207">
        <f ca="1">IFERROR(__xludf.DUMMYFUNCTION("IMPORTRANGE(""https://docs.google.com/spreadsheets/d/11923uPwbBZFjjGgGUA6NLw09EwE0CqkOc4q9oUmW1yo/edit?usp=sharing"",""พิจิตร!J127"")"),0)</f>
        <v>0</v>
      </c>
      <c r="K202" s="171"/>
      <c r="L202" s="191"/>
      <c r="M202" s="191"/>
      <c r="N202" s="191"/>
      <c r="O202" s="191"/>
      <c r="P202" s="191"/>
    </row>
    <row r="203" spans="1:16" ht="21.75" customHeight="1" x14ac:dyDescent="0.2">
      <c r="A203" s="243"/>
      <c r="B203" s="244"/>
      <c r="C203" s="244"/>
      <c r="D203" s="245">
        <v>3</v>
      </c>
      <c r="E203" s="246" t="s">
        <v>56</v>
      </c>
      <c r="F203" s="247"/>
      <c r="G203" s="248"/>
      <c r="H203" s="249"/>
      <c r="I203" s="250"/>
      <c r="J203" s="295">
        <f ca="1">IFERROR(__xludf.DUMMYFUNCTION("IMPORTRANGE(""https://docs.google.com/spreadsheets/d/11923uPwbBZFjjGgGUA6NLw09EwE0CqkOc4q9oUmW1yo/edit?usp=sharing"",""พิจิตร!J128"")"),0)</f>
        <v>0</v>
      </c>
      <c r="K203" s="296"/>
      <c r="L203" s="254"/>
      <c r="M203" s="254"/>
      <c r="N203" s="254"/>
      <c r="O203" s="254"/>
      <c r="P203" s="254"/>
    </row>
    <row r="204" spans="1:16" ht="21.75" customHeight="1" x14ac:dyDescent="0.2">
      <c r="A204" s="279"/>
      <c r="B204" s="280"/>
      <c r="C204" s="297" t="s">
        <v>95</v>
      </c>
      <c r="D204" s="281"/>
      <c r="E204" s="281"/>
      <c r="F204" s="281"/>
      <c r="G204" s="282"/>
      <c r="H204" s="294" t="s">
        <v>38</v>
      </c>
      <c r="I204" s="292">
        <f ca="1">IFERROR(__xludf.DUMMYFUNCTION("IMPORTRANGE(""https://docs.google.com/spreadsheets/d/11923uPwbBZFjjGgGUA6NLw09EwE0CqkOc4q9oUmW1yo/edit?usp=sharing"",""พิจิตร!I129"")"),0)</f>
        <v>0</v>
      </c>
      <c r="J204" s="292">
        <f ca="1">IFERROR(__xludf.DUMMYFUNCTION("IMPORTRANGE(""https://docs.google.com/spreadsheets/d/11923uPwbBZFjjGgGUA6NLw09EwE0CqkOc4q9oUmW1yo/edit?usp=sharing"",""พิจิตร!J129"")"),0)</f>
        <v>0</v>
      </c>
      <c r="K204" s="293">
        <f ca="1">IF(I204&gt;0,J204*100/I204,0)</f>
        <v>0</v>
      </c>
      <c r="L204" s="286"/>
      <c r="M204" s="286"/>
      <c r="N204" s="286"/>
      <c r="O204" s="286"/>
      <c r="P204" s="286"/>
    </row>
    <row r="205" spans="1:16" ht="21.75" customHeight="1" x14ac:dyDescent="0.2">
      <c r="A205" s="164"/>
      <c r="B205" s="165"/>
      <c r="C205" s="165" t="s">
        <v>17</v>
      </c>
      <c r="D205" s="166" t="s">
        <v>39</v>
      </c>
      <c r="E205" s="167"/>
      <c r="F205" s="167"/>
      <c r="G205" s="168" t="s">
        <v>40</v>
      </c>
      <c r="H205" s="169" t="s">
        <v>13</v>
      </c>
      <c r="I205" s="170" t="s">
        <v>41</v>
      </c>
      <c r="J205" s="170"/>
      <c r="K205" s="171"/>
      <c r="L205" s="172"/>
      <c r="M205" s="172"/>
      <c r="N205" s="173"/>
      <c r="O205" s="173"/>
      <c r="P205" s="173"/>
    </row>
    <row r="206" spans="1:16" ht="21.75" customHeight="1" x14ac:dyDescent="0.2">
      <c r="A206" s="164"/>
      <c r="B206" s="165"/>
      <c r="C206" s="165"/>
      <c r="D206" s="174"/>
      <c r="E206" s="167"/>
      <c r="F206" s="167" t="s">
        <v>41</v>
      </c>
      <c r="G206" s="168" t="s">
        <v>42</v>
      </c>
      <c r="H206" s="169" t="s">
        <v>13</v>
      </c>
      <c r="I206" s="170"/>
      <c r="J206" s="170"/>
      <c r="K206" s="171"/>
      <c r="L206" s="173"/>
      <c r="M206" s="173"/>
      <c r="N206" s="173"/>
      <c r="O206" s="173"/>
      <c r="P206" s="173"/>
    </row>
    <row r="207" spans="1:16" ht="21.75" customHeight="1" x14ac:dyDescent="0.2">
      <c r="A207" s="164"/>
      <c r="B207" s="165"/>
      <c r="C207" s="165"/>
      <c r="D207" s="174"/>
      <c r="E207" s="167"/>
      <c r="F207" s="167"/>
      <c r="G207" s="179" t="s">
        <v>44</v>
      </c>
      <c r="H207" s="169" t="s">
        <v>13</v>
      </c>
      <c r="I207" s="170"/>
      <c r="J207" s="197"/>
      <c r="K207" s="233"/>
      <c r="L207" s="178"/>
      <c r="M207" s="178"/>
      <c r="N207" s="175"/>
      <c r="O207" s="178"/>
      <c r="P207" s="178"/>
    </row>
    <row r="208" spans="1:16" ht="21.75" customHeight="1" x14ac:dyDescent="0.2">
      <c r="A208" s="185"/>
      <c r="B208" s="186"/>
      <c r="C208" s="165" t="s">
        <v>17</v>
      </c>
      <c r="D208" s="187" t="s">
        <v>45</v>
      </c>
      <c r="E208" s="188"/>
      <c r="F208" s="188"/>
      <c r="G208" s="189"/>
      <c r="H208" s="190"/>
      <c r="I208" s="170"/>
      <c r="J208" s="197"/>
      <c r="K208" s="233"/>
      <c r="L208" s="178"/>
      <c r="M208" s="178"/>
      <c r="N208" s="178"/>
      <c r="O208" s="191"/>
      <c r="P208" s="191"/>
    </row>
    <row r="209" spans="1:16" ht="21.75" customHeight="1" x14ac:dyDescent="0.2">
      <c r="A209" s="185"/>
      <c r="B209" s="186"/>
      <c r="C209" s="186"/>
      <c r="D209" s="192">
        <v>1</v>
      </c>
      <c r="E209" s="193" t="s">
        <v>46</v>
      </c>
      <c r="F209" s="194"/>
      <c r="G209" s="195"/>
      <c r="H209" s="196"/>
      <c r="I209" s="197"/>
      <c r="J209" s="197">
        <f ca="1">IFERROR(__xludf.DUMMYFUNCTION("IMPORTRANGE(""https://docs.google.com/spreadsheets/d/11923uPwbBZFjjGgGUA6NLw09EwE0CqkOc4q9oUmW1yo/edit?usp=sharing"",""พิจิตร!J134"")"),0)</f>
        <v>0</v>
      </c>
      <c r="K209" s="233"/>
      <c r="L209" s="178"/>
      <c r="M209" s="178"/>
      <c r="N209" s="178"/>
      <c r="O209" s="191"/>
      <c r="P209" s="191"/>
    </row>
    <row r="210" spans="1:16" ht="21.75" customHeight="1" x14ac:dyDescent="0.2">
      <c r="A210" s="185"/>
      <c r="B210" s="186"/>
      <c r="C210" s="186"/>
      <c r="D210" s="199">
        <v>2</v>
      </c>
      <c r="E210" s="200" t="s">
        <v>47</v>
      </c>
      <c r="F210" s="201"/>
      <c r="G210" s="202"/>
      <c r="H210" s="196"/>
      <c r="I210" s="197"/>
      <c r="J210" s="197">
        <f ca="1">IFERROR(__xludf.DUMMYFUNCTION("IMPORTRANGE(""https://docs.google.com/spreadsheets/d/11923uPwbBZFjjGgGUA6NLw09EwE0CqkOc4q9oUmW1yo/edit?usp=sharing"",""พิจิตร!J135"")"),0)</f>
        <v>0</v>
      </c>
      <c r="K210" s="233"/>
      <c r="L210" s="178"/>
      <c r="M210" s="178"/>
      <c r="N210" s="178"/>
      <c r="O210" s="191"/>
      <c r="P210" s="191"/>
    </row>
    <row r="211" spans="1:16" ht="21.75" customHeight="1" x14ac:dyDescent="0.2">
      <c r="A211" s="185"/>
      <c r="B211" s="186"/>
      <c r="C211" s="186"/>
      <c r="D211" s="203"/>
      <c r="E211" s="204" t="s">
        <v>48</v>
      </c>
      <c r="F211" s="205"/>
      <c r="G211" s="206"/>
      <c r="H211" s="196"/>
      <c r="I211" s="197"/>
      <c r="J211" s="197">
        <f ca="1">IFERROR(__xludf.DUMMYFUNCTION("IMPORTRANGE(""https://docs.google.com/spreadsheets/d/11923uPwbBZFjjGgGUA6NLw09EwE0CqkOc4q9oUmW1yo/edit?usp=sharing"",""พิจิตร!J136"")"),0)</f>
        <v>0</v>
      </c>
      <c r="K211" s="233"/>
      <c r="L211" s="178"/>
      <c r="M211" s="178"/>
      <c r="N211" s="178"/>
      <c r="O211" s="191"/>
      <c r="P211" s="191"/>
    </row>
    <row r="212" spans="1:16" ht="21.75" customHeight="1" x14ac:dyDescent="0.2">
      <c r="A212" s="185"/>
      <c r="B212" s="186"/>
      <c r="C212" s="186"/>
      <c r="D212" s="203"/>
      <c r="E212" s="204" t="s">
        <v>49</v>
      </c>
      <c r="F212" s="205"/>
      <c r="G212" s="206"/>
      <c r="H212" s="196"/>
      <c r="I212" s="197"/>
      <c r="J212" s="197">
        <f ca="1">IFERROR(__xludf.DUMMYFUNCTION("IMPORTRANGE(""https://docs.google.com/spreadsheets/d/11923uPwbBZFjjGgGUA6NLw09EwE0CqkOc4q9oUmW1yo/edit?usp=sharing"",""พิจิตร!J137"")"),0)</f>
        <v>0</v>
      </c>
      <c r="K212" s="233"/>
      <c r="L212" s="178"/>
      <c r="M212" s="178"/>
      <c r="N212" s="178"/>
      <c r="O212" s="191"/>
      <c r="P212" s="191"/>
    </row>
    <row r="213" spans="1:16" ht="21.75" customHeight="1" x14ac:dyDescent="0.2">
      <c r="A213" s="185"/>
      <c r="B213" s="186"/>
      <c r="C213" s="186"/>
      <c r="D213" s="203"/>
      <c r="E213" s="208"/>
      <c r="F213" s="205" t="s">
        <v>96</v>
      </c>
      <c r="G213" s="206"/>
      <c r="H213" s="190" t="s">
        <v>38</v>
      </c>
      <c r="I213" s="197">
        <f ca="1">IFERROR(__xludf.DUMMYFUNCTION("IMPORTRANGE(""https://docs.google.com/spreadsheets/d/11923uPwbBZFjjGgGUA6NLw09EwE0CqkOc4q9oUmW1yo/edit?usp=sharing"",""พิจิตร!I138"")"),0)</f>
        <v>0</v>
      </c>
      <c r="J213" s="213">
        <f ca="1">IFERROR(__xludf.DUMMYFUNCTION("IMPORTRANGE(""https://docs.google.com/spreadsheets/d/11923uPwbBZFjjGgGUA6NLw09EwE0CqkOc4q9oUmW1yo/edit?usp=sharing"",""พิจิตร!J138"")"),0)</f>
        <v>0</v>
      </c>
      <c r="K213" s="233">
        <f ca="1">IF(I213&gt;0,J213*100/I213,0)</f>
        <v>0</v>
      </c>
      <c r="L213" s="178"/>
      <c r="M213" s="178"/>
      <c r="N213" s="175"/>
      <c r="O213" s="178"/>
      <c r="P213" s="178"/>
    </row>
    <row r="214" spans="1:16" ht="21.75" customHeight="1" x14ac:dyDescent="0.2">
      <c r="A214" s="185"/>
      <c r="B214" s="186"/>
      <c r="C214" s="186"/>
      <c r="D214" s="203"/>
      <c r="E214" s="208"/>
      <c r="F214" s="204" t="s">
        <v>54</v>
      </c>
      <c r="G214" s="206"/>
      <c r="H214" s="190"/>
      <c r="I214" s="197"/>
      <c r="J214" s="197"/>
      <c r="K214" s="233"/>
      <c r="L214" s="178"/>
      <c r="M214" s="178"/>
      <c r="N214" s="178"/>
      <c r="O214" s="191"/>
      <c r="P214" s="191"/>
    </row>
    <row r="215" spans="1:16" ht="21.75" customHeight="1" x14ac:dyDescent="0.2">
      <c r="A215" s="185"/>
      <c r="B215" s="186"/>
      <c r="C215" s="186"/>
      <c r="D215" s="203"/>
      <c r="E215" s="208"/>
      <c r="F215" s="205"/>
      <c r="G215" s="235" t="s">
        <v>97</v>
      </c>
      <c r="H215" s="190" t="s">
        <v>38</v>
      </c>
      <c r="I215" s="197">
        <f ca="1">IFERROR(__xludf.DUMMYFUNCTION("IMPORTRANGE(""https://docs.google.com/spreadsheets/d/11923uPwbBZFjjGgGUA6NLw09EwE0CqkOc4q9oUmW1yo/edit?usp=sharing"",""พิจิตร!I140"")"),0)</f>
        <v>0</v>
      </c>
      <c r="J215" s="213">
        <f ca="1">IFERROR(__xludf.DUMMYFUNCTION("IMPORTRANGE(""https://docs.google.com/spreadsheets/d/11923uPwbBZFjjGgGUA6NLw09EwE0CqkOc4q9oUmW1yo/edit?usp=sharing"",""พิจิตร!J140"")"),0)</f>
        <v>0</v>
      </c>
      <c r="K215" s="233">
        <f t="shared" ref="K215:K216" ca="1" si="71">IF(I215&gt;0,J215*100/I215,0)</f>
        <v>0</v>
      </c>
      <c r="L215" s="178"/>
      <c r="M215" s="178"/>
      <c r="N215" s="175"/>
      <c r="O215" s="178"/>
      <c r="P215" s="178"/>
    </row>
    <row r="216" spans="1:16" ht="21.75" customHeight="1" x14ac:dyDescent="0.2">
      <c r="A216" s="185"/>
      <c r="B216" s="186"/>
      <c r="C216" s="186"/>
      <c r="D216" s="203"/>
      <c r="E216" s="208"/>
      <c r="F216" s="205"/>
      <c r="G216" s="235" t="s">
        <v>98</v>
      </c>
      <c r="H216" s="190" t="s">
        <v>60</v>
      </c>
      <c r="I216" s="197">
        <f ca="1">IFERROR(__xludf.DUMMYFUNCTION("IMPORTRANGE(""https://docs.google.com/spreadsheets/d/11923uPwbBZFjjGgGUA6NLw09EwE0CqkOc4q9oUmW1yo/edit?usp=sharing"",""พิจิตร!I141"")"),0)</f>
        <v>0</v>
      </c>
      <c r="J216" s="213">
        <f ca="1">IFERROR(__xludf.DUMMYFUNCTION("IMPORTRANGE(""https://docs.google.com/spreadsheets/d/11923uPwbBZFjjGgGUA6NLw09EwE0CqkOc4q9oUmW1yo/edit?usp=sharing"",""พิจิตร!J141"")"),0)</f>
        <v>0</v>
      </c>
      <c r="K216" s="233">
        <f t="shared" ca="1" si="71"/>
        <v>0</v>
      </c>
      <c r="L216" s="178"/>
      <c r="M216" s="178"/>
      <c r="N216" s="175"/>
      <c r="O216" s="178"/>
      <c r="P216" s="178"/>
    </row>
    <row r="217" spans="1:16" ht="21.75" customHeight="1" x14ac:dyDescent="0.2">
      <c r="A217" s="185"/>
      <c r="B217" s="186"/>
      <c r="C217" s="186"/>
      <c r="D217" s="203"/>
      <c r="E217" s="204" t="s">
        <v>55</v>
      </c>
      <c r="F217" s="205"/>
      <c r="G217" s="206"/>
      <c r="H217" s="196"/>
      <c r="I217" s="197"/>
      <c r="J217" s="197">
        <f ca="1">IFERROR(__xludf.DUMMYFUNCTION("IMPORTRANGE(""https://docs.google.com/spreadsheets/d/11923uPwbBZFjjGgGUA6NLw09EwE0CqkOc4q9oUmW1yo/edit?usp=sharing"",""พิจิตร!J142"")"),0)</f>
        <v>0</v>
      </c>
      <c r="K217" s="233"/>
      <c r="L217" s="178"/>
      <c r="M217" s="178"/>
      <c r="N217" s="178"/>
      <c r="O217" s="191"/>
      <c r="P217" s="191"/>
    </row>
    <row r="218" spans="1:16" ht="21.75" customHeight="1" x14ac:dyDescent="0.2">
      <c r="A218" s="243"/>
      <c r="B218" s="244"/>
      <c r="C218" s="244"/>
      <c r="D218" s="245">
        <v>3</v>
      </c>
      <c r="E218" s="246" t="s">
        <v>56</v>
      </c>
      <c r="F218" s="247"/>
      <c r="G218" s="248"/>
      <c r="H218" s="249"/>
      <c r="I218" s="250"/>
      <c r="J218" s="251">
        <f ca="1">IFERROR(__xludf.DUMMYFUNCTION("IMPORTRANGE(""https://docs.google.com/spreadsheets/d/11923uPwbBZFjjGgGUA6NLw09EwE0CqkOc4q9oUmW1yo/edit?usp=sharing"",""พิจิตร!J143"")"),0)</f>
        <v>0</v>
      </c>
      <c r="K218" s="252"/>
      <c r="L218" s="253"/>
      <c r="M218" s="253"/>
      <c r="N218" s="253"/>
      <c r="O218" s="254"/>
      <c r="P218" s="254"/>
    </row>
    <row r="219" spans="1:16" ht="21.75" customHeight="1" x14ac:dyDescent="0.2">
      <c r="A219" s="271"/>
      <c r="B219" s="272" t="s">
        <v>99</v>
      </c>
      <c r="C219" s="273"/>
      <c r="D219" s="272"/>
      <c r="E219" s="272"/>
      <c r="F219" s="272"/>
      <c r="G219" s="274"/>
      <c r="H219" s="275" t="s">
        <v>38</v>
      </c>
      <c r="I219" s="276">
        <f ca="1">IFERROR(__xludf.DUMMYFUNCTION("IMPORTRANGE(""https://docs.google.com/spreadsheets/d/11923uPwbBZFjjGgGUA6NLw09EwE0CqkOc4q9oUmW1yo/edit?usp=sharing"",""พิจิตร!I144"")"),15)</f>
        <v>15</v>
      </c>
      <c r="J219" s="276">
        <f ca="1">IFERROR(__xludf.DUMMYFUNCTION("IMPORTRANGE(""https://docs.google.com/spreadsheets/d/11923uPwbBZFjjGgGUA6NLw09EwE0CqkOc4q9oUmW1yo/edit?usp=sharing"",""พิจิตร!J144"")"),15)</f>
        <v>15</v>
      </c>
      <c r="K219" s="277">
        <f ca="1">IF(I219&gt;0,J219*100/I219,0)</f>
        <v>100</v>
      </c>
      <c r="L219" s="278"/>
      <c r="M219" s="278"/>
      <c r="N219" s="278"/>
      <c r="O219" s="277"/>
      <c r="P219" s="277"/>
    </row>
    <row r="220" spans="1:16" ht="21.75" customHeight="1" x14ac:dyDescent="0.3">
      <c r="A220" s="152"/>
      <c r="B220" s="153"/>
      <c r="C220" s="154" t="s">
        <v>17</v>
      </c>
      <c r="D220" s="554" t="s">
        <v>18</v>
      </c>
      <c r="E220" s="545"/>
      <c r="F220" s="545"/>
      <c r="G220" s="545"/>
      <c r="H220" s="155" t="s">
        <v>13</v>
      </c>
      <c r="I220" s="170"/>
      <c r="J220" s="170"/>
      <c r="K220" s="171"/>
      <c r="L220" s="158">
        <f t="shared" ref="L220:N220" ca="1" si="72">L221+L222</f>
        <v>21125</v>
      </c>
      <c r="M220" s="158">
        <f t="shared" ca="1" si="72"/>
        <v>21125</v>
      </c>
      <c r="N220" s="158">
        <f t="shared" ca="1" si="72"/>
        <v>0</v>
      </c>
      <c r="O220" s="157">
        <f t="shared" ref="O220:O222" ca="1" si="73">IF(L220&gt;0,N220*100/L220,0)</f>
        <v>0</v>
      </c>
      <c r="P220" s="157">
        <f t="shared" ref="P220:P222" ca="1" si="74">IF(M220&gt;0,N220*100/M220,0)</f>
        <v>0</v>
      </c>
    </row>
    <row r="221" spans="1:16" ht="21.75" customHeight="1" x14ac:dyDescent="0.3">
      <c r="A221" s="159"/>
      <c r="B221" s="34"/>
      <c r="C221" s="34"/>
      <c r="D221" s="34"/>
      <c r="E221" s="34"/>
      <c r="F221" s="34"/>
      <c r="G221" s="35" t="s">
        <v>19</v>
      </c>
      <c r="H221" s="160" t="s">
        <v>13</v>
      </c>
      <c r="I221" s="170"/>
      <c r="J221" s="170"/>
      <c r="K221" s="171"/>
      <c r="L221" s="163">
        <f t="shared" ref="L221:N221" si="75">L223+L227</f>
        <v>0</v>
      </c>
      <c r="M221" s="163">
        <f t="shared" si="75"/>
        <v>0</v>
      </c>
      <c r="N221" s="163">
        <f t="shared" si="75"/>
        <v>0</v>
      </c>
      <c r="O221" s="162">
        <f t="shared" si="73"/>
        <v>0</v>
      </c>
      <c r="P221" s="162">
        <f t="shared" si="74"/>
        <v>0</v>
      </c>
    </row>
    <row r="222" spans="1:16" ht="21.75" customHeight="1" x14ac:dyDescent="0.3">
      <c r="A222" s="159"/>
      <c r="B222" s="34"/>
      <c r="C222" s="34"/>
      <c r="D222" s="34"/>
      <c r="E222" s="34"/>
      <c r="F222" s="34"/>
      <c r="G222" s="35" t="s">
        <v>20</v>
      </c>
      <c r="H222" s="160" t="s">
        <v>13</v>
      </c>
      <c r="I222" s="170"/>
      <c r="J222" s="170"/>
      <c r="K222" s="171"/>
      <c r="L222" s="163">
        <f t="shared" ref="L222:N222" ca="1" si="76">L224+L228</f>
        <v>21125</v>
      </c>
      <c r="M222" s="163">
        <f t="shared" ca="1" si="76"/>
        <v>21125</v>
      </c>
      <c r="N222" s="163">
        <f t="shared" ca="1" si="76"/>
        <v>0</v>
      </c>
      <c r="O222" s="162">
        <f t="shared" ca="1" si="73"/>
        <v>0</v>
      </c>
      <c r="P222" s="162">
        <f t="shared" ca="1" si="74"/>
        <v>0</v>
      </c>
    </row>
    <row r="223" spans="1:16" ht="21.75" customHeight="1" x14ac:dyDescent="0.2">
      <c r="A223" s="164"/>
      <c r="B223" s="165"/>
      <c r="C223" s="165" t="s">
        <v>17</v>
      </c>
      <c r="D223" s="166" t="s">
        <v>39</v>
      </c>
      <c r="E223" s="167"/>
      <c r="F223" s="167"/>
      <c r="G223" s="168" t="s">
        <v>40</v>
      </c>
      <c r="H223" s="169" t="s">
        <v>13</v>
      </c>
      <c r="I223" s="170" t="s">
        <v>41</v>
      </c>
      <c r="J223" s="170"/>
      <c r="K223" s="171"/>
      <c r="L223" s="172">
        <v>0</v>
      </c>
      <c r="M223" s="172"/>
      <c r="N223" s="172">
        <v>0</v>
      </c>
      <c r="O223" s="173">
        <f>+IF(L223&gt;0,N223*100/L223,0)</f>
        <v>0</v>
      </c>
      <c r="P223" s="173"/>
    </row>
    <row r="224" spans="1:16" ht="21.75" customHeight="1" x14ac:dyDescent="0.2">
      <c r="A224" s="164"/>
      <c r="B224" s="165"/>
      <c r="C224" s="165"/>
      <c r="D224" s="174"/>
      <c r="E224" s="167"/>
      <c r="F224" s="167" t="s">
        <v>41</v>
      </c>
      <c r="G224" s="168" t="s">
        <v>42</v>
      </c>
      <c r="H224" s="169" t="s">
        <v>13</v>
      </c>
      <c r="I224" s="170"/>
      <c r="J224" s="170"/>
      <c r="K224" s="171"/>
      <c r="L224" s="175">
        <f ca="1">L225+L226</f>
        <v>21125</v>
      </c>
      <c r="M224" s="176">
        <f ca="1">IFERROR(__xludf.DUMMYFUNCTION("IMPORTRANGE(""https://docs.google.com/spreadsheets/d/1Yj_ptqi66GCucihVvJfMjLAmec39IyEx_6qawtMGysU/edit?usp=sharing"",""สบก!BS27"")"),21125)</f>
        <v>21125</v>
      </c>
      <c r="N224" s="177">
        <f ca="1">IFERROR(__xludf.DUMMYFUNCTION("IMPORTRANGE(""https://docs.google.com/spreadsheets/d/1Yj_ptqi66GCucihVvJfMjLAmec39IyEx_6qawtMGysU/edit?usp=sharing"",""สบก!BT27"")"),0)</f>
        <v>0</v>
      </c>
      <c r="O224" s="178">
        <f ca="1">IF(L224&gt;0,N224*100/L224,0)</f>
        <v>0</v>
      </c>
      <c r="P224" s="178">
        <f ca="1">IF(M224&gt;0,N224*100/M224,0)</f>
        <v>0</v>
      </c>
    </row>
    <row r="225" spans="1:16" ht="21.75" customHeight="1" x14ac:dyDescent="0.2">
      <c r="A225" s="164"/>
      <c r="B225" s="165"/>
      <c r="C225" s="165"/>
      <c r="D225" s="174"/>
      <c r="E225" s="167"/>
      <c r="F225" s="167"/>
      <c r="G225" s="179" t="s">
        <v>43</v>
      </c>
      <c r="H225" s="169" t="s">
        <v>13</v>
      </c>
      <c r="I225" s="170"/>
      <c r="J225" s="170"/>
      <c r="K225" s="171"/>
      <c r="L225" s="176">
        <f ca="1">IFERROR(__xludf.DUMMYFUNCTION("IMPORTRANGE(""https://docs.google.com/spreadsheets/d/1Yj_ptqi66GCucihVvJfMjLAmec39IyEx_6qawtMGysU/edit?usp=sharing"",""สบก!BO27"")"),0)</f>
        <v>0</v>
      </c>
      <c r="M225" s="175"/>
      <c r="N225" s="175"/>
      <c r="O225" s="178"/>
      <c r="P225" s="178"/>
    </row>
    <row r="226" spans="1:16" ht="21.75" customHeight="1" x14ac:dyDescent="0.2">
      <c r="A226" s="164"/>
      <c r="B226" s="165"/>
      <c r="C226" s="165"/>
      <c r="D226" s="174"/>
      <c r="E226" s="167"/>
      <c r="F226" s="167"/>
      <c r="G226" s="179" t="s">
        <v>44</v>
      </c>
      <c r="H226" s="169" t="s">
        <v>13</v>
      </c>
      <c r="I226" s="170"/>
      <c r="J226" s="170"/>
      <c r="K226" s="171"/>
      <c r="L226" s="176">
        <f ca="1">IFERROR(__xludf.DUMMYFUNCTION("IMPORTRANGE(""https://docs.google.com/spreadsheets/d/1Yj_ptqi66GCucihVvJfMjLAmec39IyEx_6qawtMGysU/edit?usp=sharing"",""สบก!BP27"")"),21125)</f>
        <v>21125</v>
      </c>
      <c r="M226" s="175"/>
      <c r="N226" s="175"/>
      <c r="O226" s="178"/>
      <c r="P226" s="178"/>
    </row>
    <row r="227" spans="1:16" ht="21.75" customHeight="1" x14ac:dyDescent="0.3">
      <c r="A227" s="180"/>
      <c r="B227" s="83"/>
      <c r="C227" s="84" t="s">
        <v>17</v>
      </c>
      <c r="D227" s="551" t="s">
        <v>24</v>
      </c>
      <c r="E227" s="547"/>
      <c r="F227" s="91"/>
      <c r="G227" s="85" t="s">
        <v>19</v>
      </c>
      <c r="H227" s="181" t="s">
        <v>13</v>
      </c>
      <c r="I227" s="210"/>
      <c r="J227" s="210"/>
      <c r="K227" s="298"/>
      <c r="L227" s="95">
        <v>0</v>
      </c>
      <c r="M227" s="95"/>
      <c r="N227" s="44"/>
      <c r="O227" s="95"/>
      <c r="P227" s="95"/>
    </row>
    <row r="228" spans="1:16" ht="21.75" customHeight="1" x14ac:dyDescent="0.3">
      <c r="A228" s="182"/>
      <c r="B228" s="97"/>
      <c r="C228" s="97"/>
      <c r="D228" s="183"/>
      <c r="E228" s="98"/>
      <c r="F228" s="98"/>
      <c r="G228" s="99" t="s">
        <v>20</v>
      </c>
      <c r="H228" s="184" t="s">
        <v>13</v>
      </c>
      <c r="I228" s="210"/>
      <c r="J228" s="210"/>
      <c r="K228" s="298"/>
      <c r="L228" s="93">
        <f ca="1">IFERROR(__xludf.DUMMYFUNCTION("IMPORTRANGE(""https://docs.google.com/spreadsheets/d/1Yj_ptqi66GCucihVvJfMjLAmec39IyEx_6qawtMGysU/edit?usp=sharing"",""สบก!BQ27"")"),0)</f>
        <v>0</v>
      </c>
      <c r="M228" s="103"/>
      <c r="N228" s="93">
        <f ca="1">IFERROR(__xludf.DUMMYFUNCTION("IMPORTRANGE(""https://docs.google.com/spreadsheets/d/1Yj_ptqi66GCucihVvJfMjLAmec39IyEx_6qawtMGysU/edit?usp=sharing"",""สบก!BU27"")"),0)</f>
        <v>0</v>
      </c>
      <c r="O228" s="103">
        <f ca="1">IF(L228&gt;0,N228*100/L228,0)</f>
        <v>0</v>
      </c>
      <c r="P228" s="103"/>
    </row>
    <row r="229" spans="1:16" ht="21.75" customHeight="1" x14ac:dyDescent="0.2">
      <c r="A229" s="185"/>
      <c r="B229" s="299"/>
      <c r="C229" s="273" t="s">
        <v>100</v>
      </c>
      <c r="D229" s="272"/>
      <c r="E229" s="272"/>
      <c r="F229" s="272"/>
      <c r="G229" s="274"/>
      <c r="H229" s="275" t="s">
        <v>38</v>
      </c>
      <c r="I229" s="276">
        <f ca="1">IFERROR(__xludf.DUMMYFUNCTION("IMPORTRANGE(""https://docs.google.com/spreadsheets/d/11923uPwbBZFjjGgGUA6NLw09EwE0CqkOc4q9oUmW1yo/edit?usp=sharing"",""พิจิตร!I149"")"),15)</f>
        <v>15</v>
      </c>
      <c r="J229" s="276">
        <f ca="1">IFERROR(__xludf.DUMMYFUNCTION("IMPORTRANGE(""https://docs.google.com/spreadsheets/d/11923uPwbBZFjjGgGUA6NLw09EwE0CqkOc4q9oUmW1yo/edit?usp=sharing"",""พิจิตร!J149"")"),15)</f>
        <v>15</v>
      </c>
      <c r="K229" s="277">
        <f ca="1">IF(I229&gt;0,J229*100/I229,0)</f>
        <v>100</v>
      </c>
      <c r="L229" s="300"/>
      <c r="M229" s="300"/>
      <c r="N229" s="300"/>
      <c r="O229" s="300"/>
      <c r="P229" s="300"/>
    </row>
    <row r="230" spans="1:16" ht="21.75" customHeight="1" x14ac:dyDescent="0.2">
      <c r="A230" s="185"/>
      <c r="B230" s="186"/>
      <c r="C230" s="165" t="s">
        <v>17</v>
      </c>
      <c r="D230" s="187" t="s">
        <v>45</v>
      </c>
      <c r="E230" s="188"/>
      <c r="F230" s="188"/>
      <c r="G230" s="189"/>
      <c r="H230" s="190"/>
      <c r="I230" s="170"/>
      <c r="J230" s="170"/>
      <c r="K230" s="171"/>
      <c r="L230" s="191"/>
      <c r="M230" s="191"/>
      <c r="N230" s="191"/>
      <c r="O230" s="191"/>
      <c r="P230" s="191"/>
    </row>
    <row r="231" spans="1:16" ht="21.75" customHeight="1" x14ac:dyDescent="0.2">
      <c r="A231" s="185"/>
      <c r="B231" s="186"/>
      <c r="C231" s="186"/>
      <c r="D231" s="192">
        <v>1</v>
      </c>
      <c r="E231" s="193" t="s">
        <v>46</v>
      </c>
      <c r="F231" s="194"/>
      <c r="G231" s="195"/>
      <c r="H231" s="196"/>
      <c r="I231" s="197"/>
      <c r="J231" s="207">
        <f ca="1">IFERROR(__xludf.DUMMYFUNCTION("IMPORTRANGE(""https://docs.google.com/spreadsheets/d/11923uPwbBZFjjGgGUA6NLw09EwE0CqkOc4q9oUmW1yo/edit?usp=sharing"",""พิจิตร!J151"")"),0)</f>
        <v>0</v>
      </c>
      <c r="K231" s="171"/>
      <c r="L231" s="191"/>
      <c r="M231" s="191"/>
      <c r="N231" s="191"/>
      <c r="O231" s="191"/>
      <c r="P231" s="191"/>
    </row>
    <row r="232" spans="1:16" ht="21.75" customHeight="1" x14ac:dyDescent="0.2">
      <c r="A232" s="185"/>
      <c r="B232" s="186"/>
      <c r="C232" s="186"/>
      <c r="D232" s="199">
        <v>2</v>
      </c>
      <c r="E232" s="200" t="s">
        <v>47</v>
      </c>
      <c r="F232" s="201"/>
      <c r="G232" s="202"/>
      <c r="H232" s="196"/>
      <c r="I232" s="197"/>
      <c r="J232" s="198">
        <f ca="1">IFERROR(__xludf.DUMMYFUNCTION("IMPORTRANGE(""https://docs.google.com/spreadsheets/d/11923uPwbBZFjjGgGUA6NLw09EwE0CqkOc4q9oUmW1yo/edit?usp=sharing"",""พิจิตร!J152"")"),1)</f>
        <v>1</v>
      </c>
      <c r="K232" s="171"/>
      <c r="L232" s="191" t="s">
        <v>41</v>
      </c>
      <c r="M232" s="191"/>
      <c r="N232" s="191" t="s">
        <v>41</v>
      </c>
      <c r="O232" s="191"/>
      <c r="P232" s="191"/>
    </row>
    <row r="233" spans="1:16" ht="21.75" customHeight="1" x14ac:dyDescent="0.2">
      <c r="A233" s="185"/>
      <c r="B233" s="186"/>
      <c r="C233" s="186"/>
      <c r="D233" s="203"/>
      <c r="E233" s="204" t="s">
        <v>48</v>
      </c>
      <c r="F233" s="205"/>
      <c r="G233" s="206"/>
      <c r="H233" s="196"/>
      <c r="I233" s="197"/>
      <c r="J233" s="198">
        <f ca="1">IFERROR(__xludf.DUMMYFUNCTION("IMPORTRANGE(""https://docs.google.com/spreadsheets/d/11923uPwbBZFjjGgGUA6NLw09EwE0CqkOc4q9oUmW1yo/edit?usp=sharing"",""พิจิตร!J153"")"),1)</f>
        <v>1</v>
      </c>
      <c r="K233" s="171"/>
      <c r="L233" s="191"/>
      <c r="M233" s="191"/>
      <c r="N233" s="191"/>
      <c r="O233" s="191"/>
      <c r="P233" s="191"/>
    </row>
    <row r="234" spans="1:16" ht="21.75" customHeight="1" x14ac:dyDescent="0.2">
      <c r="A234" s="185"/>
      <c r="B234" s="186"/>
      <c r="C234" s="186"/>
      <c r="D234" s="203"/>
      <c r="E234" s="204" t="s">
        <v>49</v>
      </c>
      <c r="F234" s="205"/>
      <c r="G234" s="206"/>
      <c r="H234" s="196"/>
      <c r="I234" s="197"/>
      <c r="J234" s="207">
        <f ca="1">IFERROR(__xludf.DUMMYFUNCTION("IMPORTRANGE(""https://docs.google.com/spreadsheets/d/11923uPwbBZFjjGgGUA6NLw09EwE0CqkOc4q9oUmW1yo/edit?usp=sharing"",""พิจิตร!J154"")"),1)</f>
        <v>1</v>
      </c>
      <c r="K234" s="171"/>
      <c r="L234" s="191"/>
      <c r="M234" s="191"/>
      <c r="N234" s="191"/>
      <c r="O234" s="191"/>
      <c r="P234" s="191"/>
    </row>
    <row r="235" spans="1:16" ht="21.75" customHeight="1" x14ac:dyDescent="0.2">
      <c r="A235" s="185"/>
      <c r="B235" s="186"/>
      <c r="C235" s="186"/>
      <c r="D235" s="203"/>
      <c r="E235" s="208"/>
      <c r="F235" s="205"/>
      <c r="G235" s="301" t="s">
        <v>71</v>
      </c>
      <c r="H235" s="196" t="s">
        <v>38</v>
      </c>
      <c r="I235" s="197">
        <f ca="1">IFERROR(__xludf.DUMMYFUNCTION("IMPORTRANGE(""https://docs.google.com/spreadsheets/d/11923uPwbBZFjjGgGUA6NLw09EwE0CqkOc4q9oUmW1yo/edit?usp=sharing"",""พิจิตร!I155"")"),15)</f>
        <v>15</v>
      </c>
      <c r="J235" s="198">
        <f ca="1">IFERROR(__xludf.DUMMYFUNCTION("IMPORTRANGE(""https://docs.google.com/spreadsheets/d/11923uPwbBZFjjGgGUA6NLw09EwE0CqkOc4q9oUmW1yo/edit?usp=sharing"",""พิจิตร!J155"")"),15)</f>
        <v>15</v>
      </c>
      <c r="K235" s="171">
        <f ca="1">IF(I235&gt;0,J235*100/I235,0)</f>
        <v>100</v>
      </c>
      <c r="L235" s="191"/>
      <c r="M235" s="191"/>
      <c r="N235" s="191"/>
      <c r="O235" s="191"/>
      <c r="P235" s="191"/>
    </row>
    <row r="236" spans="1:16" ht="21.75" customHeight="1" x14ac:dyDescent="0.2">
      <c r="A236" s="185"/>
      <c r="B236" s="186"/>
      <c r="C236" s="186"/>
      <c r="D236" s="203"/>
      <c r="E236" s="204" t="s">
        <v>55</v>
      </c>
      <c r="F236" s="205"/>
      <c r="G236" s="206"/>
      <c r="H236" s="196"/>
      <c r="I236" s="197"/>
      <c r="J236" s="207">
        <f ca="1">IFERROR(__xludf.DUMMYFUNCTION("IMPORTRANGE(""https://docs.google.com/spreadsheets/d/11923uPwbBZFjjGgGUA6NLw09EwE0CqkOc4q9oUmW1yo/edit?usp=sharing"",""พิจิตร!J156"")"),0)</f>
        <v>0</v>
      </c>
      <c r="K236" s="171"/>
      <c r="L236" s="191"/>
      <c r="M236" s="191"/>
      <c r="N236" s="191"/>
      <c r="O236" s="191"/>
      <c r="P236" s="191"/>
    </row>
    <row r="237" spans="1:16" ht="21.75" customHeight="1" x14ac:dyDescent="0.2">
      <c r="A237" s="185"/>
      <c r="B237" s="186"/>
      <c r="C237" s="186"/>
      <c r="D237" s="215">
        <v>3</v>
      </c>
      <c r="E237" s="216" t="s">
        <v>56</v>
      </c>
      <c r="F237" s="217"/>
      <c r="G237" s="218"/>
      <c r="H237" s="196"/>
      <c r="I237" s="197"/>
      <c r="J237" s="219">
        <f ca="1">IFERROR(__xludf.DUMMYFUNCTION("IMPORTRANGE(""https://docs.google.com/spreadsheets/d/11923uPwbBZFjjGgGUA6NLw09EwE0CqkOc4q9oUmW1yo/edit?usp=sharing"",""พิจิตร!J157"")"),0)</f>
        <v>0</v>
      </c>
      <c r="K237" s="171"/>
      <c r="L237" s="191"/>
      <c r="M237" s="191"/>
      <c r="N237" s="191"/>
      <c r="O237" s="191"/>
      <c r="P237" s="191"/>
    </row>
    <row r="238" spans="1:16" ht="21.75" customHeight="1" x14ac:dyDescent="0.2">
      <c r="A238" s="185"/>
      <c r="B238" s="186"/>
      <c r="C238" s="273" t="s">
        <v>101</v>
      </c>
      <c r="D238" s="302"/>
      <c r="E238" s="272"/>
      <c r="F238" s="272"/>
      <c r="G238" s="274"/>
      <c r="H238" s="275" t="s">
        <v>38</v>
      </c>
      <c r="I238" s="276">
        <f ca="1">IFERROR(__xludf.DUMMYFUNCTION("IMPORTRANGE(""https://docs.google.com/spreadsheets/d/11923uPwbBZFjjGgGUA6NLw09EwE0CqkOc4q9oUmW1yo/edit?usp=sharing"",""พิจิตร!I158"")"),0)</f>
        <v>0</v>
      </c>
      <c r="J238" s="276">
        <f ca="1">IFERROR(__xludf.DUMMYFUNCTION("IMPORTRANGE(""https://docs.google.com/spreadsheets/d/11923uPwbBZFjjGgGUA6NLw09EwE0CqkOc4q9oUmW1yo/edit?usp=sharing"",""พิจิตร!J158"")"),0)</f>
        <v>0</v>
      </c>
      <c r="K238" s="277">
        <f ca="1">IF(I238&gt;0,J238*100/I238,0)</f>
        <v>0</v>
      </c>
      <c r="L238" s="191"/>
      <c r="M238" s="191"/>
      <c r="N238" s="191"/>
      <c r="O238" s="191"/>
      <c r="P238" s="191"/>
    </row>
    <row r="239" spans="1:16" ht="21.75" customHeight="1" x14ac:dyDescent="0.2">
      <c r="A239" s="185"/>
      <c r="B239" s="186"/>
      <c r="C239" s="165" t="s">
        <v>17</v>
      </c>
      <c r="D239" s="187" t="s">
        <v>45</v>
      </c>
      <c r="E239" s="188"/>
      <c r="F239" s="188"/>
      <c r="G239" s="189"/>
      <c r="H239" s="190"/>
      <c r="I239" s="170"/>
      <c r="J239" s="170"/>
      <c r="K239" s="171"/>
      <c r="L239" s="191"/>
      <c r="M239" s="191"/>
      <c r="N239" s="191"/>
      <c r="O239" s="191"/>
      <c r="P239" s="191"/>
    </row>
    <row r="240" spans="1:16" ht="21.75" customHeight="1" x14ac:dyDescent="0.2">
      <c r="A240" s="185"/>
      <c r="B240" s="186"/>
      <c r="C240" s="186"/>
      <c r="D240" s="192">
        <v>1</v>
      </c>
      <c r="E240" s="193" t="s">
        <v>46</v>
      </c>
      <c r="F240" s="194"/>
      <c r="G240" s="195"/>
      <c r="H240" s="196"/>
      <c r="I240" s="197"/>
      <c r="J240" s="197" t="str">
        <f ca="1">IFERROR(__xludf.DUMMYFUNCTION("IMPORTRANGE(""https://docs.google.com/spreadsheets/d/11923uPwbBZFjjGgGUA6NLw09EwE0CqkOc4q9oUmW1yo/edit?usp=sharing"",""พิจิตร!J159"")"),"")</f>
        <v/>
      </c>
      <c r="K240" s="171"/>
      <c r="L240" s="191"/>
      <c r="M240" s="191"/>
      <c r="N240" s="191"/>
      <c r="O240" s="191"/>
      <c r="P240" s="191"/>
    </row>
    <row r="241" spans="1:16" ht="21.75" customHeight="1" x14ac:dyDescent="0.2">
      <c r="A241" s="185"/>
      <c r="B241" s="186"/>
      <c r="C241" s="186"/>
      <c r="D241" s="199">
        <v>2</v>
      </c>
      <c r="E241" s="200" t="s">
        <v>47</v>
      </c>
      <c r="F241" s="201"/>
      <c r="G241" s="202"/>
      <c r="H241" s="196"/>
      <c r="I241" s="197"/>
      <c r="J241" s="197">
        <f ca="1">IFERROR(__xludf.DUMMYFUNCTION("IMPORTRANGE(""https://docs.google.com/spreadsheets/d/11923uPwbBZFjjGgGUA6NLw09EwE0CqkOc4q9oUmW1yo/edit?usp=sharing"",""พิจิตร!J161"")"),0)</f>
        <v>0</v>
      </c>
      <c r="K241" s="171"/>
      <c r="L241" s="191" t="s">
        <v>41</v>
      </c>
      <c r="M241" s="191"/>
      <c r="N241" s="191" t="s">
        <v>41</v>
      </c>
      <c r="O241" s="191"/>
      <c r="P241" s="191"/>
    </row>
    <row r="242" spans="1:16" ht="21.75" customHeight="1" x14ac:dyDescent="0.2">
      <c r="A242" s="185"/>
      <c r="B242" s="186"/>
      <c r="C242" s="186"/>
      <c r="D242" s="203"/>
      <c r="E242" s="204" t="s">
        <v>48</v>
      </c>
      <c r="F242" s="205"/>
      <c r="G242" s="206"/>
      <c r="H242" s="196"/>
      <c r="I242" s="197"/>
      <c r="J242" s="197">
        <f ca="1">IFERROR(__xludf.DUMMYFUNCTION("IMPORTRANGE(""https://docs.google.com/spreadsheets/d/11923uPwbBZFjjGgGUA6NLw09EwE0CqkOc4q9oUmW1yo/edit?usp=sharing"",""พิจิตร!J162"")"),0)</f>
        <v>0</v>
      </c>
      <c r="K242" s="171"/>
      <c r="L242" s="191"/>
      <c r="M242" s="191"/>
      <c r="N242" s="191"/>
      <c r="O242" s="191"/>
      <c r="P242" s="191"/>
    </row>
    <row r="243" spans="1:16" ht="21.75" customHeight="1" x14ac:dyDescent="0.2">
      <c r="A243" s="185"/>
      <c r="B243" s="186"/>
      <c r="C243" s="186"/>
      <c r="D243" s="203"/>
      <c r="E243" s="204" t="s">
        <v>49</v>
      </c>
      <c r="F243" s="205"/>
      <c r="G243" s="206"/>
      <c r="H243" s="196"/>
      <c r="I243" s="197"/>
      <c r="J243" s="197">
        <f ca="1">IFERROR(__xludf.DUMMYFUNCTION("IMPORTRANGE(""https://docs.google.com/spreadsheets/d/11923uPwbBZFjjGgGUA6NLw09EwE0CqkOc4q9oUmW1yo/edit?usp=sharing"",""พิจิตร!J163"")"),0)</f>
        <v>0</v>
      </c>
      <c r="K243" s="171"/>
      <c r="L243" s="191"/>
      <c r="M243" s="191"/>
      <c r="N243" s="191"/>
      <c r="O243" s="191"/>
      <c r="P243" s="191"/>
    </row>
    <row r="244" spans="1:16" ht="21.75" customHeight="1" x14ac:dyDescent="0.2">
      <c r="A244" s="185"/>
      <c r="B244" s="186"/>
      <c r="C244" s="186"/>
      <c r="D244" s="203"/>
      <c r="E244" s="205"/>
      <c r="F244" s="204" t="s">
        <v>102</v>
      </c>
      <c r="G244" s="205"/>
      <c r="H244" s="196" t="s">
        <v>38</v>
      </c>
      <c r="I244" s="213">
        <f ca="1">IFERROR(__xludf.DUMMYFUNCTION("IMPORTRANGE(""https://docs.google.com/spreadsheets/d/11923uPwbBZFjjGgGUA6NLw09EwE0CqkOc4q9oUmW1yo/edit?usp=sharing"",""พิจิตร!I164"")"),0)</f>
        <v>0</v>
      </c>
      <c r="J244" s="197">
        <f ca="1">IFERROR(__xludf.DUMMYFUNCTION("IMPORTRANGE(""https://docs.google.com/spreadsheets/d/11923uPwbBZFjjGgGUA6NLw09EwE0CqkOc4q9oUmW1yo/edit?usp=sharing"",""พิจิตร!J164"")"),0)</f>
        <v>0</v>
      </c>
      <c r="K244" s="171">
        <f ca="1">IF(I244&gt;0,J244*100/I244,0)</f>
        <v>0</v>
      </c>
      <c r="L244" s="191"/>
      <c r="M244" s="191"/>
      <c r="N244" s="191"/>
      <c r="O244" s="191"/>
      <c r="P244" s="191"/>
    </row>
    <row r="245" spans="1:16" ht="21.75" customHeight="1" x14ac:dyDescent="0.2">
      <c r="A245" s="185"/>
      <c r="B245" s="186"/>
      <c r="C245" s="186"/>
      <c r="D245" s="203"/>
      <c r="E245" s="204" t="s">
        <v>55</v>
      </c>
      <c r="F245" s="205"/>
      <c r="G245" s="206"/>
      <c r="H245" s="196"/>
      <c r="I245" s="197"/>
      <c r="J245" s="197">
        <f ca="1">IFERROR(__xludf.DUMMYFUNCTION("IMPORTRANGE(""https://docs.google.com/spreadsheets/d/11923uPwbBZFjjGgGUA6NLw09EwE0CqkOc4q9oUmW1yo/edit?usp=sharing"",""พิจิตร!J165"")"),0)</f>
        <v>0</v>
      </c>
      <c r="K245" s="171"/>
      <c r="L245" s="191"/>
      <c r="M245" s="191"/>
      <c r="N245" s="191"/>
      <c r="O245" s="191"/>
      <c r="P245" s="191"/>
    </row>
    <row r="246" spans="1:16" ht="21.75" customHeight="1" x14ac:dyDescent="0.2">
      <c r="A246" s="243"/>
      <c r="B246" s="244"/>
      <c r="C246" s="244"/>
      <c r="D246" s="245">
        <v>3</v>
      </c>
      <c r="E246" s="246" t="s">
        <v>56</v>
      </c>
      <c r="F246" s="247"/>
      <c r="G246" s="248"/>
      <c r="H246" s="249"/>
      <c r="I246" s="250"/>
      <c r="J246" s="251">
        <f ca="1">IFERROR(__xludf.DUMMYFUNCTION("IMPORTRANGE(""https://docs.google.com/spreadsheets/d/11923uPwbBZFjjGgGUA6NLw09EwE0CqkOc4q9oUmW1yo/edit?usp=sharing"",""พิจิตร!J166"")"),0)</f>
        <v>0</v>
      </c>
      <c r="K246" s="296"/>
      <c r="L246" s="254"/>
      <c r="M246" s="254"/>
      <c r="N246" s="254"/>
      <c r="O246" s="254"/>
      <c r="P246" s="254"/>
    </row>
    <row r="247" spans="1:16" ht="21.75" customHeight="1" x14ac:dyDescent="0.2">
      <c r="A247" s="303" t="s">
        <v>103</v>
      </c>
      <c r="B247" s="304"/>
      <c r="C247" s="304"/>
      <c r="D247" s="304"/>
      <c r="E247" s="305"/>
      <c r="F247" s="305"/>
      <c r="G247" s="306"/>
      <c r="H247" s="307"/>
      <c r="I247" s="308"/>
      <c r="J247" s="308"/>
      <c r="K247" s="309"/>
      <c r="L247" s="310"/>
      <c r="M247" s="310"/>
      <c r="N247" s="310"/>
      <c r="O247" s="311"/>
      <c r="P247" s="311"/>
    </row>
    <row r="248" spans="1:16" ht="21.75" customHeight="1" x14ac:dyDescent="0.2">
      <c r="A248" s="312" t="s">
        <v>104</v>
      </c>
      <c r="B248" s="313"/>
      <c r="C248" s="313"/>
      <c r="D248" s="314"/>
      <c r="E248" s="314"/>
      <c r="F248" s="314"/>
      <c r="G248" s="315"/>
      <c r="H248" s="316"/>
      <c r="I248" s="317"/>
      <c r="J248" s="317"/>
      <c r="K248" s="318"/>
      <c r="L248" s="318"/>
      <c r="M248" s="318"/>
      <c r="N248" s="318"/>
      <c r="O248" s="319"/>
      <c r="P248" s="319"/>
    </row>
    <row r="249" spans="1:16" ht="21.75" customHeight="1" x14ac:dyDescent="0.2">
      <c r="A249" s="320"/>
      <c r="B249" s="321" t="s">
        <v>105</v>
      </c>
      <c r="C249" s="321"/>
      <c r="D249" s="321"/>
      <c r="E249" s="321"/>
      <c r="F249" s="321"/>
      <c r="G249" s="322"/>
      <c r="H249" s="323" t="s">
        <v>38</v>
      </c>
      <c r="I249" s="324">
        <f ca="1">IFERROR(__xludf.DUMMYFUNCTION("IMPORTRANGE(""https://docs.google.com/spreadsheets/d/11923uPwbBZFjjGgGUA6NLw09EwE0CqkOc4q9oUmW1yo/edit?usp=sharing"",""พิจิตร!I169"")"),0)</f>
        <v>0</v>
      </c>
      <c r="J249" s="324">
        <f ca="1">IFERROR(__xludf.DUMMYFUNCTION("IMPORTRANGE(""https://docs.google.com/spreadsheets/d/11923uPwbBZFjjGgGUA6NLw09EwE0CqkOc4q9oUmW1yo/edit?usp=sharing"",""พิจิตร!J169"")"),0)</f>
        <v>0</v>
      </c>
      <c r="K249" s="325">
        <f ca="1">IF(I249&gt;0,J249*100/I249,0)</f>
        <v>0</v>
      </c>
      <c r="L249" s="326"/>
      <c r="M249" s="326"/>
      <c r="N249" s="326"/>
      <c r="O249" s="325"/>
      <c r="P249" s="325"/>
    </row>
    <row r="250" spans="1:16" ht="21.75" customHeight="1" x14ac:dyDescent="0.3">
      <c r="A250" s="152"/>
      <c r="B250" s="153"/>
      <c r="C250" s="154" t="s">
        <v>17</v>
      </c>
      <c r="D250" s="554" t="s">
        <v>18</v>
      </c>
      <c r="E250" s="545"/>
      <c r="F250" s="545"/>
      <c r="G250" s="545"/>
      <c r="H250" s="155" t="s">
        <v>13</v>
      </c>
      <c r="I250" s="170"/>
      <c r="J250" s="170"/>
      <c r="K250" s="171"/>
      <c r="L250" s="158">
        <f t="shared" ref="L250:N250" ca="1" si="77">L251+L252</f>
        <v>0</v>
      </c>
      <c r="M250" s="158">
        <f t="shared" ca="1" si="77"/>
        <v>0</v>
      </c>
      <c r="N250" s="158">
        <f t="shared" ca="1" si="77"/>
        <v>0</v>
      </c>
      <c r="O250" s="157">
        <f t="shared" ref="O250:O252" ca="1" si="78">IF(L250&gt;0,N250*100/L250,0)</f>
        <v>0</v>
      </c>
      <c r="P250" s="157">
        <f t="shared" ref="P250:P252" ca="1" si="79">IF(M250&gt;0,N250*100/M250,0)</f>
        <v>0</v>
      </c>
    </row>
    <row r="251" spans="1:16" ht="21.75" customHeight="1" x14ac:dyDescent="0.3">
      <c r="A251" s="159"/>
      <c r="B251" s="34"/>
      <c r="C251" s="34"/>
      <c r="D251" s="34"/>
      <c r="E251" s="34"/>
      <c r="F251" s="34"/>
      <c r="G251" s="35" t="s">
        <v>19</v>
      </c>
      <c r="H251" s="160" t="s">
        <v>13</v>
      </c>
      <c r="I251" s="170"/>
      <c r="J251" s="170"/>
      <c r="K251" s="171"/>
      <c r="L251" s="163">
        <f t="shared" ref="L251:N251" si="80">L253+L257</f>
        <v>0</v>
      </c>
      <c r="M251" s="163">
        <f t="shared" si="80"/>
        <v>0</v>
      </c>
      <c r="N251" s="163">
        <f t="shared" si="80"/>
        <v>0</v>
      </c>
      <c r="O251" s="162">
        <f t="shared" si="78"/>
        <v>0</v>
      </c>
      <c r="P251" s="162">
        <f t="shared" si="79"/>
        <v>0</v>
      </c>
    </row>
    <row r="252" spans="1:16" ht="21.75" customHeight="1" x14ac:dyDescent="0.3">
      <c r="A252" s="159"/>
      <c r="B252" s="34"/>
      <c r="C252" s="34"/>
      <c r="D252" s="34"/>
      <c r="E252" s="34"/>
      <c r="F252" s="34"/>
      <c r="G252" s="35" t="s">
        <v>20</v>
      </c>
      <c r="H252" s="160" t="s">
        <v>13</v>
      </c>
      <c r="I252" s="170"/>
      <c r="J252" s="170"/>
      <c r="K252" s="171"/>
      <c r="L252" s="163">
        <f t="shared" ref="L252:N252" ca="1" si="81">L254+L258</f>
        <v>0</v>
      </c>
      <c r="M252" s="163">
        <f t="shared" ca="1" si="81"/>
        <v>0</v>
      </c>
      <c r="N252" s="163">
        <f t="shared" ca="1" si="81"/>
        <v>0</v>
      </c>
      <c r="O252" s="162">
        <f t="shared" ca="1" si="78"/>
        <v>0</v>
      </c>
      <c r="P252" s="162">
        <f t="shared" ca="1" si="79"/>
        <v>0</v>
      </c>
    </row>
    <row r="253" spans="1:16" ht="21.75" customHeight="1" x14ac:dyDescent="0.2">
      <c r="A253" s="164"/>
      <c r="B253" s="165"/>
      <c r="C253" s="165" t="s">
        <v>17</v>
      </c>
      <c r="D253" s="166" t="s">
        <v>39</v>
      </c>
      <c r="E253" s="167"/>
      <c r="F253" s="167"/>
      <c r="G253" s="168" t="s">
        <v>40</v>
      </c>
      <c r="H253" s="169" t="s">
        <v>13</v>
      </c>
      <c r="I253" s="170" t="s">
        <v>41</v>
      </c>
      <c r="J253" s="170"/>
      <c r="K253" s="171"/>
      <c r="L253" s="172">
        <v>0</v>
      </c>
      <c r="M253" s="172"/>
      <c r="N253" s="172">
        <v>0</v>
      </c>
      <c r="O253" s="173">
        <f>+IF(L253&gt;0,N253*100/L253,0)</f>
        <v>0</v>
      </c>
      <c r="P253" s="173"/>
    </row>
    <row r="254" spans="1:16" ht="21.75" customHeight="1" x14ac:dyDescent="0.2">
      <c r="A254" s="164"/>
      <c r="B254" s="165"/>
      <c r="C254" s="165"/>
      <c r="D254" s="174"/>
      <c r="E254" s="167"/>
      <c r="F254" s="167" t="s">
        <v>41</v>
      </c>
      <c r="G254" s="168" t="s">
        <v>42</v>
      </c>
      <c r="H254" s="169" t="s">
        <v>13</v>
      </c>
      <c r="I254" s="170"/>
      <c r="J254" s="170"/>
      <c r="K254" s="171"/>
      <c r="L254" s="175">
        <f ca="1">L255+L256</f>
        <v>0</v>
      </c>
      <c r="M254" s="176">
        <f ca="1">IFERROR(__xludf.DUMMYFUNCTION("IMPORTRANGE(""https://docs.google.com/spreadsheets/d/1Yj_ptqi66GCucihVvJfMjLAmec39IyEx_6qawtMGysU/edit?usp=sharing"",""สบก!CB27"")"),0)</f>
        <v>0</v>
      </c>
      <c r="N254" s="177">
        <f ca="1">IFERROR(__xludf.DUMMYFUNCTION("IMPORTRANGE(""https://docs.google.com/spreadsheets/d/1Yj_ptqi66GCucihVvJfMjLAmec39IyEx_6qawtMGysU/edit?usp=sharing"",""สบก!CC27"")"),0)</f>
        <v>0</v>
      </c>
      <c r="O254" s="178">
        <f ca="1">IF(L254&gt;0,N254*100/L254,0)</f>
        <v>0</v>
      </c>
      <c r="P254" s="178">
        <f ca="1">IF(M254&gt;0,N254*100/M254,0)</f>
        <v>0</v>
      </c>
    </row>
    <row r="255" spans="1:16" ht="21.75" customHeight="1" x14ac:dyDescent="0.2">
      <c r="A255" s="164"/>
      <c r="B255" s="165"/>
      <c r="C255" s="165"/>
      <c r="D255" s="174"/>
      <c r="E255" s="167"/>
      <c r="F255" s="167"/>
      <c r="G255" s="179" t="s">
        <v>43</v>
      </c>
      <c r="H255" s="169" t="s">
        <v>13</v>
      </c>
      <c r="I255" s="170"/>
      <c r="J255" s="170"/>
      <c r="K255" s="171"/>
      <c r="L255" s="176">
        <f ca="1">IFERROR(__xludf.DUMMYFUNCTION("IMPORTRANGE(""https://docs.google.com/spreadsheets/d/1Yj_ptqi66GCucihVvJfMjLAmec39IyEx_6qawtMGysU/edit?usp=sharing"",""สบก!BX27"")"),0)</f>
        <v>0</v>
      </c>
      <c r="M255" s="175"/>
      <c r="N255" s="175"/>
      <c r="O255" s="178"/>
      <c r="P255" s="178"/>
    </row>
    <row r="256" spans="1:16" ht="21.75" customHeight="1" x14ac:dyDescent="0.2">
      <c r="A256" s="164"/>
      <c r="B256" s="165"/>
      <c r="C256" s="165"/>
      <c r="D256" s="174"/>
      <c r="E256" s="167"/>
      <c r="F256" s="167"/>
      <c r="G256" s="179" t="s">
        <v>44</v>
      </c>
      <c r="H256" s="169" t="s">
        <v>13</v>
      </c>
      <c r="I256" s="170"/>
      <c r="J256" s="170"/>
      <c r="K256" s="171"/>
      <c r="L256" s="176">
        <f ca="1">IFERROR(__xludf.DUMMYFUNCTION("IMPORTRANGE(""https://docs.google.com/spreadsheets/d/1Yj_ptqi66GCucihVvJfMjLAmec39IyEx_6qawtMGysU/edit?usp=sharing"",""สบก!BY27"")"),0)</f>
        <v>0</v>
      </c>
      <c r="M256" s="175"/>
      <c r="N256" s="175"/>
      <c r="O256" s="178"/>
      <c r="P256" s="178"/>
    </row>
    <row r="257" spans="1:16" ht="21.75" customHeight="1" x14ac:dyDescent="0.3">
      <c r="A257" s="180"/>
      <c r="B257" s="83"/>
      <c r="C257" s="84" t="s">
        <v>17</v>
      </c>
      <c r="D257" s="551" t="s">
        <v>24</v>
      </c>
      <c r="E257" s="547"/>
      <c r="F257" s="91"/>
      <c r="G257" s="85" t="s">
        <v>19</v>
      </c>
      <c r="H257" s="181" t="s">
        <v>13</v>
      </c>
      <c r="I257" s="170"/>
      <c r="J257" s="170"/>
      <c r="K257" s="171"/>
      <c r="L257" s="95">
        <v>0</v>
      </c>
      <c r="M257" s="95"/>
      <c r="N257" s="44"/>
      <c r="O257" s="95"/>
      <c r="P257" s="95"/>
    </row>
    <row r="258" spans="1:16" ht="21.75" customHeight="1" x14ac:dyDescent="0.3">
      <c r="A258" s="182"/>
      <c r="B258" s="97"/>
      <c r="C258" s="97"/>
      <c r="D258" s="183"/>
      <c r="E258" s="98"/>
      <c r="F258" s="98"/>
      <c r="G258" s="99" t="s">
        <v>20</v>
      </c>
      <c r="H258" s="184" t="s">
        <v>13</v>
      </c>
      <c r="I258" s="170"/>
      <c r="J258" s="170"/>
      <c r="K258" s="171"/>
      <c r="L258" s="93">
        <f ca="1">IFERROR(__xludf.DUMMYFUNCTION("IMPORTRANGE(""https://docs.google.com/spreadsheets/d/1Yj_ptqi66GCucihVvJfMjLAmec39IyEx_6qawtMGysU/edit?usp=sharing"",""สบก!BZ27"")"),0)</f>
        <v>0</v>
      </c>
      <c r="M258" s="103"/>
      <c r="N258" s="93">
        <f ca="1">IFERROR(__xludf.DUMMYFUNCTION("IMPORTRANGE(""https://docs.google.com/spreadsheets/d/1Yj_ptqi66GCucihVvJfMjLAmec39IyEx_6qawtMGysU/edit?usp=sharing"",""สบก!CD27"")"),0)</f>
        <v>0</v>
      </c>
      <c r="O258" s="103">
        <f ca="1">IF(L258&gt;0,N258*100/L258,0)</f>
        <v>0</v>
      </c>
      <c r="P258" s="103"/>
    </row>
    <row r="259" spans="1:16" ht="21.75" customHeight="1" x14ac:dyDescent="0.2">
      <c r="A259" s="185"/>
      <c r="B259" s="186"/>
      <c r="C259" s="165" t="s">
        <v>17</v>
      </c>
      <c r="D259" s="187" t="s">
        <v>45</v>
      </c>
      <c r="E259" s="188"/>
      <c r="F259" s="188"/>
      <c r="G259" s="189"/>
      <c r="H259" s="190"/>
      <c r="I259" s="170"/>
      <c r="J259" s="170"/>
      <c r="K259" s="171"/>
      <c r="L259" s="191"/>
      <c r="M259" s="191"/>
      <c r="N259" s="191"/>
      <c r="O259" s="191"/>
      <c r="P259" s="191"/>
    </row>
    <row r="260" spans="1:16" ht="21.75" customHeight="1" x14ac:dyDescent="0.2">
      <c r="A260" s="185"/>
      <c r="B260" s="186"/>
      <c r="C260" s="186"/>
      <c r="D260" s="192">
        <v>1</v>
      </c>
      <c r="E260" s="193" t="s">
        <v>46</v>
      </c>
      <c r="F260" s="194"/>
      <c r="G260" s="195"/>
      <c r="H260" s="196"/>
      <c r="I260" s="197"/>
      <c r="J260" s="198">
        <f ca="1">IFERROR(__xludf.DUMMYFUNCTION("IMPORTRANGE(""https://docs.google.com/spreadsheets/d/11923uPwbBZFjjGgGUA6NLw09EwE0CqkOc4q9oUmW1yo/edit?usp=sharing"",""พิจิตร!J175"")"),0)</f>
        <v>0</v>
      </c>
      <c r="K260" s="171"/>
      <c r="L260" s="191"/>
      <c r="M260" s="191"/>
      <c r="N260" s="191"/>
      <c r="O260" s="191"/>
      <c r="P260" s="191"/>
    </row>
    <row r="261" spans="1:16" ht="21.75" customHeight="1" x14ac:dyDescent="0.2">
      <c r="A261" s="185"/>
      <c r="B261" s="186"/>
      <c r="C261" s="186"/>
      <c r="D261" s="199">
        <v>2</v>
      </c>
      <c r="E261" s="200" t="s">
        <v>47</v>
      </c>
      <c r="F261" s="201"/>
      <c r="G261" s="202"/>
      <c r="H261" s="196"/>
      <c r="I261" s="197"/>
      <c r="J261" s="207">
        <f ca="1">IFERROR(__xludf.DUMMYFUNCTION("IMPORTRANGE(""https://docs.google.com/spreadsheets/d/11923uPwbBZFjjGgGUA6NLw09EwE0CqkOc4q9oUmW1yo/edit?usp=sharing"",""พิจิตร!J176"")"),0)</f>
        <v>0</v>
      </c>
      <c r="K261" s="171"/>
      <c r="L261" s="191" t="s">
        <v>41</v>
      </c>
      <c r="M261" s="191"/>
      <c r="N261" s="191" t="s">
        <v>41</v>
      </c>
      <c r="O261" s="191"/>
      <c r="P261" s="191"/>
    </row>
    <row r="262" spans="1:16" ht="21.75" customHeight="1" x14ac:dyDescent="0.2">
      <c r="A262" s="185"/>
      <c r="B262" s="186"/>
      <c r="C262" s="186"/>
      <c r="D262" s="203"/>
      <c r="E262" s="204" t="s">
        <v>48</v>
      </c>
      <c r="F262" s="205"/>
      <c r="G262" s="206"/>
      <c r="H262" s="196"/>
      <c r="I262" s="197"/>
      <c r="J262" s="207">
        <f ca="1">IFERROR(__xludf.DUMMYFUNCTION("IMPORTRANGE(""https://docs.google.com/spreadsheets/d/11923uPwbBZFjjGgGUA6NLw09EwE0CqkOc4q9oUmW1yo/edit?usp=sharing"",""พิจิตร!J177"")"),0)</f>
        <v>0</v>
      </c>
      <c r="K262" s="171"/>
      <c r="L262" s="191"/>
      <c r="M262" s="191"/>
      <c r="N262" s="191"/>
      <c r="O262" s="191"/>
      <c r="P262" s="191"/>
    </row>
    <row r="263" spans="1:16" ht="21.75" customHeight="1" x14ac:dyDescent="0.2">
      <c r="A263" s="185"/>
      <c r="B263" s="186"/>
      <c r="C263" s="186"/>
      <c r="D263" s="203"/>
      <c r="E263" s="204" t="s">
        <v>49</v>
      </c>
      <c r="F263" s="205"/>
      <c r="G263" s="206"/>
      <c r="H263" s="196"/>
      <c r="I263" s="197"/>
      <c r="J263" s="207">
        <f ca="1">IFERROR(__xludf.DUMMYFUNCTION("IMPORTRANGE(""https://docs.google.com/spreadsheets/d/11923uPwbBZFjjGgGUA6NLw09EwE0CqkOc4q9oUmW1yo/edit?usp=sharing"",""พิจิตร!J178"")"),0)</f>
        <v>0</v>
      </c>
      <c r="K263" s="171"/>
      <c r="L263" s="191"/>
      <c r="M263" s="191"/>
      <c r="N263" s="191"/>
      <c r="O263" s="191"/>
      <c r="P263" s="191"/>
    </row>
    <row r="264" spans="1:16" ht="21.75" customHeight="1" x14ac:dyDescent="0.2">
      <c r="A264" s="185"/>
      <c r="B264" s="186"/>
      <c r="C264" s="186"/>
      <c r="D264" s="203"/>
      <c r="E264" s="208"/>
      <c r="F264" s="204" t="s">
        <v>106</v>
      </c>
      <c r="G264" s="206"/>
      <c r="H264" s="190" t="s">
        <v>60</v>
      </c>
      <c r="I264" s="197">
        <f ca="1">IFERROR(__xludf.DUMMYFUNCTION("IMPORTRANGE(""https://docs.google.com/spreadsheets/d/11923uPwbBZFjjGgGUA6NLw09EwE0CqkOc4q9oUmW1yo/edit?usp=sharing"",""พิจิตร!I179"")"),0)</f>
        <v>0</v>
      </c>
      <c r="J264" s="198">
        <f ca="1">IFERROR(__xludf.DUMMYFUNCTION("IMPORTRANGE(""https://docs.google.com/spreadsheets/d/11923uPwbBZFjjGgGUA6NLw09EwE0CqkOc4q9oUmW1yo/edit?usp=sharing"",""พิจิตร!J179"")"),0)</f>
        <v>0</v>
      </c>
      <c r="K264" s="171">
        <f t="shared" ref="K264:K267" ca="1" si="82">IF(I264&gt;0,J264*100/I264,0)</f>
        <v>0</v>
      </c>
      <c r="L264" s="191"/>
      <c r="M264" s="191"/>
      <c r="N264" s="191"/>
      <c r="O264" s="191"/>
      <c r="P264" s="191"/>
    </row>
    <row r="265" spans="1:16" ht="21.75" customHeight="1" x14ac:dyDescent="0.2">
      <c r="A265" s="185"/>
      <c r="B265" s="186"/>
      <c r="C265" s="186"/>
      <c r="D265" s="203"/>
      <c r="E265" s="208"/>
      <c r="F265" s="204" t="s">
        <v>107</v>
      </c>
      <c r="G265" s="206"/>
      <c r="H265" s="190" t="s">
        <v>38</v>
      </c>
      <c r="I265" s="197">
        <f ca="1">IFERROR(__xludf.DUMMYFUNCTION("IMPORTRANGE(""https://docs.google.com/spreadsheets/d/11923uPwbBZFjjGgGUA6NLw09EwE0CqkOc4q9oUmW1yo/edit?usp=sharing"",""พิจิตร!I180"")"),0)</f>
        <v>0</v>
      </c>
      <c r="J265" s="198">
        <f ca="1">IFERROR(__xludf.DUMMYFUNCTION("IMPORTRANGE(""https://docs.google.com/spreadsheets/d/11923uPwbBZFjjGgGUA6NLw09EwE0CqkOc4q9oUmW1yo/edit?usp=sharing"",""พิจิตร!J180"")"),0)</f>
        <v>0</v>
      </c>
      <c r="K265" s="171">
        <f t="shared" ca="1" si="82"/>
        <v>0</v>
      </c>
      <c r="L265" s="191"/>
      <c r="M265" s="191"/>
      <c r="N265" s="191"/>
      <c r="O265" s="191"/>
      <c r="P265" s="191"/>
    </row>
    <row r="266" spans="1:16" ht="21.75" customHeight="1" x14ac:dyDescent="0.2">
      <c r="A266" s="185"/>
      <c r="B266" s="186"/>
      <c r="C266" s="186"/>
      <c r="D266" s="203"/>
      <c r="E266" s="208"/>
      <c r="F266" s="204" t="s">
        <v>108</v>
      </c>
      <c r="G266" s="206"/>
      <c r="H266" s="190" t="s">
        <v>38</v>
      </c>
      <c r="I266" s="197">
        <f ca="1">IFERROR(__xludf.DUMMYFUNCTION("IMPORTRANGE(""https://docs.google.com/spreadsheets/d/11923uPwbBZFjjGgGUA6NLw09EwE0CqkOc4q9oUmW1yo/edit?usp=sharing"",""พิจิตร!I181"")"),0)</f>
        <v>0</v>
      </c>
      <c r="J266" s="198">
        <f ca="1">IFERROR(__xludf.DUMMYFUNCTION("IMPORTRANGE(""https://docs.google.com/spreadsheets/d/11923uPwbBZFjjGgGUA6NLw09EwE0CqkOc4q9oUmW1yo/edit?usp=sharing"",""พิจิตร!J181"")"),0)</f>
        <v>0</v>
      </c>
      <c r="K266" s="171">
        <f t="shared" ca="1" si="82"/>
        <v>0</v>
      </c>
      <c r="L266" s="191"/>
      <c r="M266" s="191"/>
      <c r="N266" s="191"/>
      <c r="O266" s="191"/>
      <c r="P266" s="191"/>
    </row>
    <row r="267" spans="1:16" ht="21.75" customHeight="1" x14ac:dyDescent="0.2">
      <c r="A267" s="185"/>
      <c r="B267" s="186"/>
      <c r="C267" s="186"/>
      <c r="D267" s="203"/>
      <c r="E267" s="208"/>
      <c r="F267" s="204" t="s">
        <v>109</v>
      </c>
      <c r="G267" s="206"/>
      <c r="H267" s="190" t="s">
        <v>38</v>
      </c>
      <c r="I267" s="197">
        <f ca="1">IFERROR(__xludf.DUMMYFUNCTION("IMPORTRANGE(""https://docs.google.com/spreadsheets/d/11923uPwbBZFjjGgGUA6NLw09EwE0CqkOc4q9oUmW1yo/edit?usp=sharing"",""พิจิตร!I182"")"),0)</f>
        <v>0</v>
      </c>
      <c r="J267" s="198">
        <f ca="1">IFERROR(__xludf.DUMMYFUNCTION("IMPORTRANGE(""https://docs.google.com/spreadsheets/d/11923uPwbBZFjjGgGUA6NLw09EwE0CqkOc4q9oUmW1yo/edit?usp=sharing"",""พิจิตร!J182"")"),0)</f>
        <v>0</v>
      </c>
      <c r="K267" s="171">
        <f t="shared" ca="1" si="82"/>
        <v>0</v>
      </c>
      <c r="L267" s="191"/>
      <c r="M267" s="191"/>
      <c r="N267" s="191"/>
      <c r="O267" s="191"/>
      <c r="P267" s="191"/>
    </row>
    <row r="268" spans="1:16" ht="21.75" customHeight="1" x14ac:dyDescent="0.2">
      <c r="A268" s="185"/>
      <c r="B268" s="186"/>
      <c r="C268" s="186"/>
      <c r="D268" s="203"/>
      <c r="E268" s="204" t="s">
        <v>55</v>
      </c>
      <c r="F268" s="205"/>
      <c r="G268" s="206"/>
      <c r="H268" s="196"/>
      <c r="I268" s="197"/>
      <c r="J268" s="207">
        <f ca="1">IFERROR(__xludf.DUMMYFUNCTION("IMPORTRANGE(""https://docs.google.com/spreadsheets/d/11923uPwbBZFjjGgGUA6NLw09EwE0CqkOc4q9oUmW1yo/edit?usp=sharing"",""พิจิตร!J183"")"),0)</f>
        <v>0</v>
      </c>
      <c r="K268" s="171"/>
      <c r="L268" s="191"/>
      <c r="M268" s="191"/>
      <c r="N268" s="191"/>
      <c r="O268" s="191"/>
      <c r="P268" s="191"/>
    </row>
    <row r="269" spans="1:16" ht="21.75" customHeight="1" x14ac:dyDescent="0.2">
      <c r="A269" s="243"/>
      <c r="B269" s="244"/>
      <c r="C269" s="244"/>
      <c r="D269" s="245">
        <v>3</v>
      </c>
      <c r="E269" s="246" t="s">
        <v>56</v>
      </c>
      <c r="F269" s="247"/>
      <c r="G269" s="248"/>
      <c r="H269" s="249"/>
      <c r="I269" s="250"/>
      <c r="J269" s="295">
        <f ca="1">IFERROR(__xludf.DUMMYFUNCTION("IMPORTRANGE(""https://docs.google.com/spreadsheets/d/11923uPwbBZFjjGgGUA6NLw09EwE0CqkOc4q9oUmW1yo/edit?usp=sharing"",""พิจิตร!J184"")"),0)</f>
        <v>0</v>
      </c>
      <c r="K269" s="296"/>
      <c r="L269" s="254"/>
      <c r="M269" s="254"/>
      <c r="N269" s="254"/>
      <c r="O269" s="254"/>
      <c r="P269" s="254"/>
    </row>
    <row r="270" spans="1:16" ht="21.75" customHeight="1" x14ac:dyDescent="0.2">
      <c r="A270" s="320"/>
      <c r="B270" s="321" t="s">
        <v>110</v>
      </c>
      <c r="C270" s="321"/>
      <c r="D270" s="321"/>
      <c r="E270" s="321"/>
      <c r="F270" s="321"/>
      <c r="G270" s="322"/>
      <c r="H270" s="323" t="s">
        <v>38</v>
      </c>
      <c r="I270" s="324">
        <f ca="1">IFERROR(__xludf.DUMMYFUNCTION("IMPORTRANGE(""https://docs.google.com/spreadsheets/d/11923uPwbBZFjjGgGUA6NLw09EwE0CqkOc4q9oUmW1yo/edit?usp=sharing"",""พิจิตร!I185"")"),0)</f>
        <v>0</v>
      </c>
      <c r="J270" s="324">
        <f ca="1">IFERROR(__xludf.DUMMYFUNCTION("IMPORTRANGE(""https://docs.google.com/spreadsheets/d/11923uPwbBZFjjGgGUA6NLw09EwE0CqkOc4q9oUmW1yo/edit?usp=sharing"",""พิจิตร!J185"")"),0)</f>
        <v>0</v>
      </c>
      <c r="K270" s="325">
        <f ca="1">IF(I270&gt;0,J270*100/I270,0)</f>
        <v>0</v>
      </c>
      <c r="L270" s="326"/>
      <c r="M270" s="326"/>
      <c r="N270" s="326"/>
      <c r="O270" s="325"/>
      <c r="P270" s="325"/>
    </row>
    <row r="271" spans="1:16" ht="21.75" customHeight="1" x14ac:dyDescent="0.3">
      <c r="A271" s="152"/>
      <c r="B271" s="153"/>
      <c r="C271" s="154" t="s">
        <v>17</v>
      </c>
      <c r="D271" s="554" t="s">
        <v>18</v>
      </c>
      <c r="E271" s="545"/>
      <c r="F271" s="545"/>
      <c r="G271" s="545"/>
      <c r="H271" s="155" t="s">
        <v>13</v>
      </c>
      <c r="I271" s="170"/>
      <c r="J271" s="170"/>
      <c r="K271" s="171"/>
      <c r="L271" s="158">
        <f t="shared" ref="L271:N271" ca="1" si="83">L272+L273</f>
        <v>0</v>
      </c>
      <c r="M271" s="158">
        <f t="shared" ca="1" si="83"/>
        <v>0</v>
      </c>
      <c r="N271" s="158">
        <f t="shared" ca="1" si="83"/>
        <v>0</v>
      </c>
      <c r="O271" s="157">
        <f t="shared" ref="O271:O273" ca="1" si="84">IF(L271&gt;0,N271*100/L271,0)</f>
        <v>0</v>
      </c>
      <c r="P271" s="157">
        <f t="shared" ref="P271:P273" ca="1" si="85">IF(M271&gt;0,N271*100/M271,0)</f>
        <v>0</v>
      </c>
    </row>
    <row r="272" spans="1:16" ht="21.75" customHeight="1" x14ac:dyDescent="0.3">
      <c r="A272" s="159"/>
      <c r="B272" s="34"/>
      <c r="C272" s="34"/>
      <c r="D272" s="34"/>
      <c r="E272" s="34"/>
      <c r="F272" s="34"/>
      <c r="G272" s="35" t="s">
        <v>19</v>
      </c>
      <c r="H272" s="160" t="s">
        <v>13</v>
      </c>
      <c r="I272" s="170"/>
      <c r="J272" s="170"/>
      <c r="K272" s="171"/>
      <c r="L272" s="163">
        <f t="shared" ref="L272:N272" si="86">L274+L278</f>
        <v>0</v>
      </c>
      <c r="M272" s="163">
        <f t="shared" si="86"/>
        <v>0</v>
      </c>
      <c r="N272" s="163">
        <f t="shared" si="86"/>
        <v>0</v>
      </c>
      <c r="O272" s="162">
        <f t="shared" si="84"/>
        <v>0</v>
      </c>
      <c r="P272" s="162">
        <f t="shared" si="85"/>
        <v>0</v>
      </c>
    </row>
    <row r="273" spans="1:16" ht="21.75" customHeight="1" x14ac:dyDescent="0.3">
      <c r="A273" s="159"/>
      <c r="B273" s="34"/>
      <c r="C273" s="34"/>
      <c r="D273" s="34"/>
      <c r="E273" s="34"/>
      <c r="F273" s="34"/>
      <c r="G273" s="35" t="s">
        <v>20</v>
      </c>
      <c r="H273" s="160" t="s">
        <v>13</v>
      </c>
      <c r="I273" s="170"/>
      <c r="J273" s="170"/>
      <c r="K273" s="171"/>
      <c r="L273" s="163">
        <f t="shared" ref="L273:N273" ca="1" si="87">L275+L279</f>
        <v>0</v>
      </c>
      <c r="M273" s="163">
        <f t="shared" ca="1" si="87"/>
        <v>0</v>
      </c>
      <c r="N273" s="163">
        <f t="shared" ca="1" si="87"/>
        <v>0</v>
      </c>
      <c r="O273" s="162">
        <f t="shared" ca="1" si="84"/>
        <v>0</v>
      </c>
      <c r="P273" s="162">
        <f t="shared" ca="1" si="85"/>
        <v>0</v>
      </c>
    </row>
    <row r="274" spans="1:16" ht="21.75" customHeight="1" x14ac:dyDescent="0.2">
      <c r="A274" s="164"/>
      <c r="B274" s="165"/>
      <c r="C274" s="165" t="s">
        <v>17</v>
      </c>
      <c r="D274" s="166" t="s">
        <v>39</v>
      </c>
      <c r="E274" s="167"/>
      <c r="F274" s="167"/>
      <c r="G274" s="168" t="s">
        <v>40</v>
      </c>
      <c r="H274" s="169" t="s">
        <v>13</v>
      </c>
      <c r="I274" s="170" t="s">
        <v>41</v>
      </c>
      <c r="J274" s="170"/>
      <c r="K274" s="171"/>
      <c r="L274" s="172">
        <v>0</v>
      </c>
      <c r="M274" s="172"/>
      <c r="N274" s="172">
        <v>0</v>
      </c>
      <c r="O274" s="173">
        <f>+IF(L274&gt;0,N274*100/L274,0)</f>
        <v>0</v>
      </c>
      <c r="P274" s="173"/>
    </row>
    <row r="275" spans="1:16" ht="21.75" customHeight="1" x14ac:dyDescent="0.2">
      <c r="A275" s="164"/>
      <c r="B275" s="165"/>
      <c r="C275" s="165"/>
      <c r="D275" s="174"/>
      <c r="E275" s="167"/>
      <c r="F275" s="167" t="s">
        <v>41</v>
      </c>
      <c r="G275" s="168" t="s">
        <v>42</v>
      </c>
      <c r="H275" s="169" t="s">
        <v>13</v>
      </c>
      <c r="I275" s="170"/>
      <c r="J275" s="170"/>
      <c r="K275" s="171"/>
      <c r="L275" s="175">
        <f ca="1">L276+L277</f>
        <v>0</v>
      </c>
      <c r="M275" s="176">
        <f ca="1">IFERROR(__xludf.DUMMYFUNCTION("IMPORTRANGE(""https://docs.google.com/spreadsheets/d/1Yj_ptqi66GCucihVvJfMjLAmec39IyEx_6qawtMGysU/edit?usp=sharing"",""สบก!CK27"")"),0)</f>
        <v>0</v>
      </c>
      <c r="N275" s="177">
        <f ca="1">IFERROR(__xludf.DUMMYFUNCTION("IMPORTRANGE(""https://docs.google.com/spreadsheets/d/1Yj_ptqi66GCucihVvJfMjLAmec39IyEx_6qawtMGysU/edit?usp=sharing"",""สบก!CL27"")"),0)</f>
        <v>0</v>
      </c>
      <c r="O275" s="178">
        <f ca="1">IF(L275&gt;0,N275*100/L275,0)</f>
        <v>0</v>
      </c>
      <c r="P275" s="178">
        <f ca="1">IF(M275&gt;0,N275*100/M275,0)</f>
        <v>0</v>
      </c>
    </row>
    <row r="276" spans="1:16" ht="21.75" customHeight="1" x14ac:dyDescent="0.2">
      <c r="A276" s="164"/>
      <c r="B276" s="165"/>
      <c r="C276" s="165"/>
      <c r="D276" s="174"/>
      <c r="E276" s="167"/>
      <c r="F276" s="167"/>
      <c r="G276" s="179" t="s">
        <v>43</v>
      </c>
      <c r="H276" s="169" t="s">
        <v>13</v>
      </c>
      <c r="I276" s="170"/>
      <c r="J276" s="170"/>
      <c r="K276" s="171"/>
      <c r="L276" s="176">
        <f ca="1">IFERROR(__xludf.DUMMYFUNCTION("IMPORTRANGE(""https://docs.google.com/spreadsheets/d/1Yj_ptqi66GCucihVvJfMjLAmec39IyEx_6qawtMGysU/edit?usp=sharing"",""สบก!CG27"")"),0)</f>
        <v>0</v>
      </c>
      <c r="M276" s="175"/>
      <c r="N276" s="175"/>
      <c r="O276" s="178"/>
      <c r="P276" s="178"/>
    </row>
    <row r="277" spans="1:16" ht="21.75" customHeight="1" x14ac:dyDescent="0.2">
      <c r="A277" s="164"/>
      <c r="B277" s="165"/>
      <c r="C277" s="165"/>
      <c r="D277" s="174"/>
      <c r="E277" s="167"/>
      <c r="F277" s="167"/>
      <c r="G277" s="179" t="s">
        <v>44</v>
      </c>
      <c r="H277" s="169" t="s">
        <v>13</v>
      </c>
      <c r="I277" s="170"/>
      <c r="J277" s="170"/>
      <c r="K277" s="171"/>
      <c r="L277" s="176">
        <f ca="1">IFERROR(__xludf.DUMMYFUNCTION("IMPORTRANGE(""https://docs.google.com/spreadsheets/d/1Yj_ptqi66GCucihVvJfMjLAmec39IyEx_6qawtMGysU/edit?usp=sharing"",""สบก!CH27"")"),0)</f>
        <v>0</v>
      </c>
      <c r="M277" s="175"/>
      <c r="N277" s="175"/>
      <c r="O277" s="178"/>
      <c r="P277" s="178"/>
    </row>
    <row r="278" spans="1:16" ht="21.75" customHeight="1" x14ac:dyDescent="0.3">
      <c r="A278" s="180"/>
      <c r="B278" s="83"/>
      <c r="C278" s="84" t="s">
        <v>17</v>
      </c>
      <c r="D278" s="551" t="s">
        <v>24</v>
      </c>
      <c r="E278" s="547"/>
      <c r="F278" s="91"/>
      <c r="G278" s="85" t="s">
        <v>19</v>
      </c>
      <c r="H278" s="181" t="s">
        <v>13</v>
      </c>
      <c r="I278" s="170"/>
      <c r="J278" s="170"/>
      <c r="K278" s="171"/>
      <c r="L278" s="95">
        <v>0</v>
      </c>
      <c r="M278" s="95"/>
      <c r="N278" s="44"/>
      <c r="O278" s="95"/>
      <c r="P278" s="95"/>
    </row>
    <row r="279" spans="1:16" ht="21.75" customHeight="1" x14ac:dyDescent="0.3">
      <c r="A279" s="182"/>
      <c r="B279" s="97"/>
      <c r="C279" s="97"/>
      <c r="D279" s="183"/>
      <c r="E279" s="98"/>
      <c r="F279" s="98"/>
      <c r="G279" s="99" t="s">
        <v>20</v>
      </c>
      <c r="H279" s="184" t="s">
        <v>13</v>
      </c>
      <c r="I279" s="170"/>
      <c r="J279" s="170"/>
      <c r="K279" s="171"/>
      <c r="L279" s="93">
        <f ca="1">IFERROR(__xludf.DUMMYFUNCTION("IMPORTRANGE(""https://docs.google.com/spreadsheets/d/1Yj_ptqi66GCucihVvJfMjLAmec39IyEx_6qawtMGysU/edit?usp=sharing"",""สบก!CI27"")"),0)</f>
        <v>0</v>
      </c>
      <c r="M279" s="103"/>
      <c r="N279" s="93">
        <f ca="1">IFERROR(__xludf.DUMMYFUNCTION("IMPORTRANGE(""https://docs.google.com/spreadsheets/d/1Yj_ptqi66GCucihVvJfMjLAmec39IyEx_6qawtMGysU/edit?usp=sharing"",""สบก!CM27"")"),0)</f>
        <v>0</v>
      </c>
      <c r="O279" s="103">
        <f ca="1">IF(L279&gt;0,N279*100/L279,0)</f>
        <v>0</v>
      </c>
      <c r="P279" s="103"/>
    </row>
    <row r="280" spans="1:16" ht="21.75" customHeight="1" x14ac:dyDescent="0.2">
      <c r="A280" s="185"/>
      <c r="B280" s="186"/>
      <c r="C280" s="165" t="s">
        <v>17</v>
      </c>
      <c r="D280" s="187" t="s">
        <v>45</v>
      </c>
      <c r="E280" s="188"/>
      <c r="F280" s="188"/>
      <c r="G280" s="189"/>
      <c r="H280" s="190"/>
      <c r="I280" s="170"/>
      <c r="J280" s="170"/>
      <c r="K280" s="171"/>
      <c r="L280" s="191"/>
      <c r="M280" s="191"/>
      <c r="N280" s="191"/>
      <c r="O280" s="191"/>
      <c r="P280" s="191"/>
    </row>
    <row r="281" spans="1:16" ht="21.75" customHeight="1" x14ac:dyDescent="0.2">
      <c r="A281" s="185"/>
      <c r="B281" s="186"/>
      <c r="C281" s="186"/>
      <c r="D281" s="192">
        <v>1</v>
      </c>
      <c r="E281" s="193" t="s">
        <v>46</v>
      </c>
      <c r="F281" s="194"/>
      <c r="G281" s="195"/>
      <c r="H281" s="196"/>
      <c r="I281" s="197"/>
      <c r="J281" s="198">
        <f ca="1">IFERROR(__xludf.DUMMYFUNCTION("IMPORTRANGE(""https://docs.google.com/spreadsheets/d/11923uPwbBZFjjGgGUA6NLw09EwE0CqkOc4q9oUmW1yo/edit?usp=sharing"",""พิจิตร!J191"")"),0)</f>
        <v>0</v>
      </c>
      <c r="K281" s="171"/>
      <c r="L281" s="191"/>
      <c r="M281" s="191"/>
      <c r="N281" s="191"/>
      <c r="O281" s="191"/>
      <c r="P281" s="191"/>
    </row>
    <row r="282" spans="1:16" ht="21.75" customHeight="1" x14ac:dyDescent="0.2">
      <c r="A282" s="185"/>
      <c r="B282" s="186"/>
      <c r="C282" s="186"/>
      <c r="D282" s="199">
        <v>2</v>
      </c>
      <c r="E282" s="200" t="s">
        <v>47</v>
      </c>
      <c r="F282" s="201"/>
      <c r="G282" s="202"/>
      <c r="H282" s="196"/>
      <c r="I282" s="197"/>
      <c r="J282" s="207">
        <f ca="1">IFERROR(__xludf.DUMMYFUNCTION("IMPORTRANGE(""https://docs.google.com/spreadsheets/d/11923uPwbBZFjjGgGUA6NLw09EwE0CqkOc4q9oUmW1yo/edit?usp=sharing"",""พิจิตร!J192"")"),0)</f>
        <v>0</v>
      </c>
      <c r="K282" s="171"/>
      <c r="L282" s="191"/>
      <c r="M282" s="191"/>
      <c r="N282" s="191"/>
      <c r="O282" s="191"/>
      <c r="P282" s="191"/>
    </row>
    <row r="283" spans="1:16" ht="21.75" customHeight="1" x14ac:dyDescent="0.2">
      <c r="A283" s="185"/>
      <c r="B283" s="186"/>
      <c r="C283" s="186"/>
      <c r="D283" s="203"/>
      <c r="E283" s="204" t="s">
        <v>48</v>
      </c>
      <c r="F283" s="205"/>
      <c r="G283" s="206"/>
      <c r="H283" s="196"/>
      <c r="I283" s="197"/>
      <c r="J283" s="207">
        <f ca="1">IFERROR(__xludf.DUMMYFUNCTION("IMPORTRANGE(""https://docs.google.com/spreadsheets/d/11923uPwbBZFjjGgGUA6NLw09EwE0CqkOc4q9oUmW1yo/edit?usp=sharing"",""พิจิตร!J193"")"),0)</f>
        <v>0</v>
      </c>
      <c r="K283" s="171"/>
      <c r="L283" s="191"/>
      <c r="M283" s="191"/>
      <c r="N283" s="191"/>
      <c r="O283" s="191"/>
      <c r="P283" s="191"/>
    </row>
    <row r="284" spans="1:16" ht="21.75" customHeight="1" x14ac:dyDescent="0.2">
      <c r="A284" s="185"/>
      <c r="B284" s="186"/>
      <c r="C284" s="186"/>
      <c r="D284" s="203"/>
      <c r="E284" s="204" t="s">
        <v>49</v>
      </c>
      <c r="F284" s="205"/>
      <c r="G284" s="206"/>
      <c r="H284" s="196"/>
      <c r="I284" s="197"/>
      <c r="J284" s="207">
        <f ca="1">IFERROR(__xludf.DUMMYFUNCTION("IMPORTRANGE(""https://docs.google.com/spreadsheets/d/11923uPwbBZFjjGgGUA6NLw09EwE0CqkOc4q9oUmW1yo/edit?usp=sharing"",""พิจิตร!J194"")"),0)</f>
        <v>0</v>
      </c>
      <c r="K284" s="171"/>
      <c r="L284" s="191"/>
      <c r="M284" s="191"/>
      <c r="N284" s="191"/>
      <c r="O284" s="191"/>
      <c r="P284" s="191"/>
    </row>
    <row r="285" spans="1:16" ht="21.75" customHeight="1" x14ac:dyDescent="0.2">
      <c r="A285" s="185"/>
      <c r="B285" s="186"/>
      <c r="C285" s="186"/>
      <c r="D285" s="203"/>
      <c r="E285" s="205"/>
      <c r="F285" s="204" t="s">
        <v>111</v>
      </c>
      <c r="G285" s="206"/>
      <c r="H285" s="196" t="s">
        <v>38</v>
      </c>
      <c r="I285" s="197">
        <f ca="1">IFERROR(__xludf.DUMMYFUNCTION("IMPORTRANGE(""https://docs.google.com/spreadsheets/d/11923uPwbBZFjjGgGUA6NLw09EwE0CqkOc4q9oUmW1yo/edit?usp=sharing"",""พิจิตร!I195"")"),0)</f>
        <v>0</v>
      </c>
      <c r="J285" s="198">
        <f ca="1">IFERROR(__xludf.DUMMYFUNCTION("IMPORTRANGE(""https://docs.google.com/spreadsheets/d/11923uPwbBZFjjGgGUA6NLw09EwE0CqkOc4q9oUmW1yo/edit?usp=sharing"",""พิจิตร!J195"")"),0)</f>
        <v>0</v>
      </c>
      <c r="K285" s="171">
        <f ca="1">IF(I285&gt;0,J285*100/I285,0)</f>
        <v>0</v>
      </c>
      <c r="L285" s="191"/>
      <c r="M285" s="191"/>
      <c r="N285" s="191"/>
      <c r="O285" s="191"/>
      <c r="P285" s="191"/>
    </row>
    <row r="286" spans="1:16" ht="21.75" customHeight="1" x14ac:dyDescent="0.2">
      <c r="A286" s="185"/>
      <c r="B286" s="186"/>
      <c r="C286" s="186"/>
      <c r="D286" s="203"/>
      <c r="E286" s="204" t="s">
        <v>55</v>
      </c>
      <c r="F286" s="205"/>
      <c r="G286" s="206"/>
      <c r="H286" s="196"/>
      <c r="I286" s="197"/>
      <c r="J286" s="207">
        <f ca="1">IFERROR(__xludf.DUMMYFUNCTION("IMPORTRANGE(""https://docs.google.com/spreadsheets/d/11923uPwbBZFjjGgGUA6NLw09EwE0CqkOc4q9oUmW1yo/edit?usp=sharing"",""พิจิตร!J196"")"),0)</f>
        <v>0</v>
      </c>
      <c r="K286" s="171"/>
      <c r="L286" s="191"/>
      <c r="M286" s="191"/>
      <c r="N286" s="191"/>
      <c r="O286" s="191"/>
      <c r="P286" s="191"/>
    </row>
    <row r="287" spans="1:16" ht="21.75" customHeight="1" x14ac:dyDescent="0.2">
      <c r="A287" s="185"/>
      <c r="B287" s="186"/>
      <c r="C287" s="186"/>
      <c r="D287" s="215">
        <v>3</v>
      </c>
      <c r="E287" s="216" t="s">
        <v>56</v>
      </c>
      <c r="F287" s="217"/>
      <c r="G287" s="218"/>
      <c r="H287" s="196"/>
      <c r="I287" s="197"/>
      <c r="J287" s="219">
        <f ca="1">IFERROR(__xludf.DUMMYFUNCTION("IMPORTRANGE(""https://docs.google.com/spreadsheets/d/11923uPwbBZFjjGgGUA6NLw09EwE0CqkOc4q9oUmW1yo/edit?usp=sharing"",""พิจิตร!J197"")"),0)</f>
        <v>0</v>
      </c>
      <c r="K287" s="171"/>
      <c r="L287" s="191"/>
      <c r="M287" s="191"/>
      <c r="N287" s="191"/>
      <c r="O287" s="191"/>
      <c r="P287" s="191"/>
    </row>
    <row r="288" spans="1:16" ht="21.75" customHeight="1" x14ac:dyDescent="0.2">
      <c r="A288" s="312" t="s">
        <v>112</v>
      </c>
      <c r="B288" s="313"/>
      <c r="C288" s="313"/>
      <c r="D288" s="314"/>
      <c r="E288" s="313"/>
      <c r="F288" s="313"/>
      <c r="G288" s="327"/>
      <c r="H288" s="328"/>
      <c r="I288" s="329"/>
      <c r="J288" s="329"/>
      <c r="K288" s="330"/>
      <c r="L288" s="330"/>
      <c r="M288" s="330"/>
      <c r="N288" s="330"/>
      <c r="O288" s="319"/>
      <c r="P288" s="319"/>
    </row>
    <row r="289" spans="1:16" ht="21.75" customHeight="1" x14ac:dyDescent="0.2">
      <c r="A289" s="331"/>
      <c r="B289" s="321" t="s">
        <v>113</v>
      </c>
      <c r="C289" s="332"/>
      <c r="D289" s="333"/>
      <c r="E289" s="321"/>
      <c r="F289" s="321"/>
      <c r="G289" s="322"/>
      <c r="H289" s="323" t="s">
        <v>38</v>
      </c>
      <c r="I289" s="324">
        <f ca="1">IFERROR(__xludf.DUMMYFUNCTION("IMPORTRANGE(""https://docs.google.com/spreadsheets/d/11923uPwbBZFjjGgGUA6NLw09EwE0CqkOc4q9oUmW1yo/edit?usp=sharing"",""พิจิตร!I199"")"),0)</f>
        <v>0</v>
      </c>
      <c r="J289" s="324">
        <f ca="1">IFERROR(__xludf.DUMMYFUNCTION("IMPORTRANGE(""https://docs.google.com/spreadsheets/d/11923uPwbBZFjjGgGUA6NLw09EwE0CqkOc4q9oUmW1yo/edit?usp=sharing"",""พิจิตร!J199"")"),0)</f>
        <v>0</v>
      </c>
      <c r="K289" s="325">
        <f ca="1">IF(I289&gt;0,J289*100/I289,0)</f>
        <v>0</v>
      </c>
      <c r="L289" s="326"/>
      <c r="M289" s="326"/>
      <c r="N289" s="326"/>
      <c r="O289" s="325"/>
      <c r="P289" s="325"/>
    </row>
    <row r="290" spans="1:16" ht="21.75" customHeight="1" x14ac:dyDescent="0.3">
      <c r="A290" s="152"/>
      <c r="B290" s="153"/>
      <c r="C290" s="154" t="s">
        <v>17</v>
      </c>
      <c r="D290" s="554" t="s">
        <v>18</v>
      </c>
      <c r="E290" s="545"/>
      <c r="F290" s="545"/>
      <c r="G290" s="545"/>
      <c r="H290" s="155" t="s">
        <v>13</v>
      </c>
      <c r="I290" s="197"/>
      <c r="J290" s="197"/>
      <c r="K290" s="233"/>
      <c r="L290" s="158">
        <f t="shared" ref="L290:N290" ca="1" si="88">L291+L292</f>
        <v>0</v>
      </c>
      <c r="M290" s="158">
        <f t="shared" ca="1" si="88"/>
        <v>0</v>
      </c>
      <c r="N290" s="158">
        <f t="shared" ca="1" si="88"/>
        <v>0</v>
      </c>
      <c r="O290" s="157">
        <f t="shared" ref="O290:O292" ca="1" si="89">IF(L290&gt;0,N290*100/L290,0)</f>
        <v>0</v>
      </c>
      <c r="P290" s="157">
        <f t="shared" ref="P290:P292" ca="1" si="90">IF(M290&gt;0,N290*100/M290,0)</f>
        <v>0</v>
      </c>
    </row>
    <row r="291" spans="1:16" ht="21.75" customHeight="1" x14ac:dyDescent="0.3">
      <c r="A291" s="159"/>
      <c r="B291" s="34"/>
      <c r="C291" s="34"/>
      <c r="D291" s="34"/>
      <c r="E291" s="34"/>
      <c r="F291" s="34"/>
      <c r="G291" s="35" t="s">
        <v>19</v>
      </c>
      <c r="H291" s="160" t="s">
        <v>13</v>
      </c>
      <c r="I291" s="197"/>
      <c r="J291" s="197"/>
      <c r="K291" s="233"/>
      <c r="L291" s="163">
        <f t="shared" ref="L291:N291" si="91">L293+L297</f>
        <v>0</v>
      </c>
      <c r="M291" s="163">
        <f t="shared" si="91"/>
        <v>0</v>
      </c>
      <c r="N291" s="163">
        <f t="shared" si="91"/>
        <v>0</v>
      </c>
      <c r="O291" s="162">
        <f t="shared" si="89"/>
        <v>0</v>
      </c>
      <c r="P291" s="162">
        <f t="shared" si="90"/>
        <v>0</v>
      </c>
    </row>
    <row r="292" spans="1:16" ht="21.75" customHeight="1" x14ac:dyDescent="0.3">
      <c r="A292" s="159"/>
      <c r="B292" s="34"/>
      <c r="C292" s="34"/>
      <c r="D292" s="34"/>
      <c r="E292" s="34"/>
      <c r="F292" s="34"/>
      <c r="G292" s="35" t="s">
        <v>20</v>
      </c>
      <c r="H292" s="160" t="s">
        <v>13</v>
      </c>
      <c r="I292" s="197"/>
      <c r="J292" s="197"/>
      <c r="K292" s="233"/>
      <c r="L292" s="163">
        <f t="shared" ref="L292:N292" ca="1" si="92">L294+L298</f>
        <v>0</v>
      </c>
      <c r="M292" s="163">
        <f t="shared" ca="1" si="92"/>
        <v>0</v>
      </c>
      <c r="N292" s="163">
        <f t="shared" ca="1" si="92"/>
        <v>0</v>
      </c>
      <c r="O292" s="162">
        <f t="shared" ca="1" si="89"/>
        <v>0</v>
      </c>
      <c r="P292" s="162">
        <f t="shared" ca="1" si="90"/>
        <v>0</v>
      </c>
    </row>
    <row r="293" spans="1:16" ht="21.75" customHeight="1" x14ac:dyDescent="0.2">
      <c r="A293" s="164"/>
      <c r="B293" s="165"/>
      <c r="C293" s="165" t="s">
        <v>17</v>
      </c>
      <c r="D293" s="166" t="s">
        <v>39</v>
      </c>
      <c r="E293" s="167"/>
      <c r="F293" s="167"/>
      <c r="G293" s="168" t="s">
        <v>40</v>
      </c>
      <c r="H293" s="169" t="s">
        <v>13</v>
      </c>
      <c r="I293" s="197" t="s">
        <v>41</v>
      </c>
      <c r="J293" s="197"/>
      <c r="K293" s="233"/>
      <c r="L293" s="172">
        <v>0</v>
      </c>
      <c r="M293" s="172"/>
      <c r="N293" s="172">
        <v>0</v>
      </c>
      <c r="O293" s="173">
        <f>+IF(L293&gt;0,N293*100/L293,0)</f>
        <v>0</v>
      </c>
      <c r="P293" s="173"/>
    </row>
    <row r="294" spans="1:16" ht="21.75" customHeight="1" x14ac:dyDescent="0.2">
      <c r="A294" s="164"/>
      <c r="B294" s="165"/>
      <c r="C294" s="165"/>
      <c r="D294" s="174"/>
      <c r="E294" s="167"/>
      <c r="F294" s="167" t="s">
        <v>41</v>
      </c>
      <c r="G294" s="168" t="s">
        <v>42</v>
      </c>
      <c r="H294" s="169" t="s">
        <v>13</v>
      </c>
      <c r="I294" s="197"/>
      <c r="J294" s="197"/>
      <c r="K294" s="233"/>
      <c r="L294" s="175">
        <f ca="1">L295+L296</f>
        <v>0</v>
      </c>
      <c r="M294" s="176">
        <f ca="1">IFERROR(__xludf.DUMMYFUNCTION("IMPORTRANGE(""https://docs.google.com/spreadsheets/d/1Yj_ptqi66GCucihVvJfMjLAmec39IyEx_6qawtMGysU/edit?usp=sharing"",""สบก!CT27"")"),0)</f>
        <v>0</v>
      </c>
      <c r="N294" s="177">
        <f ca="1">IFERROR(__xludf.DUMMYFUNCTION("IMPORTRANGE(""https://docs.google.com/spreadsheets/d/1Yj_ptqi66GCucihVvJfMjLAmec39IyEx_6qawtMGysU/edit?usp=sharing"",""สบก!CU27"")"),0)</f>
        <v>0</v>
      </c>
      <c r="O294" s="178">
        <f ca="1">IF(L294&gt;0,N294*100/L294,0)</f>
        <v>0</v>
      </c>
      <c r="P294" s="178">
        <f ca="1">IF(M294&gt;0,N294*100/M294,0)</f>
        <v>0</v>
      </c>
    </row>
    <row r="295" spans="1:16" ht="21.75" customHeight="1" x14ac:dyDescent="0.2">
      <c r="A295" s="164"/>
      <c r="B295" s="165"/>
      <c r="C295" s="165"/>
      <c r="D295" s="174"/>
      <c r="E295" s="167"/>
      <c r="F295" s="167"/>
      <c r="G295" s="179" t="s">
        <v>43</v>
      </c>
      <c r="H295" s="169" t="s">
        <v>13</v>
      </c>
      <c r="I295" s="197"/>
      <c r="J295" s="197"/>
      <c r="K295" s="233"/>
      <c r="L295" s="176">
        <f ca="1">IFERROR(__xludf.DUMMYFUNCTION("IMPORTRANGE(""https://docs.google.com/spreadsheets/d/1Yj_ptqi66GCucihVvJfMjLAmec39IyEx_6qawtMGysU/edit?usp=sharing"",""สบก!CP27"")"),0)</f>
        <v>0</v>
      </c>
      <c r="M295" s="175"/>
      <c r="N295" s="175"/>
      <c r="O295" s="178"/>
      <c r="P295" s="178"/>
    </row>
    <row r="296" spans="1:16" ht="21.75" customHeight="1" x14ac:dyDescent="0.2">
      <c r="A296" s="164"/>
      <c r="B296" s="165"/>
      <c r="C296" s="165"/>
      <c r="D296" s="174"/>
      <c r="E296" s="167"/>
      <c r="F296" s="167"/>
      <c r="G296" s="179" t="s">
        <v>44</v>
      </c>
      <c r="H296" s="169" t="s">
        <v>13</v>
      </c>
      <c r="I296" s="197"/>
      <c r="J296" s="197"/>
      <c r="K296" s="233"/>
      <c r="L296" s="176">
        <f ca="1">IFERROR(__xludf.DUMMYFUNCTION("IMPORTRANGE(""https://docs.google.com/spreadsheets/d/1Yj_ptqi66GCucihVvJfMjLAmec39IyEx_6qawtMGysU/edit?usp=sharing"",""สบก!CQ27"")"),0)</f>
        <v>0</v>
      </c>
      <c r="M296" s="175"/>
      <c r="N296" s="175"/>
      <c r="O296" s="178"/>
      <c r="P296" s="178"/>
    </row>
    <row r="297" spans="1:16" ht="21.75" customHeight="1" x14ac:dyDescent="0.3">
      <c r="A297" s="180"/>
      <c r="B297" s="83"/>
      <c r="C297" s="84" t="s">
        <v>17</v>
      </c>
      <c r="D297" s="551" t="s">
        <v>24</v>
      </c>
      <c r="E297" s="547"/>
      <c r="F297" s="91"/>
      <c r="G297" s="85" t="s">
        <v>19</v>
      </c>
      <c r="H297" s="181" t="s">
        <v>13</v>
      </c>
      <c r="I297" s="197"/>
      <c r="J297" s="197"/>
      <c r="K297" s="233"/>
      <c r="L297" s="95">
        <v>0</v>
      </c>
      <c r="M297" s="95"/>
      <c r="N297" s="44"/>
      <c r="O297" s="95"/>
      <c r="P297" s="95"/>
    </row>
    <row r="298" spans="1:16" ht="21.75" customHeight="1" x14ac:dyDescent="0.3">
      <c r="A298" s="182"/>
      <c r="B298" s="97"/>
      <c r="C298" s="97"/>
      <c r="D298" s="183"/>
      <c r="E298" s="98"/>
      <c r="F298" s="98"/>
      <c r="G298" s="99" t="s">
        <v>20</v>
      </c>
      <c r="H298" s="184" t="s">
        <v>13</v>
      </c>
      <c r="I298" s="197"/>
      <c r="J298" s="197"/>
      <c r="K298" s="233"/>
      <c r="L298" s="93">
        <f ca="1">IFERROR(__xludf.DUMMYFUNCTION("IMPORTRANGE(""https://docs.google.com/spreadsheets/d/1Yj_ptqi66GCucihVvJfMjLAmec39IyEx_6qawtMGysU/edit?usp=sharing"",""สบก!CR27"")"),0)</f>
        <v>0</v>
      </c>
      <c r="M298" s="103"/>
      <c r="N298" s="93">
        <f ca="1">IFERROR(__xludf.DUMMYFUNCTION("IMPORTRANGE(""https://docs.google.com/spreadsheets/d/1Yj_ptqi66GCucihVvJfMjLAmec39IyEx_6qawtMGysU/edit?usp=sharing"",""สบก!CV27"")"),0)</f>
        <v>0</v>
      </c>
      <c r="O298" s="103">
        <f ca="1">IF(L298&gt;0,N298*100/L298,0)</f>
        <v>0</v>
      </c>
      <c r="P298" s="103"/>
    </row>
    <row r="299" spans="1:16" ht="21.75" customHeight="1" x14ac:dyDescent="0.2">
      <c r="A299" s="185"/>
      <c r="B299" s="186"/>
      <c r="C299" s="165" t="s">
        <v>17</v>
      </c>
      <c r="D299" s="187" t="s">
        <v>45</v>
      </c>
      <c r="E299" s="188"/>
      <c r="F299" s="188"/>
      <c r="G299" s="189"/>
      <c r="H299" s="190"/>
      <c r="I299" s="197"/>
      <c r="J299" s="197"/>
      <c r="K299" s="233"/>
      <c r="L299" s="178"/>
      <c r="M299" s="178"/>
      <c r="N299" s="178"/>
      <c r="O299" s="191"/>
      <c r="P299" s="191"/>
    </row>
    <row r="300" spans="1:16" ht="21.75" customHeight="1" x14ac:dyDescent="0.2">
      <c r="A300" s="185"/>
      <c r="B300" s="186"/>
      <c r="C300" s="186"/>
      <c r="D300" s="192">
        <v>1</v>
      </c>
      <c r="E300" s="193" t="s">
        <v>46</v>
      </c>
      <c r="F300" s="194"/>
      <c r="G300" s="195"/>
      <c r="H300" s="196"/>
      <c r="I300" s="197"/>
      <c r="J300" s="197">
        <f ca="1">IFERROR(__xludf.DUMMYFUNCTION("IMPORTRANGE(""https://docs.google.com/spreadsheets/d/11923uPwbBZFjjGgGUA6NLw09EwE0CqkOc4q9oUmW1yo/edit?usp=sharing"",""พิจิตร!J205"")"),0)</f>
        <v>0</v>
      </c>
      <c r="K300" s="233"/>
      <c r="L300" s="178"/>
      <c r="M300" s="178"/>
      <c r="N300" s="178"/>
      <c r="O300" s="191"/>
      <c r="P300" s="191"/>
    </row>
    <row r="301" spans="1:16" ht="21.75" customHeight="1" x14ac:dyDescent="0.2">
      <c r="A301" s="185"/>
      <c r="B301" s="186"/>
      <c r="C301" s="186"/>
      <c r="D301" s="199">
        <v>2</v>
      </c>
      <c r="E301" s="200" t="s">
        <v>47</v>
      </c>
      <c r="F301" s="201"/>
      <c r="G301" s="202"/>
      <c r="H301" s="196"/>
      <c r="I301" s="197"/>
      <c r="J301" s="197">
        <f ca="1">IFERROR(__xludf.DUMMYFUNCTION("IMPORTRANGE(""https://docs.google.com/spreadsheets/d/11923uPwbBZFjjGgGUA6NLw09EwE0CqkOc4q9oUmW1yo/edit?usp=sharing"",""พิจิตร!J206"")"),0)</f>
        <v>0</v>
      </c>
      <c r="K301" s="233"/>
      <c r="L301" s="178" t="s">
        <v>41</v>
      </c>
      <c r="M301" s="178"/>
      <c r="N301" s="178" t="s">
        <v>41</v>
      </c>
      <c r="O301" s="191"/>
      <c r="P301" s="191"/>
    </row>
    <row r="302" spans="1:16" ht="21.75" customHeight="1" x14ac:dyDescent="0.2">
      <c r="A302" s="185"/>
      <c r="B302" s="186"/>
      <c r="C302" s="186"/>
      <c r="D302" s="203"/>
      <c r="E302" s="204" t="s">
        <v>48</v>
      </c>
      <c r="F302" s="205"/>
      <c r="G302" s="206"/>
      <c r="H302" s="196"/>
      <c r="I302" s="197"/>
      <c r="J302" s="197">
        <f ca="1">IFERROR(__xludf.DUMMYFUNCTION("IMPORTRANGE(""https://docs.google.com/spreadsheets/d/11923uPwbBZFjjGgGUA6NLw09EwE0CqkOc4q9oUmW1yo/edit?usp=sharing"",""พิจิตร!J207"")"),0)</f>
        <v>0</v>
      </c>
      <c r="K302" s="233"/>
      <c r="L302" s="178"/>
      <c r="M302" s="178"/>
      <c r="N302" s="178"/>
      <c r="O302" s="191"/>
      <c r="P302" s="191"/>
    </row>
    <row r="303" spans="1:16" ht="21.75" customHeight="1" x14ac:dyDescent="0.2">
      <c r="A303" s="185"/>
      <c r="B303" s="186"/>
      <c r="C303" s="186"/>
      <c r="D303" s="203"/>
      <c r="E303" s="204" t="s">
        <v>49</v>
      </c>
      <c r="F303" s="205"/>
      <c r="G303" s="206"/>
      <c r="H303" s="196"/>
      <c r="I303" s="197"/>
      <c r="J303" s="197">
        <f ca="1">IFERROR(__xludf.DUMMYFUNCTION("IMPORTRANGE(""https://docs.google.com/spreadsheets/d/11923uPwbBZFjjGgGUA6NLw09EwE0CqkOc4q9oUmW1yo/edit?usp=sharing"",""พิจิตร!J208"")"),0)</f>
        <v>0</v>
      </c>
      <c r="K303" s="233"/>
      <c r="L303" s="178"/>
      <c r="M303" s="178"/>
      <c r="N303" s="178"/>
      <c r="O303" s="191"/>
      <c r="P303" s="191"/>
    </row>
    <row r="304" spans="1:16" ht="21.75" customHeight="1" x14ac:dyDescent="0.2">
      <c r="A304" s="185"/>
      <c r="B304" s="186"/>
      <c r="C304" s="186"/>
      <c r="D304" s="203"/>
      <c r="E304" s="208"/>
      <c r="F304" s="204" t="s">
        <v>114</v>
      </c>
      <c r="G304" s="206"/>
      <c r="H304" s="190" t="s">
        <v>38</v>
      </c>
      <c r="I304" s="197">
        <f ca="1">IFERROR(__xludf.DUMMYFUNCTION("IMPORTRANGE(""https://docs.google.com/spreadsheets/d/11923uPwbBZFjjGgGUA6NLw09EwE0CqkOc4q9oUmW1yo/edit?usp=sharing"",""พิจิตร!I209"")"),0)</f>
        <v>0</v>
      </c>
      <c r="J304" s="213">
        <f ca="1">IFERROR(__xludf.DUMMYFUNCTION("IMPORTRANGE(""https://docs.google.com/spreadsheets/d/11923uPwbBZFjjGgGUA6NLw09EwE0CqkOc4q9oUmW1yo/edit?usp=sharing"",""พิจิตร!J209"")"),0)</f>
        <v>0</v>
      </c>
      <c r="K304" s="233">
        <f ca="1">IF(I304&gt;0,J304*100/I304,0)</f>
        <v>0</v>
      </c>
      <c r="L304" s="178"/>
      <c r="M304" s="178"/>
      <c r="N304" s="178"/>
      <c r="O304" s="191"/>
      <c r="P304" s="191"/>
    </row>
    <row r="305" spans="1:16" ht="21.75" customHeight="1" x14ac:dyDescent="0.2">
      <c r="A305" s="185"/>
      <c r="B305" s="186"/>
      <c r="C305" s="186"/>
      <c r="D305" s="203"/>
      <c r="E305" s="208"/>
      <c r="F305" s="204" t="s">
        <v>115</v>
      </c>
      <c r="G305" s="206"/>
      <c r="H305" s="190"/>
      <c r="I305" s="197"/>
      <c r="J305" s="197"/>
      <c r="K305" s="233"/>
      <c r="L305" s="178"/>
      <c r="M305" s="178"/>
      <c r="N305" s="178"/>
      <c r="O305" s="191"/>
      <c r="P305" s="191"/>
    </row>
    <row r="306" spans="1:16" ht="21.75" customHeight="1" x14ac:dyDescent="0.2">
      <c r="A306" s="185"/>
      <c r="B306" s="186"/>
      <c r="C306" s="186"/>
      <c r="D306" s="203"/>
      <c r="E306" s="208"/>
      <c r="F306" s="205" t="s">
        <v>54</v>
      </c>
      <c r="G306" s="206"/>
      <c r="H306" s="190" t="s">
        <v>38</v>
      </c>
      <c r="I306" s="197">
        <f ca="1">IFERROR(__xludf.DUMMYFUNCTION("IMPORTRANGE(""https://docs.google.com/spreadsheets/d/11923uPwbBZFjjGgGUA6NLw09EwE0CqkOc4q9oUmW1yo/edit?usp=sharing"",""พิจิตร!I211"")"),0)</f>
        <v>0</v>
      </c>
      <c r="J306" s="213">
        <f ca="1">IFERROR(__xludf.DUMMYFUNCTION("IMPORTRANGE(""https://docs.google.com/spreadsheets/d/11923uPwbBZFjjGgGUA6NLw09EwE0CqkOc4q9oUmW1yo/edit?usp=sharing"",""พิจิตร!J211"")"),0)</f>
        <v>0</v>
      </c>
      <c r="K306" s="233">
        <f ca="1">IF(I306&gt;0,J306*100/I306,0)</f>
        <v>0</v>
      </c>
      <c r="L306" s="178"/>
      <c r="M306" s="178"/>
      <c r="N306" s="178"/>
      <c r="O306" s="191"/>
      <c r="P306" s="191"/>
    </row>
    <row r="307" spans="1:16" ht="21.75" customHeight="1" x14ac:dyDescent="0.2">
      <c r="A307" s="185"/>
      <c r="B307" s="186"/>
      <c r="C307" s="186"/>
      <c r="D307" s="203"/>
      <c r="E307" s="204" t="s">
        <v>55</v>
      </c>
      <c r="F307" s="205"/>
      <c r="G307" s="206"/>
      <c r="H307" s="196"/>
      <c r="I307" s="197"/>
      <c r="J307" s="197">
        <f ca="1">IFERROR(__xludf.DUMMYFUNCTION("IMPORTRANGE(""https://docs.google.com/spreadsheets/d/11923uPwbBZFjjGgGUA6NLw09EwE0CqkOc4q9oUmW1yo/edit?usp=sharing"",""พิจิตร!J212"")"),0)</f>
        <v>0</v>
      </c>
      <c r="K307" s="233"/>
      <c r="L307" s="178"/>
      <c r="M307" s="178"/>
      <c r="N307" s="178"/>
      <c r="O307" s="191"/>
      <c r="P307" s="191"/>
    </row>
    <row r="308" spans="1:16" ht="21.75" customHeight="1" x14ac:dyDescent="0.2">
      <c r="A308" s="185"/>
      <c r="B308" s="186"/>
      <c r="C308" s="186"/>
      <c r="D308" s="215">
        <v>3</v>
      </c>
      <c r="E308" s="216" t="s">
        <v>56</v>
      </c>
      <c r="F308" s="217"/>
      <c r="G308" s="218"/>
      <c r="H308" s="196"/>
      <c r="I308" s="197"/>
      <c r="J308" s="334">
        <f ca="1">IFERROR(__xludf.DUMMYFUNCTION("IMPORTRANGE(""https://docs.google.com/spreadsheets/d/11923uPwbBZFjjGgGUA6NLw09EwE0CqkOc4q9oUmW1yo/edit?usp=sharing"",""พิจิตร!J213"")"),0)</f>
        <v>0</v>
      </c>
      <c r="K308" s="233"/>
      <c r="L308" s="178"/>
      <c r="M308" s="178"/>
      <c r="N308" s="178"/>
      <c r="O308" s="191"/>
      <c r="P308" s="191"/>
    </row>
    <row r="309" spans="1:16" ht="21.75" customHeight="1" x14ac:dyDescent="0.2">
      <c r="A309" s="335"/>
      <c r="B309" s="336" t="s">
        <v>116</v>
      </c>
      <c r="C309" s="337"/>
      <c r="D309" s="338"/>
      <c r="E309" s="336"/>
      <c r="F309" s="336"/>
      <c r="G309" s="339"/>
      <c r="H309" s="340" t="s">
        <v>117</v>
      </c>
      <c r="I309" s="341">
        <f ca="1">IFERROR(__xludf.DUMMYFUNCTION("IMPORTRANGE(""https://docs.google.com/spreadsheets/d/11923uPwbBZFjjGgGUA6NLw09EwE0CqkOc4q9oUmW1yo/edit?usp=sharing"",""พิจิตร!I214"")"),0)</f>
        <v>0</v>
      </c>
      <c r="J309" s="341">
        <f ca="1">IFERROR(__xludf.DUMMYFUNCTION("IMPORTRANGE(""https://docs.google.com/spreadsheets/d/11923uPwbBZFjjGgGUA6NLw09EwE0CqkOc4q9oUmW1yo/edit?usp=sharing"",""พิจิตร!J214"")"),0)</f>
        <v>0</v>
      </c>
      <c r="K309" s="342">
        <f ca="1">IF(I309&gt;0,J309*100/I309,0)</f>
        <v>0</v>
      </c>
      <c r="L309" s="343"/>
      <c r="M309" s="343"/>
      <c r="N309" s="343"/>
      <c r="O309" s="342"/>
      <c r="P309" s="342"/>
    </row>
    <row r="310" spans="1:16" ht="21.75" customHeight="1" x14ac:dyDescent="0.3">
      <c r="A310" s="152"/>
      <c r="B310" s="153"/>
      <c r="C310" s="154" t="s">
        <v>17</v>
      </c>
      <c r="D310" s="554" t="s">
        <v>18</v>
      </c>
      <c r="E310" s="545"/>
      <c r="F310" s="545"/>
      <c r="G310" s="545"/>
      <c r="H310" s="155" t="s">
        <v>13</v>
      </c>
      <c r="I310" s="344"/>
      <c r="J310" s="344"/>
      <c r="K310" s="345"/>
      <c r="L310" s="158">
        <f t="shared" ref="L310:N310" ca="1" si="93">L311+L312</f>
        <v>0</v>
      </c>
      <c r="M310" s="158">
        <f t="shared" ca="1" si="93"/>
        <v>0</v>
      </c>
      <c r="N310" s="158">
        <f t="shared" ca="1" si="93"/>
        <v>0</v>
      </c>
      <c r="O310" s="157">
        <f t="shared" ref="O310:O312" ca="1" si="94">IF(L310&gt;0,N310*100/L310,0)</f>
        <v>0</v>
      </c>
      <c r="P310" s="157">
        <f t="shared" ref="P310:P312" ca="1" si="95">IF(M310&gt;0,N310*100/M310,0)</f>
        <v>0</v>
      </c>
    </row>
    <row r="311" spans="1:16" ht="21.75" customHeight="1" x14ac:dyDescent="0.3">
      <c r="A311" s="159"/>
      <c r="B311" s="34"/>
      <c r="C311" s="34"/>
      <c r="D311" s="34"/>
      <c r="E311" s="34"/>
      <c r="F311" s="34"/>
      <c r="G311" s="35" t="s">
        <v>19</v>
      </c>
      <c r="H311" s="160" t="s">
        <v>13</v>
      </c>
      <c r="I311" s="344"/>
      <c r="J311" s="344"/>
      <c r="K311" s="345"/>
      <c r="L311" s="163">
        <f t="shared" ref="L311:N311" si="96">L313+L317</f>
        <v>0</v>
      </c>
      <c r="M311" s="163">
        <f t="shared" si="96"/>
        <v>0</v>
      </c>
      <c r="N311" s="163">
        <f t="shared" si="96"/>
        <v>0</v>
      </c>
      <c r="O311" s="162">
        <f t="shared" si="94"/>
        <v>0</v>
      </c>
      <c r="P311" s="162">
        <f t="shared" si="95"/>
        <v>0</v>
      </c>
    </row>
    <row r="312" spans="1:16" ht="21.75" customHeight="1" x14ac:dyDescent="0.3">
      <c r="A312" s="159"/>
      <c r="B312" s="34"/>
      <c r="C312" s="34"/>
      <c r="D312" s="34"/>
      <c r="E312" s="34"/>
      <c r="F312" s="34"/>
      <c r="G312" s="35" t="s">
        <v>20</v>
      </c>
      <c r="H312" s="160" t="s">
        <v>13</v>
      </c>
      <c r="I312" s="344"/>
      <c r="J312" s="344"/>
      <c r="K312" s="345"/>
      <c r="L312" s="163">
        <f t="shared" ref="L312:N312" ca="1" si="97">L314+L318</f>
        <v>0</v>
      </c>
      <c r="M312" s="163">
        <f t="shared" ca="1" si="97"/>
        <v>0</v>
      </c>
      <c r="N312" s="163">
        <f t="shared" ca="1" si="97"/>
        <v>0</v>
      </c>
      <c r="O312" s="162">
        <f t="shared" ca="1" si="94"/>
        <v>0</v>
      </c>
      <c r="P312" s="162">
        <f t="shared" ca="1" si="95"/>
        <v>0</v>
      </c>
    </row>
    <row r="313" spans="1:16" ht="21.75" customHeight="1" x14ac:dyDescent="0.2">
      <c r="A313" s="164"/>
      <c r="B313" s="165"/>
      <c r="C313" s="165" t="s">
        <v>17</v>
      </c>
      <c r="D313" s="166" t="s">
        <v>39</v>
      </c>
      <c r="E313" s="167"/>
      <c r="F313" s="167"/>
      <c r="G313" s="168" t="s">
        <v>40</v>
      </c>
      <c r="H313" s="169" t="s">
        <v>13</v>
      </c>
      <c r="I313" s="170" t="s">
        <v>41</v>
      </c>
      <c r="J313" s="170"/>
      <c r="K313" s="171"/>
      <c r="L313" s="172">
        <v>0</v>
      </c>
      <c r="M313" s="172"/>
      <c r="N313" s="172">
        <v>0</v>
      </c>
      <c r="O313" s="173">
        <f>+IF(L313&gt;0,N313*100/L313,0)</f>
        <v>0</v>
      </c>
      <c r="P313" s="173"/>
    </row>
    <row r="314" spans="1:16" ht="21.75" customHeight="1" x14ac:dyDescent="0.2">
      <c r="A314" s="164"/>
      <c r="B314" s="165"/>
      <c r="C314" s="165"/>
      <c r="D314" s="174"/>
      <c r="E314" s="167"/>
      <c r="F314" s="167" t="s">
        <v>41</v>
      </c>
      <c r="G314" s="168" t="s">
        <v>42</v>
      </c>
      <c r="H314" s="169" t="s">
        <v>13</v>
      </c>
      <c r="I314" s="170"/>
      <c r="J314" s="170"/>
      <c r="K314" s="171"/>
      <c r="L314" s="175">
        <f ca="1">L315+L316</f>
        <v>0</v>
      </c>
      <c r="M314" s="176">
        <f ca="1">IFERROR(__xludf.DUMMYFUNCTION("IMPORTRANGE(""https://docs.google.com/spreadsheets/d/1Yj_ptqi66GCucihVvJfMjLAmec39IyEx_6qawtMGysU/edit?usp=sharing"",""สบก!DC27"")"),0)</f>
        <v>0</v>
      </c>
      <c r="N314" s="177">
        <f ca="1">IFERROR(__xludf.DUMMYFUNCTION("IMPORTRANGE(""https://docs.google.com/spreadsheets/d/1Yj_ptqi66GCucihVvJfMjLAmec39IyEx_6qawtMGysU/edit?usp=sharing"",""สบก!DD27"")"),0)</f>
        <v>0</v>
      </c>
      <c r="O314" s="178">
        <f ca="1">IF(L314&gt;0,N314*100/L314,0)</f>
        <v>0</v>
      </c>
      <c r="P314" s="178">
        <f ca="1">IF(M314&gt;0,N314*100/M314,0)</f>
        <v>0</v>
      </c>
    </row>
    <row r="315" spans="1:16" ht="21.75" customHeight="1" x14ac:dyDescent="0.2">
      <c r="A315" s="164"/>
      <c r="B315" s="165"/>
      <c r="C315" s="165"/>
      <c r="D315" s="174"/>
      <c r="E315" s="167"/>
      <c r="F315" s="167"/>
      <c r="G315" s="179" t="s">
        <v>43</v>
      </c>
      <c r="H315" s="169" t="s">
        <v>13</v>
      </c>
      <c r="I315" s="170"/>
      <c r="J315" s="170"/>
      <c r="K315" s="171"/>
      <c r="L315" s="176">
        <f ca="1">IFERROR(__xludf.DUMMYFUNCTION("IMPORTRANGE(""https://docs.google.com/spreadsheets/d/1Yj_ptqi66GCucihVvJfMjLAmec39IyEx_6qawtMGysU/edit?usp=sharing"",""สบก!CY27"")"),0)</f>
        <v>0</v>
      </c>
      <c r="M315" s="175"/>
      <c r="N315" s="175"/>
      <c r="O315" s="178"/>
      <c r="P315" s="178"/>
    </row>
    <row r="316" spans="1:16" ht="21.75" customHeight="1" x14ac:dyDescent="0.2">
      <c r="A316" s="164"/>
      <c r="B316" s="165"/>
      <c r="C316" s="165"/>
      <c r="D316" s="174"/>
      <c r="E316" s="167"/>
      <c r="F316" s="167"/>
      <c r="G316" s="179" t="s">
        <v>44</v>
      </c>
      <c r="H316" s="169" t="s">
        <v>13</v>
      </c>
      <c r="I316" s="170"/>
      <c r="J316" s="197"/>
      <c r="K316" s="233"/>
      <c r="L316" s="176">
        <f ca="1">IFERROR(__xludf.DUMMYFUNCTION("IMPORTRANGE(""https://docs.google.com/spreadsheets/d/1Yj_ptqi66GCucihVvJfMjLAmec39IyEx_6qawtMGysU/edit?usp=sharing"",""สบก!CZ27"")"),0)</f>
        <v>0</v>
      </c>
      <c r="M316" s="175"/>
      <c r="N316" s="175"/>
      <c r="O316" s="178"/>
      <c r="P316" s="178"/>
    </row>
    <row r="317" spans="1:16" ht="21.75" customHeight="1" x14ac:dyDescent="0.3">
      <c r="A317" s="180"/>
      <c r="B317" s="83"/>
      <c r="C317" s="84" t="s">
        <v>17</v>
      </c>
      <c r="D317" s="551" t="s">
        <v>24</v>
      </c>
      <c r="E317" s="547"/>
      <c r="F317" s="91"/>
      <c r="G317" s="85" t="s">
        <v>19</v>
      </c>
      <c r="H317" s="181" t="s">
        <v>13</v>
      </c>
      <c r="I317" s="170"/>
      <c r="J317" s="197"/>
      <c r="K317" s="233"/>
      <c r="L317" s="95">
        <v>0</v>
      </c>
      <c r="M317" s="95"/>
      <c r="N317" s="44"/>
      <c r="O317" s="95"/>
      <c r="P317" s="95"/>
    </row>
    <row r="318" spans="1:16" ht="21.75" customHeight="1" x14ac:dyDescent="0.3">
      <c r="A318" s="182"/>
      <c r="B318" s="97"/>
      <c r="C318" s="97"/>
      <c r="D318" s="183"/>
      <c r="E318" s="98"/>
      <c r="F318" s="98"/>
      <c r="G318" s="99" t="s">
        <v>20</v>
      </c>
      <c r="H318" s="184" t="s">
        <v>13</v>
      </c>
      <c r="I318" s="170"/>
      <c r="J318" s="197"/>
      <c r="K318" s="233"/>
      <c r="L318" s="93">
        <f ca="1">IFERROR(__xludf.DUMMYFUNCTION("IMPORTRANGE(""https://docs.google.com/spreadsheets/d/1Yj_ptqi66GCucihVvJfMjLAmec39IyEx_6qawtMGysU/edit?usp=sharing"",""สบก!DA27"")"),0)</f>
        <v>0</v>
      </c>
      <c r="M318" s="103"/>
      <c r="N318" s="93">
        <f ca="1">IFERROR(__xludf.DUMMYFUNCTION("IMPORTRANGE(""https://docs.google.com/spreadsheets/d/1Yj_ptqi66GCucihVvJfMjLAmec39IyEx_6qawtMGysU/edit?usp=sharing"",""สบก!DE27"")"),0)</f>
        <v>0</v>
      </c>
      <c r="O318" s="103">
        <f ca="1">IF(L318&gt;0,N318*100/L318,0)</f>
        <v>0</v>
      </c>
      <c r="P318" s="103"/>
    </row>
    <row r="319" spans="1:16" ht="21.75" customHeight="1" x14ac:dyDescent="0.2">
      <c r="A319" s="185"/>
      <c r="B319" s="186"/>
      <c r="C319" s="165" t="s">
        <v>17</v>
      </c>
      <c r="D319" s="187" t="s">
        <v>45</v>
      </c>
      <c r="E319" s="188"/>
      <c r="F319" s="188"/>
      <c r="G319" s="189"/>
      <c r="H319" s="190"/>
      <c r="I319" s="170"/>
      <c r="J319" s="197"/>
      <c r="K319" s="233"/>
      <c r="L319" s="178"/>
      <c r="M319" s="178"/>
      <c r="N319" s="178"/>
      <c r="O319" s="191"/>
      <c r="P319" s="191"/>
    </row>
    <row r="320" spans="1:16" ht="21.75" customHeight="1" x14ac:dyDescent="0.2">
      <c r="A320" s="185"/>
      <c r="B320" s="186"/>
      <c r="C320" s="186"/>
      <c r="D320" s="192">
        <v>1</v>
      </c>
      <c r="E320" s="193" t="s">
        <v>46</v>
      </c>
      <c r="F320" s="194"/>
      <c r="G320" s="195"/>
      <c r="H320" s="196"/>
      <c r="I320" s="197"/>
      <c r="J320" s="197">
        <f ca="1">IFERROR(__xludf.DUMMYFUNCTION("IMPORTRANGE(""https://docs.google.com/spreadsheets/d/11923uPwbBZFjjGgGUA6NLw09EwE0CqkOc4q9oUmW1yo/edit?usp=sharing"",""พิจิตร!J220"")"),0)</f>
        <v>0</v>
      </c>
      <c r="K320" s="233"/>
      <c r="L320" s="178"/>
      <c r="M320" s="178"/>
      <c r="N320" s="178"/>
      <c r="O320" s="191"/>
      <c r="P320" s="191"/>
    </row>
    <row r="321" spans="1:16" ht="21.75" customHeight="1" x14ac:dyDescent="0.2">
      <c r="A321" s="185"/>
      <c r="B321" s="186"/>
      <c r="C321" s="186"/>
      <c r="D321" s="199">
        <v>2</v>
      </c>
      <c r="E321" s="200" t="s">
        <v>47</v>
      </c>
      <c r="F321" s="201"/>
      <c r="G321" s="202"/>
      <c r="H321" s="196"/>
      <c r="I321" s="197"/>
      <c r="J321" s="197">
        <f ca="1">IFERROR(__xludf.DUMMYFUNCTION("IMPORTRANGE(""https://docs.google.com/spreadsheets/d/11923uPwbBZFjjGgGUA6NLw09EwE0CqkOc4q9oUmW1yo/edit?usp=sharing"",""พิจิตร!J221"")"),0)</f>
        <v>0</v>
      </c>
      <c r="K321" s="233"/>
      <c r="L321" s="178" t="s">
        <v>41</v>
      </c>
      <c r="M321" s="178"/>
      <c r="N321" s="178" t="s">
        <v>41</v>
      </c>
      <c r="O321" s="191"/>
      <c r="P321" s="191"/>
    </row>
    <row r="322" spans="1:16" ht="21.75" customHeight="1" x14ac:dyDescent="0.2">
      <c r="A322" s="185"/>
      <c r="B322" s="186"/>
      <c r="C322" s="186"/>
      <c r="D322" s="203"/>
      <c r="E322" s="204" t="s">
        <v>48</v>
      </c>
      <c r="F322" s="205"/>
      <c r="G322" s="206"/>
      <c r="H322" s="196"/>
      <c r="I322" s="197"/>
      <c r="J322" s="197">
        <f ca="1">IFERROR(__xludf.DUMMYFUNCTION("IMPORTRANGE(""https://docs.google.com/spreadsheets/d/11923uPwbBZFjjGgGUA6NLw09EwE0CqkOc4q9oUmW1yo/edit?usp=sharing"",""พิจิตร!J222"")"),0)</f>
        <v>0</v>
      </c>
      <c r="K322" s="233"/>
      <c r="L322" s="178"/>
      <c r="M322" s="178"/>
      <c r="N322" s="178"/>
      <c r="O322" s="191"/>
      <c r="P322" s="191"/>
    </row>
    <row r="323" spans="1:16" ht="21.75" customHeight="1" x14ac:dyDescent="0.2">
      <c r="A323" s="185"/>
      <c r="B323" s="186"/>
      <c r="C323" s="186"/>
      <c r="D323" s="203"/>
      <c r="E323" s="204" t="s">
        <v>49</v>
      </c>
      <c r="F323" s="205"/>
      <c r="G323" s="206"/>
      <c r="H323" s="196"/>
      <c r="I323" s="197"/>
      <c r="J323" s="197">
        <f ca="1">IFERROR(__xludf.DUMMYFUNCTION("IMPORTRANGE(""https://docs.google.com/spreadsheets/d/11923uPwbBZFjjGgGUA6NLw09EwE0CqkOc4q9oUmW1yo/edit?usp=sharing"",""พิจิตร!J223"")"),0)</f>
        <v>0</v>
      </c>
      <c r="K323" s="233"/>
      <c r="L323" s="178"/>
      <c r="M323" s="178"/>
      <c r="N323" s="178"/>
      <c r="O323" s="191"/>
      <c r="P323" s="191"/>
    </row>
    <row r="324" spans="1:16" ht="21.75" customHeight="1" x14ac:dyDescent="0.2">
      <c r="A324" s="185"/>
      <c r="B324" s="186"/>
      <c r="C324" s="186"/>
      <c r="D324" s="203"/>
      <c r="E324" s="208"/>
      <c r="F324" s="204" t="s">
        <v>118</v>
      </c>
      <c r="G324" s="206"/>
      <c r="H324" s="196" t="s">
        <v>117</v>
      </c>
      <c r="I324" s="197">
        <f ca="1">IFERROR(__xludf.DUMMYFUNCTION("IMPORTRANGE(""https://docs.google.com/spreadsheets/d/11923uPwbBZFjjGgGUA6NLw09EwE0CqkOc4q9oUmW1yo/edit?usp=sharing"",""พิจิตร!I224"")"),0)</f>
        <v>0</v>
      </c>
      <c r="J324" s="213">
        <f ca="1">IFERROR(__xludf.DUMMYFUNCTION("IMPORTRANGE(""https://docs.google.com/spreadsheets/d/11923uPwbBZFjjGgGUA6NLw09EwE0CqkOc4q9oUmW1yo/edit?usp=sharing"",""พิจิตร!J224"")"),0)</f>
        <v>0</v>
      </c>
      <c r="K324" s="233">
        <f ca="1">IF(I324&gt;0,J324*100/I324,0)</f>
        <v>0</v>
      </c>
      <c r="L324" s="178"/>
      <c r="M324" s="178"/>
      <c r="N324" s="178"/>
      <c r="O324" s="191"/>
      <c r="P324" s="191"/>
    </row>
    <row r="325" spans="1:16" ht="21.75" customHeight="1" x14ac:dyDescent="0.2">
      <c r="A325" s="185"/>
      <c r="B325" s="186"/>
      <c r="C325" s="186"/>
      <c r="D325" s="203"/>
      <c r="E325" s="204" t="s">
        <v>55</v>
      </c>
      <c r="F325" s="205"/>
      <c r="G325" s="206"/>
      <c r="H325" s="196"/>
      <c r="I325" s="197"/>
      <c r="J325" s="197">
        <f ca="1">IFERROR(__xludf.DUMMYFUNCTION("IMPORTRANGE(""https://docs.google.com/spreadsheets/d/11923uPwbBZFjjGgGUA6NLw09EwE0CqkOc4q9oUmW1yo/edit?usp=sharing"",""พิจิตร!J225"")"),0)</f>
        <v>0</v>
      </c>
      <c r="K325" s="233"/>
      <c r="L325" s="178"/>
      <c r="M325" s="178"/>
      <c r="N325" s="178"/>
      <c r="O325" s="191"/>
      <c r="P325" s="191"/>
    </row>
    <row r="326" spans="1:16" ht="21.75" customHeight="1" x14ac:dyDescent="0.2">
      <c r="A326" s="185"/>
      <c r="B326" s="186"/>
      <c r="C326" s="186"/>
      <c r="D326" s="215">
        <v>3</v>
      </c>
      <c r="E326" s="216" t="s">
        <v>56</v>
      </c>
      <c r="F326" s="217"/>
      <c r="G326" s="218"/>
      <c r="H326" s="196"/>
      <c r="I326" s="197"/>
      <c r="J326" s="236">
        <f ca="1">IFERROR(__xludf.DUMMYFUNCTION("IMPORTRANGE(""https://docs.google.com/spreadsheets/d/11923uPwbBZFjjGgGUA6NLw09EwE0CqkOc4q9oUmW1yo/edit?usp=sharing"",""พิจิตร!J226"")"),0)</f>
        <v>0</v>
      </c>
      <c r="K326" s="233"/>
      <c r="L326" s="178"/>
      <c r="M326" s="178"/>
      <c r="N326" s="178"/>
      <c r="O326" s="191"/>
      <c r="P326" s="191"/>
    </row>
    <row r="327" spans="1:16" ht="21.75" customHeight="1" x14ac:dyDescent="0.2">
      <c r="A327" s="312" t="s">
        <v>119</v>
      </c>
      <c r="B327" s="313"/>
      <c r="C327" s="313"/>
      <c r="D327" s="314"/>
      <c r="E327" s="313"/>
      <c r="F327" s="313"/>
      <c r="G327" s="327"/>
      <c r="H327" s="316"/>
      <c r="I327" s="317"/>
      <c r="J327" s="317"/>
      <c r="K327" s="318"/>
      <c r="L327" s="318"/>
      <c r="M327" s="318"/>
      <c r="N327" s="318"/>
      <c r="O327" s="319"/>
      <c r="P327" s="319"/>
    </row>
    <row r="328" spans="1:16" ht="21.75" customHeight="1" x14ac:dyDescent="0.2">
      <c r="A328" s="320"/>
      <c r="B328" s="346" t="s">
        <v>120</v>
      </c>
      <c r="C328" s="333"/>
      <c r="D328" s="321"/>
      <c r="E328" s="321"/>
      <c r="F328" s="321"/>
      <c r="G328" s="322"/>
      <c r="H328" s="323" t="s">
        <v>38</v>
      </c>
      <c r="I328" s="347">
        <f ca="1">IFERROR(__xludf.DUMMYFUNCTION("IMPORTRANGE(""https://docs.google.com/spreadsheets/d/11923uPwbBZFjjGgGUA6NLw09EwE0CqkOc4q9oUmW1yo/edit?usp=sharing"",""พิจิตร!I228"")"),130)</f>
        <v>130</v>
      </c>
      <c r="J328" s="347">
        <f ca="1">IFERROR(__xludf.DUMMYFUNCTION("IMPORTRANGE(""https://docs.google.com/spreadsheets/d/11923uPwbBZFjjGgGUA6NLw09EwE0CqkOc4q9oUmW1yo/edit?usp=sharing"",""พิจิตร!J228"")"),21)</f>
        <v>21</v>
      </c>
      <c r="K328" s="325">
        <f ca="1">IF(I328&gt;0,J328*100/I328,0)</f>
        <v>16.153846153846153</v>
      </c>
      <c r="L328" s="326"/>
      <c r="M328" s="326"/>
      <c r="N328" s="326"/>
      <c r="O328" s="325"/>
      <c r="P328" s="325"/>
    </row>
    <row r="329" spans="1:16" ht="21.75" customHeight="1" x14ac:dyDescent="0.3">
      <c r="A329" s="152"/>
      <c r="B329" s="153"/>
      <c r="C329" s="154" t="s">
        <v>17</v>
      </c>
      <c r="D329" s="554" t="s">
        <v>18</v>
      </c>
      <c r="E329" s="545"/>
      <c r="F329" s="545"/>
      <c r="G329" s="545"/>
      <c r="H329" s="155" t="s">
        <v>13</v>
      </c>
      <c r="I329" s="170"/>
      <c r="J329" s="170"/>
      <c r="K329" s="171"/>
      <c r="L329" s="158">
        <f t="shared" ref="L329:N329" ca="1" si="98">L330+L331</f>
        <v>1253340</v>
      </c>
      <c r="M329" s="158">
        <f t="shared" ca="1" si="98"/>
        <v>605480</v>
      </c>
      <c r="N329" s="158">
        <f t="shared" ca="1" si="98"/>
        <v>439112</v>
      </c>
      <c r="O329" s="157">
        <f t="shared" ref="O329:O331" ca="1" si="99">IF(L329&gt;0,N329*100/L329,0)</f>
        <v>35.035345556672574</v>
      </c>
      <c r="P329" s="157">
        <f t="shared" ref="P329:P331" ca="1" si="100">IF(M329&gt;0,N329*100/M329,0)</f>
        <v>72.522956992799095</v>
      </c>
    </row>
    <row r="330" spans="1:16" ht="21.75" customHeight="1" x14ac:dyDescent="0.3">
      <c r="A330" s="159"/>
      <c r="B330" s="34"/>
      <c r="C330" s="34"/>
      <c r="D330" s="34"/>
      <c r="E330" s="34"/>
      <c r="F330" s="34"/>
      <c r="G330" s="35" t="s">
        <v>19</v>
      </c>
      <c r="H330" s="160" t="s">
        <v>13</v>
      </c>
      <c r="I330" s="170"/>
      <c r="J330" s="170"/>
      <c r="K330" s="171"/>
      <c r="L330" s="163">
        <f t="shared" ref="L330:N330" si="101">L332+L336</f>
        <v>0</v>
      </c>
      <c r="M330" s="163">
        <f t="shared" si="101"/>
        <v>0</v>
      </c>
      <c r="N330" s="163">
        <f t="shared" si="101"/>
        <v>0</v>
      </c>
      <c r="O330" s="162">
        <f t="shared" si="99"/>
        <v>0</v>
      </c>
      <c r="P330" s="162">
        <f t="shared" si="100"/>
        <v>0</v>
      </c>
    </row>
    <row r="331" spans="1:16" ht="21.75" customHeight="1" x14ac:dyDescent="0.3">
      <c r="A331" s="159"/>
      <c r="B331" s="34"/>
      <c r="C331" s="34"/>
      <c r="D331" s="34"/>
      <c r="E331" s="34"/>
      <c r="F331" s="34"/>
      <c r="G331" s="35" t="s">
        <v>20</v>
      </c>
      <c r="H331" s="160" t="s">
        <v>13</v>
      </c>
      <c r="I331" s="170"/>
      <c r="J331" s="170"/>
      <c r="K331" s="171"/>
      <c r="L331" s="163">
        <f t="shared" ref="L331:N331" ca="1" si="102">L333+L337</f>
        <v>1253340</v>
      </c>
      <c r="M331" s="163">
        <f t="shared" ca="1" si="102"/>
        <v>605480</v>
      </c>
      <c r="N331" s="163">
        <f t="shared" ca="1" si="102"/>
        <v>439112</v>
      </c>
      <c r="O331" s="162">
        <f t="shared" ca="1" si="99"/>
        <v>35.035345556672574</v>
      </c>
      <c r="P331" s="162">
        <f t="shared" ca="1" si="100"/>
        <v>72.522956992799095</v>
      </c>
    </row>
    <row r="332" spans="1:16" ht="21.75" customHeight="1" x14ac:dyDescent="0.2">
      <c r="A332" s="164"/>
      <c r="B332" s="165"/>
      <c r="C332" s="165" t="s">
        <v>17</v>
      </c>
      <c r="D332" s="166" t="s">
        <v>39</v>
      </c>
      <c r="E332" s="167"/>
      <c r="F332" s="167"/>
      <c r="G332" s="168" t="s">
        <v>40</v>
      </c>
      <c r="H332" s="169" t="s">
        <v>13</v>
      </c>
      <c r="I332" s="170" t="s">
        <v>41</v>
      </c>
      <c r="J332" s="170"/>
      <c r="K332" s="171"/>
      <c r="L332" s="172">
        <v>0</v>
      </c>
      <c r="M332" s="172"/>
      <c r="N332" s="172">
        <v>0</v>
      </c>
      <c r="O332" s="173">
        <f>+IF(L332&gt;0,N332*100/L332,0)</f>
        <v>0</v>
      </c>
      <c r="P332" s="173"/>
    </row>
    <row r="333" spans="1:16" ht="21.75" customHeight="1" x14ac:dyDescent="0.2">
      <c r="A333" s="164"/>
      <c r="B333" s="165"/>
      <c r="C333" s="165"/>
      <c r="D333" s="174"/>
      <c r="E333" s="167"/>
      <c r="F333" s="167" t="s">
        <v>41</v>
      </c>
      <c r="G333" s="168" t="s">
        <v>42</v>
      </c>
      <c r="H333" s="169" t="s">
        <v>13</v>
      </c>
      <c r="I333" s="170"/>
      <c r="J333" s="170"/>
      <c r="K333" s="171"/>
      <c r="L333" s="175">
        <f ca="1">L334+L335</f>
        <v>1177740</v>
      </c>
      <c r="M333" s="176">
        <f ca="1">IFERROR(__xludf.DUMMYFUNCTION("IMPORTRANGE(""https://docs.google.com/spreadsheets/d/1Yj_ptqi66GCucihVvJfMjLAmec39IyEx_6qawtMGysU/edit?usp=sharing"",""สบก!DL27"")"),605480)</f>
        <v>605480</v>
      </c>
      <c r="N333" s="177">
        <f ca="1">IFERROR(__xludf.DUMMYFUNCTION("IMPORTRANGE(""https://docs.google.com/spreadsheets/d/1Yj_ptqi66GCucihVvJfMjLAmec39IyEx_6qawtMGysU/edit?usp=sharing"",""สบก!DM27"")"),363512)</f>
        <v>363512</v>
      </c>
      <c r="O333" s="178">
        <f ca="1">IF(L333&gt;0,N333*100/L333,0)</f>
        <v>30.865216431470444</v>
      </c>
      <c r="P333" s="178">
        <f ca="1">IF(M333&gt;0,N333*100/M333,0)</f>
        <v>60.036995441633081</v>
      </c>
    </row>
    <row r="334" spans="1:16" ht="21.75" customHeight="1" x14ac:dyDescent="0.2">
      <c r="A334" s="164"/>
      <c r="B334" s="165"/>
      <c r="C334" s="165"/>
      <c r="D334" s="174"/>
      <c r="E334" s="167"/>
      <c r="F334" s="167"/>
      <c r="G334" s="179" t="s">
        <v>43</v>
      </c>
      <c r="H334" s="169" t="s">
        <v>13</v>
      </c>
      <c r="I334" s="170"/>
      <c r="J334" s="170"/>
      <c r="K334" s="171"/>
      <c r="L334" s="176">
        <f ca="1">IFERROR(__xludf.DUMMYFUNCTION("IMPORTRANGE(""https://docs.google.com/spreadsheets/d/1Yj_ptqi66GCucihVvJfMjLAmec39IyEx_6qawtMGysU/edit?usp=sharing"",""สบก!DH27"")"),854600)</f>
        <v>854600</v>
      </c>
      <c r="M334" s="175"/>
      <c r="N334" s="175"/>
      <c r="O334" s="178"/>
      <c r="P334" s="178"/>
    </row>
    <row r="335" spans="1:16" ht="21.75" customHeight="1" x14ac:dyDescent="0.2">
      <c r="A335" s="164"/>
      <c r="B335" s="165"/>
      <c r="C335" s="165"/>
      <c r="D335" s="174"/>
      <c r="E335" s="167"/>
      <c r="F335" s="167"/>
      <c r="G335" s="179" t="s">
        <v>44</v>
      </c>
      <c r="H335" s="169" t="s">
        <v>13</v>
      </c>
      <c r="I335" s="170"/>
      <c r="J335" s="170"/>
      <c r="K335" s="171"/>
      <c r="L335" s="176">
        <f ca="1">IFERROR(__xludf.DUMMYFUNCTION("IMPORTRANGE(""https://docs.google.com/spreadsheets/d/1Yj_ptqi66GCucihVvJfMjLAmec39IyEx_6qawtMGysU/edit?usp=sharing"",""สบก!DI27"")"),323140)</f>
        <v>323140</v>
      </c>
      <c r="M335" s="175"/>
      <c r="N335" s="175"/>
      <c r="O335" s="178"/>
      <c r="P335" s="178"/>
    </row>
    <row r="336" spans="1:16" ht="21.75" customHeight="1" x14ac:dyDescent="0.3">
      <c r="A336" s="180"/>
      <c r="B336" s="83"/>
      <c r="C336" s="84" t="s">
        <v>17</v>
      </c>
      <c r="D336" s="551" t="s">
        <v>24</v>
      </c>
      <c r="E336" s="547"/>
      <c r="F336" s="91"/>
      <c r="G336" s="85" t="s">
        <v>19</v>
      </c>
      <c r="H336" s="181" t="s">
        <v>13</v>
      </c>
      <c r="I336" s="170"/>
      <c r="J336" s="170"/>
      <c r="K336" s="171"/>
      <c r="L336" s="95">
        <v>0</v>
      </c>
      <c r="M336" s="95"/>
      <c r="N336" s="44"/>
      <c r="O336" s="95"/>
      <c r="P336" s="95"/>
    </row>
    <row r="337" spans="1:16" ht="21.75" customHeight="1" x14ac:dyDescent="0.3">
      <c r="A337" s="182"/>
      <c r="B337" s="97"/>
      <c r="C337" s="97"/>
      <c r="D337" s="183"/>
      <c r="E337" s="98"/>
      <c r="F337" s="98"/>
      <c r="G337" s="99" t="s">
        <v>20</v>
      </c>
      <c r="H337" s="184" t="s">
        <v>13</v>
      </c>
      <c r="I337" s="170"/>
      <c r="J337" s="170"/>
      <c r="K337" s="171"/>
      <c r="L337" s="93">
        <f ca="1">IFERROR(__xludf.DUMMYFUNCTION("IMPORTRANGE(""https://docs.google.com/spreadsheets/d/1Yj_ptqi66GCucihVvJfMjLAmec39IyEx_6qawtMGysU/edit?usp=sharing"",""สบก!DJ27"")"),75600)</f>
        <v>75600</v>
      </c>
      <c r="M337" s="103"/>
      <c r="N337" s="93">
        <f ca="1">IFERROR(__xludf.DUMMYFUNCTION("IMPORTRANGE(""https://docs.google.com/spreadsheets/d/1Yj_ptqi66GCucihVvJfMjLAmec39IyEx_6qawtMGysU/edit?usp=sharing"",""สบก!DN27"")"),75600)</f>
        <v>75600</v>
      </c>
      <c r="O337" s="103">
        <f ca="1">IF(L337&gt;0,N337*100/L337,0)</f>
        <v>100</v>
      </c>
      <c r="P337" s="103"/>
    </row>
    <row r="338" spans="1:16" ht="21.75" customHeight="1" x14ac:dyDescent="0.2">
      <c r="A338" s="185"/>
      <c r="B338" s="299"/>
      <c r="C338" s="348" t="s">
        <v>121</v>
      </c>
      <c r="D338" s="205"/>
      <c r="E338" s="205"/>
      <c r="F338" s="205"/>
      <c r="G338" s="206"/>
      <c r="H338" s="190"/>
      <c r="I338" s="349"/>
      <c r="J338" s="349"/>
      <c r="K338" s="350"/>
      <c r="L338" s="191"/>
      <c r="M338" s="191"/>
      <c r="N338" s="191"/>
      <c r="O338" s="351"/>
      <c r="P338" s="351"/>
    </row>
    <row r="339" spans="1:16" ht="21.75" customHeight="1" x14ac:dyDescent="0.2">
      <c r="A339" s="185"/>
      <c r="B339" s="299"/>
      <c r="C339" s="186"/>
      <c r="D339" s="205"/>
      <c r="E339" s="204" t="s">
        <v>122</v>
      </c>
      <c r="F339" s="205"/>
      <c r="G339" s="206"/>
      <c r="H339" s="352" t="s">
        <v>38</v>
      </c>
      <c r="I339" s="213">
        <f ca="1">IFERROR(__xludf.DUMMYFUNCTION("IMPORTRANGE(""https://docs.google.com/spreadsheets/d/11923uPwbBZFjjGgGUA6NLw09EwE0CqkOc4q9oUmW1yo/edit?usp=sharing"",""พิจิตร!I234"")"),0)</f>
        <v>0</v>
      </c>
      <c r="J339" s="197">
        <f ca="1">IFERROR(__xludf.DUMMYFUNCTION("IMPORTRANGE(""https://docs.google.com/spreadsheets/d/11923uPwbBZFjjGgGUA6NLw09EwE0CqkOc4q9oUmW1yo/edit?usp=sharing"",""พิจิตร!J234"")"),26)</f>
        <v>26</v>
      </c>
      <c r="K339" s="350">
        <f t="shared" ref="K339:K346" ca="1" si="103">IF(I339&gt;0,J339*100/I339,0)</f>
        <v>0</v>
      </c>
      <c r="L339" s="191"/>
      <c r="M339" s="191"/>
      <c r="N339" s="191"/>
      <c r="O339" s="351"/>
      <c r="P339" s="351"/>
    </row>
    <row r="340" spans="1:16" ht="21.75" customHeight="1" x14ac:dyDescent="0.2">
      <c r="A340" s="185"/>
      <c r="B340" s="299"/>
      <c r="C340" s="186"/>
      <c r="D340" s="205"/>
      <c r="E340" s="205"/>
      <c r="F340" s="205"/>
      <c r="G340" s="206"/>
      <c r="H340" s="352" t="s">
        <v>123</v>
      </c>
      <c r="I340" s="197">
        <f ca="1">IFERROR(__xludf.DUMMYFUNCTION("IMPORTRANGE(""https://docs.google.com/spreadsheets/d/11923uPwbBZFjjGgGUA6NLw09EwE0CqkOc4q9oUmW1yo/edit?usp=sharing"",""พิจิตร!I235"")"),1000)</f>
        <v>1000</v>
      </c>
      <c r="J340" s="197">
        <f ca="1">IFERROR(__xludf.DUMMYFUNCTION("IMPORTRANGE(""https://docs.google.com/spreadsheets/d/11923uPwbBZFjjGgGUA6NLw09EwE0CqkOc4q9oUmW1yo/edit?usp=sharing"",""พิจิตร!J235"")"),236.95)</f>
        <v>236.95</v>
      </c>
      <c r="K340" s="350">
        <f t="shared" ca="1" si="103"/>
        <v>23.695</v>
      </c>
      <c r="L340" s="191"/>
      <c r="M340" s="191"/>
      <c r="N340" s="191"/>
      <c r="O340" s="351"/>
      <c r="P340" s="351"/>
    </row>
    <row r="341" spans="1:16" ht="21.75" customHeight="1" x14ac:dyDescent="0.2">
      <c r="A341" s="185"/>
      <c r="B341" s="299"/>
      <c r="C341" s="186"/>
      <c r="D341" s="205"/>
      <c r="E341" s="204" t="s">
        <v>124</v>
      </c>
      <c r="F341" s="205"/>
      <c r="G341" s="206"/>
      <c r="H341" s="190" t="s">
        <v>38</v>
      </c>
      <c r="I341" s="197">
        <f ca="1">IFERROR(__xludf.DUMMYFUNCTION("IMPORTRANGE(""https://docs.google.com/spreadsheets/d/11923uPwbBZFjjGgGUA6NLw09EwE0CqkOc4q9oUmW1yo/edit?usp=sharing"",""พิจิตร!I236"")"),130)</f>
        <v>130</v>
      </c>
      <c r="J341" s="197">
        <f ca="1">IFERROR(__xludf.DUMMYFUNCTION("IMPORTRANGE(""https://docs.google.com/spreadsheets/d/11923uPwbBZFjjGgGUA6NLw09EwE0CqkOc4q9oUmW1yo/edit?usp=sharing"",""พิจิตร!J236"")"),53)</f>
        <v>53</v>
      </c>
      <c r="K341" s="350">
        <f t="shared" ca="1" si="103"/>
        <v>40.769230769230766</v>
      </c>
      <c r="L341" s="191"/>
      <c r="M341" s="191"/>
      <c r="N341" s="191"/>
      <c r="O341" s="351"/>
      <c r="P341" s="351"/>
    </row>
    <row r="342" spans="1:16" ht="21.75" customHeight="1" x14ac:dyDescent="0.2">
      <c r="A342" s="185"/>
      <c r="B342" s="299"/>
      <c r="C342" s="186"/>
      <c r="D342" s="205"/>
      <c r="E342" s="205"/>
      <c r="F342" s="205"/>
      <c r="G342" s="206"/>
      <c r="H342" s="190" t="s">
        <v>123</v>
      </c>
      <c r="I342" s="353">
        <f ca="1">IFERROR(__xludf.DUMMYFUNCTION("IMPORTRANGE(""https://docs.google.com/spreadsheets/d/11923uPwbBZFjjGgGUA6NLw09EwE0CqkOc4q9oUmW1yo/edit?usp=sharing"",""พิจิตร!I237"")"),0)</f>
        <v>0</v>
      </c>
      <c r="J342" s="197">
        <f ca="1">IFERROR(__xludf.DUMMYFUNCTION("IMPORTRANGE(""https://docs.google.com/spreadsheets/d/11923uPwbBZFjjGgGUA6NLw09EwE0CqkOc4q9oUmW1yo/edit?usp=sharing"",""พิจิตร!J237"")"),621.68)</f>
        <v>621.67999999999995</v>
      </c>
      <c r="K342" s="350">
        <f t="shared" ca="1" si="103"/>
        <v>0</v>
      </c>
      <c r="L342" s="191"/>
      <c r="M342" s="191"/>
      <c r="N342" s="191"/>
      <c r="O342" s="351"/>
      <c r="P342" s="351"/>
    </row>
    <row r="343" spans="1:16" ht="21.75" customHeight="1" x14ac:dyDescent="0.2">
      <c r="A343" s="185"/>
      <c r="B343" s="299"/>
      <c r="C343" s="186"/>
      <c r="D343" s="205"/>
      <c r="E343" s="204" t="s">
        <v>125</v>
      </c>
      <c r="F343" s="205"/>
      <c r="G343" s="206"/>
      <c r="H343" s="190" t="s">
        <v>38</v>
      </c>
      <c r="I343" s="197">
        <f ca="1">IFERROR(__xludf.DUMMYFUNCTION("IMPORTRANGE(""https://docs.google.com/spreadsheets/d/11923uPwbBZFjjGgGUA6NLw09EwE0CqkOc4q9oUmW1yo/edit?usp=sharing"",""พิจิตร!I238"")"),130)</f>
        <v>130</v>
      </c>
      <c r="J343" s="197">
        <f ca="1">IFERROR(__xludf.DUMMYFUNCTION("IMPORTRANGE(""https://docs.google.com/spreadsheets/d/11923uPwbBZFjjGgGUA6NLw09EwE0CqkOc4q9oUmW1yo/edit?usp=sharing"",""พิจิตร!J238"")"),0)</f>
        <v>0</v>
      </c>
      <c r="K343" s="350">
        <f t="shared" ca="1" si="103"/>
        <v>0</v>
      </c>
      <c r="L343" s="191"/>
      <c r="M343" s="191"/>
      <c r="N343" s="191"/>
      <c r="O343" s="351"/>
      <c r="P343" s="351"/>
    </row>
    <row r="344" spans="1:16" ht="21.75" customHeight="1" x14ac:dyDescent="0.2">
      <c r="A344" s="185"/>
      <c r="B344" s="299"/>
      <c r="C344" s="186"/>
      <c r="D344" s="205"/>
      <c r="E344" s="205"/>
      <c r="F344" s="205"/>
      <c r="G344" s="206"/>
      <c r="H344" s="190" t="s">
        <v>123</v>
      </c>
      <c r="I344" s="353">
        <f ca="1">IFERROR(__xludf.DUMMYFUNCTION("IMPORTRANGE(""https://docs.google.com/spreadsheets/d/11923uPwbBZFjjGgGUA6NLw09EwE0CqkOc4q9oUmW1yo/edit?usp=sharing"",""พิจิตร!I239"")"),0)</f>
        <v>0</v>
      </c>
      <c r="J344" s="197">
        <f ca="1">IFERROR(__xludf.DUMMYFUNCTION("IMPORTRANGE(""https://docs.google.com/spreadsheets/d/11923uPwbBZFjjGgGUA6NLw09EwE0CqkOc4q9oUmW1yo/edit?usp=sharing"",""พิจิตร!J239"")"),0)</f>
        <v>0</v>
      </c>
      <c r="K344" s="350">
        <f t="shared" ca="1" si="103"/>
        <v>0</v>
      </c>
      <c r="L344" s="191"/>
      <c r="M344" s="191"/>
      <c r="N344" s="191"/>
      <c r="O344" s="351"/>
      <c r="P344" s="351"/>
    </row>
    <row r="345" spans="1:16" ht="21.75" customHeight="1" x14ac:dyDescent="0.2">
      <c r="A345" s="185"/>
      <c r="B345" s="299"/>
      <c r="C345" s="186"/>
      <c r="D345" s="205"/>
      <c r="E345" s="204" t="s">
        <v>126</v>
      </c>
      <c r="F345" s="205"/>
      <c r="G345" s="206"/>
      <c r="H345" s="190" t="s">
        <v>38</v>
      </c>
      <c r="I345" s="197">
        <f ca="1">IFERROR(__xludf.DUMMYFUNCTION("IMPORTRANGE(""https://docs.google.com/spreadsheets/d/11923uPwbBZFjjGgGUA6NLw09EwE0CqkOc4q9oUmW1yo/edit?usp=sharing"",""พิจิตร!I240"")"),130)</f>
        <v>130</v>
      </c>
      <c r="J345" s="197">
        <f ca="1">IFERROR(__xludf.DUMMYFUNCTION("IMPORTRANGE(""https://docs.google.com/spreadsheets/d/11923uPwbBZFjjGgGUA6NLw09EwE0CqkOc4q9oUmW1yo/edit?usp=sharing"",""พิจิตร!J240"")"),21)</f>
        <v>21</v>
      </c>
      <c r="K345" s="350">
        <f t="shared" ca="1" si="103"/>
        <v>16.153846153846153</v>
      </c>
      <c r="L345" s="191"/>
      <c r="M345" s="191"/>
      <c r="N345" s="191"/>
      <c r="O345" s="351"/>
      <c r="P345" s="351"/>
    </row>
    <row r="346" spans="1:16" ht="21.75" customHeight="1" x14ac:dyDescent="0.2">
      <c r="A346" s="243"/>
      <c r="B346" s="354"/>
      <c r="C346" s="244"/>
      <c r="D346" s="354"/>
      <c r="E346" s="355"/>
      <c r="F346" s="355"/>
      <c r="G346" s="356"/>
      <c r="H346" s="357" t="s">
        <v>123</v>
      </c>
      <c r="I346" s="358">
        <f ca="1">IFERROR(__xludf.DUMMYFUNCTION("IMPORTRANGE(""https://docs.google.com/spreadsheets/d/11923uPwbBZFjjGgGUA6NLw09EwE0CqkOc4q9oUmW1yo/edit?usp=sharing"",""พิจิตร!I241"")"),0)</f>
        <v>0</v>
      </c>
      <c r="J346" s="197">
        <f ca="1">IFERROR(__xludf.DUMMYFUNCTION("IMPORTRANGE(""https://docs.google.com/spreadsheets/d/11923uPwbBZFjjGgGUA6NLw09EwE0CqkOc4q9oUmW1yo/edit?usp=sharing"",""พิจิตร!J241"")"),295.6)</f>
        <v>295.60000000000002</v>
      </c>
      <c r="K346" s="359">
        <f t="shared" ca="1" si="103"/>
        <v>0</v>
      </c>
      <c r="L346" s="254"/>
      <c r="M346" s="254"/>
      <c r="N346" s="254"/>
      <c r="O346" s="360"/>
      <c r="P346" s="360"/>
    </row>
    <row r="347" spans="1:16" ht="21.75" customHeight="1" x14ac:dyDescent="0.2">
      <c r="A347" s="361" t="s">
        <v>127</v>
      </c>
      <c r="B347" s="362"/>
      <c r="C347" s="362"/>
      <c r="D347" s="362"/>
      <c r="E347" s="362"/>
      <c r="F347" s="362"/>
      <c r="G347" s="363"/>
      <c r="H347" s="364"/>
      <c r="I347" s="365"/>
      <c r="J347" s="365"/>
      <c r="K347" s="366"/>
      <c r="L347" s="366">
        <f ca="1">IFERROR(__xludf.DUMMYFUNCTION("IMPORTRANGE(""https://docs.google.com/spreadsheets/d/11923uPwbBZFjjGgGUA6NLw09EwE0CqkOc4q9oUmW1yo/edit?usp=sharing"",""พิจิตร!L242"")"),1989847)</f>
        <v>1989847</v>
      </c>
      <c r="M347" s="366"/>
      <c r="N347" s="366">
        <f ca="1">IFERROR(__xludf.DUMMYFUNCTION("IMPORTRANGE(""https://docs.google.com/spreadsheets/d/11923uPwbBZFjjGgGUA6NLw09EwE0CqkOc4q9oUmW1yo/edit?usp=sharing"",""พิจิตร!M242"")"),260508.33)</f>
        <v>260508.33</v>
      </c>
      <c r="O347" s="366">
        <f ca="1">+IF(L347&gt;0,N347*100/L347,0)</f>
        <v>13.091877415700806</v>
      </c>
      <c r="P347" s="366"/>
    </row>
    <row r="348" spans="1:16" ht="21.75" customHeight="1" x14ac:dyDescent="0.2">
      <c r="A348" s="367" t="s">
        <v>128</v>
      </c>
      <c r="B348" s="368"/>
      <c r="C348" s="368"/>
      <c r="D348" s="368"/>
      <c r="E348" s="368"/>
      <c r="F348" s="368"/>
      <c r="G348" s="369"/>
      <c r="H348" s="370"/>
      <c r="I348" s="371"/>
      <c r="J348" s="371"/>
      <c r="K348" s="372"/>
      <c r="L348" s="372"/>
      <c r="M348" s="372"/>
      <c r="N348" s="372"/>
      <c r="O348" s="373"/>
      <c r="P348" s="373"/>
    </row>
    <row r="349" spans="1:16" ht="21.75" customHeight="1" x14ac:dyDescent="0.2">
      <c r="A349" s="374"/>
      <c r="B349" s="375">
        <v>1</v>
      </c>
      <c r="C349" s="376" t="s">
        <v>129</v>
      </c>
      <c r="D349" s="376"/>
      <c r="E349" s="376"/>
      <c r="F349" s="376"/>
      <c r="G349" s="377"/>
      <c r="H349" s="378" t="s">
        <v>123</v>
      </c>
      <c r="I349" s="379">
        <f ca="1">IFERROR(__xludf.DUMMYFUNCTION("IMPORTRANGE(""https://docs.google.com/spreadsheets/d/11923uPwbBZFjjGgGUA6NLw09EwE0CqkOc4q9oUmW1yo/edit?usp=sharing"",""พิจิตร!I244"")"),160)</f>
        <v>160</v>
      </c>
      <c r="J349" s="379">
        <f ca="1">IFERROR(__xludf.DUMMYFUNCTION("IMPORTRANGE(""https://docs.google.com/spreadsheets/d/11923uPwbBZFjjGgGUA6NLw09EwE0CqkOc4q9oUmW1yo/edit?usp=sharing"",""พิจิตร!J244"")"),0)</f>
        <v>0</v>
      </c>
      <c r="K349" s="380">
        <f t="shared" ref="K349:K350" ca="1" si="104">IF(I349&gt;0,J349*100/I349,0)</f>
        <v>0</v>
      </c>
      <c r="L349" s="381">
        <f ca="1">IFERROR(__xludf.DUMMYFUNCTION("IMPORTRANGE(""https://docs.google.com/spreadsheets/d/11923uPwbBZFjjGgGUA6NLw09EwE0CqkOc4q9oUmW1yo/edit?usp=sharing"",""พิจิตร!L244"")"),406480)</f>
        <v>406480</v>
      </c>
      <c r="M349" s="381"/>
      <c r="N349" s="381">
        <f ca="1">IFERROR(__xludf.DUMMYFUNCTION("IMPORTRANGE(""https://docs.google.com/spreadsheets/d/11923uPwbBZFjjGgGUA6NLw09EwE0CqkOc4q9oUmW1yo/edit?usp=sharing"",""พิจิตร!M244"")"),48751.7)</f>
        <v>48751.7</v>
      </c>
      <c r="O349" s="381">
        <f ca="1">+IF(L349&gt;0,N349*100/L349,0)</f>
        <v>11.99362822279079</v>
      </c>
      <c r="P349" s="381"/>
    </row>
    <row r="350" spans="1:16" ht="21.75" customHeight="1" x14ac:dyDescent="0.2">
      <c r="A350" s="374"/>
      <c r="B350" s="375"/>
      <c r="C350" s="376"/>
      <c r="D350" s="376"/>
      <c r="E350" s="376"/>
      <c r="F350" s="376"/>
      <c r="G350" s="377"/>
      <c r="H350" s="378" t="s">
        <v>38</v>
      </c>
      <c r="I350" s="379">
        <f ca="1">IFERROR(__xludf.DUMMYFUNCTION("IMPORTRANGE(""https://docs.google.com/spreadsheets/d/11923uPwbBZFjjGgGUA6NLw09EwE0CqkOc4q9oUmW1yo/edit?usp=sharing"",""พิจิตร!I245"")"),60)</f>
        <v>60</v>
      </c>
      <c r="J350" s="379">
        <f ca="1">IFERROR(__xludf.DUMMYFUNCTION("IMPORTRANGE(""https://docs.google.com/spreadsheets/d/11923uPwbBZFjjGgGUA6NLw09EwE0CqkOc4q9oUmW1yo/edit?usp=sharing"",""พิจิตร!J245"")"),0)</f>
        <v>0</v>
      </c>
      <c r="K350" s="380">
        <f t="shared" ca="1" si="104"/>
        <v>0</v>
      </c>
      <c r="L350" s="381"/>
      <c r="M350" s="381"/>
      <c r="N350" s="381"/>
      <c r="O350" s="381"/>
      <c r="P350" s="381"/>
    </row>
    <row r="351" spans="1:16" ht="21.75" customHeight="1" x14ac:dyDescent="0.2">
      <c r="A351" s="164"/>
      <c r="B351" s="165"/>
      <c r="C351" s="165" t="s">
        <v>17</v>
      </c>
      <c r="D351" s="166" t="s">
        <v>39</v>
      </c>
      <c r="E351" s="167"/>
      <c r="F351" s="167"/>
      <c r="G351" s="168" t="s">
        <v>40</v>
      </c>
      <c r="H351" s="169" t="s">
        <v>13</v>
      </c>
      <c r="I351" s="170" t="s">
        <v>41</v>
      </c>
      <c r="J351" s="170"/>
      <c r="K351" s="171"/>
      <c r="L351" s="172">
        <f ca="1">IFERROR(__xludf.DUMMYFUNCTION("IMPORTRANGE(""https://docs.google.com/spreadsheets/d/11923uPwbBZFjjGgGUA6NLw09EwE0CqkOc4q9oUmW1yo/edit?usp=sharing"",""พิจิตร!L246"")"),0)</f>
        <v>0</v>
      </c>
      <c r="M351" s="172"/>
      <c r="N351" s="172">
        <f ca="1">IFERROR(__xludf.DUMMYFUNCTION("IMPORTRANGE(""https://docs.google.com/spreadsheets/d/11923uPwbBZFjjGgGUA6NLw09EwE0CqkOc4q9oUmW1yo/edit?usp=sharing"",""พิจิตร!M246"")"),0)</f>
        <v>0</v>
      </c>
      <c r="O351" s="173">
        <f t="shared" ref="O351:O354" ca="1" si="105">+IF(L351&gt;0,N351*100/L351,0)</f>
        <v>0</v>
      </c>
      <c r="P351" s="173"/>
    </row>
    <row r="352" spans="1:16" ht="21.75" customHeight="1" x14ac:dyDescent="0.2">
      <c r="A352" s="164"/>
      <c r="B352" s="165"/>
      <c r="C352" s="165"/>
      <c r="D352" s="174"/>
      <c r="E352" s="167"/>
      <c r="F352" s="167" t="s">
        <v>41</v>
      </c>
      <c r="G352" s="168" t="s">
        <v>42</v>
      </c>
      <c r="H352" s="169" t="s">
        <v>13</v>
      </c>
      <c r="I352" s="170"/>
      <c r="J352" s="170"/>
      <c r="K352" s="171"/>
      <c r="L352" s="173">
        <f ca="1">IFERROR(__xludf.DUMMYFUNCTION("IMPORTRANGE(""https://docs.google.com/spreadsheets/d/11923uPwbBZFjjGgGUA6NLw09EwE0CqkOc4q9oUmW1yo/edit?usp=sharing"",""พิจิตร!L247"")"),406480)</f>
        <v>406480</v>
      </c>
      <c r="M352" s="173"/>
      <c r="N352" s="172">
        <f ca="1">IFERROR(__xludf.DUMMYFUNCTION("IMPORTRANGE(""https://docs.google.com/spreadsheets/d/11923uPwbBZFjjGgGUA6NLw09EwE0CqkOc4q9oUmW1yo/edit?usp=sharing"",""พิจิตร!M247"")"),48751.7)</f>
        <v>48751.7</v>
      </c>
      <c r="O352" s="173">
        <f t="shared" ca="1" si="105"/>
        <v>11.99362822279079</v>
      </c>
      <c r="P352" s="173"/>
    </row>
    <row r="353" spans="1:16" ht="21.75" customHeight="1" x14ac:dyDescent="0.2">
      <c r="A353" s="164"/>
      <c r="B353" s="165"/>
      <c r="C353" s="165"/>
      <c r="D353" s="174"/>
      <c r="E353" s="167"/>
      <c r="F353" s="167"/>
      <c r="G353" s="382" t="s">
        <v>130</v>
      </c>
      <c r="H353" s="169" t="s">
        <v>13</v>
      </c>
      <c r="I353" s="170"/>
      <c r="J353" s="170"/>
      <c r="K353" s="171"/>
      <c r="L353" s="178">
        <f ca="1">IFERROR(__xludf.DUMMYFUNCTION("IMPORTRANGE(""https://docs.google.com/spreadsheets/d/11923uPwbBZFjjGgGUA6NLw09EwE0CqkOc4q9oUmW1yo/edit?usp=sharing"",""พิจิตร!L248"")"),0)</f>
        <v>0</v>
      </c>
      <c r="M353" s="178"/>
      <c r="N353" s="178">
        <f ca="1">IFERROR(__xludf.DUMMYFUNCTION("IMPORTRANGE(""https://docs.google.com/spreadsheets/d/11923uPwbBZFjjGgGUA6NLw09EwE0CqkOc4q9oUmW1yo/edit?usp=sharing"",""พิจิตร!M248"")"),0)</f>
        <v>0</v>
      </c>
      <c r="O353" s="178">
        <f t="shared" ca="1" si="105"/>
        <v>0</v>
      </c>
      <c r="P353" s="178"/>
    </row>
    <row r="354" spans="1:16" ht="21.75" customHeight="1" x14ac:dyDescent="0.2">
      <c r="A354" s="164"/>
      <c r="B354" s="165"/>
      <c r="C354" s="165"/>
      <c r="D354" s="174"/>
      <c r="E354" s="167"/>
      <c r="F354" s="167"/>
      <c r="G354" s="382" t="s">
        <v>131</v>
      </c>
      <c r="H354" s="169" t="s">
        <v>13</v>
      </c>
      <c r="I354" s="170"/>
      <c r="J354" s="170"/>
      <c r="K354" s="171"/>
      <c r="L354" s="178">
        <f ca="1">IFERROR(__xludf.DUMMYFUNCTION("IMPORTRANGE(""https://docs.google.com/spreadsheets/d/11923uPwbBZFjjGgGUA6NLw09EwE0CqkOc4q9oUmW1yo/edit?usp=sharing"",""พิจิตร!L249"")"),406480)</f>
        <v>406480</v>
      </c>
      <c r="M354" s="178"/>
      <c r="N354" s="175">
        <f ca="1">IFERROR(__xludf.DUMMYFUNCTION("IMPORTRANGE(""https://docs.google.com/spreadsheets/d/11923uPwbBZFjjGgGUA6NLw09EwE0CqkOc4q9oUmW1yo/edit?usp=sharing"",""พิจิตร!M249"")"),48751.7)</f>
        <v>48751.7</v>
      </c>
      <c r="O354" s="178">
        <f t="shared" ca="1" si="105"/>
        <v>11.99362822279079</v>
      </c>
      <c r="P354" s="178"/>
    </row>
    <row r="355" spans="1:16" ht="21.75" customHeight="1" x14ac:dyDescent="0.2">
      <c r="A355" s="383"/>
      <c r="B355" s="384"/>
      <c r="C355" s="165"/>
      <c r="D355" s="385"/>
      <c r="E355" s="167"/>
      <c r="F355" s="167"/>
      <c r="G355" s="386" t="s">
        <v>132</v>
      </c>
      <c r="H355" s="169" t="s">
        <v>13</v>
      </c>
      <c r="I355" s="197"/>
      <c r="J355" s="197"/>
      <c r="K355" s="233"/>
      <c r="L355" s="178"/>
      <c r="M355" s="178"/>
      <c r="N355" s="387">
        <f ca="1">IFERROR(__xludf.DUMMYFUNCTION("IMPORTRANGE(""https://docs.google.com/spreadsheets/d/11923uPwbBZFjjGgGUA6NLw09EwE0CqkOc4q9oUmW1yo/edit?usp=sharing"",""พิจิตร!M250"")"),14700)</f>
        <v>14700</v>
      </c>
      <c r="O355" s="178"/>
      <c r="P355" s="178"/>
    </row>
    <row r="356" spans="1:16" ht="21.75" customHeight="1" x14ac:dyDescent="0.2">
      <c r="A356" s="383"/>
      <c r="B356" s="384"/>
      <c r="C356" s="165"/>
      <c r="D356" s="385"/>
      <c r="E356" s="167"/>
      <c r="F356" s="167"/>
      <c r="G356" s="386" t="s">
        <v>133</v>
      </c>
      <c r="H356" s="169" t="s">
        <v>13</v>
      </c>
      <c r="I356" s="197"/>
      <c r="J356" s="197"/>
      <c r="K356" s="233"/>
      <c r="L356" s="178"/>
      <c r="M356" s="178"/>
      <c r="N356" s="387">
        <f ca="1">IFERROR(__xludf.DUMMYFUNCTION("IMPORTRANGE(""https://docs.google.com/spreadsheets/d/11923uPwbBZFjjGgGUA6NLw09EwE0CqkOc4q9oUmW1yo/edit?usp=sharing"",""พิจิตร!M251"")"),0)</f>
        <v>0</v>
      </c>
      <c r="O356" s="178"/>
      <c r="P356" s="178"/>
    </row>
    <row r="357" spans="1:16" ht="21.75" customHeight="1" x14ac:dyDescent="0.2">
      <c r="A357" s="383"/>
      <c r="B357" s="384"/>
      <c r="C357" s="165"/>
      <c r="D357" s="385"/>
      <c r="E357" s="167"/>
      <c r="F357" s="167"/>
      <c r="G357" s="386" t="s">
        <v>134</v>
      </c>
      <c r="H357" s="169" t="s">
        <v>13</v>
      </c>
      <c r="I357" s="197"/>
      <c r="J357" s="197"/>
      <c r="K357" s="233"/>
      <c r="L357" s="178"/>
      <c r="M357" s="178"/>
      <c r="N357" s="387">
        <f ca="1">IFERROR(__xludf.DUMMYFUNCTION("IMPORTRANGE(""https://docs.google.com/spreadsheets/d/11923uPwbBZFjjGgGUA6NLw09EwE0CqkOc4q9oUmW1yo/edit?usp=sharing"",""พิจิตร!M252"")"),34051.7)</f>
        <v>34051.699999999997</v>
      </c>
      <c r="O357" s="178"/>
      <c r="P357" s="178"/>
    </row>
    <row r="358" spans="1:16" ht="21.75" customHeight="1" x14ac:dyDescent="0.2">
      <c r="A358" s="383"/>
      <c r="B358" s="384"/>
      <c r="C358" s="165"/>
      <c r="D358" s="385"/>
      <c r="E358" s="167"/>
      <c r="F358" s="167"/>
      <c r="G358" s="386" t="s">
        <v>135</v>
      </c>
      <c r="H358" s="169" t="s">
        <v>13</v>
      </c>
      <c r="I358" s="197"/>
      <c r="J358" s="197"/>
      <c r="K358" s="233"/>
      <c r="L358" s="178"/>
      <c r="M358" s="178"/>
      <c r="N358" s="387">
        <f ca="1">IFERROR(__xludf.DUMMYFUNCTION("IMPORTRANGE(""https://docs.google.com/spreadsheets/d/11923uPwbBZFjjGgGUA6NLw09EwE0CqkOc4q9oUmW1yo/edit?usp=sharing"",""พิจิตร!M253"")"),0)</f>
        <v>0</v>
      </c>
      <c r="O358" s="178"/>
      <c r="P358" s="178"/>
    </row>
    <row r="359" spans="1:16" ht="21.75" customHeight="1" x14ac:dyDescent="0.2">
      <c r="A359" s="185"/>
      <c r="B359" s="186"/>
      <c r="C359" s="165" t="s">
        <v>17</v>
      </c>
      <c r="D359" s="187" t="s">
        <v>45</v>
      </c>
      <c r="E359" s="188"/>
      <c r="F359" s="188"/>
      <c r="G359" s="189"/>
      <c r="H359" s="190"/>
      <c r="I359" s="170"/>
      <c r="J359" s="170"/>
      <c r="K359" s="171"/>
      <c r="L359" s="191"/>
      <c r="M359" s="191"/>
      <c r="N359" s="191"/>
      <c r="O359" s="191"/>
      <c r="P359" s="191"/>
    </row>
    <row r="360" spans="1:16" ht="21.75" customHeight="1" x14ac:dyDescent="0.2">
      <c r="A360" s="185"/>
      <c r="B360" s="186"/>
      <c r="C360" s="186"/>
      <c r="D360" s="192">
        <v>1</v>
      </c>
      <c r="E360" s="193" t="s">
        <v>46</v>
      </c>
      <c r="F360" s="194"/>
      <c r="G360" s="195"/>
      <c r="H360" s="196"/>
      <c r="I360" s="197"/>
      <c r="J360" s="207">
        <f ca="1">IFERROR(__xludf.DUMMYFUNCTION("IMPORTRANGE(""https://docs.google.com/spreadsheets/d/11923uPwbBZFjjGgGUA6NLw09EwE0CqkOc4q9oUmW1yo/edit?usp=sharing"",""พิจิตร!J255"")"),0)</f>
        <v>0</v>
      </c>
      <c r="K360" s="171"/>
      <c r="L360" s="191"/>
      <c r="M360" s="191"/>
      <c r="N360" s="191"/>
      <c r="O360" s="191"/>
      <c r="P360" s="191"/>
    </row>
    <row r="361" spans="1:16" ht="21.75" customHeight="1" x14ac:dyDescent="0.2">
      <c r="A361" s="185"/>
      <c r="B361" s="186"/>
      <c r="C361" s="186"/>
      <c r="D361" s="199">
        <v>2</v>
      </c>
      <c r="E361" s="200" t="s">
        <v>47</v>
      </c>
      <c r="F361" s="201"/>
      <c r="G361" s="202"/>
      <c r="H361" s="196"/>
      <c r="I361" s="197"/>
      <c r="J361" s="198">
        <f ca="1">IFERROR(__xludf.DUMMYFUNCTION("IMPORTRANGE(""https://docs.google.com/spreadsheets/d/11923uPwbBZFjjGgGUA6NLw09EwE0CqkOc4q9oUmW1yo/edit?usp=sharing"",""พิจิตร!J256"")"),1)</f>
        <v>1</v>
      </c>
      <c r="K361" s="171"/>
      <c r="L361" s="191" t="s">
        <v>41</v>
      </c>
      <c r="M361" s="191"/>
      <c r="N361" s="191" t="s">
        <v>41</v>
      </c>
      <c r="O361" s="191"/>
      <c r="P361" s="191"/>
    </row>
    <row r="362" spans="1:16" ht="21.75" customHeight="1" x14ac:dyDescent="0.2">
      <c r="A362" s="185"/>
      <c r="B362" s="186"/>
      <c r="C362" s="186"/>
      <c r="D362" s="203"/>
      <c r="E362" s="204" t="s">
        <v>48</v>
      </c>
      <c r="F362" s="205"/>
      <c r="G362" s="206"/>
      <c r="H362" s="196"/>
      <c r="I362" s="197"/>
      <c r="J362" s="198">
        <f ca="1">IFERROR(__xludf.DUMMYFUNCTION("IMPORTRANGE(""https://docs.google.com/spreadsheets/d/11923uPwbBZFjjGgGUA6NLw09EwE0CqkOc4q9oUmW1yo/edit?usp=sharing"",""พิจิตร!J257"")"),1)</f>
        <v>1</v>
      </c>
      <c r="K362" s="171"/>
      <c r="L362" s="191"/>
      <c r="M362" s="191"/>
      <c r="N362" s="191"/>
      <c r="O362" s="191"/>
      <c r="P362" s="191"/>
    </row>
    <row r="363" spans="1:16" ht="21.75" customHeight="1" x14ac:dyDescent="0.2">
      <c r="A363" s="185"/>
      <c r="B363" s="186"/>
      <c r="C363" s="186"/>
      <c r="D363" s="203"/>
      <c r="E363" s="204" t="s">
        <v>49</v>
      </c>
      <c r="F363" s="205"/>
      <c r="G363" s="206"/>
      <c r="H363" s="196"/>
      <c r="I363" s="197"/>
      <c r="J363" s="207">
        <f ca="1">IFERROR(__xludf.DUMMYFUNCTION("IMPORTRANGE(""https://docs.google.com/spreadsheets/d/11923uPwbBZFjjGgGUA6NLw09EwE0CqkOc4q9oUmW1yo/edit?usp=sharing"",""พิจิตร!J258"")"),1)</f>
        <v>1</v>
      </c>
      <c r="K363" s="171"/>
      <c r="L363" s="191"/>
      <c r="M363" s="191"/>
      <c r="N363" s="191"/>
      <c r="O363" s="191"/>
      <c r="P363" s="191"/>
    </row>
    <row r="364" spans="1:16" ht="21.75" hidden="1" customHeight="1" x14ac:dyDescent="0.2">
      <c r="A364" s="185"/>
      <c r="B364" s="186"/>
      <c r="C364" s="186"/>
      <c r="D364" s="203"/>
      <c r="E364" s="208"/>
      <c r="F364" s="204" t="s">
        <v>71</v>
      </c>
      <c r="G364" s="206"/>
      <c r="H364" s="190"/>
      <c r="I364" s="197"/>
      <c r="J364" s="197">
        <f ca="1">IFERROR(__xludf.DUMMYFUNCTION("IMPORTRANGE(""https://docs.google.com/spreadsheets/d/11923uPwbBZFjjGgGUA6NLw09EwE0CqkOc4q9oUmW1yo/edit?usp=sharing"",""พิจิตร!J166"")"),0)</f>
        <v>0</v>
      </c>
      <c r="K364" s="171"/>
      <c r="L364" s="191"/>
      <c r="M364" s="191"/>
      <c r="N364" s="191"/>
      <c r="O364" s="191"/>
      <c r="P364" s="191"/>
    </row>
    <row r="365" spans="1:16" ht="21.75" hidden="1" customHeight="1" x14ac:dyDescent="0.2">
      <c r="A365" s="185"/>
      <c r="B365" s="186"/>
      <c r="C365" s="186"/>
      <c r="D365" s="203"/>
      <c r="E365" s="208"/>
      <c r="F365" s="205"/>
      <c r="G365" s="235" t="s">
        <v>136</v>
      </c>
      <c r="H365" s="190" t="s">
        <v>38</v>
      </c>
      <c r="I365" s="197">
        <f ca="1">IFERROR(__xludf.DUMMYFUNCTION("IMPORTRANGE(""https://docs.google.com/spreadsheets/d/1C3CXT74ZlgGe6_JY_1olB1XN4rF0dxEuIIF-xsYjHgg/edit?usp=sharing"",""งบกองทุน!f63"")"),0)</f>
        <v>0</v>
      </c>
      <c r="J365" s="197">
        <f ca="1">IFERROR(__xludf.DUMMYFUNCTION("IMPORTRANGE(""https://docs.google.com/spreadsheets/d/11923uPwbBZFjjGgGUA6NLw09EwE0CqkOc4q9oUmW1yo/edit?usp=sharing"",""พิจิตร!J166"")"),0)</f>
        <v>0</v>
      </c>
      <c r="K365" s="171">
        <f ca="1">IF(I365&gt;0,J365*100/I365,0)</f>
        <v>0</v>
      </c>
      <c r="L365" s="191"/>
      <c r="M365" s="191"/>
      <c r="N365" s="191"/>
      <c r="O365" s="191"/>
      <c r="P365" s="191"/>
    </row>
    <row r="366" spans="1:16" ht="21.75" hidden="1" customHeight="1" x14ac:dyDescent="0.2">
      <c r="A366" s="185"/>
      <c r="B366" s="186"/>
      <c r="C366" s="186"/>
      <c r="D366" s="203"/>
      <c r="E366" s="208"/>
      <c r="F366" s="205"/>
      <c r="G366" s="206" t="s">
        <v>137</v>
      </c>
      <c r="H366" s="190"/>
      <c r="I366" s="170"/>
      <c r="J366" s="197">
        <f ca="1">IFERROR(__xludf.DUMMYFUNCTION("IMPORTRANGE(""https://docs.google.com/spreadsheets/d/11923uPwbBZFjjGgGUA6NLw09EwE0CqkOc4q9oUmW1yo/edit?usp=sharing"",""พิจิตร!J166"")"),0)</f>
        <v>0</v>
      </c>
      <c r="K366" s="171"/>
      <c r="L366" s="191"/>
      <c r="M366" s="191"/>
      <c r="N366" s="191"/>
      <c r="O366" s="191"/>
      <c r="P366" s="191"/>
    </row>
    <row r="367" spans="1:16" ht="21.75" hidden="1" customHeight="1" x14ac:dyDescent="0.2">
      <c r="A367" s="185"/>
      <c r="B367" s="186"/>
      <c r="C367" s="186"/>
      <c r="D367" s="203"/>
      <c r="E367" s="208"/>
      <c r="F367" s="205"/>
      <c r="G367" s="235" t="s">
        <v>138</v>
      </c>
      <c r="H367" s="196" t="s">
        <v>123</v>
      </c>
      <c r="I367" s="197">
        <f ca="1">SUM(I369,I371)</f>
        <v>0</v>
      </c>
      <c r="J367" s="197">
        <f ca="1">IFERROR(__xludf.DUMMYFUNCTION("IMPORTRANGE(""https://docs.google.com/spreadsheets/d/11923uPwbBZFjjGgGUA6NLw09EwE0CqkOc4q9oUmW1yo/edit?usp=sharing"",""พิจิตร!J166"")"),0)</f>
        <v>0</v>
      </c>
      <c r="K367" s="171">
        <f t="shared" ref="K367:K373" ca="1" si="106">IF(I367&gt;0,J367*100/I367,0)</f>
        <v>0</v>
      </c>
      <c r="L367" s="191"/>
      <c r="M367" s="191"/>
      <c r="N367" s="191"/>
      <c r="O367" s="191"/>
      <c r="P367" s="191"/>
    </row>
    <row r="368" spans="1:16" ht="21.75" customHeight="1" x14ac:dyDescent="0.2">
      <c r="A368" s="185"/>
      <c r="B368" s="186"/>
      <c r="C368" s="186"/>
      <c r="D368" s="203"/>
      <c r="E368" s="208"/>
      <c r="F368" s="388" t="s">
        <v>139</v>
      </c>
      <c r="G368" s="389"/>
      <c r="H368" s="196" t="s">
        <v>38</v>
      </c>
      <c r="I368" s="170">
        <f ca="1">IFERROR(__xludf.DUMMYFUNCTION("IMPORTRANGE(""https://docs.google.com/spreadsheets/d/11923uPwbBZFjjGgGUA6NLw09EwE0CqkOc4q9oUmW1yo/edit?usp=sharing"",""พิจิตร!I263"")"),60)</f>
        <v>60</v>
      </c>
      <c r="J368" s="197">
        <f ca="1">IFERROR(__xludf.DUMMYFUNCTION("IMPORTRANGE(""https://docs.google.com/spreadsheets/d/11923uPwbBZFjjGgGUA6NLw09EwE0CqkOc4q9oUmW1yo/edit?usp=sharing"",""พิจิตร!J263"")"),0)</f>
        <v>0</v>
      </c>
      <c r="K368" s="171">
        <f t="shared" ca="1" si="106"/>
        <v>0</v>
      </c>
      <c r="L368" s="191"/>
      <c r="M368" s="191"/>
      <c r="N368" s="191"/>
      <c r="O368" s="191"/>
      <c r="P368" s="191"/>
    </row>
    <row r="369" spans="1:16" ht="21.75" hidden="1" customHeight="1" x14ac:dyDescent="0.2">
      <c r="A369" s="185"/>
      <c r="B369" s="186"/>
      <c r="C369" s="186"/>
      <c r="D369" s="203"/>
      <c r="E369" s="208"/>
      <c r="F369" s="205"/>
      <c r="G369" s="389"/>
      <c r="H369" s="190" t="s">
        <v>123</v>
      </c>
      <c r="I369" s="170">
        <f ca="1">IFERROR(__xludf.DUMMYFUNCTION("IMPORTRANGE(""https://docs.google.com/spreadsheets/d/11923uPwbBZFjjGgGUA6NLw09EwE0CqkOc4q9oUmW1yo/edit?usp=sharing"",""พิจิตร!I164"")"),0)</f>
        <v>0</v>
      </c>
      <c r="J369" s="213">
        <f ca="1">IFERROR(__xludf.DUMMYFUNCTION("IMPORTRANGE(""https://docs.google.com/spreadsheets/d/11923uPwbBZFjjGgGUA6NLw09EwE0CqkOc4q9oUmW1yo/edit?usp=sharing"",""พิจิตร!J164"")"),0)</f>
        <v>0</v>
      </c>
      <c r="K369" s="171">
        <f t="shared" ca="1" si="106"/>
        <v>0</v>
      </c>
      <c r="L369" s="191"/>
      <c r="M369" s="191"/>
      <c r="N369" s="191"/>
      <c r="O369" s="191"/>
      <c r="P369" s="191"/>
    </row>
    <row r="370" spans="1:16" ht="21.75" customHeight="1" x14ac:dyDescent="0.2">
      <c r="A370" s="185"/>
      <c r="B370" s="186"/>
      <c r="C370" s="186"/>
      <c r="D370" s="203"/>
      <c r="E370" s="208"/>
      <c r="F370" s="205"/>
      <c r="G370" s="388" t="s">
        <v>140</v>
      </c>
      <c r="H370" s="190" t="s">
        <v>38</v>
      </c>
      <c r="I370" s="170">
        <f ca="1">IFERROR(__xludf.DUMMYFUNCTION("IMPORTRANGE(""https://docs.google.com/spreadsheets/d/11923uPwbBZFjjGgGUA6NLw09EwE0CqkOc4q9oUmW1yo/edit?usp=sharing"",""พิจิตร!I265"")"),60)</f>
        <v>60</v>
      </c>
      <c r="J370" s="213">
        <f ca="1">IFERROR(__xludf.DUMMYFUNCTION("IMPORTRANGE(""https://docs.google.com/spreadsheets/d/11923uPwbBZFjjGgGUA6NLw09EwE0CqkOc4q9oUmW1yo/edit?usp=sharing"",""พิจิตร!J265"")"),0)</f>
        <v>0</v>
      </c>
      <c r="K370" s="171">
        <f t="shared" ca="1" si="106"/>
        <v>0</v>
      </c>
      <c r="L370" s="191"/>
      <c r="M370" s="191"/>
      <c r="N370" s="191"/>
      <c r="O370" s="191"/>
      <c r="P370" s="191"/>
    </row>
    <row r="371" spans="1:16" ht="21.75" hidden="1" customHeight="1" x14ac:dyDescent="0.2">
      <c r="A371" s="185"/>
      <c r="B371" s="186"/>
      <c r="C371" s="186"/>
      <c r="D371" s="203"/>
      <c r="E371" s="208"/>
      <c r="F371" s="205"/>
      <c r="G371" s="389"/>
      <c r="H371" s="190" t="s">
        <v>123</v>
      </c>
      <c r="I371" s="170">
        <f ca="1">IFERROR(__xludf.DUMMYFUNCTION("IMPORTRANGE(""https://docs.google.com/spreadsheets/d/11923uPwbBZFjjGgGUA6NLw09EwE0CqkOc4q9oUmW1yo/edit?usp=sharing"",""พิจิตร!I164"")"),0)</f>
        <v>0</v>
      </c>
      <c r="J371" s="198">
        <f ca="1">IFERROR(__xludf.DUMMYFUNCTION("IMPORTRANGE(""https://docs.google.com/spreadsheets/d/11923uPwbBZFjjGgGUA6NLw09EwE0CqkOc4q9oUmW1yo/edit?usp=sharing"",""พิจิตร!J164"")"),0)</f>
        <v>0</v>
      </c>
      <c r="K371" s="171">
        <f t="shared" ca="1" si="106"/>
        <v>0</v>
      </c>
      <c r="L371" s="191"/>
      <c r="M371" s="191"/>
      <c r="N371" s="191"/>
      <c r="O371" s="191"/>
      <c r="P371" s="191"/>
    </row>
    <row r="372" spans="1:16" ht="21.75" customHeight="1" x14ac:dyDescent="0.2">
      <c r="A372" s="185"/>
      <c r="B372" s="186"/>
      <c r="C372" s="186"/>
      <c r="D372" s="203"/>
      <c r="E372" s="208"/>
      <c r="F372" s="205"/>
      <c r="G372" s="388" t="s">
        <v>141</v>
      </c>
      <c r="H372" s="190" t="s">
        <v>38</v>
      </c>
      <c r="I372" s="170">
        <f ca="1">IFERROR(__xludf.DUMMYFUNCTION("IMPORTRANGE(""https://docs.google.com/spreadsheets/d/11923uPwbBZFjjGgGUA6NLw09EwE0CqkOc4q9oUmW1yo/edit?usp=sharing"",""พิจิตร!I267"")"),60)</f>
        <v>60</v>
      </c>
      <c r="J372" s="198">
        <f ca="1">IFERROR(__xludf.DUMMYFUNCTION("IMPORTRANGE(""https://docs.google.com/spreadsheets/d/11923uPwbBZFjjGgGUA6NLw09EwE0CqkOc4q9oUmW1yo/edit?usp=sharing"",""พิจิตร!J267"")"),0)</f>
        <v>0</v>
      </c>
      <c r="K372" s="171">
        <f t="shared" ca="1" si="106"/>
        <v>0</v>
      </c>
      <c r="L372" s="191"/>
      <c r="M372" s="191"/>
      <c r="N372" s="191"/>
      <c r="O372" s="191"/>
      <c r="P372" s="191"/>
    </row>
    <row r="373" spans="1:16" ht="21.75" hidden="1" customHeight="1" x14ac:dyDescent="0.2">
      <c r="A373" s="185"/>
      <c r="B373" s="186"/>
      <c r="C373" s="186"/>
      <c r="D373" s="203"/>
      <c r="E373" s="208"/>
      <c r="F373" s="205"/>
      <c r="G373" s="235" t="s">
        <v>142</v>
      </c>
      <c r="H373" s="190" t="s">
        <v>38</v>
      </c>
      <c r="I373" s="197">
        <f ca="1">IFERROR(__xludf.DUMMYFUNCTION("IMPORTRANGE(""https://docs.google.com/spreadsheets/d/11923uPwbBZFjjGgGUA6NLw09EwE0CqkOc4q9oUmW1yo/edit?usp=sharing"",""พิจิตร!I164"")"),0)</f>
        <v>0</v>
      </c>
      <c r="J373" s="213">
        <f ca="1">IFERROR(__xludf.DUMMYFUNCTION("IMPORTRANGE(""https://docs.google.com/spreadsheets/d/11923uPwbBZFjjGgGUA6NLw09EwE0CqkOc4q9oUmW1yo/edit?usp=sharing"",""พิจิตร!J164"")"),0)</f>
        <v>0</v>
      </c>
      <c r="K373" s="171">
        <f t="shared" ca="1" si="106"/>
        <v>0</v>
      </c>
      <c r="L373" s="191"/>
      <c r="M373" s="191"/>
      <c r="N373" s="191"/>
      <c r="O373" s="191"/>
      <c r="P373" s="191"/>
    </row>
    <row r="374" spans="1:16" ht="21.75" hidden="1" customHeight="1" x14ac:dyDescent="0.2">
      <c r="A374" s="185"/>
      <c r="B374" s="186"/>
      <c r="C374" s="186"/>
      <c r="D374" s="203"/>
      <c r="E374" s="208"/>
      <c r="F374" s="205"/>
      <c r="G374" s="206" t="s">
        <v>143</v>
      </c>
      <c r="H374" s="190"/>
      <c r="I374" s="197">
        <f ca="1">IFERROR(__xludf.DUMMYFUNCTION("IMPORTRANGE(""https://docs.google.com/spreadsheets/d/11923uPwbBZFjjGgGUA6NLw09EwE0CqkOc4q9oUmW1yo/edit?usp=sharing"",""พิจิตร!I164"")"),0)</f>
        <v>0</v>
      </c>
      <c r="J374" s="197">
        <f ca="1">IFERROR(__xludf.DUMMYFUNCTION("IMPORTRANGE(""https://docs.google.com/spreadsheets/d/11923uPwbBZFjjGgGUA6NLw09EwE0CqkOc4q9oUmW1yo/edit?usp=sharing"",""พิจิตร!J164"")"),0)</f>
        <v>0</v>
      </c>
      <c r="K374" s="171"/>
      <c r="L374" s="191"/>
      <c r="M374" s="191"/>
      <c r="N374" s="191"/>
      <c r="O374" s="191"/>
      <c r="P374" s="191"/>
    </row>
    <row r="375" spans="1:16" ht="21.75" customHeight="1" x14ac:dyDescent="0.2">
      <c r="A375" s="185"/>
      <c r="B375" s="186"/>
      <c r="C375" s="186"/>
      <c r="D375" s="203"/>
      <c r="E375" s="205"/>
      <c r="F375" s="214" t="s">
        <v>54</v>
      </c>
      <c r="G375" s="206"/>
      <c r="H375" s="288" t="s">
        <v>123</v>
      </c>
      <c r="I375" s="197">
        <f ca="1">IFERROR(__xludf.DUMMYFUNCTION("IMPORTRANGE(""https://docs.google.com/spreadsheets/d/11923uPwbBZFjjGgGUA6NLw09EwE0CqkOc4q9oUmW1yo/edit?usp=sharing"",""พิจิตร!I270"")"),160)</f>
        <v>160</v>
      </c>
      <c r="J375" s="197">
        <f ca="1">IFERROR(__xludf.DUMMYFUNCTION("IMPORTRANGE(""https://docs.google.com/spreadsheets/d/11923uPwbBZFjjGgGUA6NLw09EwE0CqkOc4q9oUmW1yo/edit?usp=sharing"",""พิจิตร!J270"")"),0)</f>
        <v>0</v>
      </c>
      <c r="K375" s="171">
        <f t="shared" ref="K375:K377" ca="1" si="107">IF(I375&gt;0,J375*100/I375,0)</f>
        <v>0</v>
      </c>
      <c r="L375" s="191"/>
      <c r="M375" s="191"/>
      <c r="N375" s="191"/>
      <c r="O375" s="191"/>
      <c r="P375" s="191"/>
    </row>
    <row r="376" spans="1:16" ht="21.75" customHeight="1" x14ac:dyDescent="0.2">
      <c r="A376" s="185"/>
      <c r="B376" s="186"/>
      <c r="C376" s="186"/>
      <c r="D376" s="203"/>
      <c r="E376" s="205"/>
      <c r="F376" s="205"/>
      <c r="G376" s="289" t="s">
        <v>144</v>
      </c>
      <c r="H376" s="288" t="s">
        <v>123</v>
      </c>
      <c r="I376" s="197">
        <f ca="1">IFERROR(__xludf.DUMMYFUNCTION("IMPORTRANGE(""https://docs.google.com/spreadsheets/d/11923uPwbBZFjjGgGUA6NLw09EwE0CqkOc4q9oUmW1yo/edit?usp=sharing"",""พิจิตร!I271"")"),60)</f>
        <v>60</v>
      </c>
      <c r="J376" s="198">
        <f ca="1">IFERROR(__xludf.DUMMYFUNCTION("IMPORTRANGE(""https://docs.google.com/spreadsheets/d/11923uPwbBZFjjGgGUA6NLw09EwE0CqkOc4q9oUmW1yo/edit?usp=sharing"",""พิจิตร!J271"")"),0)</f>
        <v>0</v>
      </c>
      <c r="K376" s="171">
        <f t="shared" ca="1" si="107"/>
        <v>0</v>
      </c>
      <c r="L376" s="191"/>
      <c r="M376" s="191"/>
      <c r="N376" s="191"/>
      <c r="O376" s="191"/>
      <c r="P376" s="191"/>
    </row>
    <row r="377" spans="1:16" ht="21.75" customHeight="1" x14ac:dyDescent="0.2">
      <c r="A377" s="185"/>
      <c r="B377" s="186"/>
      <c r="C377" s="186"/>
      <c r="D377" s="203"/>
      <c r="E377" s="205"/>
      <c r="F377" s="205"/>
      <c r="G377" s="289" t="s">
        <v>145</v>
      </c>
      <c r="H377" s="288" t="s">
        <v>123</v>
      </c>
      <c r="I377" s="197">
        <f ca="1">IFERROR(__xludf.DUMMYFUNCTION("IMPORTRANGE(""https://docs.google.com/spreadsheets/d/11923uPwbBZFjjGgGUA6NLw09EwE0CqkOc4q9oUmW1yo/edit?usp=sharing"",""พิจิตร!I272"")"),100)</f>
        <v>100</v>
      </c>
      <c r="J377" s="213">
        <f ca="1">IFERROR(__xludf.DUMMYFUNCTION("IMPORTRANGE(""https://docs.google.com/spreadsheets/d/11923uPwbBZFjjGgGUA6NLw09EwE0CqkOc4q9oUmW1yo/edit?usp=sharing"",""พิจิตร!J272"")"),0)</f>
        <v>0</v>
      </c>
      <c r="K377" s="171">
        <f t="shared" ca="1" si="107"/>
        <v>0</v>
      </c>
      <c r="L377" s="191"/>
      <c r="M377" s="191"/>
      <c r="N377" s="191"/>
      <c r="O377" s="191"/>
      <c r="P377" s="191"/>
    </row>
    <row r="378" spans="1:16" ht="21.75" customHeight="1" x14ac:dyDescent="0.2">
      <c r="A378" s="185"/>
      <c r="B378" s="186"/>
      <c r="C378" s="186"/>
      <c r="D378" s="203"/>
      <c r="E378" s="204" t="s">
        <v>55</v>
      </c>
      <c r="F378" s="205"/>
      <c r="G378" s="206"/>
      <c r="H378" s="196"/>
      <c r="I378" s="197"/>
      <c r="J378" s="207">
        <f ca="1">IFERROR(__xludf.DUMMYFUNCTION("IMPORTRANGE(""https://docs.google.com/spreadsheets/d/11923uPwbBZFjjGgGUA6NLw09EwE0CqkOc4q9oUmW1yo/edit?usp=sharing"",""พิจิตร!J273"")"),0)</f>
        <v>0</v>
      </c>
      <c r="K378" s="171"/>
      <c r="L378" s="191"/>
      <c r="M378" s="191"/>
      <c r="N378" s="191"/>
      <c r="O378" s="191"/>
      <c r="P378" s="191"/>
    </row>
    <row r="379" spans="1:16" ht="21.75" customHeight="1" x14ac:dyDescent="0.2">
      <c r="A379" s="185"/>
      <c r="B379" s="186"/>
      <c r="C379" s="186"/>
      <c r="D379" s="215">
        <v>3</v>
      </c>
      <c r="E379" s="216" t="s">
        <v>56</v>
      </c>
      <c r="F379" s="217"/>
      <c r="G379" s="218"/>
      <c r="H379" s="196"/>
      <c r="I379" s="197"/>
      <c r="J379" s="219">
        <f ca="1">IFERROR(__xludf.DUMMYFUNCTION("IMPORTRANGE(""https://docs.google.com/spreadsheets/d/11923uPwbBZFjjGgGUA6NLw09EwE0CqkOc4q9oUmW1yo/edit?usp=sharing"",""พิจิตร!J274"")"),0)</f>
        <v>0</v>
      </c>
      <c r="K379" s="171"/>
      <c r="L379" s="191"/>
      <c r="M379" s="191"/>
      <c r="N379" s="191"/>
      <c r="O379" s="191"/>
      <c r="P379" s="191"/>
    </row>
    <row r="380" spans="1:16" ht="21.75" customHeight="1" x14ac:dyDescent="0.2">
      <c r="A380" s="374"/>
      <c r="B380" s="375">
        <v>2</v>
      </c>
      <c r="C380" s="376" t="s">
        <v>146</v>
      </c>
      <c r="D380" s="376"/>
      <c r="E380" s="390"/>
      <c r="F380" s="390"/>
      <c r="G380" s="391"/>
      <c r="H380" s="378" t="s">
        <v>123</v>
      </c>
      <c r="I380" s="379">
        <f ca="1">IFERROR(__xludf.DUMMYFUNCTION("IMPORTRANGE(""https://docs.google.com/spreadsheets/d/11923uPwbBZFjjGgGUA6NLw09EwE0CqkOc4q9oUmW1yo/edit?usp=sharing"",""พิจิตร!I275"")"),200)</f>
        <v>200</v>
      </c>
      <c r="J380" s="379">
        <f ca="1">IFERROR(__xludf.DUMMYFUNCTION("IMPORTRANGE(""https://docs.google.com/spreadsheets/d/11923uPwbBZFjjGgGUA6NLw09EwE0CqkOc4q9oUmW1yo/edit?usp=sharing"",""พิจิตร!J275"")"),0)</f>
        <v>0</v>
      </c>
      <c r="K380" s="380">
        <f t="shared" ref="K380:K381" ca="1" si="108">IF(I380&gt;0,J380*100/I380,0)</f>
        <v>0</v>
      </c>
      <c r="L380" s="381">
        <f ca="1">IFERROR(__xludf.DUMMYFUNCTION("IMPORTRANGE(""https://docs.google.com/spreadsheets/d/11923uPwbBZFjjGgGUA6NLw09EwE0CqkOc4q9oUmW1yo/edit?usp=sharing"",""พิจิตร!L275"")"),207560)</f>
        <v>207560</v>
      </c>
      <c r="M380" s="381"/>
      <c r="N380" s="381">
        <f ca="1">IFERROR(__xludf.DUMMYFUNCTION("IMPORTRANGE(""https://docs.google.com/spreadsheets/d/11923uPwbBZFjjGgGUA6NLw09EwE0CqkOc4q9oUmW1yo/edit?usp=sharing"",""พิจิตร!M275"")"),0)</f>
        <v>0</v>
      </c>
      <c r="O380" s="381">
        <f ca="1">+IF(L380&gt;0,N380*100/L380,0)</f>
        <v>0</v>
      </c>
      <c r="P380" s="381"/>
    </row>
    <row r="381" spans="1:16" ht="21.75" customHeight="1" x14ac:dyDescent="0.2">
      <c r="A381" s="374"/>
      <c r="B381" s="375"/>
      <c r="C381" s="376"/>
      <c r="D381" s="392"/>
      <c r="E381" s="393"/>
      <c r="F381" s="393"/>
      <c r="G381" s="394"/>
      <c r="H381" s="378" t="s">
        <v>38</v>
      </c>
      <c r="I381" s="379">
        <f ca="1">IFERROR(__xludf.DUMMYFUNCTION("IMPORTRANGE(""https://docs.google.com/spreadsheets/d/11923uPwbBZFjjGgGUA6NLw09EwE0CqkOc4q9oUmW1yo/edit?usp=sharing"",""พิจิตร!I276"")"),20)</f>
        <v>20</v>
      </c>
      <c r="J381" s="379">
        <f ca="1">IFERROR(__xludf.DUMMYFUNCTION("IMPORTRANGE(""https://docs.google.com/spreadsheets/d/11923uPwbBZFjjGgGUA6NLw09EwE0CqkOc4q9oUmW1yo/edit?usp=sharing"",""พิจิตร!J276"")"),0)</f>
        <v>0</v>
      </c>
      <c r="K381" s="380">
        <f t="shared" ca="1" si="108"/>
        <v>0</v>
      </c>
      <c r="L381" s="381"/>
      <c r="M381" s="381"/>
      <c r="N381" s="381"/>
      <c r="O381" s="381"/>
      <c r="P381" s="381"/>
    </row>
    <row r="382" spans="1:16" ht="21.75" customHeight="1" x14ac:dyDescent="0.2">
      <c r="A382" s="164"/>
      <c r="B382" s="165"/>
      <c r="C382" s="165" t="s">
        <v>17</v>
      </c>
      <c r="D382" s="166" t="s">
        <v>39</v>
      </c>
      <c r="E382" s="167"/>
      <c r="F382" s="167"/>
      <c r="G382" s="168" t="s">
        <v>40</v>
      </c>
      <c r="H382" s="169" t="s">
        <v>13</v>
      </c>
      <c r="I382" s="170" t="s">
        <v>41</v>
      </c>
      <c r="J382" s="170"/>
      <c r="K382" s="171"/>
      <c r="L382" s="172">
        <f ca="1">IFERROR(__xludf.DUMMYFUNCTION("IMPORTRANGE(""https://docs.google.com/spreadsheets/d/11923uPwbBZFjjGgGUA6NLw09EwE0CqkOc4q9oUmW1yo/edit?usp=sharing"",""พิจิตร!L277"")"),0)</f>
        <v>0</v>
      </c>
      <c r="M382" s="172"/>
      <c r="N382" s="172">
        <f ca="1">IFERROR(__xludf.DUMMYFUNCTION("IMPORTRANGE(""https://docs.google.com/spreadsheets/d/11923uPwbBZFjjGgGUA6NLw09EwE0CqkOc4q9oUmW1yo/edit?usp=sharing"",""พิจิตร!M277"")"),0)</f>
        <v>0</v>
      </c>
      <c r="O382" s="173">
        <f t="shared" ref="O382:O385" ca="1" si="109">+IF(L382&gt;0,N382*100/L382,0)</f>
        <v>0</v>
      </c>
      <c r="P382" s="173"/>
    </row>
    <row r="383" spans="1:16" ht="21.75" customHeight="1" x14ac:dyDescent="0.2">
      <c r="A383" s="164"/>
      <c r="B383" s="165"/>
      <c r="C383" s="165"/>
      <c r="D383" s="174"/>
      <c r="E383" s="167"/>
      <c r="F383" s="167" t="s">
        <v>41</v>
      </c>
      <c r="G383" s="168" t="s">
        <v>42</v>
      </c>
      <c r="H383" s="169" t="s">
        <v>13</v>
      </c>
      <c r="I383" s="170"/>
      <c r="J383" s="170"/>
      <c r="K383" s="171"/>
      <c r="L383" s="173">
        <f ca="1">IFERROR(__xludf.DUMMYFUNCTION("IMPORTRANGE(""https://docs.google.com/spreadsheets/d/11923uPwbBZFjjGgGUA6NLw09EwE0CqkOc4q9oUmW1yo/edit?usp=sharing"",""พิจิตร!L278"")"),207560)</f>
        <v>207560</v>
      </c>
      <c r="M383" s="173"/>
      <c r="N383" s="173">
        <f ca="1">IFERROR(__xludf.DUMMYFUNCTION("IMPORTRANGE(""https://docs.google.com/spreadsheets/d/11923uPwbBZFjjGgGUA6NLw09EwE0CqkOc4q9oUmW1yo/edit?usp=sharing"",""พิจิตร!M278"")"),0)</f>
        <v>0</v>
      </c>
      <c r="O383" s="173">
        <f t="shared" ca="1" si="109"/>
        <v>0</v>
      </c>
      <c r="P383" s="173"/>
    </row>
    <row r="384" spans="1:16" ht="21.75" customHeight="1" x14ac:dyDescent="0.2">
      <c r="A384" s="164"/>
      <c r="B384" s="165"/>
      <c r="C384" s="165"/>
      <c r="D384" s="174"/>
      <c r="E384" s="167"/>
      <c r="F384" s="167"/>
      <c r="G384" s="382" t="s">
        <v>130</v>
      </c>
      <c r="H384" s="169" t="s">
        <v>13</v>
      </c>
      <c r="I384" s="170"/>
      <c r="J384" s="170"/>
      <c r="K384" s="171"/>
      <c r="L384" s="178">
        <f ca="1">IFERROR(__xludf.DUMMYFUNCTION("IMPORTRANGE(""https://docs.google.com/spreadsheets/d/11923uPwbBZFjjGgGUA6NLw09EwE0CqkOc4q9oUmW1yo/edit?usp=sharing"",""พิจิตร!L279"")"),0)</f>
        <v>0</v>
      </c>
      <c r="M384" s="178"/>
      <c r="N384" s="178">
        <f ca="1">IFERROR(__xludf.DUMMYFUNCTION("IMPORTRANGE(""https://docs.google.com/spreadsheets/d/11923uPwbBZFjjGgGUA6NLw09EwE0CqkOc4q9oUmW1yo/edit?usp=sharing"",""พิจิตร!M279"")"),0)</f>
        <v>0</v>
      </c>
      <c r="O384" s="178">
        <f t="shared" ca="1" si="109"/>
        <v>0</v>
      </c>
      <c r="P384" s="178"/>
    </row>
    <row r="385" spans="1:16" ht="21.75" customHeight="1" x14ac:dyDescent="0.2">
      <c r="A385" s="164"/>
      <c r="B385" s="165"/>
      <c r="C385" s="165"/>
      <c r="D385" s="174"/>
      <c r="E385" s="167"/>
      <c r="F385" s="167"/>
      <c r="G385" s="382" t="s">
        <v>131</v>
      </c>
      <c r="H385" s="169" t="s">
        <v>13</v>
      </c>
      <c r="I385" s="170"/>
      <c r="J385" s="170"/>
      <c r="K385" s="171"/>
      <c r="L385" s="178">
        <f ca="1">IFERROR(__xludf.DUMMYFUNCTION("IMPORTRANGE(""https://docs.google.com/spreadsheets/d/11923uPwbBZFjjGgGUA6NLw09EwE0CqkOc4q9oUmW1yo/edit?usp=sharing"",""พิจิตร!L280"")"),207560)</f>
        <v>207560</v>
      </c>
      <c r="M385" s="178"/>
      <c r="N385" s="175">
        <f ca="1">IFERROR(__xludf.DUMMYFUNCTION("IMPORTRANGE(""https://docs.google.com/spreadsheets/d/11923uPwbBZFjjGgGUA6NLw09EwE0CqkOc4q9oUmW1yo/edit?usp=sharing"",""พิจิตร!M280"")"),0)</f>
        <v>0</v>
      </c>
      <c r="O385" s="178">
        <f t="shared" ca="1" si="109"/>
        <v>0</v>
      </c>
      <c r="P385" s="178"/>
    </row>
    <row r="386" spans="1:16" ht="21.75" customHeight="1" x14ac:dyDescent="0.2">
      <c r="A386" s="383"/>
      <c r="B386" s="384"/>
      <c r="C386" s="165"/>
      <c r="D386" s="385"/>
      <c r="E386" s="167"/>
      <c r="F386" s="167"/>
      <c r="G386" s="386" t="s">
        <v>132</v>
      </c>
      <c r="H386" s="169" t="s">
        <v>13</v>
      </c>
      <c r="I386" s="197"/>
      <c r="J386" s="197"/>
      <c r="K386" s="233"/>
      <c r="L386" s="178"/>
      <c r="M386" s="178"/>
      <c r="N386" s="387">
        <f ca="1">IFERROR(__xludf.DUMMYFUNCTION("IMPORTRANGE(""https://docs.google.com/spreadsheets/d/11923uPwbBZFjjGgGUA6NLw09EwE0CqkOc4q9oUmW1yo/edit?usp=sharing"",""พิจิตร!M281"")"),0)</f>
        <v>0</v>
      </c>
      <c r="O386" s="178"/>
      <c r="P386" s="178"/>
    </row>
    <row r="387" spans="1:16" ht="21.75" customHeight="1" x14ac:dyDescent="0.2">
      <c r="A387" s="383"/>
      <c r="B387" s="384"/>
      <c r="C387" s="165"/>
      <c r="D387" s="385"/>
      <c r="E387" s="167"/>
      <c r="F387" s="167"/>
      <c r="G387" s="386" t="s">
        <v>133</v>
      </c>
      <c r="H387" s="169" t="s">
        <v>13</v>
      </c>
      <c r="I387" s="197"/>
      <c r="J387" s="197"/>
      <c r="K387" s="233"/>
      <c r="L387" s="178"/>
      <c r="M387" s="178"/>
      <c r="N387" s="387">
        <f ca="1">IFERROR(__xludf.DUMMYFUNCTION("IMPORTRANGE(""https://docs.google.com/spreadsheets/d/11923uPwbBZFjjGgGUA6NLw09EwE0CqkOc4q9oUmW1yo/edit?usp=sharing"",""พิจิตร!M282"")"),0)</f>
        <v>0</v>
      </c>
      <c r="O387" s="178"/>
      <c r="P387" s="178"/>
    </row>
    <row r="388" spans="1:16" ht="21.75" customHeight="1" x14ac:dyDescent="0.2">
      <c r="A388" s="383"/>
      <c r="B388" s="384"/>
      <c r="C388" s="165"/>
      <c r="D388" s="385"/>
      <c r="E388" s="167"/>
      <c r="F388" s="167"/>
      <c r="G388" s="386" t="s">
        <v>134</v>
      </c>
      <c r="H388" s="169" t="s">
        <v>13</v>
      </c>
      <c r="I388" s="197"/>
      <c r="J388" s="197"/>
      <c r="K388" s="233"/>
      <c r="L388" s="178"/>
      <c r="M388" s="178"/>
      <c r="N388" s="387">
        <f ca="1">IFERROR(__xludf.DUMMYFUNCTION("IMPORTRANGE(""https://docs.google.com/spreadsheets/d/11923uPwbBZFjjGgGUA6NLw09EwE0CqkOc4q9oUmW1yo/edit?usp=sharing"",""พิจิตร!M283"")"),0)</f>
        <v>0</v>
      </c>
      <c r="O388" s="178"/>
      <c r="P388" s="178"/>
    </row>
    <row r="389" spans="1:16" ht="21.75" customHeight="1" x14ac:dyDescent="0.2">
      <c r="A389" s="383"/>
      <c r="B389" s="384"/>
      <c r="C389" s="165"/>
      <c r="D389" s="385"/>
      <c r="E389" s="167"/>
      <c r="F389" s="167"/>
      <c r="G389" s="386" t="s">
        <v>135</v>
      </c>
      <c r="H389" s="169" t="s">
        <v>13</v>
      </c>
      <c r="I389" s="197"/>
      <c r="J389" s="197"/>
      <c r="K389" s="233"/>
      <c r="L389" s="178"/>
      <c r="M389" s="178"/>
      <c r="N389" s="387">
        <f ca="1">IFERROR(__xludf.DUMMYFUNCTION("IMPORTRANGE(""https://docs.google.com/spreadsheets/d/11923uPwbBZFjjGgGUA6NLw09EwE0CqkOc4q9oUmW1yo/edit?usp=sharing"",""พิจิตร!M284"")"),0)</f>
        <v>0</v>
      </c>
      <c r="O389" s="178"/>
      <c r="P389" s="178"/>
    </row>
    <row r="390" spans="1:16" ht="21.75" customHeight="1" x14ac:dyDescent="0.2">
      <c r="A390" s="185"/>
      <c r="B390" s="186"/>
      <c r="C390" s="165" t="s">
        <v>17</v>
      </c>
      <c r="D390" s="187" t="s">
        <v>45</v>
      </c>
      <c r="E390" s="188"/>
      <c r="F390" s="188"/>
      <c r="G390" s="189"/>
      <c r="H390" s="190"/>
      <c r="I390" s="170"/>
      <c r="J390" s="170"/>
      <c r="K390" s="171"/>
      <c r="L390" s="191"/>
      <c r="M390" s="191"/>
      <c r="N390" s="191"/>
      <c r="O390" s="191"/>
      <c r="P390" s="191"/>
    </row>
    <row r="391" spans="1:16" ht="21.75" customHeight="1" x14ac:dyDescent="0.2">
      <c r="A391" s="185"/>
      <c r="B391" s="186"/>
      <c r="C391" s="186"/>
      <c r="D391" s="192">
        <v>1</v>
      </c>
      <c r="E391" s="193" t="s">
        <v>46</v>
      </c>
      <c r="F391" s="194"/>
      <c r="G391" s="195"/>
      <c r="H391" s="196"/>
      <c r="I391" s="197"/>
      <c r="J391" s="207">
        <f ca="1">IFERROR(__xludf.DUMMYFUNCTION("IMPORTRANGE(""https://docs.google.com/spreadsheets/d/11923uPwbBZFjjGgGUA6NLw09EwE0CqkOc4q9oUmW1yo/edit?usp=sharing"",""พิจิตร!J286"")"),0)</f>
        <v>0</v>
      </c>
      <c r="K391" s="171"/>
      <c r="L391" s="191"/>
      <c r="M391" s="191"/>
      <c r="N391" s="191"/>
      <c r="O391" s="191"/>
      <c r="P391" s="191"/>
    </row>
    <row r="392" spans="1:16" ht="21.75" customHeight="1" x14ac:dyDescent="0.2">
      <c r="A392" s="185"/>
      <c r="B392" s="186"/>
      <c r="C392" s="186"/>
      <c r="D392" s="199">
        <v>2</v>
      </c>
      <c r="E392" s="200" t="s">
        <v>47</v>
      </c>
      <c r="F392" s="201"/>
      <c r="G392" s="202"/>
      <c r="H392" s="196"/>
      <c r="I392" s="197"/>
      <c r="J392" s="198">
        <f ca="1">IFERROR(__xludf.DUMMYFUNCTION("IMPORTRANGE(""https://docs.google.com/spreadsheets/d/11923uPwbBZFjjGgGUA6NLw09EwE0CqkOc4q9oUmW1yo/edit?usp=sharing"",""พิจิตร!J287"")"),1)</f>
        <v>1</v>
      </c>
      <c r="K392" s="171"/>
      <c r="L392" s="191" t="s">
        <v>41</v>
      </c>
      <c r="M392" s="191"/>
      <c r="N392" s="191" t="s">
        <v>41</v>
      </c>
      <c r="O392" s="191"/>
      <c r="P392" s="191"/>
    </row>
    <row r="393" spans="1:16" ht="21.75" customHeight="1" x14ac:dyDescent="0.2">
      <c r="A393" s="185"/>
      <c r="B393" s="186"/>
      <c r="C393" s="186"/>
      <c r="D393" s="203"/>
      <c r="E393" s="204" t="s">
        <v>48</v>
      </c>
      <c r="F393" s="205"/>
      <c r="G393" s="206"/>
      <c r="H393" s="196"/>
      <c r="I393" s="197"/>
      <c r="J393" s="198">
        <f ca="1">IFERROR(__xludf.DUMMYFUNCTION("IMPORTRANGE(""https://docs.google.com/spreadsheets/d/11923uPwbBZFjjGgGUA6NLw09EwE0CqkOc4q9oUmW1yo/edit?usp=sharing"",""พิจิตร!J288"")"),1)</f>
        <v>1</v>
      </c>
      <c r="K393" s="171"/>
      <c r="L393" s="191"/>
      <c r="M393" s="191"/>
      <c r="N393" s="191"/>
      <c r="O393" s="191"/>
      <c r="P393" s="191"/>
    </row>
    <row r="394" spans="1:16" ht="21.75" customHeight="1" x14ac:dyDescent="0.2">
      <c r="A394" s="185"/>
      <c r="B394" s="186"/>
      <c r="C394" s="186"/>
      <c r="D394" s="203"/>
      <c r="E394" s="204" t="s">
        <v>49</v>
      </c>
      <c r="F394" s="205"/>
      <c r="G394" s="206"/>
      <c r="H394" s="196"/>
      <c r="I394" s="197"/>
      <c r="J394" s="207">
        <f ca="1">IFERROR(__xludf.DUMMYFUNCTION("IMPORTRANGE(""https://docs.google.com/spreadsheets/d/11923uPwbBZFjjGgGUA6NLw09EwE0CqkOc4q9oUmW1yo/edit?usp=sharing"",""พิจิตร!J289"")"),1)</f>
        <v>1</v>
      </c>
      <c r="K394" s="171"/>
      <c r="L394" s="191"/>
      <c r="M394" s="191"/>
      <c r="N394" s="191"/>
      <c r="O394" s="191"/>
      <c r="P394" s="191"/>
    </row>
    <row r="395" spans="1:16" ht="21.75" customHeight="1" x14ac:dyDescent="0.2">
      <c r="A395" s="185"/>
      <c r="B395" s="186"/>
      <c r="C395" s="186"/>
      <c r="D395" s="203"/>
      <c r="E395" s="208"/>
      <c r="F395" s="204" t="s">
        <v>147</v>
      </c>
      <c r="G395" s="205"/>
      <c r="H395" s="196"/>
      <c r="I395" s="197"/>
      <c r="J395" s="197"/>
      <c r="K395" s="171"/>
      <c r="L395" s="191"/>
      <c r="M395" s="191"/>
      <c r="N395" s="191"/>
      <c r="O395" s="191"/>
      <c r="P395" s="191"/>
    </row>
    <row r="396" spans="1:16" ht="21.75" customHeight="1" x14ac:dyDescent="0.2">
      <c r="A396" s="185"/>
      <c r="B396" s="186"/>
      <c r="C396" s="186"/>
      <c r="D396" s="203"/>
      <c r="E396" s="208"/>
      <c r="F396" s="205"/>
      <c r="G396" s="301" t="s">
        <v>71</v>
      </c>
      <c r="H396" s="196" t="s">
        <v>38</v>
      </c>
      <c r="I396" s="197">
        <f ca="1">IFERROR(__xludf.DUMMYFUNCTION("IMPORTRANGE(""https://docs.google.com/spreadsheets/d/11923uPwbBZFjjGgGUA6NLw09EwE0CqkOc4q9oUmW1yo/edit?usp=sharing"",""พิจิตร!I291"")"),20)</f>
        <v>20</v>
      </c>
      <c r="J396" s="207">
        <f ca="1">IFERROR(__xludf.DUMMYFUNCTION("IMPORTRANGE(""https://docs.google.com/spreadsheets/d/11923uPwbBZFjjGgGUA6NLw09EwE0CqkOc4q9oUmW1yo/edit?usp=sharing"",""พิจิตร!J291"")"),0)</f>
        <v>0</v>
      </c>
      <c r="K396" s="171">
        <f t="shared" ref="K396:K398" ca="1" si="110">IF(I396&gt;0,J396*100/I396,0)</f>
        <v>0</v>
      </c>
      <c r="L396" s="191"/>
      <c r="M396" s="191"/>
      <c r="N396" s="191"/>
      <c r="O396" s="191"/>
      <c r="P396" s="191"/>
    </row>
    <row r="397" spans="1:16" ht="21.75" customHeight="1" x14ac:dyDescent="0.2">
      <c r="A397" s="185"/>
      <c r="B397" s="186"/>
      <c r="C397" s="186"/>
      <c r="D397" s="203"/>
      <c r="E397" s="208"/>
      <c r="F397" s="205"/>
      <c r="G397" s="206" t="s">
        <v>54</v>
      </c>
      <c r="H397" s="196" t="s">
        <v>123</v>
      </c>
      <c r="I397" s="197">
        <f ca="1">IFERROR(__xludf.DUMMYFUNCTION("IMPORTRANGE(""https://docs.google.com/spreadsheets/d/11923uPwbBZFjjGgGUA6NLw09EwE0CqkOc4q9oUmW1yo/edit?usp=sharing"",""พิจิตร!I292"")"),200)</f>
        <v>200</v>
      </c>
      <c r="J397" s="207">
        <f ca="1">IFERROR(__xludf.DUMMYFUNCTION("IMPORTRANGE(""https://docs.google.com/spreadsheets/d/11923uPwbBZFjjGgGUA6NLw09EwE0CqkOc4q9oUmW1yo/edit?usp=sharing"",""พิจิตร!J292"")"),0)</f>
        <v>0</v>
      </c>
      <c r="K397" s="171">
        <f t="shared" ca="1" si="110"/>
        <v>0</v>
      </c>
      <c r="L397" s="191"/>
      <c r="M397" s="191"/>
      <c r="N397" s="191"/>
      <c r="O397" s="191"/>
      <c r="P397" s="191"/>
    </row>
    <row r="398" spans="1:16" ht="21.75" customHeight="1" x14ac:dyDescent="0.2">
      <c r="A398" s="185"/>
      <c r="B398" s="186"/>
      <c r="C398" s="186"/>
      <c r="D398" s="203"/>
      <c r="E398" s="208"/>
      <c r="F398" s="205"/>
      <c r="G398" s="206"/>
      <c r="H398" s="196" t="s">
        <v>38</v>
      </c>
      <c r="I398" s="197">
        <f ca="1">IFERROR(__xludf.DUMMYFUNCTION("IMPORTRANGE(""https://docs.google.com/spreadsheets/d/11923uPwbBZFjjGgGUA6NLw09EwE0CqkOc4q9oUmW1yo/edit?usp=sharing"",""พิจิตร!I293"")"),20)</f>
        <v>20</v>
      </c>
      <c r="J398" s="207">
        <f ca="1">IFERROR(__xludf.DUMMYFUNCTION("IMPORTRANGE(""https://docs.google.com/spreadsheets/d/11923uPwbBZFjjGgGUA6NLw09EwE0CqkOc4q9oUmW1yo/edit?usp=sharing"",""พิจิตร!J293"")"),0)</f>
        <v>0</v>
      </c>
      <c r="K398" s="171">
        <f t="shared" ca="1" si="110"/>
        <v>0</v>
      </c>
      <c r="L398" s="191"/>
      <c r="M398" s="191"/>
      <c r="N398" s="191"/>
      <c r="O398" s="191"/>
      <c r="P398" s="191"/>
    </row>
    <row r="399" spans="1:16" ht="21.75" customHeight="1" x14ac:dyDescent="0.2">
      <c r="A399" s="185"/>
      <c r="B399" s="186"/>
      <c r="C399" s="186"/>
      <c r="D399" s="203"/>
      <c r="E399" s="204" t="s">
        <v>55</v>
      </c>
      <c r="F399" s="205"/>
      <c r="G399" s="206"/>
      <c r="H399" s="196"/>
      <c r="I399" s="197"/>
      <c r="J399" s="207">
        <f ca="1">IFERROR(__xludf.DUMMYFUNCTION("IMPORTRANGE(""https://docs.google.com/spreadsheets/d/11923uPwbBZFjjGgGUA6NLw09EwE0CqkOc4q9oUmW1yo/edit?usp=sharing"",""พิจิตร!J294"")"),0)</f>
        <v>0</v>
      </c>
      <c r="K399" s="171"/>
      <c r="L399" s="191"/>
      <c r="M399" s="191"/>
      <c r="N399" s="191"/>
      <c r="O399" s="191"/>
      <c r="P399" s="191"/>
    </row>
    <row r="400" spans="1:16" ht="21.75" customHeight="1" x14ac:dyDescent="0.2">
      <c r="A400" s="185"/>
      <c r="B400" s="186"/>
      <c r="C400" s="186"/>
      <c r="D400" s="215">
        <v>3</v>
      </c>
      <c r="E400" s="216" t="s">
        <v>56</v>
      </c>
      <c r="F400" s="217"/>
      <c r="G400" s="218"/>
      <c r="H400" s="196"/>
      <c r="I400" s="197"/>
      <c r="J400" s="219">
        <f ca="1">IFERROR(__xludf.DUMMYFUNCTION("IMPORTRANGE(""https://docs.google.com/spreadsheets/d/11923uPwbBZFjjGgGUA6NLw09EwE0CqkOc4q9oUmW1yo/edit?usp=sharing"",""พิจิตร!J295"")"),0)</f>
        <v>0</v>
      </c>
      <c r="K400" s="171"/>
      <c r="L400" s="191"/>
      <c r="M400" s="191"/>
      <c r="N400" s="191"/>
      <c r="O400" s="191"/>
      <c r="P400" s="191"/>
    </row>
    <row r="401" spans="1:16" ht="21.75" customHeight="1" x14ac:dyDescent="0.2">
      <c r="A401" s="374"/>
      <c r="B401" s="375">
        <v>3</v>
      </c>
      <c r="C401" s="375" t="s">
        <v>148</v>
      </c>
      <c r="D401" s="376"/>
      <c r="E401" s="376"/>
      <c r="F401" s="376"/>
      <c r="G401" s="377"/>
      <c r="H401" s="378" t="s">
        <v>123</v>
      </c>
      <c r="I401" s="379">
        <f ca="1">IFERROR(__xludf.DUMMYFUNCTION("IMPORTRANGE(""https://docs.google.com/spreadsheets/d/11923uPwbBZFjjGgGUA6NLw09EwE0CqkOc4q9oUmW1yo/edit?usp=sharing"",""พิจิตร!I296"")"),174)</f>
        <v>174</v>
      </c>
      <c r="J401" s="379">
        <f ca="1">IFERROR(__xludf.DUMMYFUNCTION("IMPORTRANGE(""https://docs.google.com/spreadsheets/d/11923uPwbBZFjjGgGUA6NLw09EwE0CqkOc4q9oUmW1yo/edit?usp=sharing"",""พิจิตร!J296"")"),0)</f>
        <v>0</v>
      </c>
      <c r="K401" s="380">
        <f t="shared" ref="K401:K402" ca="1" si="111">IF(I401&gt;0,J401*100/I401,0)</f>
        <v>0</v>
      </c>
      <c r="L401" s="381">
        <f ca="1">IFERROR(__xludf.DUMMYFUNCTION("IMPORTRANGE(""https://docs.google.com/spreadsheets/d/11923uPwbBZFjjGgGUA6NLw09EwE0CqkOc4q9oUmW1yo/edit?usp=sharing"",""พิจิตร!L296"")"),195900)</f>
        <v>195900</v>
      </c>
      <c r="M401" s="381"/>
      <c r="N401" s="381">
        <f ca="1">IFERROR(__xludf.DUMMYFUNCTION("IMPORTRANGE(""https://docs.google.com/spreadsheets/d/11923uPwbBZFjjGgGUA6NLw09EwE0CqkOc4q9oUmW1yo/edit?usp=sharing"",""พิจิตร!M296"")"),20961)</f>
        <v>20961</v>
      </c>
      <c r="O401" s="381">
        <f ca="1">+IF(L401&gt;0,N401*100/L401,0)</f>
        <v>10.699846860643186</v>
      </c>
      <c r="P401" s="381"/>
    </row>
    <row r="402" spans="1:16" ht="21.75" customHeight="1" x14ac:dyDescent="0.2">
      <c r="A402" s="374"/>
      <c r="B402" s="375"/>
      <c r="C402" s="375"/>
      <c r="D402" s="392"/>
      <c r="E402" s="392"/>
      <c r="F402" s="392"/>
      <c r="G402" s="395"/>
      <c r="H402" s="378" t="s">
        <v>38</v>
      </c>
      <c r="I402" s="379">
        <f ca="1">IFERROR(__xludf.DUMMYFUNCTION("IMPORTRANGE(""https://docs.google.com/spreadsheets/d/11923uPwbBZFjjGgGUA6NLw09EwE0CqkOc4q9oUmW1yo/edit?usp=sharing"",""พิจิตร!I297"")"),58)</f>
        <v>58</v>
      </c>
      <c r="J402" s="379">
        <f ca="1">IFERROR(__xludf.DUMMYFUNCTION("IMPORTRANGE(""https://docs.google.com/spreadsheets/d/11923uPwbBZFjjGgGUA6NLw09EwE0CqkOc4q9oUmW1yo/edit?usp=sharing"",""พิจิตร!J297"")"),0)</f>
        <v>0</v>
      </c>
      <c r="K402" s="380">
        <f t="shared" ca="1" si="111"/>
        <v>0</v>
      </c>
      <c r="L402" s="381"/>
      <c r="M402" s="381"/>
      <c r="N402" s="381"/>
      <c r="O402" s="381"/>
      <c r="P402" s="381"/>
    </row>
    <row r="403" spans="1:16" ht="21.75" customHeight="1" x14ac:dyDescent="0.2">
      <c r="A403" s="164"/>
      <c r="B403" s="165"/>
      <c r="C403" s="165" t="s">
        <v>17</v>
      </c>
      <c r="D403" s="166" t="s">
        <v>39</v>
      </c>
      <c r="E403" s="167"/>
      <c r="F403" s="167"/>
      <c r="G403" s="168" t="s">
        <v>40</v>
      </c>
      <c r="H403" s="169" t="s">
        <v>13</v>
      </c>
      <c r="I403" s="170" t="s">
        <v>41</v>
      </c>
      <c r="J403" s="170"/>
      <c r="K403" s="171"/>
      <c r="L403" s="172">
        <f ca="1">IFERROR(__xludf.DUMMYFUNCTION("IMPORTRANGE(""https://docs.google.com/spreadsheets/d/11923uPwbBZFjjGgGUA6NLw09EwE0CqkOc4q9oUmW1yo/edit?usp=sharing"",""พิจิตร!L298"")"),0)</f>
        <v>0</v>
      </c>
      <c r="M403" s="172"/>
      <c r="N403" s="178">
        <f ca="1">IFERROR(__xludf.DUMMYFUNCTION("IMPORTRANGE(""https://docs.google.com/spreadsheets/d/11923uPwbBZFjjGgGUA6NLw09EwE0CqkOc4q9oUmW1yo/edit?usp=sharing"",""พิจิตร!M298"")"),0)</f>
        <v>0</v>
      </c>
      <c r="O403" s="178">
        <f t="shared" ref="O403:O406" ca="1" si="112">+IF(L403&gt;0,N403*100/L403,0)</f>
        <v>0</v>
      </c>
      <c r="P403" s="178"/>
    </row>
    <row r="404" spans="1:16" ht="21.75" customHeight="1" x14ac:dyDescent="0.2">
      <c r="A404" s="164"/>
      <c r="B404" s="165"/>
      <c r="C404" s="165"/>
      <c r="D404" s="174"/>
      <c r="E404" s="167"/>
      <c r="F404" s="167" t="s">
        <v>41</v>
      </c>
      <c r="G404" s="168" t="s">
        <v>42</v>
      </c>
      <c r="H404" s="169" t="s">
        <v>13</v>
      </c>
      <c r="I404" s="170"/>
      <c r="J404" s="170"/>
      <c r="K404" s="171"/>
      <c r="L404" s="173">
        <f ca="1">IFERROR(__xludf.DUMMYFUNCTION("IMPORTRANGE(""https://docs.google.com/spreadsheets/d/11923uPwbBZFjjGgGUA6NLw09EwE0CqkOc4q9oUmW1yo/edit?usp=sharing"",""พิจิตร!L299"")"),195900)</f>
        <v>195900</v>
      </c>
      <c r="M404" s="173"/>
      <c r="N404" s="178">
        <f ca="1">IFERROR(__xludf.DUMMYFUNCTION("IMPORTRANGE(""https://docs.google.com/spreadsheets/d/11923uPwbBZFjjGgGUA6NLw09EwE0CqkOc4q9oUmW1yo/edit?usp=sharing"",""พิจิตร!M299"")"),20961)</f>
        <v>20961</v>
      </c>
      <c r="O404" s="178">
        <f t="shared" ca="1" si="112"/>
        <v>10.699846860643186</v>
      </c>
      <c r="P404" s="178"/>
    </row>
    <row r="405" spans="1:16" ht="21.75" customHeight="1" x14ac:dyDescent="0.2">
      <c r="A405" s="164"/>
      <c r="B405" s="165"/>
      <c r="C405" s="165"/>
      <c r="D405" s="174"/>
      <c r="E405" s="167"/>
      <c r="F405" s="167"/>
      <c r="G405" s="382" t="s">
        <v>130</v>
      </c>
      <c r="H405" s="169" t="s">
        <v>13</v>
      </c>
      <c r="I405" s="170"/>
      <c r="J405" s="170"/>
      <c r="K405" s="171"/>
      <c r="L405" s="178">
        <f ca="1">IFERROR(__xludf.DUMMYFUNCTION("IMPORTRANGE(""https://docs.google.com/spreadsheets/d/11923uPwbBZFjjGgGUA6NLw09EwE0CqkOc4q9oUmW1yo/edit?usp=sharing"",""พิจิตร!L300"")"),0)</f>
        <v>0</v>
      </c>
      <c r="M405" s="178"/>
      <c r="N405" s="178">
        <f ca="1">IFERROR(__xludf.DUMMYFUNCTION("IMPORTRANGE(""https://docs.google.com/spreadsheets/d/11923uPwbBZFjjGgGUA6NLw09EwE0CqkOc4q9oUmW1yo/edit?usp=sharing"",""พิจิตร!M300"")"),0)</f>
        <v>0</v>
      </c>
      <c r="O405" s="178">
        <f t="shared" ca="1" si="112"/>
        <v>0</v>
      </c>
      <c r="P405" s="178"/>
    </row>
    <row r="406" spans="1:16" ht="21.75" customHeight="1" x14ac:dyDescent="0.2">
      <c r="A406" s="164"/>
      <c r="B406" s="165"/>
      <c r="C406" s="165"/>
      <c r="D406" s="174"/>
      <c r="E406" s="167"/>
      <c r="F406" s="167"/>
      <c r="G406" s="382" t="s">
        <v>131</v>
      </c>
      <c r="H406" s="169" t="s">
        <v>13</v>
      </c>
      <c r="I406" s="170"/>
      <c r="J406" s="170"/>
      <c r="K406" s="171"/>
      <c r="L406" s="178">
        <f ca="1">IFERROR(__xludf.DUMMYFUNCTION("IMPORTRANGE(""https://docs.google.com/spreadsheets/d/11923uPwbBZFjjGgGUA6NLw09EwE0CqkOc4q9oUmW1yo/edit?usp=sharing"",""พิจิตร!L301"")"),195900)</f>
        <v>195900</v>
      </c>
      <c r="M406" s="178"/>
      <c r="N406" s="178">
        <f ca="1">IFERROR(__xludf.DUMMYFUNCTION("IMPORTRANGE(""https://docs.google.com/spreadsheets/d/11923uPwbBZFjjGgGUA6NLw09EwE0CqkOc4q9oUmW1yo/edit?usp=sharing"",""พิจิตร!M301"")"),20961)</f>
        <v>20961</v>
      </c>
      <c r="O406" s="178">
        <f t="shared" ca="1" si="112"/>
        <v>10.699846860643186</v>
      </c>
      <c r="P406" s="178"/>
    </row>
    <row r="407" spans="1:16" ht="21.75" customHeight="1" x14ac:dyDescent="0.2">
      <c r="A407" s="383"/>
      <c r="B407" s="384"/>
      <c r="C407" s="165"/>
      <c r="D407" s="385"/>
      <c r="E407" s="167"/>
      <c r="F407" s="167"/>
      <c r="G407" s="386" t="s">
        <v>132</v>
      </c>
      <c r="H407" s="169" t="s">
        <v>13</v>
      </c>
      <c r="I407" s="197"/>
      <c r="J407" s="197"/>
      <c r="K407" s="233"/>
      <c r="L407" s="178"/>
      <c r="M407" s="178"/>
      <c r="N407" s="387">
        <f ca="1">IFERROR(__xludf.DUMMYFUNCTION("IMPORTRANGE(""https://docs.google.com/spreadsheets/d/11923uPwbBZFjjGgGUA6NLw09EwE0CqkOc4q9oUmW1yo/edit?usp=sharing"",""พิจิตร!M302"")"),10266)</f>
        <v>10266</v>
      </c>
      <c r="O407" s="178"/>
      <c r="P407" s="178"/>
    </row>
    <row r="408" spans="1:16" ht="21.75" customHeight="1" x14ac:dyDescent="0.2">
      <c r="A408" s="383"/>
      <c r="B408" s="384"/>
      <c r="C408" s="165"/>
      <c r="D408" s="385"/>
      <c r="E408" s="167"/>
      <c r="F408" s="167"/>
      <c r="G408" s="386" t="s">
        <v>133</v>
      </c>
      <c r="H408" s="169" t="s">
        <v>13</v>
      </c>
      <c r="I408" s="197"/>
      <c r="J408" s="197"/>
      <c r="K408" s="233"/>
      <c r="L408" s="178"/>
      <c r="M408" s="178"/>
      <c r="N408" s="387">
        <f ca="1">IFERROR(__xludf.DUMMYFUNCTION("IMPORTRANGE(""https://docs.google.com/spreadsheets/d/11923uPwbBZFjjGgGUA6NLw09EwE0CqkOc4q9oUmW1yo/edit?usp=sharing"",""พิจิตร!M303"")"),0)</f>
        <v>0</v>
      </c>
      <c r="O408" s="178"/>
      <c r="P408" s="178"/>
    </row>
    <row r="409" spans="1:16" ht="21.75" customHeight="1" x14ac:dyDescent="0.2">
      <c r="A409" s="383"/>
      <c r="B409" s="384"/>
      <c r="C409" s="165"/>
      <c r="D409" s="385"/>
      <c r="E409" s="167"/>
      <c r="F409" s="167"/>
      <c r="G409" s="386" t="s">
        <v>134</v>
      </c>
      <c r="H409" s="169" t="s">
        <v>13</v>
      </c>
      <c r="I409" s="197"/>
      <c r="J409" s="197"/>
      <c r="K409" s="233"/>
      <c r="L409" s="178"/>
      <c r="M409" s="178"/>
      <c r="N409" s="387">
        <f ca="1">IFERROR(__xludf.DUMMYFUNCTION("IMPORTRANGE(""https://docs.google.com/spreadsheets/d/11923uPwbBZFjjGgGUA6NLw09EwE0CqkOc4q9oUmW1yo/edit?usp=sharing"",""พิจิตร!M304"")"),0)</f>
        <v>0</v>
      </c>
      <c r="O409" s="178"/>
      <c r="P409" s="178"/>
    </row>
    <row r="410" spans="1:16" ht="21.75" customHeight="1" x14ac:dyDescent="0.2">
      <c r="A410" s="383"/>
      <c r="B410" s="384"/>
      <c r="C410" s="165"/>
      <c r="D410" s="385"/>
      <c r="E410" s="167"/>
      <c r="F410" s="167"/>
      <c r="G410" s="386" t="s">
        <v>135</v>
      </c>
      <c r="H410" s="169" t="s">
        <v>13</v>
      </c>
      <c r="I410" s="197"/>
      <c r="J410" s="197"/>
      <c r="K410" s="233"/>
      <c r="L410" s="178"/>
      <c r="M410" s="178"/>
      <c r="N410" s="387">
        <f ca="1">IFERROR(__xludf.DUMMYFUNCTION("IMPORTRANGE(""https://docs.google.com/spreadsheets/d/11923uPwbBZFjjGgGUA6NLw09EwE0CqkOc4q9oUmW1yo/edit?usp=sharing"",""พิจิตร!M305"")"),10695)</f>
        <v>10695</v>
      </c>
      <c r="O410" s="178"/>
      <c r="P410" s="178"/>
    </row>
    <row r="411" spans="1:16" ht="21.75" customHeight="1" x14ac:dyDescent="0.2">
      <c r="A411" s="185"/>
      <c r="B411" s="186"/>
      <c r="C411" s="165" t="s">
        <v>17</v>
      </c>
      <c r="D411" s="187" t="s">
        <v>45</v>
      </c>
      <c r="E411" s="188"/>
      <c r="F411" s="188"/>
      <c r="G411" s="189"/>
      <c r="H411" s="190"/>
      <c r="I411" s="170"/>
      <c r="J411" s="170"/>
      <c r="K411" s="171"/>
      <c r="L411" s="191"/>
      <c r="M411" s="191"/>
      <c r="N411" s="191"/>
      <c r="O411" s="191"/>
      <c r="P411" s="191"/>
    </row>
    <row r="412" spans="1:16" ht="21.75" customHeight="1" x14ac:dyDescent="0.2">
      <c r="A412" s="185"/>
      <c r="B412" s="186"/>
      <c r="C412" s="186"/>
      <c r="D412" s="192">
        <v>1</v>
      </c>
      <c r="E412" s="193" t="s">
        <v>46</v>
      </c>
      <c r="F412" s="194"/>
      <c r="G412" s="195"/>
      <c r="H412" s="196"/>
      <c r="I412" s="197"/>
      <c r="J412" s="207">
        <f ca="1">IFERROR(__xludf.DUMMYFUNCTION("IMPORTRANGE(""https://docs.google.com/spreadsheets/d/11923uPwbBZFjjGgGUA6NLw09EwE0CqkOc4q9oUmW1yo/edit?usp=sharing"",""พิจิตร!J307"")"),0)</f>
        <v>0</v>
      </c>
      <c r="K412" s="171"/>
      <c r="L412" s="191"/>
      <c r="M412" s="191"/>
      <c r="N412" s="191"/>
      <c r="O412" s="191"/>
      <c r="P412" s="191"/>
    </row>
    <row r="413" spans="1:16" ht="21.75" customHeight="1" x14ac:dyDescent="0.2">
      <c r="A413" s="185"/>
      <c r="B413" s="186"/>
      <c r="C413" s="186"/>
      <c r="D413" s="199">
        <v>2</v>
      </c>
      <c r="E413" s="200" t="s">
        <v>47</v>
      </c>
      <c r="F413" s="201"/>
      <c r="G413" s="202"/>
      <c r="H413" s="196"/>
      <c r="I413" s="197"/>
      <c r="J413" s="198">
        <f ca="1">IFERROR(__xludf.DUMMYFUNCTION("IMPORTRANGE(""https://docs.google.com/spreadsheets/d/11923uPwbBZFjjGgGUA6NLw09EwE0CqkOc4q9oUmW1yo/edit?usp=sharing"",""พิจิตร!J308"")"),1)</f>
        <v>1</v>
      </c>
      <c r="K413" s="171"/>
      <c r="L413" s="191" t="s">
        <v>41</v>
      </c>
      <c r="M413" s="191"/>
      <c r="N413" s="191" t="s">
        <v>41</v>
      </c>
      <c r="O413" s="191"/>
      <c r="P413" s="191"/>
    </row>
    <row r="414" spans="1:16" ht="21.75" customHeight="1" x14ac:dyDescent="0.2">
      <c r="A414" s="185"/>
      <c r="B414" s="186"/>
      <c r="C414" s="186"/>
      <c r="D414" s="203"/>
      <c r="E414" s="204" t="s">
        <v>48</v>
      </c>
      <c r="F414" s="205"/>
      <c r="G414" s="206"/>
      <c r="H414" s="196"/>
      <c r="I414" s="197"/>
      <c r="J414" s="198">
        <f ca="1">IFERROR(__xludf.DUMMYFUNCTION("IMPORTRANGE(""https://docs.google.com/spreadsheets/d/11923uPwbBZFjjGgGUA6NLw09EwE0CqkOc4q9oUmW1yo/edit?usp=sharing"",""พิจิตร!J309"")"),1)</f>
        <v>1</v>
      </c>
      <c r="K414" s="171"/>
      <c r="L414" s="191"/>
      <c r="M414" s="191"/>
      <c r="N414" s="191"/>
      <c r="O414" s="191"/>
      <c r="P414" s="191"/>
    </row>
    <row r="415" spans="1:16" ht="21.75" customHeight="1" x14ac:dyDescent="0.2">
      <c r="A415" s="185"/>
      <c r="B415" s="186"/>
      <c r="C415" s="186"/>
      <c r="D415" s="203"/>
      <c r="E415" s="204" t="s">
        <v>49</v>
      </c>
      <c r="F415" s="205"/>
      <c r="G415" s="206"/>
      <c r="H415" s="196"/>
      <c r="I415" s="197"/>
      <c r="J415" s="207">
        <f ca="1">IFERROR(__xludf.DUMMYFUNCTION("IMPORTRANGE(""https://docs.google.com/spreadsheets/d/11923uPwbBZFjjGgGUA6NLw09EwE0CqkOc4q9oUmW1yo/edit?usp=sharing"",""พิจิตร!J310"")"),1)</f>
        <v>1</v>
      </c>
      <c r="K415" s="171"/>
      <c r="L415" s="191"/>
      <c r="M415" s="191"/>
      <c r="N415" s="191"/>
      <c r="O415" s="191"/>
      <c r="P415" s="191"/>
    </row>
    <row r="416" spans="1:16" ht="21.75" customHeight="1" x14ac:dyDescent="0.2">
      <c r="A416" s="185"/>
      <c r="B416" s="186"/>
      <c r="C416" s="186"/>
      <c r="D416" s="203"/>
      <c r="E416" s="208"/>
      <c r="F416" s="204" t="s">
        <v>71</v>
      </c>
      <c r="G416" s="396"/>
      <c r="H416" s="397" t="s">
        <v>38</v>
      </c>
      <c r="I416" s="210">
        <f ca="1">IFERROR(__xludf.DUMMYFUNCTION("IMPORTRANGE(""https://docs.google.com/spreadsheets/d/11923uPwbBZFjjGgGUA6NLw09EwE0CqkOc4q9oUmW1yo/edit?usp=sharing"",""พิจิตร!I311"")"),58)</f>
        <v>58</v>
      </c>
      <c r="J416" s="210">
        <f ca="1">IFERROR(__xludf.DUMMYFUNCTION("IMPORTRANGE(""https://docs.google.com/spreadsheets/d/11923uPwbBZFjjGgGUA6NLw09EwE0CqkOc4q9oUmW1yo/edit?usp=sharing"",""พิจิตร!J311"")"),0)</f>
        <v>0</v>
      </c>
      <c r="K416" s="211">
        <f t="shared" ref="K416:K432" ca="1" si="113">IF(I416&gt;0,J416*100/I416,0)</f>
        <v>0</v>
      </c>
      <c r="L416" s="191"/>
      <c r="M416" s="191"/>
      <c r="N416" s="191"/>
      <c r="O416" s="191"/>
      <c r="P416" s="191"/>
    </row>
    <row r="417" spans="1:16" ht="21.75" customHeight="1" x14ac:dyDescent="0.3">
      <c r="A417" s="185"/>
      <c r="B417" s="186"/>
      <c r="C417" s="186"/>
      <c r="D417" s="203"/>
      <c r="E417" s="208"/>
      <c r="F417" s="398" t="s">
        <v>149</v>
      </c>
      <c r="G417" s="206"/>
      <c r="H417" s="209" t="s">
        <v>38</v>
      </c>
      <c r="I417" s="399">
        <f ca="1">IFERROR(__xludf.DUMMYFUNCTION("IMPORTRANGE(""https://docs.google.com/spreadsheets/d/11923uPwbBZFjjGgGUA6NLw09EwE0CqkOc4q9oUmW1yo/edit?usp=sharing"",""พิจิตร!I312"")"),10)</f>
        <v>10</v>
      </c>
      <c r="J417" s="400">
        <f ca="1">IFERROR(__xludf.DUMMYFUNCTION("IMPORTRANGE(""https://docs.google.com/spreadsheets/d/11923uPwbBZFjjGgGUA6NLw09EwE0CqkOc4q9oUmW1yo/edit?usp=sharing"",""พิจิตร!J312"")"),0)</f>
        <v>0</v>
      </c>
      <c r="K417" s="211">
        <f t="shared" ca="1" si="113"/>
        <v>0</v>
      </c>
      <c r="L417" s="191"/>
      <c r="M417" s="191"/>
      <c r="N417" s="191"/>
      <c r="O417" s="191"/>
      <c r="P417" s="191"/>
    </row>
    <row r="418" spans="1:16" ht="21.75" customHeight="1" x14ac:dyDescent="0.3">
      <c r="A418" s="185"/>
      <c r="B418" s="186"/>
      <c r="C418" s="186"/>
      <c r="D418" s="203"/>
      <c r="E418" s="208"/>
      <c r="F418" s="205"/>
      <c r="G418" s="206"/>
      <c r="H418" s="209" t="s">
        <v>123</v>
      </c>
      <c r="I418" s="399">
        <f ca="1">IFERROR(__xludf.DUMMYFUNCTION("IMPORTRANGE(""https://docs.google.com/spreadsheets/d/11923uPwbBZFjjGgGUA6NLw09EwE0CqkOc4q9oUmW1yo/edit?usp=sharing"",""พิจิตร!I313"")"),30)</f>
        <v>30</v>
      </c>
      <c r="J418" s="401">
        <f ca="1">IFERROR(__xludf.DUMMYFUNCTION("IMPORTRANGE(""https://docs.google.com/spreadsheets/d/11923uPwbBZFjjGgGUA6NLw09EwE0CqkOc4q9oUmW1yo/edit?usp=sharing"",""พิจิตร!J313"")"),0)</f>
        <v>0</v>
      </c>
      <c r="K418" s="211">
        <f t="shared" ca="1" si="113"/>
        <v>0</v>
      </c>
      <c r="L418" s="191"/>
      <c r="M418" s="191"/>
      <c r="N418" s="191"/>
      <c r="O418" s="191"/>
      <c r="P418" s="191"/>
    </row>
    <row r="419" spans="1:16" ht="21.75" customHeight="1" x14ac:dyDescent="0.3">
      <c r="A419" s="185"/>
      <c r="B419" s="186"/>
      <c r="C419" s="186"/>
      <c r="D419" s="203"/>
      <c r="E419" s="208"/>
      <c r="F419" s="205"/>
      <c r="G419" s="235" t="s">
        <v>150</v>
      </c>
      <c r="H419" s="190" t="s">
        <v>38</v>
      </c>
      <c r="I419" s="349">
        <f ca="1">IFERROR(__xludf.DUMMYFUNCTION("IMPORTRANGE(""https://docs.google.com/spreadsheets/d/11923uPwbBZFjjGgGUA6NLw09EwE0CqkOc4q9oUmW1yo/edit?usp=sharing"",""พิจิตร!I314"")"),10)</f>
        <v>10</v>
      </c>
      <c r="J419" s="402">
        <f ca="1">IFERROR(__xludf.DUMMYFUNCTION("IMPORTRANGE(""https://docs.google.com/spreadsheets/d/11923uPwbBZFjjGgGUA6NLw09EwE0CqkOc4q9oUmW1yo/edit?usp=sharing"",""พิจิตร!J314"")"),0)</f>
        <v>0</v>
      </c>
      <c r="K419" s="171">
        <f t="shared" ca="1" si="113"/>
        <v>0</v>
      </c>
      <c r="L419" s="191"/>
      <c r="M419" s="191"/>
      <c r="N419" s="191"/>
      <c r="O419" s="191"/>
      <c r="P419" s="191"/>
    </row>
    <row r="420" spans="1:16" ht="21.75" customHeight="1" x14ac:dyDescent="0.3">
      <c r="A420" s="243"/>
      <c r="B420" s="244"/>
      <c r="C420" s="244"/>
      <c r="D420" s="403"/>
      <c r="E420" s="404"/>
      <c r="F420" s="355"/>
      <c r="G420" s="405" t="s">
        <v>151</v>
      </c>
      <c r="H420" s="357" t="s">
        <v>38</v>
      </c>
      <c r="I420" s="406">
        <f ca="1">IFERROR(__xludf.DUMMYFUNCTION("IMPORTRANGE(""https://docs.google.com/spreadsheets/d/11923uPwbBZFjjGgGUA6NLw09EwE0CqkOc4q9oUmW1yo/edit?usp=sharing"",""พิจิตร!I315"")"),10)</f>
        <v>10</v>
      </c>
      <c r="J420" s="402">
        <f ca="1">IFERROR(__xludf.DUMMYFUNCTION("IMPORTRANGE(""https://docs.google.com/spreadsheets/d/11923uPwbBZFjjGgGUA6NLw09EwE0CqkOc4q9oUmW1yo/edit?usp=sharing"",""พิจิตร!J315"")"),0)</f>
        <v>0</v>
      </c>
      <c r="K420" s="296">
        <f t="shared" ca="1" si="113"/>
        <v>0</v>
      </c>
      <c r="L420" s="254"/>
      <c r="M420" s="254"/>
      <c r="N420" s="254"/>
      <c r="O420" s="254"/>
      <c r="P420" s="254"/>
    </row>
    <row r="421" spans="1:16" ht="21.75" customHeight="1" x14ac:dyDescent="0.3">
      <c r="A421" s="185"/>
      <c r="B421" s="186"/>
      <c r="C421" s="186"/>
      <c r="D421" s="203"/>
      <c r="E421" s="208"/>
      <c r="F421" s="398" t="s">
        <v>152</v>
      </c>
      <c r="G421" s="206"/>
      <c r="H421" s="209" t="s">
        <v>38</v>
      </c>
      <c r="I421" s="399">
        <f ca="1">IFERROR(__xludf.DUMMYFUNCTION("IMPORTRANGE(""https://docs.google.com/spreadsheets/d/11923uPwbBZFjjGgGUA6NLw09EwE0CqkOc4q9oUmW1yo/edit?usp=sharing"",""พิจิตร!I316"")"),38)</f>
        <v>38</v>
      </c>
      <c r="J421" s="400">
        <f ca="1">IFERROR(__xludf.DUMMYFUNCTION("IMPORTRANGE(""https://docs.google.com/spreadsheets/d/11923uPwbBZFjjGgGUA6NLw09EwE0CqkOc4q9oUmW1yo/edit?usp=sharing"",""พิจิตร!J316"")"),0)</f>
        <v>0</v>
      </c>
      <c r="K421" s="211">
        <f t="shared" ca="1" si="113"/>
        <v>0</v>
      </c>
      <c r="L421" s="191"/>
      <c r="M421" s="191"/>
      <c r="N421" s="191"/>
      <c r="O421" s="191"/>
      <c r="P421" s="191"/>
    </row>
    <row r="422" spans="1:16" ht="21.75" customHeight="1" x14ac:dyDescent="0.3">
      <c r="A422" s="185"/>
      <c r="B422" s="186"/>
      <c r="C422" s="186"/>
      <c r="D422" s="203"/>
      <c r="E422" s="208"/>
      <c r="F422" s="205"/>
      <c r="G422" s="206"/>
      <c r="H422" s="209" t="s">
        <v>123</v>
      </c>
      <c r="I422" s="399">
        <f ca="1">IFERROR(__xludf.DUMMYFUNCTION("IMPORTRANGE(""https://docs.google.com/spreadsheets/d/11923uPwbBZFjjGgGUA6NLw09EwE0CqkOc4q9oUmW1yo/edit?usp=sharing"",""พิจิตร!I317"")"),114)</f>
        <v>114</v>
      </c>
      <c r="J422" s="401">
        <f ca="1">IFERROR(__xludf.DUMMYFUNCTION("IMPORTRANGE(""https://docs.google.com/spreadsheets/d/11923uPwbBZFjjGgGUA6NLw09EwE0CqkOc4q9oUmW1yo/edit?usp=sharing"",""พิจิตร!J317"")"),0)</f>
        <v>0</v>
      </c>
      <c r="K422" s="211">
        <f t="shared" ca="1" si="113"/>
        <v>0</v>
      </c>
      <c r="L422" s="191"/>
      <c r="M422" s="191"/>
      <c r="N422" s="191"/>
      <c r="O422" s="191"/>
      <c r="P422" s="191"/>
    </row>
    <row r="423" spans="1:16" ht="21.75" customHeight="1" x14ac:dyDescent="0.3">
      <c r="A423" s="185"/>
      <c r="B423" s="186"/>
      <c r="C423" s="186"/>
      <c r="D423" s="203"/>
      <c r="E423" s="208"/>
      <c r="F423" s="205"/>
      <c r="G423" s="235" t="s">
        <v>153</v>
      </c>
      <c r="H423" s="190" t="s">
        <v>38</v>
      </c>
      <c r="I423" s="349">
        <f ca="1">IFERROR(__xludf.DUMMYFUNCTION("IMPORTRANGE(""https://docs.google.com/spreadsheets/d/11923uPwbBZFjjGgGUA6NLw09EwE0CqkOc4q9oUmW1yo/edit?usp=sharing"",""พิจิตร!I318"")"),38)</f>
        <v>38</v>
      </c>
      <c r="J423" s="402">
        <f ca="1">IFERROR(__xludf.DUMMYFUNCTION("IMPORTRANGE(""https://docs.google.com/spreadsheets/d/11923uPwbBZFjjGgGUA6NLw09EwE0CqkOc4q9oUmW1yo/edit?usp=sharing"",""พิจิตร!J318"")"),0)</f>
        <v>0</v>
      </c>
      <c r="K423" s="171">
        <f t="shared" ca="1" si="113"/>
        <v>0</v>
      </c>
      <c r="L423" s="191"/>
      <c r="M423" s="191"/>
      <c r="N423" s="191"/>
      <c r="O423" s="191"/>
      <c r="P423" s="191"/>
    </row>
    <row r="424" spans="1:16" ht="21.75" customHeight="1" x14ac:dyDescent="0.3">
      <c r="A424" s="185"/>
      <c r="B424" s="186"/>
      <c r="C424" s="186"/>
      <c r="D424" s="203"/>
      <c r="E424" s="208"/>
      <c r="F424" s="205"/>
      <c r="G424" s="235" t="s">
        <v>154</v>
      </c>
      <c r="H424" s="190" t="s">
        <v>38</v>
      </c>
      <c r="I424" s="349">
        <f ca="1">IFERROR(__xludf.DUMMYFUNCTION("IMPORTRANGE(""https://docs.google.com/spreadsheets/d/11923uPwbBZFjjGgGUA6NLw09EwE0CqkOc4q9oUmW1yo/edit?usp=sharing"",""พิจิตร!I319"")"),38)</f>
        <v>38</v>
      </c>
      <c r="J424" s="402">
        <f ca="1">IFERROR(__xludf.DUMMYFUNCTION("IMPORTRANGE(""https://docs.google.com/spreadsheets/d/11923uPwbBZFjjGgGUA6NLw09EwE0CqkOc4q9oUmW1yo/edit?usp=sharing"",""พิจิตร!J319"")"),0)</f>
        <v>0</v>
      </c>
      <c r="K424" s="171">
        <f t="shared" ca="1" si="113"/>
        <v>0</v>
      </c>
      <c r="L424" s="191"/>
      <c r="M424" s="191"/>
      <c r="N424" s="191"/>
      <c r="O424" s="191"/>
      <c r="P424" s="191"/>
    </row>
    <row r="425" spans="1:16" ht="21.75" customHeight="1" x14ac:dyDescent="0.3">
      <c r="A425" s="185"/>
      <c r="B425" s="186"/>
      <c r="C425" s="186"/>
      <c r="D425" s="203"/>
      <c r="E425" s="208"/>
      <c r="F425" s="205"/>
      <c r="G425" s="235" t="s">
        <v>155</v>
      </c>
      <c r="H425" s="190" t="s">
        <v>38</v>
      </c>
      <c r="I425" s="349">
        <f ca="1">IFERROR(__xludf.DUMMYFUNCTION("IMPORTRANGE(""https://docs.google.com/spreadsheets/d/11923uPwbBZFjjGgGUA6NLw09EwE0CqkOc4q9oUmW1yo/edit?usp=sharing"",""พิจิตร!I320"")"),38)</f>
        <v>38</v>
      </c>
      <c r="J425" s="402">
        <f ca="1">IFERROR(__xludf.DUMMYFUNCTION("IMPORTRANGE(""https://docs.google.com/spreadsheets/d/11923uPwbBZFjjGgGUA6NLw09EwE0CqkOc4q9oUmW1yo/edit?usp=sharing"",""พิจิตร!J320"")"),0)</f>
        <v>0</v>
      </c>
      <c r="K425" s="171">
        <f t="shared" ca="1" si="113"/>
        <v>0</v>
      </c>
      <c r="L425" s="191"/>
      <c r="M425" s="191"/>
      <c r="N425" s="191"/>
      <c r="O425" s="191"/>
      <c r="P425" s="191"/>
    </row>
    <row r="426" spans="1:16" ht="21.75" customHeight="1" x14ac:dyDescent="0.3">
      <c r="A426" s="185"/>
      <c r="B426" s="186"/>
      <c r="C426" s="186"/>
      <c r="D426" s="203"/>
      <c r="E426" s="208"/>
      <c r="F426" s="407" t="s">
        <v>156</v>
      </c>
      <c r="G426" s="206"/>
      <c r="H426" s="209" t="s">
        <v>38</v>
      </c>
      <c r="I426" s="399">
        <f ca="1">IFERROR(__xludf.DUMMYFUNCTION("IMPORTRANGE(""https://docs.google.com/spreadsheets/d/11923uPwbBZFjjGgGUA6NLw09EwE0CqkOc4q9oUmW1yo/edit?usp=sharing"",""พิจิตร!I321"")"),10)</f>
        <v>10</v>
      </c>
      <c r="J426" s="400">
        <f ca="1">IFERROR(__xludf.DUMMYFUNCTION("IMPORTRANGE(""https://docs.google.com/spreadsheets/d/11923uPwbBZFjjGgGUA6NLw09EwE0CqkOc4q9oUmW1yo/edit?usp=sharing"",""พิจิตร!J321"")"),0)</f>
        <v>0</v>
      </c>
      <c r="K426" s="211">
        <f t="shared" ca="1" si="113"/>
        <v>0</v>
      </c>
      <c r="L426" s="191"/>
      <c r="M426" s="191"/>
      <c r="N426" s="191"/>
      <c r="O426" s="191"/>
      <c r="P426" s="191"/>
    </row>
    <row r="427" spans="1:16" ht="21.75" customHeight="1" x14ac:dyDescent="0.3">
      <c r="A427" s="185"/>
      <c r="B427" s="186"/>
      <c r="C427" s="186"/>
      <c r="D427" s="203"/>
      <c r="E427" s="208"/>
      <c r="F427" s="205"/>
      <c r="G427" s="206"/>
      <c r="H427" s="209" t="s">
        <v>123</v>
      </c>
      <c r="I427" s="399">
        <f ca="1">IFERROR(__xludf.DUMMYFUNCTION("IMPORTRANGE(""https://docs.google.com/spreadsheets/d/11923uPwbBZFjjGgGUA6NLw09EwE0CqkOc4q9oUmW1yo/edit?usp=sharing"",""พิจิตร!I322"")"),30)</f>
        <v>30</v>
      </c>
      <c r="J427" s="401">
        <f ca="1">IFERROR(__xludf.DUMMYFUNCTION("IMPORTRANGE(""https://docs.google.com/spreadsheets/d/11923uPwbBZFjjGgGUA6NLw09EwE0CqkOc4q9oUmW1yo/edit?usp=sharing"",""พิจิตร!J322"")"),0)</f>
        <v>0</v>
      </c>
      <c r="K427" s="211">
        <f t="shared" ca="1" si="113"/>
        <v>0</v>
      </c>
      <c r="L427" s="191"/>
      <c r="M427" s="191"/>
      <c r="N427" s="191"/>
      <c r="O427" s="191"/>
      <c r="P427" s="191"/>
    </row>
    <row r="428" spans="1:16" ht="21.75" customHeight="1" x14ac:dyDescent="0.3">
      <c r="A428" s="185"/>
      <c r="B428" s="186"/>
      <c r="C428" s="186"/>
      <c r="D428" s="203"/>
      <c r="E428" s="208"/>
      <c r="F428" s="205"/>
      <c r="G428" s="235" t="s">
        <v>157</v>
      </c>
      <c r="H428" s="190" t="s">
        <v>38</v>
      </c>
      <c r="I428" s="408">
        <f ca="1">IFERROR(__xludf.DUMMYFUNCTION("IMPORTRANGE(""https://docs.google.com/spreadsheets/d/11923uPwbBZFjjGgGUA6NLw09EwE0CqkOc4q9oUmW1yo/edit?usp=sharing"",""พิจิตร!I323"")"),10)</f>
        <v>10</v>
      </c>
      <c r="J428" s="402">
        <f ca="1">IFERROR(__xludf.DUMMYFUNCTION("IMPORTRANGE(""https://docs.google.com/spreadsheets/d/11923uPwbBZFjjGgGUA6NLw09EwE0CqkOc4q9oUmW1yo/edit?usp=sharing"",""พิจิตร!J323"")"),0)</f>
        <v>0</v>
      </c>
      <c r="K428" s="171">
        <f t="shared" ca="1" si="113"/>
        <v>0</v>
      </c>
      <c r="L428" s="191"/>
      <c r="M428" s="191"/>
      <c r="N428" s="191"/>
      <c r="O428" s="191"/>
      <c r="P428" s="191"/>
    </row>
    <row r="429" spans="1:16" ht="21.75" customHeight="1" x14ac:dyDescent="0.3">
      <c r="A429" s="185"/>
      <c r="B429" s="186"/>
      <c r="C429" s="186"/>
      <c r="D429" s="203"/>
      <c r="E429" s="208"/>
      <c r="F429" s="205"/>
      <c r="G429" s="235" t="s">
        <v>158</v>
      </c>
      <c r="H429" s="190" t="s">
        <v>38</v>
      </c>
      <c r="I429" s="408">
        <f ca="1">IFERROR(__xludf.DUMMYFUNCTION("IMPORTRANGE(""https://docs.google.com/spreadsheets/d/11923uPwbBZFjjGgGUA6NLw09EwE0CqkOc4q9oUmW1yo/edit?usp=sharing"",""พิจิตร!I324"")"),10)</f>
        <v>10</v>
      </c>
      <c r="J429" s="402">
        <f ca="1">IFERROR(__xludf.DUMMYFUNCTION("IMPORTRANGE(""https://docs.google.com/spreadsheets/d/11923uPwbBZFjjGgGUA6NLw09EwE0CqkOc4q9oUmW1yo/edit?usp=sharing"",""พิจิตร!J324"")"),0)</f>
        <v>0</v>
      </c>
      <c r="K429" s="171">
        <f t="shared" ca="1" si="113"/>
        <v>0</v>
      </c>
      <c r="L429" s="191"/>
      <c r="M429" s="191"/>
      <c r="N429" s="191"/>
      <c r="O429" s="191"/>
      <c r="P429" s="191"/>
    </row>
    <row r="430" spans="1:16" ht="21.75" customHeight="1" x14ac:dyDescent="0.3">
      <c r="A430" s="185"/>
      <c r="B430" s="186"/>
      <c r="C430" s="186"/>
      <c r="D430" s="203"/>
      <c r="E430" s="208"/>
      <c r="F430" s="204" t="s">
        <v>54</v>
      </c>
      <c r="G430" s="396"/>
      <c r="H430" s="409" t="s">
        <v>38</v>
      </c>
      <c r="I430" s="210">
        <f ca="1">IFERROR(__xludf.DUMMYFUNCTION("IMPORTRANGE(""https://docs.google.com/spreadsheets/d/11923uPwbBZFjjGgGUA6NLw09EwE0CqkOc4q9oUmW1yo/edit?usp=sharing"",""พิจิตร!I325"")"),48)</f>
        <v>48</v>
      </c>
      <c r="J430" s="400">
        <f ca="1">IFERROR(__xludf.DUMMYFUNCTION("IMPORTRANGE(""https://docs.google.com/spreadsheets/d/11923uPwbBZFjjGgGUA6NLw09EwE0CqkOc4q9oUmW1yo/edit?usp=sharing"",""พิจิตร!J325"")"),0)</f>
        <v>0</v>
      </c>
      <c r="K430" s="211">
        <f t="shared" ca="1" si="113"/>
        <v>0</v>
      </c>
      <c r="L430" s="191"/>
      <c r="M430" s="191"/>
      <c r="N430" s="191"/>
      <c r="O430" s="191"/>
      <c r="P430" s="191"/>
    </row>
    <row r="431" spans="1:16" ht="21.75" customHeight="1" x14ac:dyDescent="0.3">
      <c r="A431" s="410"/>
      <c r="B431" s="411"/>
      <c r="C431" s="411"/>
      <c r="D431" s="412"/>
      <c r="E431" s="208"/>
      <c r="F431" s="205"/>
      <c r="G431" s="235" t="s">
        <v>159</v>
      </c>
      <c r="H431" s="190" t="s">
        <v>38</v>
      </c>
      <c r="I431" s="408">
        <f ca="1">IFERROR(__xludf.DUMMYFUNCTION("IMPORTRANGE(""https://docs.google.com/spreadsheets/d/11923uPwbBZFjjGgGUA6NLw09EwE0CqkOc4q9oUmW1yo/edit?usp=sharing"",""พิจิตร!I326"")"),10)</f>
        <v>10</v>
      </c>
      <c r="J431" s="402">
        <f ca="1">IFERROR(__xludf.DUMMYFUNCTION("IMPORTRANGE(""https://docs.google.com/spreadsheets/d/11923uPwbBZFjjGgGUA6NLw09EwE0CqkOc4q9oUmW1yo/edit?usp=sharing"",""พิจิตร!J326"")"),0)</f>
        <v>0</v>
      </c>
      <c r="K431" s="171">
        <f t="shared" ca="1" si="113"/>
        <v>0</v>
      </c>
      <c r="L431" s="191"/>
      <c r="M431" s="191"/>
      <c r="N431" s="191"/>
      <c r="O431" s="191"/>
      <c r="P431" s="191"/>
    </row>
    <row r="432" spans="1:16" ht="21.75" customHeight="1" x14ac:dyDescent="0.3">
      <c r="A432" s="410"/>
      <c r="B432" s="411"/>
      <c r="C432" s="411"/>
      <c r="D432" s="412"/>
      <c r="E432" s="208"/>
      <c r="F432" s="205"/>
      <c r="G432" s="235" t="s">
        <v>160</v>
      </c>
      <c r="H432" s="190" t="s">
        <v>38</v>
      </c>
      <c r="I432" s="408">
        <f ca="1">IFERROR(__xludf.DUMMYFUNCTION("IMPORTRANGE(""https://docs.google.com/spreadsheets/d/11923uPwbBZFjjGgGUA6NLw09EwE0CqkOc4q9oUmW1yo/edit?usp=sharing"",""พิจิตร!I327"")"),38)</f>
        <v>38</v>
      </c>
      <c r="J432" s="402">
        <f ca="1">IFERROR(__xludf.DUMMYFUNCTION("IMPORTRANGE(""https://docs.google.com/spreadsheets/d/11923uPwbBZFjjGgGUA6NLw09EwE0CqkOc4q9oUmW1yo/edit?usp=sharing"",""พิจิตร!J327"")"),0)</f>
        <v>0</v>
      </c>
      <c r="K432" s="171">
        <f t="shared" ca="1" si="113"/>
        <v>0</v>
      </c>
      <c r="L432" s="191"/>
      <c r="M432" s="191"/>
      <c r="N432" s="191"/>
      <c r="O432" s="191"/>
      <c r="P432" s="191"/>
    </row>
    <row r="433" spans="1:16" ht="21.75" customHeight="1" x14ac:dyDescent="0.2">
      <c r="A433" s="185"/>
      <c r="B433" s="186"/>
      <c r="C433" s="186"/>
      <c r="D433" s="203"/>
      <c r="E433" s="204" t="s">
        <v>55</v>
      </c>
      <c r="F433" s="205"/>
      <c r="G433" s="206"/>
      <c r="H433" s="196"/>
      <c r="I433" s="197"/>
      <c r="J433" s="207">
        <f ca="1">IFERROR(__xludf.DUMMYFUNCTION("IMPORTRANGE(""https://docs.google.com/spreadsheets/d/11923uPwbBZFjjGgGUA6NLw09EwE0CqkOc4q9oUmW1yo/edit?usp=sharing"",""พิจิตร!J328"")"),0)</f>
        <v>0</v>
      </c>
      <c r="K433" s="171"/>
      <c r="L433" s="191"/>
      <c r="M433" s="191"/>
      <c r="N433" s="191"/>
      <c r="O433" s="191"/>
      <c r="P433" s="191"/>
    </row>
    <row r="434" spans="1:16" ht="21.75" customHeight="1" x14ac:dyDescent="0.2">
      <c r="A434" s="185"/>
      <c r="B434" s="186"/>
      <c r="C434" s="186"/>
      <c r="D434" s="215">
        <v>3</v>
      </c>
      <c r="E434" s="216" t="s">
        <v>56</v>
      </c>
      <c r="F434" s="217"/>
      <c r="G434" s="218"/>
      <c r="H434" s="196"/>
      <c r="I434" s="197"/>
      <c r="J434" s="219">
        <f ca="1">IFERROR(__xludf.DUMMYFUNCTION("IMPORTRANGE(""https://docs.google.com/spreadsheets/d/11923uPwbBZFjjGgGUA6NLw09EwE0CqkOc4q9oUmW1yo/edit?usp=sharing"",""พิจิตร!J329"")"),0)</f>
        <v>0</v>
      </c>
      <c r="K434" s="171"/>
      <c r="L434" s="191"/>
      <c r="M434" s="191"/>
      <c r="N434" s="191"/>
      <c r="O434" s="191"/>
      <c r="P434" s="191"/>
    </row>
    <row r="435" spans="1:16" ht="21.75" customHeight="1" x14ac:dyDescent="0.2">
      <c r="A435" s="413"/>
      <c r="B435" s="414">
        <v>4</v>
      </c>
      <c r="C435" s="414" t="s">
        <v>161</v>
      </c>
      <c r="D435" s="415"/>
      <c r="E435" s="415"/>
      <c r="F435" s="415"/>
      <c r="G435" s="416"/>
      <c r="H435" s="417" t="s">
        <v>38</v>
      </c>
      <c r="I435" s="418">
        <f ca="1">IFERROR(__xludf.DUMMYFUNCTION("IMPORTRANGE(""https://docs.google.com/spreadsheets/d/11923uPwbBZFjjGgGUA6NLw09EwE0CqkOc4q9oUmW1yo/edit?usp=sharing"",""พิจิตร!I330"")"),15)</f>
        <v>15</v>
      </c>
      <c r="J435" s="418">
        <f ca="1">IFERROR(__xludf.DUMMYFUNCTION("IMPORTRANGE(""https://docs.google.com/spreadsheets/d/11923uPwbBZFjjGgGUA6NLw09EwE0CqkOc4q9oUmW1yo/edit?usp=sharing"",""พิจิตร!J330"")"),15)</f>
        <v>15</v>
      </c>
      <c r="K435" s="419">
        <f ca="1">IF(I435&gt;0,J435*100/I435,0)</f>
        <v>100</v>
      </c>
      <c r="L435" s="420">
        <f ca="1">IFERROR(__xludf.DUMMYFUNCTION("IMPORTRANGE(""https://docs.google.com/spreadsheets/d/11923uPwbBZFjjGgGUA6NLw09EwE0CqkOc4q9oUmW1yo/edit?usp=sharing"",""พิจิตร!L330"")"),83000)</f>
        <v>83000</v>
      </c>
      <c r="M435" s="420"/>
      <c r="N435" s="420">
        <f ca="1">IFERROR(__xludf.DUMMYFUNCTION("IMPORTRANGE(""https://docs.google.com/spreadsheets/d/11923uPwbBZFjjGgGUA6NLw09EwE0CqkOc4q9oUmW1yo/edit?usp=sharing"",""พิจิตร!M330"")"),42986)</f>
        <v>42986</v>
      </c>
      <c r="O435" s="420">
        <f t="shared" ref="O435:O439" ca="1" si="114">+IF(L435&gt;0,N435*100/L435,0)</f>
        <v>51.790361445783134</v>
      </c>
      <c r="P435" s="420"/>
    </row>
    <row r="436" spans="1:16" ht="21.75" customHeight="1" x14ac:dyDescent="0.2">
      <c r="A436" s="164"/>
      <c r="B436" s="165"/>
      <c r="C436" s="165" t="s">
        <v>17</v>
      </c>
      <c r="D436" s="166" t="s">
        <v>39</v>
      </c>
      <c r="E436" s="167"/>
      <c r="F436" s="167"/>
      <c r="G436" s="168" t="s">
        <v>40</v>
      </c>
      <c r="H436" s="169" t="s">
        <v>13</v>
      </c>
      <c r="I436" s="170" t="s">
        <v>41</v>
      </c>
      <c r="J436" s="170"/>
      <c r="K436" s="171"/>
      <c r="L436" s="172">
        <f ca="1">IFERROR(__xludf.DUMMYFUNCTION("IMPORTRANGE(""https://docs.google.com/spreadsheets/d/11923uPwbBZFjjGgGUA6NLw09EwE0CqkOc4q9oUmW1yo/edit?usp=sharing"",""พิจิตร!L331"")"),0)</f>
        <v>0</v>
      </c>
      <c r="M436" s="172"/>
      <c r="N436" s="178">
        <f ca="1">IFERROR(__xludf.DUMMYFUNCTION("IMPORTRANGE(""https://docs.google.com/spreadsheets/d/11923uPwbBZFjjGgGUA6NLw09EwE0CqkOc4q9oUmW1yo/edit?usp=sharing"",""พิจิตร!M331"")"),0)</f>
        <v>0</v>
      </c>
      <c r="O436" s="178">
        <f t="shared" ca="1" si="114"/>
        <v>0</v>
      </c>
      <c r="P436" s="178"/>
    </row>
    <row r="437" spans="1:16" ht="21.75" customHeight="1" x14ac:dyDescent="0.2">
      <c r="A437" s="164"/>
      <c r="B437" s="165"/>
      <c r="C437" s="165"/>
      <c r="D437" s="174"/>
      <c r="E437" s="167"/>
      <c r="F437" s="167" t="s">
        <v>41</v>
      </c>
      <c r="G437" s="168" t="s">
        <v>42</v>
      </c>
      <c r="H437" s="169" t="s">
        <v>13</v>
      </c>
      <c r="I437" s="170"/>
      <c r="J437" s="170"/>
      <c r="K437" s="171"/>
      <c r="L437" s="173">
        <f ca="1">IFERROR(__xludf.DUMMYFUNCTION("IMPORTRANGE(""https://docs.google.com/spreadsheets/d/11923uPwbBZFjjGgGUA6NLw09EwE0CqkOc4q9oUmW1yo/edit?usp=sharing"",""พิจิตร!L332"")"),83000)</f>
        <v>83000</v>
      </c>
      <c r="M437" s="173"/>
      <c r="N437" s="178">
        <f ca="1">IFERROR(__xludf.DUMMYFUNCTION("IMPORTRANGE(""https://docs.google.com/spreadsheets/d/11923uPwbBZFjjGgGUA6NLw09EwE0CqkOc4q9oUmW1yo/edit?usp=sharing"",""พิจิตร!M332"")"),42986)</f>
        <v>42986</v>
      </c>
      <c r="O437" s="178">
        <f t="shared" ca="1" si="114"/>
        <v>51.790361445783134</v>
      </c>
      <c r="P437" s="178"/>
    </row>
    <row r="438" spans="1:16" ht="21.75" customHeight="1" x14ac:dyDescent="0.2">
      <c r="A438" s="164"/>
      <c r="B438" s="165"/>
      <c r="C438" s="165"/>
      <c r="D438" s="174"/>
      <c r="E438" s="167"/>
      <c r="F438" s="167"/>
      <c r="G438" s="382" t="s">
        <v>130</v>
      </c>
      <c r="H438" s="169" t="s">
        <v>13</v>
      </c>
      <c r="I438" s="170"/>
      <c r="J438" s="170"/>
      <c r="K438" s="171"/>
      <c r="L438" s="178">
        <f ca="1">IFERROR(__xludf.DUMMYFUNCTION("IMPORTRANGE(""https://docs.google.com/spreadsheets/d/11923uPwbBZFjjGgGUA6NLw09EwE0CqkOc4q9oUmW1yo/edit?usp=sharing"",""พิจิตร!L333"")"),0)</f>
        <v>0</v>
      </c>
      <c r="M438" s="178"/>
      <c r="N438" s="178">
        <f ca="1">IFERROR(__xludf.DUMMYFUNCTION("IMPORTRANGE(""https://docs.google.com/spreadsheets/d/11923uPwbBZFjjGgGUA6NLw09EwE0CqkOc4q9oUmW1yo/edit?usp=sharing"",""พิจิตร!M333"")"),0)</f>
        <v>0</v>
      </c>
      <c r="O438" s="178">
        <f t="shared" ca="1" si="114"/>
        <v>0</v>
      </c>
      <c r="P438" s="178"/>
    </row>
    <row r="439" spans="1:16" ht="21.75" customHeight="1" x14ac:dyDescent="0.2">
      <c r="A439" s="164"/>
      <c r="B439" s="165"/>
      <c r="C439" s="165"/>
      <c r="D439" s="174"/>
      <c r="E439" s="167"/>
      <c r="F439" s="167"/>
      <c r="G439" s="382" t="s">
        <v>131</v>
      </c>
      <c r="H439" s="169" t="s">
        <v>13</v>
      </c>
      <c r="I439" s="170"/>
      <c r="J439" s="170"/>
      <c r="K439" s="171"/>
      <c r="L439" s="178">
        <f ca="1">IFERROR(__xludf.DUMMYFUNCTION("IMPORTRANGE(""https://docs.google.com/spreadsheets/d/11923uPwbBZFjjGgGUA6NLw09EwE0CqkOc4q9oUmW1yo/edit?usp=sharing"",""พิจิตร!L334"")"),83000)</f>
        <v>83000</v>
      </c>
      <c r="M439" s="178"/>
      <c r="N439" s="178">
        <f ca="1">IFERROR(__xludf.DUMMYFUNCTION("IMPORTRANGE(""https://docs.google.com/spreadsheets/d/11923uPwbBZFjjGgGUA6NLw09EwE0CqkOc4q9oUmW1yo/edit?usp=sharing"",""พิจิตร!M334"")"),42986)</f>
        <v>42986</v>
      </c>
      <c r="O439" s="178">
        <f t="shared" ca="1" si="114"/>
        <v>51.790361445783134</v>
      </c>
      <c r="P439" s="178"/>
    </row>
    <row r="440" spans="1:16" ht="21.75" customHeight="1" x14ac:dyDescent="0.2">
      <c r="A440" s="383"/>
      <c r="B440" s="384"/>
      <c r="C440" s="165"/>
      <c r="D440" s="385"/>
      <c r="E440" s="167"/>
      <c r="F440" s="167"/>
      <c r="G440" s="386" t="s">
        <v>132</v>
      </c>
      <c r="H440" s="169" t="s">
        <v>13</v>
      </c>
      <c r="I440" s="197"/>
      <c r="J440" s="197"/>
      <c r="K440" s="233"/>
      <c r="L440" s="178"/>
      <c r="M440" s="178"/>
      <c r="N440" s="387">
        <f ca="1">IFERROR(__xludf.DUMMYFUNCTION("IMPORTRANGE(""https://docs.google.com/spreadsheets/d/11923uPwbBZFjjGgGUA6NLw09EwE0CqkOc4q9oUmW1yo/edit?usp=sharing"",""พิจิตร!M335"")"),32191)</f>
        <v>32191</v>
      </c>
      <c r="O440" s="178"/>
      <c r="P440" s="178"/>
    </row>
    <row r="441" spans="1:16" ht="21.75" customHeight="1" x14ac:dyDescent="0.2">
      <c r="A441" s="383"/>
      <c r="B441" s="384"/>
      <c r="C441" s="165"/>
      <c r="D441" s="385"/>
      <c r="E441" s="167"/>
      <c r="F441" s="167"/>
      <c r="G441" s="386" t="s">
        <v>133</v>
      </c>
      <c r="H441" s="169" t="s">
        <v>13</v>
      </c>
      <c r="I441" s="197"/>
      <c r="J441" s="197"/>
      <c r="K441" s="233"/>
      <c r="L441" s="178"/>
      <c r="M441" s="178"/>
      <c r="N441" s="387">
        <f ca="1">IFERROR(__xludf.DUMMYFUNCTION("IMPORTRANGE(""https://docs.google.com/spreadsheets/d/11923uPwbBZFjjGgGUA6NLw09EwE0CqkOc4q9oUmW1yo/edit?usp=sharing"",""พิจิตร!M336"")"),0)</f>
        <v>0</v>
      </c>
      <c r="O441" s="178"/>
      <c r="P441" s="178"/>
    </row>
    <row r="442" spans="1:16" ht="21.75" customHeight="1" x14ac:dyDescent="0.2">
      <c r="A442" s="383"/>
      <c r="B442" s="384"/>
      <c r="C442" s="165"/>
      <c r="D442" s="385"/>
      <c r="E442" s="167"/>
      <c r="F442" s="167"/>
      <c r="G442" s="386" t="s">
        <v>134</v>
      </c>
      <c r="H442" s="169" t="s">
        <v>13</v>
      </c>
      <c r="I442" s="197"/>
      <c r="J442" s="197"/>
      <c r="K442" s="233"/>
      <c r="L442" s="178"/>
      <c r="M442" s="178"/>
      <c r="N442" s="387">
        <f ca="1">IFERROR(__xludf.DUMMYFUNCTION("IMPORTRANGE(""https://docs.google.com/spreadsheets/d/11923uPwbBZFjjGgGUA6NLw09EwE0CqkOc4q9oUmW1yo/edit?usp=sharing"",""พิจิตร!M337"")"),0)</f>
        <v>0</v>
      </c>
      <c r="O442" s="178"/>
      <c r="P442" s="178"/>
    </row>
    <row r="443" spans="1:16" ht="21.75" customHeight="1" x14ac:dyDescent="0.2">
      <c r="A443" s="383"/>
      <c r="B443" s="384"/>
      <c r="C443" s="165"/>
      <c r="D443" s="385"/>
      <c r="E443" s="167"/>
      <c r="F443" s="167"/>
      <c r="G443" s="386" t="s">
        <v>135</v>
      </c>
      <c r="H443" s="169" t="s">
        <v>13</v>
      </c>
      <c r="I443" s="197"/>
      <c r="J443" s="197"/>
      <c r="K443" s="233"/>
      <c r="L443" s="178"/>
      <c r="M443" s="178"/>
      <c r="N443" s="387">
        <f ca="1">IFERROR(__xludf.DUMMYFUNCTION("IMPORTRANGE(""https://docs.google.com/spreadsheets/d/11923uPwbBZFjjGgGUA6NLw09EwE0CqkOc4q9oUmW1yo/edit?usp=sharing"",""พิจิตร!M338"")"),10795)</f>
        <v>10795</v>
      </c>
      <c r="O443" s="178"/>
      <c r="P443" s="178"/>
    </row>
    <row r="444" spans="1:16" ht="21.75" customHeight="1" x14ac:dyDescent="0.2">
      <c r="A444" s="185"/>
      <c r="B444" s="186"/>
      <c r="C444" s="165" t="s">
        <v>17</v>
      </c>
      <c r="D444" s="187" t="s">
        <v>45</v>
      </c>
      <c r="E444" s="188"/>
      <c r="F444" s="188"/>
      <c r="G444" s="189"/>
      <c r="H444" s="190"/>
      <c r="I444" s="170"/>
      <c r="J444" s="170"/>
      <c r="K444" s="171"/>
      <c r="L444" s="191"/>
      <c r="M444" s="191"/>
      <c r="N444" s="191"/>
      <c r="O444" s="191"/>
      <c r="P444" s="191"/>
    </row>
    <row r="445" spans="1:16" ht="21.75" customHeight="1" x14ac:dyDescent="0.2">
      <c r="A445" s="185"/>
      <c r="B445" s="186"/>
      <c r="C445" s="186"/>
      <c r="D445" s="192">
        <v>1</v>
      </c>
      <c r="E445" s="193" t="s">
        <v>46</v>
      </c>
      <c r="F445" s="194"/>
      <c r="G445" s="195"/>
      <c r="H445" s="196"/>
      <c r="I445" s="197"/>
      <c r="J445" s="219">
        <f ca="1">IFERROR(__xludf.DUMMYFUNCTION("IMPORTRANGE(""https://docs.google.com/spreadsheets/d/11923uPwbBZFjjGgGUA6NLw09EwE0CqkOc4q9oUmW1yo/edit?usp=sharing"",""พิจิตร!J340"")"),0)</f>
        <v>0</v>
      </c>
      <c r="K445" s="171"/>
      <c r="L445" s="191"/>
      <c r="M445" s="191"/>
      <c r="N445" s="191"/>
      <c r="O445" s="191"/>
      <c r="P445" s="191"/>
    </row>
    <row r="446" spans="1:16" ht="21.75" customHeight="1" x14ac:dyDescent="0.2">
      <c r="A446" s="185"/>
      <c r="B446" s="186"/>
      <c r="C446" s="186"/>
      <c r="D446" s="199">
        <v>2</v>
      </c>
      <c r="E446" s="200" t="s">
        <v>47</v>
      </c>
      <c r="F446" s="201"/>
      <c r="G446" s="202"/>
      <c r="H446" s="196"/>
      <c r="I446" s="197"/>
      <c r="J446" s="421">
        <f ca="1">IFERROR(__xludf.DUMMYFUNCTION("IMPORTRANGE(""https://docs.google.com/spreadsheets/d/11923uPwbBZFjjGgGUA6NLw09EwE0CqkOc4q9oUmW1yo/edit?usp=sharing"",""พิจิตร!J341"")"),1)</f>
        <v>1</v>
      </c>
      <c r="K446" s="171"/>
      <c r="L446" s="191" t="s">
        <v>41</v>
      </c>
      <c r="M446" s="191"/>
      <c r="N446" s="191" t="s">
        <v>41</v>
      </c>
      <c r="O446" s="191"/>
      <c r="P446" s="191"/>
    </row>
    <row r="447" spans="1:16" ht="21.75" customHeight="1" x14ac:dyDescent="0.2">
      <c r="A447" s="185"/>
      <c r="B447" s="186"/>
      <c r="C447" s="186"/>
      <c r="D447" s="203"/>
      <c r="E447" s="204" t="s">
        <v>162</v>
      </c>
      <c r="F447" s="205"/>
      <c r="G447" s="206"/>
      <c r="H447" s="196"/>
      <c r="I447" s="197"/>
      <c r="J447" s="198">
        <f ca="1">IFERROR(__xludf.DUMMYFUNCTION("IMPORTRANGE(""https://docs.google.com/spreadsheets/d/11923uPwbBZFjjGgGUA6NLw09EwE0CqkOc4q9oUmW1yo/edit?usp=sharing"",""พิจิตร!J342"")"),1)</f>
        <v>1</v>
      </c>
      <c r="K447" s="171"/>
      <c r="L447" s="191"/>
      <c r="M447" s="191"/>
      <c r="N447" s="191"/>
      <c r="O447" s="191"/>
      <c r="P447" s="191"/>
    </row>
    <row r="448" spans="1:16" ht="21.75" customHeight="1" x14ac:dyDescent="0.2">
      <c r="A448" s="185"/>
      <c r="B448" s="186"/>
      <c r="C448" s="186"/>
      <c r="D448" s="203"/>
      <c r="E448" s="204" t="s">
        <v>49</v>
      </c>
      <c r="F448" s="205"/>
      <c r="G448" s="206"/>
      <c r="H448" s="196"/>
      <c r="I448" s="197"/>
      <c r="J448" s="198">
        <f ca="1">IFERROR(__xludf.DUMMYFUNCTION("IMPORTRANGE(""https://docs.google.com/spreadsheets/d/11923uPwbBZFjjGgGUA6NLw09EwE0CqkOc4q9oUmW1yo/edit?usp=sharing"",""พิจิตร!J343"")"),1)</f>
        <v>1</v>
      </c>
      <c r="K448" s="171"/>
      <c r="L448" s="191"/>
      <c r="M448" s="191"/>
      <c r="N448" s="191"/>
      <c r="O448" s="191"/>
      <c r="P448" s="191"/>
    </row>
    <row r="449" spans="1:16" ht="21.75" customHeight="1" x14ac:dyDescent="0.2">
      <c r="A449" s="185"/>
      <c r="B449" s="186"/>
      <c r="C449" s="186"/>
      <c r="D449" s="203"/>
      <c r="E449" s="208"/>
      <c r="F449" s="422" t="s">
        <v>102</v>
      </c>
      <c r="G449" s="206"/>
      <c r="H449" s="196" t="s">
        <v>38</v>
      </c>
      <c r="I449" s="399">
        <f ca="1">IFERROR(__xludf.DUMMYFUNCTION("IMPORTRANGE(""https://docs.google.com/spreadsheets/d/11923uPwbBZFjjGgGUA6NLw09EwE0CqkOc4q9oUmW1yo/edit?usp=sharing"",""พิจิตร!I344"")"),15)</f>
        <v>15</v>
      </c>
      <c r="J449" s="210">
        <f ca="1">IFERROR(__xludf.DUMMYFUNCTION("IMPORTRANGE(""https://docs.google.com/spreadsheets/d/11923uPwbBZFjjGgGUA6NLw09EwE0CqkOc4q9oUmW1yo/edit?usp=sharing"",""พิจิตร!J344"")"),15)</f>
        <v>15</v>
      </c>
      <c r="K449" s="171">
        <f t="shared" ref="K449:K452" ca="1" si="115">IF(I449&gt;0,J449*100/I449,0)</f>
        <v>100</v>
      </c>
      <c r="L449" s="191"/>
      <c r="M449" s="191"/>
      <c r="N449" s="191"/>
      <c r="O449" s="191"/>
      <c r="P449" s="191"/>
    </row>
    <row r="450" spans="1:16" ht="21.75" customHeight="1" x14ac:dyDescent="0.2">
      <c r="A450" s="185"/>
      <c r="B450" s="186"/>
      <c r="C450" s="186"/>
      <c r="D450" s="203"/>
      <c r="E450" s="208"/>
      <c r="F450" s="205"/>
      <c r="G450" s="235" t="s">
        <v>163</v>
      </c>
      <c r="H450" s="196" t="s">
        <v>38</v>
      </c>
      <c r="I450" s="349">
        <f ca="1">IFERROR(__xludf.DUMMYFUNCTION("IMPORTRANGE(""https://docs.google.com/spreadsheets/d/11923uPwbBZFjjGgGUA6NLw09EwE0CqkOc4q9oUmW1yo/edit?usp=sharing"",""พิจิตร!I345"")"),15)</f>
        <v>15</v>
      </c>
      <c r="J450" s="198">
        <f ca="1">IFERROR(__xludf.DUMMYFUNCTION("IMPORTRANGE(""https://docs.google.com/spreadsheets/d/11923uPwbBZFjjGgGUA6NLw09EwE0CqkOc4q9oUmW1yo/edit?usp=sharing"",""พิจิตร!J345"")"),15)</f>
        <v>15</v>
      </c>
      <c r="K450" s="171">
        <f t="shared" ca="1" si="115"/>
        <v>100</v>
      </c>
      <c r="L450" s="191"/>
      <c r="M450" s="191"/>
      <c r="N450" s="191"/>
      <c r="O450" s="191"/>
      <c r="P450" s="191"/>
    </row>
    <row r="451" spans="1:16" ht="21.75" customHeight="1" x14ac:dyDescent="0.2">
      <c r="A451" s="185"/>
      <c r="B451" s="186"/>
      <c r="C451" s="186"/>
      <c r="D451" s="203"/>
      <c r="E451" s="208"/>
      <c r="F451" s="205"/>
      <c r="G451" s="289" t="s">
        <v>164</v>
      </c>
      <c r="H451" s="196" t="s">
        <v>38</v>
      </c>
      <c r="I451" s="349">
        <f ca="1">IFERROR(__xludf.DUMMYFUNCTION("IMPORTRANGE(""https://docs.google.com/spreadsheets/d/11923uPwbBZFjjGgGUA6NLw09EwE0CqkOc4q9oUmW1yo/edit?usp=sharing"",""พิจิตร!I346"")"),0)</f>
        <v>0</v>
      </c>
      <c r="J451" s="197">
        <f ca="1">IFERROR(__xludf.DUMMYFUNCTION("IMPORTRANGE(""https://docs.google.com/spreadsheets/d/11923uPwbBZFjjGgGUA6NLw09EwE0CqkOc4q9oUmW1yo/edit?usp=sharing"",""พิจิตร!J346"")"),0)</f>
        <v>0</v>
      </c>
      <c r="K451" s="171">
        <f t="shared" ca="1" si="115"/>
        <v>0</v>
      </c>
      <c r="L451" s="191"/>
      <c r="M451" s="191"/>
      <c r="N451" s="191"/>
      <c r="O451" s="191"/>
      <c r="P451" s="191"/>
    </row>
    <row r="452" spans="1:16" ht="21.75" customHeight="1" x14ac:dyDescent="0.2">
      <c r="A452" s="185"/>
      <c r="B452" s="186"/>
      <c r="C452" s="186"/>
      <c r="D452" s="203"/>
      <c r="E452" s="208"/>
      <c r="F452" s="205"/>
      <c r="G452" s="206" t="s">
        <v>165</v>
      </c>
      <c r="H452" s="196" t="s">
        <v>38</v>
      </c>
      <c r="I452" s="197">
        <f ca="1">IFERROR(__xludf.DUMMYFUNCTION("IMPORTRANGE(""https://docs.google.com/spreadsheets/d/11923uPwbBZFjjGgGUA6NLw09EwE0CqkOc4q9oUmW1yo/edit?usp=sharing"",""พิจิตร!I347"")"),0)</f>
        <v>0</v>
      </c>
      <c r="J452" s="197">
        <f ca="1">IFERROR(__xludf.DUMMYFUNCTION("IMPORTRANGE(""https://docs.google.com/spreadsheets/d/11923uPwbBZFjjGgGUA6NLw09EwE0CqkOc4q9oUmW1yo/edit?usp=sharing"",""พิจิตร!J347"")"),0)</f>
        <v>0</v>
      </c>
      <c r="K452" s="171">
        <f t="shared" ca="1" si="115"/>
        <v>0</v>
      </c>
      <c r="L452" s="191"/>
      <c r="M452" s="191"/>
      <c r="N452" s="191"/>
      <c r="O452" s="191"/>
      <c r="P452" s="191"/>
    </row>
    <row r="453" spans="1:16" ht="21.75" customHeight="1" x14ac:dyDescent="0.2">
      <c r="A453" s="185"/>
      <c r="B453" s="186"/>
      <c r="C453" s="186"/>
      <c r="D453" s="203"/>
      <c r="E453" s="204" t="s">
        <v>55</v>
      </c>
      <c r="F453" s="205"/>
      <c r="G453" s="206"/>
      <c r="H453" s="196"/>
      <c r="I453" s="197"/>
      <c r="J453" s="207">
        <f ca="1">IFERROR(__xludf.DUMMYFUNCTION("IMPORTRANGE(""https://docs.google.com/spreadsheets/d/11923uPwbBZFjjGgGUA6NLw09EwE0CqkOc4q9oUmW1yo/edit?usp=sharing"",""พิจิตร!J348"")"),0)</f>
        <v>0</v>
      </c>
      <c r="K453" s="171"/>
      <c r="L453" s="191"/>
      <c r="M453" s="191"/>
      <c r="N453" s="191"/>
      <c r="O453" s="191"/>
      <c r="P453" s="191"/>
    </row>
    <row r="454" spans="1:16" ht="21.75" customHeight="1" x14ac:dyDescent="0.2">
      <c r="A454" s="185"/>
      <c r="B454" s="186"/>
      <c r="C454" s="186"/>
      <c r="D454" s="215">
        <v>3</v>
      </c>
      <c r="E454" s="216" t="s">
        <v>56</v>
      </c>
      <c r="F454" s="217"/>
      <c r="G454" s="218"/>
      <c r="H454" s="196"/>
      <c r="I454" s="197"/>
      <c r="J454" s="219">
        <f ca="1">IFERROR(__xludf.DUMMYFUNCTION("IMPORTRANGE(""https://docs.google.com/spreadsheets/d/11923uPwbBZFjjGgGUA6NLw09EwE0CqkOc4q9oUmW1yo/edit?usp=sharing"",""พิจิตร!J349"")"),0)</f>
        <v>0</v>
      </c>
      <c r="K454" s="171"/>
      <c r="L454" s="191"/>
      <c r="M454" s="191"/>
      <c r="N454" s="191"/>
      <c r="O454" s="191"/>
      <c r="P454" s="191"/>
    </row>
    <row r="455" spans="1:16" ht="21.75" customHeight="1" x14ac:dyDescent="0.2">
      <c r="A455" s="374"/>
      <c r="B455" s="375">
        <v>5</v>
      </c>
      <c r="C455" s="376" t="s">
        <v>166</v>
      </c>
      <c r="D455" s="376"/>
      <c r="E455" s="376"/>
      <c r="F455" s="376"/>
      <c r="G455" s="377"/>
      <c r="H455" s="378" t="s">
        <v>123</v>
      </c>
      <c r="I455" s="379">
        <f ca="1">IFERROR(__xludf.DUMMYFUNCTION("IMPORTRANGE(""https://docs.google.com/spreadsheets/d/11923uPwbBZFjjGgGUA6NLw09EwE0CqkOc4q9oUmW1yo/edit?usp=sharing"",""พิจิตร!I350"")"),74168)</f>
        <v>74168</v>
      </c>
      <c r="J455" s="379">
        <f ca="1">IFERROR(__xludf.DUMMYFUNCTION("IMPORTRANGE(""https://docs.google.com/spreadsheets/d/11923uPwbBZFjjGgGUA6NLw09EwE0CqkOc4q9oUmW1yo/edit?usp=sharing"",""พิจิตร!J350"")"),0)</f>
        <v>0</v>
      </c>
      <c r="K455" s="380">
        <f ca="1">IF(I455&gt;0,J455*100/I455,0)</f>
        <v>0</v>
      </c>
      <c r="L455" s="381">
        <f ca="1">IFERROR(__xludf.DUMMYFUNCTION("IMPORTRANGE(""https://docs.google.com/spreadsheets/d/11923uPwbBZFjjGgGUA6NLw09EwE0CqkOc4q9oUmW1yo/edit?usp=sharing"",""พิจิตร!L350"")"),579537)</f>
        <v>579537</v>
      </c>
      <c r="M455" s="381"/>
      <c r="N455" s="381">
        <f ca="1">IFERROR(__xludf.DUMMYFUNCTION("IMPORTRANGE(""https://docs.google.com/spreadsheets/d/11923uPwbBZFjjGgGUA6NLw09EwE0CqkOc4q9oUmW1yo/edit?usp=sharing"",""พิจิตร!M350"")"),67716.8)</f>
        <v>67716.800000000003</v>
      </c>
      <c r="O455" s="381">
        <f t="shared" ref="O455:O459" ca="1" si="116">+IF(L455&gt;0,N455*100/L455,0)</f>
        <v>11.684637909227538</v>
      </c>
      <c r="P455" s="381"/>
    </row>
    <row r="456" spans="1:16" ht="21.75" customHeight="1" x14ac:dyDescent="0.2">
      <c r="A456" s="164"/>
      <c r="B456" s="165"/>
      <c r="C456" s="165" t="s">
        <v>17</v>
      </c>
      <c r="D456" s="166" t="s">
        <v>39</v>
      </c>
      <c r="E456" s="167"/>
      <c r="F456" s="167"/>
      <c r="G456" s="168" t="s">
        <v>40</v>
      </c>
      <c r="H456" s="169" t="s">
        <v>13</v>
      </c>
      <c r="I456" s="170" t="s">
        <v>41</v>
      </c>
      <c r="J456" s="170"/>
      <c r="K456" s="171"/>
      <c r="L456" s="172">
        <f ca="1">IFERROR(__xludf.DUMMYFUNCTION("IMPORTRANGE(""https://docs.google.com/spreadsheets/d/11923uPwbBZFjjGgGUA6NLw09EwE0CqkOc4q9oUmW1yo/edit?usp=sharing"",""พิจิตร!L351"")"),0)</f>
        <v>0</v>
      </c>
      <c r="M456" s="172"/>
      <c r="N456" s="178">
        <f ca="1">IFERROR(__xludf.DUMMYFUNCTION("IMPORTRANGE(""https://docs.google.com/spreadsheets/d/11923uPwbBZFjjGgGUA6NLw09EwE0CqkOc4q9oUmW1yo/edit?usp=sharing"",""พิจิตร!M351"")"),0)</f>
        <v>0</v>
      </c>
      <c r="O456" s="178">
        <f t="shared" ca="1" si="116"/>
        <v>0</v>
      </c>
      <c r="P456" s="178"/>
    </row>
    <row r="457" spans="1:16" ht="21.75" customHeight="1" x14ac:dyDescent="0.2">
      <c r="A457" s="164"/>
      <c r="B457" s="165"/>
      <c r="C457" s="165"/>
      <c r="D457" s="174"/>
      <c r="E457" s="167"/>
      <c r="F457" s="167" t="s">
        <v>41</v>
      </c>
      <c r="G457" s="168" t="s">
        <v>42</v>
      </c>
      <c r="H457" s="169" t="s">
        <v>13</v>
      </c>
      <c r="I457" s="170"/>
      <c r="J457" s="170"/>
      <c r="K457" s="171"/>
      <c r="L457" s="173">
        <f ca="1">IFERROR(__xludf.DUMMYFUNCTION("IMPORTRANGE(""https://docs.google.com/spreadsheets/d/11923uPwbBZFjjGgGUA6NLw09EwE0CqkOc4q9oUmW1yo/edit?usp=sharing"",""พิจิตร!L352"")"),579537)</f>
        <v>579537</v>
      </c>
      <c r="M457" s="173"/>
      <c r="N457" s="178">
        <f ca="1">IFERROR(__xludf.DUMMYFUNCTION("IMPORTRANGE(""https://docs.google.com/spreadsheets/d/11923uPwbBZFjjGgGUA6NLw09EwE0CqkOc4q9oUmW1yo/edit?usp=sharing"",""พิจิตร!M352"")"),67716.8)</f>
        <v>67716.800000000003</v>
      </c>
      <c r="O457" s="178">
        <f t="shared" ca="1" si="116"/>
        <v>11.684637909227538</v>
      </c>
      <c r="P457" s="178"/>
    </row>
    <row r="458" spans="1:16" ht="21.75" customHeight="1" x14ac:dyDescent="0.2">
      <c r="A458" s="164"/>
      <c r="B458" s="165"/>
      <c r="C458" s="165"/>
      <c r="D458" s="174"/>
      <c r="E458" s="167"/>
      <c r="F458" s="167"/>
      <c r="G458" s="382" t="s">
        <v>130</v>
      </c>
      <c r="H458" s="169" t="s">
        <v>13</v>
      </c>
      <c r="I458" s="170"/>
      <c r="J458" s="170"/>
      <c r="K458" s="171"/>
      <c r="L458" s="178">
        <f ca="1">IFERROR(__xludf.DUMMYFUNCTION("IMPORTRANGE(""https://docs.google.com/spreadsheets/d/11923uPwbBZFjjGgGUA6NLw09EwE0CqkOc4q9oUmW1yo/edit?usp=sharing"",""พิจิตร!L353"")"),0)</f>
        <v>0</v>
      </c>
      <c r="M458" s="178"/>
      <c r="N458" s="178">
        <f ca="1">IFERROR(__xludf.DUMMYFUNCTION("IMPORTRANGE(""https://docs.google.com/spreadsheets/d/11923uPwbBZFjjGgGUA6NLw09EwE0CqkOc4q9oUmW1yo/edit?usp=sharing"",""พิจิตร!M353"")"),0)</f>
        <v>0</v>
      </c>
      <c r="O458" s="178">
        <f t="shared" ca="1" si="116"/>
        <v>0</v>
      </c>
      <c r="P458" s="178"/>
    </row>
    <row r="459" spans="1:16" ht="21.75" customHeight="1" x14ac:dyDescent="0.2">
      <c r="A459" s="164"/>
      <c r="B459" s="165"/>
      <c r="C459" s="165"/>
      <c r="D459" s="174"/>
      <c r="E459" s="167"/>
      <c r="F459" s="167"/>
      <c r="G459" s="382" t="s">
        <v>131</v>
      </c>
      <c r="H459" s="169" t="s">
        <v>13</v>
      </c>
      <c r="I459" s="170"/>
      <c r="J459" s="170"/>
      <c r="K459" s="171"/>
      <c r="L459" s="178">
        <f ca="1">IFERROR(__xludf.DUMMYFUNCTION("IMPORTRANGE(""https://docs.google.com/spreadsheets/d/11923uPwbBZFjjGgGUA6NLw09EwE0CqkOc4q9oUmW1yo/edit?usp=sharing"",""พิจิตร!L354"")"),579537)</f>
        <v>579537</v>
      </c>
      <c r="M459" s="178"/>
      <c r="N459" s="178">
        <f ca="1">IFERROR(__xludf.DUMMYFUNCTION("IMPORTRANGE(""https://docs.google.com/spreadsheets/d/11923uPwbBZFjjGgGUA6NLw09EwE0CqkOc4q9oUmW1yo/edit?usp=sharing"",""พิจิตร!M354"")"),67716.8)</f>
        <v>67716.800000000003</v>
      </c>
      <c r="O459" s="178">
        <f t="shared" ca="1" si="116"/>
        <v>11.684637909227538</v>
      </c>
      <c r="P459" s="178"/>
    </row>
    <row r="460" spans="1:16" ht="21.75" customHeight="1" x14ac:dyDescent="0.2">
      <c r="A460" s="383"/>
      <c r="B460" s="384"/>
      <c r="C460" s="165"/>
      <c r="D460" s="385"/>
      <c r="E460" s="167"/>
      <c r="F460" s="167"/>
      <c r="G460" s="386" t="s">
        <v>132</v>
      </c>
      <c r="H460" s="169" t="s">
        <v>13</v>
      </c>
      <c r="I460" s="197"/>
      <c r="J460" s="197"/>
      <c r="K460" s="233"/>
      <c r="L460" s="178"/>
      <c r="M460" s="178"/>
      <c r="N460" s="175">
        <f ca="1">IFERROR(__xludf.DUMMYFUNCTION("IMPORTRANGE(""https://docs.google.com/spreadsheets/d/11923uPwbBZFjjGgGUA6NLw09EwE0CqkOc4q9oUmW1yo/edit?usp=sharing"",""พิจิตร!M355"")"),0)</f>
        <v>0</v>
      </c>
      <c r="O460" s="178"/>
      <c r="P460" s="178"/>
    </row>
    <row r="461" spans="1:16" ht="21.75" customHeight="1" x14ac:dyDescent="0.2">
      <c r="A461" s="383"/>
      <c r="B461" s="384"/>
      <c r="C461" s="165"/>
      <c r="D461" s="385"/>
      <c r="E461" s="167"/>
      <c r="F461" s="167"/>
      <c r="G461" s="386" t="s">
        <v>133</v>
      </c>
      <c r="H461" s="169" t="s">
        <v>13</v>
      </c>
      <c r="I461" s="197"/>
      <c r="J461" s="197"/>
      <c r="K461" s="233"/>
      <c r="L461" s="178"/>
      <c r="M461" s="178"/>
      <c r="N461" s="175">
        <f ca="1">IFERROR(__xludf.DUMMYFUNCTION("IMPORTRANGE(""https://docs.google.com/spreadsheets/d/11923uPwbBZFjjGgGUA6NLw09EwE0CqkOc4q9oUmW1yo/edit?usp=sharing"",""พิจิตร!M356"")"),0)</f>
        <v>0</v>
      </c>
      <c r="O461" s="178"/>
      <c r="P461" s="178"/>
    </row>
    <row r="462" spans="1:16" ht="21.75" customHeight="1" x14ac:dyDescent="0.2">
      <c r="A462" s="383"/>
      <c r="B462" s="384"/>
      <c r="C462" s="165"/>
      <c r="D462" s="385"/>
      <c r="E462" s="167"/>
      <c r="F462" s="167"/>
      <c r="G462" s="386" t="s">
        <v>134</v>
      </c>
      <c r="H462" s="169" t="s">
        <v>13</v>
      </c>
      <c r="I462" s="197"/>
      <c r="J462" s="197"/>
      <c r="K462" s="233"/>
      <c r="L462" s="178"/>
      <c r="M462" s="178"/>
      <c r="N462" s="387">
        <f ca="1">IFERROR(__xludf.DUMMYFUNCTION("IMPORTRANGE(""https://docs.google.com/spreadsheets/d/11923uPwbBZFjjGgGUA6NLw09EwE0CqkOc4q9oUmW1yo/edit?usp=sharing"",""พิจิตร!M357"")"),29096.8)</f>
        <v>29096.799999999999</v>
      </c>
      <c r="O462" s="178"/>
      <c r="P462" s="178"/>
    </row>
    <row r="463" spans="1:16" ht="21.75" customHeight="1" x14ac:dyDescent="0.2">
      <c r="A463" s="383"/>
      <c r="B463" s="384"/>
      <c r="C463" s="165"/>
      <c r="D463" s="385"/>
      <c r="E463" s="167"/>
      <c r="F463" s="167"/>
      <c r="G463" s="386" t="s">
        <v>135</v>
      </c>
      <c r="H463" s="169" t="s">
        <v>13</v>
      </c>
      <c r="I463" s="197"/>
      <c r="J463" s="197"/>
      <c r="K463" s="233"/>
      <c r="L463" s="178"/>
      <c r="M463" s="178"/>
      <c r="N463" s="387">
        <f ca="1">IFERROR(__xludf.DUMMYFUNCTION("IMPORTRANGE(""https://docs.google.com/spreadsheets/d/11923uPwbBZFjjGgGUA6NLw09EwE0CqkOc4q9oUmW1yo/edit?usp=sharing"",""พิจิตร!M358"")"),38620)</f>
        <v>38620</v>
      </c>
      <c r="O463" s="178"/>
      <c r="P463" s="178"/>
    </row>
    <row r="464" spans="1:16" ht="21.75" customHeight="1" x14ac:dyDescent="0.2">
      <c r="A464" s="185"/>
      <c r="B464" s="186"/>
      <c r="C464" s="423" t="s">
        <v>167</v>
      </c>
      <c r="D464" s="423"/>
      <c r="E464" s="424"/>
      <c r="F464" s="424"/>
      <c r="G464" s="425"/>
      <c r="H464" s="275" t="s">
        <v>123</v>
      </c>
      <c r="I464" s="276">
        <f ca="1">IFERROR(__xludf.DUMMYFUNCTION("IMPORTRANGE(""https://docs.google.com/spreadsheets/d/11923uPwbBZFjjGgGUA6NLw09EwE0CqkOc4q9oUmW1yo/edit?usp=sharing"",""พิจิตร!I359"")"),74168)</f>
        <v>74168</v>
      </c>
      <c r="J464" s="276">
        <f ca="1">IFERROR(__xludf.DUMMYFUNCTION("IMPORTRANGE(""https://docs.google.com/spreadsheets/d/11923uPwbBZFjjGgGUA6NLw09EwE0CqkOc4q9oUmW1yo/edit?usp=sharing"",""พิจิตร!J359"")"),0)</f>
        <v>0</v>
      </c>
      <c r="K464" s="277">
        <f t="shared" ref="K464:K515" ca="1" si="117">IF(I464&gt;0,J464*100/I464,0)</f>
        <v>0</v>
      </c>
      <c r="L464" s="300"/>
      <c r="M464" s="300"/>
      <c r="N464" s="300"/>
      <c r="O464" s="300"/>
      <c r="P464" s="300"/>
    </row>
    <row r="465" spans="1:16" ht="21.75" customHeight="1" x14ac:dyDescent="0.2">
      <c r="A465" s="410"/>
      <c r="B465" s="411"/>
      <c r="C465" s="411"/>
      <c r="D465" s="412"/>
      <c r="E465" s="203" t="s">
        <v>168</v>
      </c>
      <c r="F465" s="205"/>
      <c r="G465" s="206"/>
      <c r="H465" s="426" t="s">
        <v>123</v>
      </c>
      <c r="I465" s="427">
        <f ca="1">IFERROR(__xludf.DUMMYFUNCTION("IMPORTRANGE(""https://docs.google.com/spreadsheets/d/11923uPwbBZFjjGgGUA6NLw09EwE0CqkOc4q9oUmW1yo/edit?usp=sharing"",""พิจิตร!I360"")"),74168)</f>
        <v>74168</v>
      </c>
      <c r="J465" s="428">
        <f ca="1">IFERROR(__xludf.DUMMYFUNCTION("IMPORTRANGE(""https://docs.google.com/spreadsheets/d/11923uPwbBZFjjGgGUA6NLw09EwE0CqkOc4q9oUmW1yo/edit?usp=sharing"",""พิจิตร!J360"")"),0)</f>
        <v>0</v>
      </c>
      <c r="K465" s="211">
        <f t="shared" ca="1" si="117"/>
        <v>0</v>
      </c>
      <c r="L465" s="191"/>
      <c r="M465" s="191"/>
      <c r="N465" s="191"/>
      <c r="O465" s="191"/>
      <c r="P465" s="191"/>
    </row>
    <row r="466" spans="1:16" ht="21.75" customHeight="1" x14ac:dyDescent="0.2">
      <c r="A466" s="410"/>
      <c r="B466" s="411"/>
      <c r="C466" s="411"/>
      <c r="D466" s="412"/>
      <c r="E466" s="205"/>
      <c r="F466" s="205"/>
      <c r="G466" s="206"/>
      <c r="H466" s="426" t="s">
        <v>37</v>
      </c>
      <c r="I466" s="427">
        <f ca="1">IFERROR(__xludf.DUMMYFUNCTION("IMPORTRANGE(""https://docs.google.com/spreadsheets/d/11923uPwbBZFjjGgGUA6NLw09EwE0CqkOc4q9oUmW1yo/edit?usp=sharing"",""พิจิตร!I361"")"),7854)</f>
        <v>7854</v>
      </c>
      <c r="J466" s="428">
        <f ca="1">IFERROR(__xludf.DUMMYFUNCTION("IMPORTRANGE(""https://docs.google.com/spreadsheets/d/11923uPwbBZFjjGgGUA6NLw09EwE0CqkOc4q9oUmW1yo/edit?usp=sharing"",""พิจิตร!J361"")"),0)</f>
        <v>0</v>
      </c>
      <c r="K466" s="211">
        <f t="shared" ca="1" si="117"/>
        <v>0</v>
      </c>
      <c r="L466" s="191"/>
      <c r="M466" s="191"/>
      <c r="N466" s="191"/>
      <c r="O466" s="191"/>
      <c r="P466" s="191"/>
    </row>
    <row r="467" spans="1:16" ht="21.75" customHeight="1" x14ac:dyDescent="0.2">
      <c r="A467" s="410"/>
      <c r="B467" s="411"/>
      <c r="C467" s="411"/>
      <c r="D467" s="412"/>
      <c r="E467" s="205"/>
      <c r="F467" s="398" t="s">
        <v>169</v>
      </c>
      <c r="G467" s="429"/>
      <c r="H467" s="430" t="s">
        <v>123</v>
      </c>
      <c r="I467" s="212">
        <f ca="1">IFERROR(__xludf.DUMMYFUNCTION("IMPORTRANGE(""https://docs.google.com/spreadsheets/d/11923uPwbBZFjjGgGUA6NLw09EwE0CqkOc4q9oUmW1yo/edit?usp=sharing"",""พิจิตร!I362"")"),0)</f>
        <v>0</v>
      </c>
      <c r="J467" s="198">
        <f ca="1">IFERROR(__xludf.DUMMYFUNCTION("IMPORTRANGE(""https://docs.google.com/spreadsheets/d/11923uPwbBZFjjGgGUA6NLw09EwE0CqkOc4q9oUmW1yo/edit?usp=sharing"",""พิจิตร!J362"")"),0)</f>
        <v>0</v>
      </c>
      <c r="K467" s="171">
        <f t="shared" ca="1" si="117"/>
        <v>0</v>
      </c>
      <c r="L467" s="191"/>
      <c r="M467" s="191"/>
      <c r="N467" s="191"/>
      <c r="O467" s="191"/>
      <c r="P467" s="191"/>
    </row>
    <row r="468" spans="1:16" ht="21.75" customHeight="1" x14ac:dyDescent="0.2">
      <c r="A468" s="410"/>
      <c r="B468" s="411"/>
      <c r="C468" s="411"/>
      <c r="D468" s="412"/>
      <c r="E468" s="205"/>
      <c r="F468" s="205"/>
      <c r="G468" s="429"/>
      <c r="H468" s="430" t="s">
        <v>37</v>
      </c>
      <c r="I468" s="212">
        <f ca="1">IFERROR(__xludf.DUMMYFUNCTION("IMPORTRANGE(""https://docs.google.com/spreadsheets/d/11923uPwbBZFjjGgGUA6NLw09EwE0CqkOc4q9oUmW1yo/edit?usp=sharing"",""พิจิตร!I363"")"),0)</f>
        <v>0</v>
      </c>
      <c r="J468" s="198">
        <f ca="1">IFERROR(__xludf.DUMMYFUNCTION("IMPORTRANGE(""https://docs.google.com/spreadsheets/d/11923uPwbBZFjjGgGUA6NLw09EwE0CqkOc4q9oUmW1yo/edit?usp=sharing"",""พิจิตร!J363"")"),0)</f>
        <v>0</v>
      </c>
      <c r="K468" s="171">
        <f t="shared" ca="1" si="117"/>
        <v>0</v>
      </c>
      <c r="L468" s="191"/>
      <c r="M468" s="191"/>
      <c r="N468" s="191"/>
      <c r="O468" s="191"/>
      <c r="P468" s="191"/>
    </row>
    <row r="469" spans="1:16" ht="21.75" customHeight="1" x14ac:dyDescent="0.2">
      <c r="A469" s="410"/>
      <c r="B469" s="411"/>
      <c r="C469" s="411"/>
      <c r="D469" s="412"/>
      <c r="E469" s="205"/>
      <c r="F469" s="398" t="s">
        <v>170</v>
      </c>
      <c r="G469" s="429"/>
      <c r="H469" s="430" t="s">
        <v>123</v>
      </c>
      <c r="I469" s="212">
        <f ca="1">IFERROR(__xludf.DUMMYFUNCTION("IMPORTRANGE(""https://docs.google.com/spreadsheets/d/11923uPwbBZFjjGgGUA6NLw09EwE0CqkOc4q9oUmW1yo/edit?usp=sharing"",""พิจิตร!I364"")"),0)</f>
        <v>0</v>
      </c>
      <c r="J469" s="198">
        <f ca="1">IFERROR(__xludf.DUMMYFUNCTION("IMPORTRANGE(""https://docs.google.com/spreadsheets/d/11923uPwbBZFjjGgGUA6NLw09EwE0CqkOc4q9oUmW1yo/edit?usp=sharing"",""พิจิตร!J364"")"),0)</f>
        <v>0</v>
      </c>
      <c r="K469" s="171">
        <f t="shared" ca="1" si="117"/>
        <v>0</v>
      </c>
      <c r="L469" s="191"/>
      <c r="M469" s="191"/>
      <c r="N469" s="191"/>
      <c r="O469" s="191"/>
      <c r="P469" s="191"/>
    </row>
    <row r="470" spans="1:16" ht="21.75" customHeight="1" x14ac:dyDescent="0.2">
      <c r="A470" s="410"/>
      <c r="B470" s="411"/>
      <c r="C470" s="411"/>
      <c r="D470" s="412"/>
      <c r="E470" s="205"/>
      <c r="F470" s="205"/>
      <c r="G470" s="429"/>
      <c r="H470" s="430" t="s">
        <v>37</v>
      </c>
      <c r="I470" s="212">
        <f ca="1">IFERROR(__xludf.DUMMYFUNCTION("IMPORTRANGE(""https://docs.google.com/spreadsheets/d/11923uPwbBZFjjGgGUA6NLw09EwE0CqkOc4q9oUmW1yo/edit?usp=sharing"",""พิจิตร!I365"")"),0)</f>
        <v>0</v>
      </c>
      <c r="J470" s="198">
        <f ca="1">IFERROR(__xludf.DUMMYFUNCTION("IMPORTRANGE(""https://docs.google.com/spreadsheets/d/11923uPwbBZFjjGgGUA6NLw09EwE0CqkOc4q9oUmW1yo/edit?usp=sharing"",""พิจิตร!J365"")"),0)</f>
        <v>0</v>
      </c>
      <c r="K470" s="171">
        <f t="shared" ca="1" si="117"/>
        <v>0</v>
      </c>
      <c r="L470" s="191"/>
      <c r="M470" s="191"/>
      <c r="N470" s="191"/>
      <c r="O470" s="191"/>
      <c r="P470" s="191"/>
    </row>
    <row r="471" spans="1:16" ht="21.75" customHeight="1" x14ac:dyDescent="0.2">
      <c r="A471" s="410"/>
      <c r="B471" s="411"/>
      <c r="C471" s="411"/>
      <c r="D471" s="412"/>
      <c r="E471" s="205"/>
      <c r="F471" s="398" t="s">
        <v>171</v>
      </c>
      <c r="G471" s="429"/>
      <c r="H471" s="430" t="s">
        <v>123</v>
      </c>
      <c r="I471" s="212">
        <f ca="1">IFERROR(__xludf.DUMMYFUNCTION("IMPORTRANGE(""https://docs.google.com/spreadsheets/d/11923uPwbBZFjjGgGUA6NLw09EwE0CqkOc4q9oUmW1yo/edit?usp=sharing"",""พิจิตร!I366"")"),0)</f>
        <v>0</v>
      </c>
      <c r="J471" s="198">
        <f ca="1">IFERROR(__xludf.DUMMYFUNCTION("IMPORTRANGE(""https://docs.google.com/spreadsheets/d/11923uPwbBZFjjGgGUA6NLw09EwE0CqkOc4q9oUmW1yo/edit?usp=sharing"",""พิจิตร!J366"")"),0)</f>
        <v>0</v>
      </c>
      <c r="K471" s="171">
        <f t="shared" ca="1" si="117"/>
        <v>0</v>
      </c>
      <c r="L471" s="191"/>
      <c r="M471" s="191"/>
      <c r="N471" s="191"/>
      <c r="O471" s="191"/>
      <c r="P471" s="191"/>
    </row>
    <row r="472" spans="1:16" ht="21.75" customHeight="1" x14ac:dyDescent="0.2">
      <c r="A472" s="410"/>
      <c r="B472" s="411"/>
      <c r="C472" s="411"/>
      <c r="D472" s="412"/>
      <c r="E472" s="205"/>
      <c r="F472" s="205"/>
      <c r="G472" s="205"/>
      <c r="H472" s="430" t="s">
        <v>37</v>
      </c>
      <c r="I472" s="212">
        <f ca="1">IFERROR(__xludf.DUMMYFUNCTION("IMPORTRANGE(""https://docs.google.com/spreadsheets/d/11923uPwbBZFjjGgGUA6NLw09EwE0CqkOc4q9oUmW1yo/edit?usp=sharing"",""พิจิตร!I367"")"),0)</f>
        <v>0</v>
      </c>
      <c r="J472" s="198">
        <f ca="1">IFERROR(__xludf.DUMMYFUNCTION("IMPORTRANGE(""https://docs.google.com/spreadsheets/d/11923uPwbBZFjjGgGUA6NLw09EwE0CqkOc4q9oUmW1yo/edit?usp=sharing"",""พิจิตร!J367"")"),0)</f>
        <v>0</v>
      </c>
      <c r="K472" s="171">
        <f t="shared" ca="1" si="117"/>
        <v>0</v>
      </c>
      <c r="L472" s="191"/>
      <c r="M472" s="191"/>
      <c r="N472" s="191"/>
      <c r="O472" s="191"/>
      <c r="P472" s="191"/>
    </row>
    <row r="473" spans="1:16" ht="21.75" customHeight="1" x14ac:dyDescent="0.2">
      <c r="A473" s="410"/>
      <c r="B473" s="411"/>
      <c r="C473" s="411"/>
      <c r="D473" s="412"/>
      <c r="E473" s="299" t="s">
        <v>172</v>
      </c>
      <c r="F473" s="205"/>
      <c r="G473" s="206"/>
      <c r="H473" s="426" t="s">
        <v>123</v>
      </c>
      <c r="I473" s="428">
        <f ca="1">IFERROR(__xludf.DUMMYFUNCTION("IMPORTRANGE(""https://docs.google.com/spreadsheets/d/11923uPwbBZFjjGgGUA6NLw09EwE0CqkOc4q9oUmW1yo/edit?usp=sharing"",""พิจิตร!I368"")"),74168)</f>
        <v>74168</v>
      </c>
      <c r="J473" s="428">
        <f ca="1">IFERROR(__xludf.DUMMYFUNCTION("IMPORTRANGE(""https://docs.google.com/spreadsheets/d/11923uPwbBZFjjGgGUA6NLw09EwE0CqkOc4q9oUmW1yo/edit?usp=sharing"",""พิจิตร!J368"")"),0)</f>
        <v>0</v>
      </c>
      <c r="K473" s="211">
        <f t="shared" ca="1" si="117"/>
        <v>0</v>
      </c>
      <c r="L473" s="191"/>
      <c r="M473" s="191"/>
      <c r="N473" s="191"/>
      <c r="O473" s="191"/>
      <c r="P473" s="191"/>
    </row>
    <row r="474" spans="1:16" ht="21.75" customHeight="1" x14ac:dyDescent="0.2">
      <c r="A474" s="410"/>
      <c r="B474" s="411"/>
      <c r="C474" s="411"/>
      <c r="D474" s="412"/>
      <c r="E474" s="205"/>
      <c r="F474" s="205"/>
      <c r="G474" s="206"/>
      <c r="H474" s="426" t="s">
        <v>37</v>
      </c>
      <c r="I474" s="427">
        <f ca="1">IFERROR(__xludf.DUMMYFUNCTION("IMPORTRANGE(""https://docs.google.com/spreadsheets/d/11923uPwbBZFjjGgGUA6NLw09EwE0CqkOc4q9oUmW1yo/edit?usp=sharing"",""พิจิตร!I369"")"),7854)</f>
        <v>7854</v>
      </c>
      <c r="J474" s="428">
        <f ca="1">IFERROR(__xludf.DUMMYFUNCTION("IMPORTRANGE(""https://docs.google.com/spreadsheets/d/11923uPwbBZFjjGgGUA6NLw09EwE0CqkOc4q9oUmW1yo/edit?usp=sharing"",""พิจิตร!J369"")"),0)</f>
        <v>0</v>
      </c>
      <c r="K474" s="171">
        <f t="shared" ca="1" si="117"/>
        <v>0</v>
      </c>
      <c r="L474" s="191"/>
      <c r="M474" s="191"/>
      <c r="N474" s="191"/>
      <c r="O474" s="191"/>
      <c r="P474" s="191"/>
    </row>
    <row r="475" spans="1:16" ht="21.75" customHeight="1" x14ac:dyDescent="0.2">
      <c r="A475" s="410"/>
      <c r="B475" s="411"/>
      <c r="C475" s="411"/>
      <c r="D475" s="412"/>
      <c r="E475" s="205"/>
      <c r="F475" s="204" t="s">
        <v>173</v>
      </c>
      <c r="G475" s="429"/>
      <c r="H475" s="430" t="s">
        <v>123</v>
      </c>
      <c r="I475" s="212">
        <f ca="1">IFERROR(__xludf.DUMMYFUNCTION("IMPORTRANGE(""https://docs.google.com/spreadsheets/d/11923uPwbBZFjjGgGUA6NLw09EwE0CqkOc4q9oUmW1yo/edit?usp=sharing"",""พิจิตร!I370"")"),0)</f>
        <v>0</v>
      </c>
      <c r="J475" s="198">
        <f ca="1">IFERROR(__xludf.DUMMYFUNCTION("IMPORTRANGE(""https://docs.google.com/spreadsheets/d/11923uPwbBZFjjGgGUA6NLw09EwE0CqkOc4q9oUmW1yo/edit?usp=sharing"",""พิจิตร!J370"")"),0)</f>
        <v>0</v>
      </c>
      <c r="K475" s="171">
        <f t="shared" ca="1" si="117"/>
        <v>0</v>
      </c>
      <c r="L475" s="191"/>
      <c r="M475" s="191"/>
      <c r="N475" s="191"/>
      <c r="O475" s="191"/>
      <c r="P475" s="191"/>
    </row>
    <row r="476" spans="1:16" ht="21.75" customHeight="1" x14ac:dyDescent="0.2">
      <c r="A476" s="410"/>
      <c r="B476" s="411"/>
      <c r="C476" s="411"/>
      <c r="D476" s="412"/>
      <c r="E476" s="205"/>
      <c r="F476" s="205"/>
      <c r="G476" s="429"/>
      <c r="H476" s="430" t="s">
        <v>37</v>
      </c>
      <c r="I476" s="212">
        <f ca="1">IFERROR(__xludf.DUMMYFUNCTION("IMPORTRANGE(""https://docs.google.com/spreadsheets/d/11923uPwbBZFjjGgGUA6NLw09EwE0CqkOc4q9oUmW1yo/edit?usp=sharing"",""พิจิตร!I371"")"),0)</f>
        <v>0</v>
      </c>
      <c r="J476" s="198">
        <f ca="1">IFERROR(__xludf.DUMMYFUNCTION("IMPORTRANGE(""https://docs.google.com/spreadsheets/d/11923uPwbBZFjjGgGUA6NLw09EwE0CqkOc4q9oUmW1yo/edit?usp=sharing"",""พิจิตร!J371"")"),0)</f>
        <v>0</v>
      </c>
      <c r="K476" s="171">
        <f t="shared" ca="1" si="117"/>
        <v>0</v>
      </c>
      <c r="L476" s="191"/>
      <c r="M476" s="191"/>
      <c r="N476" s="191"/>
      <c r="O476" s="191"/>
      <c r="P476" s="191"/>
    </row>
    <row r="477" spans="1:16" ht="21.75" customHeight="1" x14ac:dyDescent="0.2">
      <c r="A477" s="410"/>
      <c r="B477" s="411"/>
      <c r="C477" s="411"/>
      <c r="D477" s="412"/>
      <c r="E477" s="205"/>
      <c r="F477" s="204" t="s">
        <v>174</v>
      </c>
      <c r="G477" s="429"/>
      <c r="H477" s="430" t="s">
        <v>123</v>
      </c>
      <c r="I477" s="212">
        <f ca="1">IFERROR(__xludf.DUMMYFUNCTION("IMPORTRANGE(""https://docs.google.com/spreadsheets/d/11923uPwbBZFjjGgGUA6NLw09EwE0CqkOc4q9oUmW1yo/edit?usp=sharing"",""พิจิตร!I372"")"),0)</f>
        <v>0</v>
      </c>
      <c r="J477" s="198">
        <f ca="1">IFERROR(__xludf.DUMMYFUNCTION("IMPORTRANGE(""https://docs.google.com/spreadsheets/d/11923uPwbBZFjjGgGUA6NLw09EwE0CqkOc4q9oUmW1yo/edit?usp=sharing"",""พิจิตร!J372"")"),0)</f>
        <v>0</v>
      </c>
      <c r="K477" s="171">
        <f t="shared" ca="1" si="117"/>
        <v>0</v>
      </c>
      <c r="L477" s="191"/>
      <c r="M477" s="191"/>
      <c r="N477" s="191"/>
      <c r="O477" s="191"/>
      <c r="P477" s="191"/>
    </row>
    <row r="478" spans="1:16" ht="21.75" customHeight="1" x14ac:dyDescent="0.2">
      <c r="A478" s="410"/>
      <c r="B478" s="411"/>
      <c r="C478" s="411"/>
      <c r="D478" s="412"/>
      <c r="E478" s="205"/>
      <c r="F478" s="205"/>
      <c r="G478" s="429"/>
      <c r="H478" s="430" t="s">
        <v>37</v>
      </c>
      <c r="I478" s="212">
        <f ca="1">IFERROR(__xludf.DUMMYFUNCTION("IMPORTRANGE(""https://docs.google.com/spreadsheets/d/11923uPwbBZFjjGgGUA6NLw09EwE0CqkOc4q9oUmW1yo/edit?usp=sharing"",""พิจิตร!I373"")"),0)</f>
        <v>0</v>
      </c>
      <c r="J478" s="198">
        <f ca="1">IFERROR(__xludf.DUMMYFUNCTION("IMPORTRANGE(""https://docs.google.com/spreadsheets/d/11923uPwbBZFjjGgGUA6NLw09EwE0CqkOc4q9oUmW1yo/edit?usp=sharing"",""พิจิตร!J373"")"),0)</f>
        <v>0</v>
      </c>
      <c r="K478" s="171">
        <f t="shared" ca="1" si="117"/>
        <v>0</v>
      </c>
      <c r="L478" s="191"/>
      <c r="M478" s="191"/>
      <c r="N478" s="191"/>
      <c r="O478" s="191"/>
      <c r="P478" s="191"/>
    </row>
    <row r="479" spans="1:16" ht="21.75" customHeight="1" x14ac:dyDescent="0.2">
      <c r="A479" s="410"/>
      <c r="B479" s="411"/>
      <c r="C479" s="411"/>
      <c r="D479" s="412"/>
      <c r="E479" s="205"/>
      <c r="F479" s="204" t="s">
        <v>175</v>
      </c>
      <c r="G479" s="429"/>
      <c r="H479" s="430" t="s">
        <v>123</v>
      </c>
      <c r="I479" s="212">
        <f ca="1">IFERROR(__xludf.DUMMYFUNCTION("IMPORTRANGE(""https://docs.google.com/spreadsheets/d/11923uPwbBZFjjGgGUA6NLw09EwE0CqkOc4q9oUmW1yo/edit?usp=sharing"",""พิจิตร!I374"")"),0)</f>
        <v>0</v>
      </c>
      <c r="J479" s="198">
        <f ca="1">IFERROR(__xludf.DUMMYFUNCTION("IMPORTRANGE(""https://docs.google.com/spreadsheets/d/11923uPwbBZFjjGgGUA6NLw09EwE0CqkOc4q9oUmW1yo/edit?usp=sharing"",""พิจิตร!J374"")"),0)</f>
        <v>0</v>
      </c>
      <c r="K479" s="171">
        <f t="shared" ca="1" si="117"/>
        <v>0</v>
      </c>
      <c r="L479" s="191"/>
      <c r="M479" s="191"/>
      <c r="N479" s="191"/>
      <c r="O479" s="191"/>
      <c r="P479" s="191"/>
    </row>
    <row r="480" spans="1:16" ht="21.75" customHeight="1" x14ac:dyDescent="0.2">
      <c r="A480" s="410"/>
      <c r="B480" s="411"/>
      <c r="C480" s="411"/>
      <c r="D480" s="412"/>
      <c r="E480" s="205"/>
      <c r="F480" s="205"/>
      <c r="G480" s="206"/>
      <c r="H480" s="430" t="s">
        <v>37</v>
      </c>
      <c r="I480" s="212">
        <f ca="1">IFERROR(__xludf.DUMMYFUNCTION("IMPORTRANGE(""https://docs.google.com/spreadsheets/d/11923uPwbBZFjjGgGUA6NLw09EwE0CqkOc4q9oUmW1yo/edit?usp=sharing"",""พิจิตร!I375"")"),0)</f>
        <v>0</v>
      </c>
      <c r="J480" s="198">
        <f ca="1">IFERROR(__xludf.DUMMYFUNCTION("IMPORTRANGE(""https://docs.google.com/spreadsheets/d/11923uPwbBZFjjGgGUA6NLw09EwE0CqkOc4q9oUmW1yo/edit?usp=sharing"",""พิจิตร!J375"")"),0)</f>
        <v>0</v>
      </c>
      <c r="K480" s="171">
        <f t="shared" ca="1" si="117"/>
        <v>0</v>
      </c>
      <c r="L480" s="191"/>
      <c r="M480" s="191"/>
      <c r="N480" s="191"/>
      <c r="O480" s="191"/>
      <c r="P480" s="191"/>
    </row>
    <row r="481" spans="1:16" ht="21.75" customHeight="1" x14ac:dyDescent="0.2">
      <c r="A481" s="431"/>
      <c r="B481" s="432"/>
      <c r="C481" s="432"/>
      <c r="D481" s="433"/>
      <c r="E481" s="434" t="s">
        <v>176</v>
      </c>
      <c r="F481" s="435"/>
      <c r="G481" s="436"/>
      <c r="H481" s="437" t="s">
        <v>123</v>
      </c>
      <c r="I481" s="428">
        <f ca="1">IFERROR(__xludf.DUMMYFUNCTION("IMPORTRANGE(""https://docs.google.com/spreadsheets/d/11923uPwbBZFjjGgGUA6NLw09EwE0CqkOc4q9oUmW1yo/edit?usp=sharing"",""พิจิตร!I376"")"),74168)</f>
        <v>74168</v>
      </c>
      <c r="J481" s="428">
        <f ca="1">IFERROR(__xludf.DUMMYFUNCTION("IMPORTRANGE(""https://docs.google.com/spreadsheets/d/11923uPwbBZFjjGgGUA6NLw09EwE0CqkOc4q9oUmW1yo/edit?usp=sharing"",""พิจิตร!J376"")"),0)</f>
        <v>0</v>
      </c>
      <c r="K481" s="211">
        <f t="shared" ca="1" si="117"/>
        <v>0</v>
      </c>
      <c r="L481" s="438"/>
      <c r="M481" s="438"/>
      <c r="N481" s="438"/>
      <c r="O481" s="438"/>
      <c r="P481" s="438"/>
    </row>
    <row r="482" spans="1:16" ht="21.75" customHeight="1" x14ac:dyDescent="0.2">
      <c r="A482" s="410"/>
      <c r="B482" s="411"/>
      <c r="C482" s="411"/>
      <c r="D482" s="412"/>
      <c r="E482" s="205"/>
      <c r="F482" s="205"/>
      <c r="G482" s="206"/>
      <c r="H482" s="426" t="s">
        <v>37</v>
      </c>
      <c r="I482" s="427">
        <f ca="1">IFERROR(__xludf.DUMMYFUNCTION("IMPORTRANGE(""https://docs.google.com/spreadsheets/d/11923uPwbBZFjjGgGUA6NLw09EwE0CqkOc4q9oUmW1yo/edit?usp=sharing"",""พิจิตร!I377"")"),7854)</f>
        <v>7854</v>
      </c>
      <c r="J482" s="428">
        <f ca="1">IFERROR(__xludf.DUMMYFUNCTION("IMPORTRANGE(""https://docs.google.com/spreadsheets/d/11923uPwbBZFjjGgGUA6NLw09EwE0CqkOc4q9oUmW1yo/edit?usp=sharing"",""พิจิตร!J377"")"),0)</f>
        <v>0</v>
      </c>
      <c r="K482" s="171">
        <f t="shared" ca="1" si="117"/>
        <v>0</v>
      </c>
      <c r="L482" s="191"/>
      <c r="M482" s="191"/>
      <c r="N482" s="191"/>
      <c r="O482" s="191"/>
      <c r="P482" s="191"/>
    </row>
    <row r="483" spans="1:16" ht="21.75" customHeight="1" x14ac:dyDescent="0.2">
      <c r="A483" s="410"/>
      <c r="B483" s="411"/>
      <c r="C483" s="411"/>
      <c r="D483" s="412"/>
      <c r="E483" s="205"/>
      <c r="F483" s="204" t="s">
        <v>177</v>
      </c>
      <c r="G483" s="429"/>
      <c r="H483" s="430" t="s">
        <v>123</v>
      </c>
      <c r="I483" s="212">
        <f ca="1">IFERROR(__xludf.DUMMYFUNCTION("IMPORTRANGE(""https://docs.google.com/spreadsheets/d/11923uPwbBZFjjGgGUA6NLw09EwE0CqkOc4q9oUmW1yo/edit?usp=sharing"",""พิจิตร!I378"")"),0)</f>
        <v>0</v>
      </c>
      <c r="J483" s="198">
        <f ca="1">IFERROR(__xludf.DUMMYFUNCTION("IMPORTRANGE(""https://docs.google.com/spreadsheets/d/11923uPwbBZFjjGgGUA6NLw09EwE0CqkOc4q9oUmW1yo/edit?usp=sharing"",""พิจิตร!J378"")"),0)</f>
        <v>0</v>
      </c>
      <c r="K483" s="171">
        <f t="shared" ca="1" si="117"/>
        <v>0</v>
      </c>
      <c r="L483" s="191"/>
      <c r="M483" s="191"/>
      <c r="N483" s="191"/>
      <c r="O483" s="191"/>
      <c r="P483" s="191"/>
    </row>
    <row r="484" spans="1:16" ht="21.75" customHeight="1" x14ac:dyDescent="0.2">
      <c r="A484" s="410"/>
      <c r="B484" s="411"/>
      <c r="C484" s="411"/>
      <c r="D484" s="412"/>
      <c r="E484" s="205"/>
      <c r="F484" s="205"/>
      <c r="G484" s="429"/>
      <c r="H484" s="430" t="s">
        <v>37</v>
      </c>
      <c r="I484" s="212">
        <f ca="1">IFERROR(__xludf.DUMMYFUNCTION("IMPORTRANGE(""https://docs.google.com/spreadsheets/d/11923uPwbBZFjjGgGUA6NLw09EwE0CqkOc4q9oUmW1yo/edit?usp=sharing"",""พิจิตร!I379"")"),0)</f>
        <v>0</v>
      </c>
      <c r="J484" s="198">
        <f ca="1">IFERROR(__xludf.DUMMYFUNCTION("IMPORTRANGE(""https://docs.google.com/spreadsheets/d/11923uPwbBZFjjGgGUA6NLw09EwE0CqkOc4q9oUmW1yo/edit?usp=sharing"",""พิจิตร!J379"")"),0)</f>
        <v>0</v>
      </c>
      <c r="K484" s="171">
        <f t="shared" ca="1" si="117"/>
        <v>0</v>
      </c>
      <c r="L484" s="191"/>
      <c r="M484" s="191"/>
      <c r="N484" s="191"/>
      <c r="O484" s="191"/>
      <c r="P484" s="191"/>
    </row>
    <row r="485" spans="1:16" ht="21.75" customHeight="1" x14ac:dyDescent="0.2">
      <c r="A485" s="410"/>
      <c r="B485" s="411"/>
      <c r="C485" s="411"/>
      <c r="D485" s="412"/>
      <c r="E485" s="205"/>
      <c r="F485" s="204" t="s">
        <v>178</v>
      </c>
      <c r="G485" s="429"/>
      <c r="H485" s="430" t="s">
        <v>123</v>
      </c>
      <c r="I485" s="212">
        <f ca="1">IFERROR(__xludf.DUMMYFUNCTION("IMPORTRANGE(""https://docs.google.com/spreadsheets/d/11923uPwbBZFjjGgGUA6NLw09EwE0CqkOc4q9oUmW1yo/edit?usp=sharing"",""พิจิตร!I380"")"),0)</f>
        <v>0</v>
      </c>
      <c r="J485" s="198">
        <f ca="1">IFERROR(__xludf.DUMMYFUNCTION("IMPORTRANGE(""https://docs.google.com/spreadsheets/d/11923uPwbBZFjjGgGUA6NLw09EwE0CqkOc4q9oUmW1yo/edit?usp=sharing"",""พิจิตร!J380"")"),0)</f>
        <v>0</v>
      </c>
      <c r="K485" s="171">
        <f t="shared" ca="1" si="117"/>
        <v>0</v>
      </c>
      <c r="L485" s="191"/>
      <c r="M485" s="191"/>
      <c r="N485" s="191"/>
      <c r="O485" s="191"/>
      <c r="P485" s="191"/>
    </row>
    <row r="486" spans="1:16" ht="21.75" customHeight="1" x14ac:dyDescent="0.2">
      <c r="A486" s="410"/>
      <c r="B486" s="411"/>
      <c r="C486" s="411"/>
      <c r="D486" s="412"/>
      <c r="E486" s="205"/>
      <c r="F486" s="205"/>
      <c r="G486" s="429"/>
      <c r="H486" s="430" t="s">
        <v>37</v>
      </c>
      <c r="I486" s="212">
        <f ca="1">IFERROR(__xludf.DUMMYFUNCTION("IMPORTRANGE(""https://docs.google.com/spreadsheets/d/11923uPwbBZFjjGgGUA6NLw09EwE0CqkOc4q9oUmW1yo/edit?usp=sharing"",""พิจิตร!I381"")"),0)</f>
        <v>0</v>
      </c>
      <c r="J486" s="198">
        <f ca="1">IFERROR(__xludf.DUMMYFUNCTION("IMPORTRANGE(""https://docs.google.com/spreadsheets/d/11923uPwbBZFjjGgGUA6NLw09EwE0CqkOc4q9oUmW1yo/edit?usp=sharing"",""พิจิตร!J381"")"),0)</f>
        <v>0</v>
      </c>
      <c r="K486" s="171">
        <f t="shared" ca="1" si="117"/>
        <v>0</v>
      </c>
      <c r="L486" s="191"/>
      <c r="M486" s="191"/>
      <c r="N486" s="191"/>
      <c r="O486" s="191"/>
      <c r="P486" s="191"/>
    </row>
    <row r="487" spans="1:16" ht="21.75" customHeight="1" x14ac:dyDescent="0.2">
      <c r="A487" s="410"/>
      <c r="B487" s="411"/>
      <c r="C487" s="411"/>
      <c r="D487" s="412"/>
      <c r="E487" s="205"/>
      <c r="F487" s="204" t="s">
        <v>179</v>
      </c>
      <c r="G487" s="429"/>
      <c r="H487" s="430" t="s">
        <v>123</v>
      </c>
      <c r="I487" s="212">
        <f ca="1">IFERROR(__xludf.DUMMYFUNCTION("IMPORTRANGE(""https://docs.google.com/spreadsheets/d/11923uPwbBZFjjGgGUA6NLw09EwE0CqkOc4q9oUmW1yo/edit?usp=sharing"",""พิจิตร!I382"")"),0)</f>
        <v>0</v>
      </c>
      <c r="J487" s="428">
        <f ca="1">IFERROR(__xludf.DUMMYFUNCTION("IMPORTRANGE(""https://docs.google.com/spreadsheets/d/11923uPwbBZFjjGgGUA6NLw09EwE0CqkOc4q9oUmW1yo/edit?usp=sharing"",""พิจิตร!J382"")"),0)</f>
        <v>0</v>
      </c>
      <c r="K487" s="171">
        <f t="shared" ca="1" si="117"/>
        <v>0</v>
      </c>
      <c r="L487" s="191"/>
      <c r="M487" s="191"/>
      <c r="N487" s="191"/>
      <c r="O487" s="191"/>
      <c r="P487" s="191"/>
    </row>
    <row r="488" spans="1:16" ht="21.75" customHeight="1" x14ac:dyDescent="0.2">
      <c r="A488" s="410"/>
      <c r="B488" s="411"/>
      <c r="C488" s="411"/>
      <c r="D488" s="412"/>
      <c r="E488" s="205"/>
      <c r="F488" s="205"/>
      <c r="G488" s="205"/>
      <c r="H488" s="430" t="s">
        <v>37</v>
      </c>
      <c r="I488" s="212">
        <f ca="1">IFERROR(__xludf.DUMMYFUNCTION("IMPORTRANGE(""https://docs.google.com/spreadsheets/d/11923uPwbBZFjjGgGUA6NLw09EwE0CqkOc4q9oUmW1yo/edit?usp=sharing"",""พิจิตร!I383"")"),0)</f>
        <v>0</v>
      </c>
      <c r="J488" s="428">
        <f ca="1">IFERROR(__xludf.DUMMYFUNCTION("IMPORTRANGE(""https://docs.google.com/spreadsheets/d/11923uPwbBZFjjGgGUA6NLw09EwE0CqkOc4q9oUmW1yo/edit?usp=sharing"",""พิจิตร!J383"")"),0)</f>
        <v>0</v>
      </c>
      <c r="K488" s="171">
        <f t="shared" ca="1" si="117"/>
        <v>0</v>
      </c>
      <c r="L488" s="191"/>
      <c r="M488" s="191"/>
      <c r="N488" s="191"/>
      <c r="O488" s="191"/>
      <c r="P488" s="191"/>
    </row>
    <row r="489" spans="1:16" ht="21.75" customHeight="1" x14ac:dyDescent="0.2">
      <c r="A489" s="410"/>
      <c r="B489" s="411"/>
      <c r="C489" s="411"/>
      <c r="D489" s="412"/>
      <c r="E489" s="205"/>
      <c r="F489" s="205"/>
      <c r="G489" s="204" t="s">
        <v>180</v>
      </c>
      <c r="H489" s="430" t="s">
        <v>123</v>
      </c>
      <c r="I489" s="212">
        <f ca="1">IFERROR(__xludf.DUMMYFUNCTION("IMPORTRANGE(""https://docs.google.com/spreadsheets/d/11923uPwbBZFjjGgGUA6NLw09EwE0CqkOc4q9oUmW1yo/edit?usp=sharing"",""พิจิตร!I384"")"),0)</f>
        <v>0</v>
      </c>
      <c r="J489" s="198">
        <f ca="1">IFERROR(__xludf.DUMMYFUNCTION("IMPORTRANGE(""https://docs.google.com/spreadsheets/d/11923uPwbBZFjjGgGUA6NLw09EwE0CqkOc4q9oUmW1yo/edit?usp=sharing"",""พิจิตร!J384"")"),0)</f>
        <v>0</v>
      </c>
      <c r="K489" s="171">
        <f t="shared" ca="1" si="117"/>
        <v>0</v>
      </c>
      <c r="L489" s="191"/>
      <c r="M489" s="191"/>
      <c r="N489" s="191"/>
      <c r="O489" s="191"/>
      <c r="P489" s="191"/>
    </row>
    <row r="490" spans="1:16" ht="21.75" customHeight="1" x14ac:dyDescent="0.2">
      <c r="A490" s="410"/>
      <c r="B490" s="411"/>
      <c r="C490" s="411"/>
      <c r="D490" s="412"/>
      <c r="E490" s="205"/>
      <c r="F490" s="205"/>
      <c r="G490" s="205"/>
      <c r="H490" s="430" t="s">
        <v>37</v>
      </c>
      <c r="I490" s="212">
        <f ca="1">IFERROR(__xludf.DUMMYFUNCTION("IMPORTRANGE(""https://docs.google.com/spreadsheets/d/11923uPwbBZFjjGgGUA6NLw09EwE0CqkOc4q9oUmW1yo/edit?usp=sharing"",""พิจิตร!I385"")"),0)</f>
        <v>0</v>
      </c>
      <c r="J490" s="198">
        <f ca="1">IFERROR(__xludf.DUMMYFUNCTION("IMPORTRANGE(""https://docs.google.com/spreadsheets/d/11923uPwbBZFjjGgGUA6NLw09EwE0CqkOc4q9oUmW1yo/edit?usp=sharing"",""พิจิตร!J385"")"),0)</f>
        <v>0</v>
      </c>
      <c r="K490" s="171">
        <f t="shared" ca="1" si="117"/>
        <v>0</v>
      </c>
      <c r="L490" s="191"/>
      <c r="M490" s="191"/>
      <c r="N490" s="191"/>
      <c r="O490" s="191"/>
      <c r="P490" s="191"/>
    </row>
    <row r="491" spans="1:16" ht="21.75" customHeight="1" x14ac:dyDescent="0.2">
      <c r="A491" s="410"/>
      <c r="B491" s="411"/>
      <c r="C491" s="411"/>
      <c r="D491" s="412"/>
      <c r="E491" s="205"/>
      <c r="F491" s="205"/>
      <c r="G491" s="204" t="s">
        <v>181</v>
      </c>
      <c r="H491" s="430" t="s">
        <v>123</v>
      </c>
      <c r="I491" s="212">
        <f ca="1">IFERROR(__xludf.DUMMYFUNCTION("IMPORTRANGE(""https://docs.google.com/spreadsheets/d/11923uPwbBZFjjGgGUA6NLw09EwE0CqkOc4q9oUmW1yo/edit?usp=sharing"",""พิจิตร!I386"")"),0)</f>
        <v>0</v>
      </c>
      <c r="J491" s="198">
        <f ca="1">IFERROR(__xludf.DUMMYFUNCTION("IMPORTRANGE(""https://docs.google.com/spreadsheets/d/11923uPwbBZFjjGgGUA6NLw09EwE0CqkOc4q9oUmW1yo/edit?usp=sharing"",""พิจิตร!J386"")"),0)</f>
        <v>0</v>
      </c>
      <c r="K491" s="171">
        <f t="shared" ca="1" si="117"/>
        <v>0</v>
      </c>
      <c r="L491" s="191"/>
      <c r="M491" s="191"/>
      <c r="N491" s="191"/>
      <c r="O491" s="191"/>
      <c r="P491" s="191"/>
    </row>
    <row r="492" spans="1:16" ht="21.75" customHeight="1" x14ac:dyDescent="0.2">
      <c r="A492" s="410"/>
      <c r="B492" s="411"/>
      <c r="C492" s="411"/>
      <c r="D492" s="412"/>
      <c r="E492" s="205"/>
      <c r="F492" s="205"/>
      <c r="G492" s="206"/>
      <c r="H492" s="430" t="s">
        <v>37</v>
      </c>
      <c r="I492" s="212">
        <f ca="1">IFERROR(__xludf.DUMMYFUNCTION("IMPORTRANGE(""https://docs.google.com/spreadsheets/d/11923uPwbBZFjjGgGUA6NLw09EwE0CqkOc4q9oUmW1yo/edit?usp=sharing"",""พิจิตร!I387"")"),0)</f>
        <v>0</v>
      </c>
      <c r="J492" s="198">
        <f ca="1">IFERROR(__xludf.DUMMYFUNCTION("IMPORTRANGE(""https://docs.google.com/spreadsheets/d/11923uPwbBZFjjGgGUA6NLw09EwE0CqkOc4q9oUmW1yo/edit?usp=sharing"",""พิจิตร!J387"")"),0)</f>
        <v>0</v>
      </c>
      <c r="K492" s="171">
        <f t="shared" ca="1" si="117"/>
        <v>0</v>
      </c>
      <c r="L492" s="191"/>
      <c r="M492" s="191"/>
      <c r="N492" s="191"/>
      <c r="O492" s="191"/>
      <c r="P492" s="191"/>
    </row>
    <row r="493" spans="1:16" ht="21.75" customHeight="1" x14ac:dyDescent="0.2">
      <c r="A493" s="410"/>
      <c r="B493" s="411"/>
      <c r="C493" s="411"/>
      <c r="D493" s="412"/>
      <c r="E493" s="205"/>
      <c r="F493" s="204" t="s">
        <v>182</v>
      </c>
      <c r="G493" s="429"/>
      <c r="H493" s="430" t="s">
        <v>123</v>
      </c>
      <c r="I493" s="212">
        <f ca="1">IFERROR(__xludf.DUMMYFUNCTION("IMPORTRANGE(""https://docs.google.com/spreadsheets/d/11923uPwbBZFjjGgGUA6NLw09EwE0CqkOc4q9oUmW1yo/edit?usp=sharing"",""พิจิตร!I388"")"),0)</f>
        <v>0</v>
      </c>
      <c r="J493" s="198">
        <f ca="1">IFERROR(__xludf.DUMMYFUNCTION("IMPORTRANGE(""https://docs.google.com/spreadsheets/d/11923uPwbBZFjjGgGUA6NLw09EwE0CqkOc4q9oUmW1yo/edit?usp=sharing"",""พิจิตร!J388"")"),0)</f>
        <v>0</v>
      </c>
      <c r="K493" s="171">
        <f t="shared" ca="1" si="117"/>
        <v>0</v>
      </c>
      <c r="L493" s="191"/>
      <c r="M493" s="191"/>
      <c r="N493" s="191"/>
      <c r="O493" s="191"/>
      <c r="P493" s="191"/>
    </row>
    <row r="494" spans="1:16" ht="21.75" customHeight="1" x14ac:dyDescent="0.2">
      <c r="A494" s="439"/>
      <c r="B494" s="440"/>
      <c r="C494" s="440"/>
      <c r="D494" s="441"/>
      <c r="E494" s="355"/>
      <c r="F494" s="355"/>
      <c r="G494" s="355"/>
      <c r="H494" s="442" t="s">
        <v>37</v>
      </c>
      <c r="I494" s="443">
        <f ca="1">IFERROR(__xludf.DUMMYFUNCTION("IMPORTRANGE(""https://docs.google.com/spreadsheets/d/11923uPwbBZFjjGgGUA6NLw09EwE0CqkOc4q9oUmW1yo/edit?usp=sharing"",""พิจิตร!I389"")"),0)</f>
        <v>0</v>
      </c>
      <c r="J494" s="444">
        <f ca="1">IFERROR(__xludf.DUMMYFUNCTION("IMPORTRANGE(""https://docs.google.com/spreadsheets/d/11923uPwbBZFjjGgGUA6NLw09EwE0CqkOc4q9oUmW1yo/edit?usp=sharing"",""พิจิตร!J389"")"),0)</f>
        <v>0</v>
      </c>
      <c r="K494" s="296">
        <f t="shared" ca="1" si="117"/>
        <v>0</v>
      </c>
      <c r="L494" s="254"/>
      <c r="M494" s="254"/>
      <c r="N494" s="254"/>
      <c r="O494" s="254"/>
      <c r="P494" s="254"/>
    </row>
    <row r="495" spans="1:16" ht="21.75" customHeight="1" x14ac:dyDescent="0.2">
      <c r="A495" s="410"/>
      <c r="B495" s="411"/>
      <c r="C495" s="411"/>
      <c r="D495" s="412"/>
      <c r="E495" s="205"/>
      <c r="F495" s="205">
        <v>3.5</v>
      </c>
      <c r="G495" s="429" t="s">
        <v>183</v>
      </c>
      <c r="H495" s="430" t="s">
        <v>123</v>
      </c>
      <c r="I495" s="443">
        <f ca="1">IFERROR(__xludf.DUMMYFUNCTION("IMPORTRANGE(""https://docs.google.com/spreadsheets/d/11923uPwbBZFjjGgGUA6NLw09EwE0CqkOc4q9oUmW1yo/edit?usp=sharing"",""พิจิตร!I390"")"),0)</f>
        <v>0</v>
      </c>
      <c r="J495" s="444">
        <f ca="1">IFERROR(__xludf.DUMMYFUNCTION("IMPORTRANGE(""https://docs.google.com/spreadsheets/d/11923uPwbBZFjjGgGUA6NLw09EwE0CqkOc4q9oUmW1yo/edit?usp=sharing"",""พิจิตร!J390"")"),0)</f>
        <v>0</v>
      </c>
      <c r="K495" s="171">
        <f t="shared" ca="1" si="117"/>
        <v>0</v>
      </c>
      <c r="L495" s="191"/>
      <c r="M495" s="191"/>
      <c r="N495" s="191"/>
      <c r="O495" s="191"/>
      <c r="P495" s="191"/>
    </row>
    <row r="496" spans="1:16" ht="21.75" customHeight="1" x14ac:dyDescent="0.2">
      <c r="A496" s="439"/>
      <c r="B496" s="440"/>
      <c r="C496" s="440"/>
      <c r="D496" s="441"/>
      <c r="E496" s="355"/>
      <c r="F496" s="355"/>
      <c r="G496" s="355"/>
      <c r="H496" s="442" t="s">
        <v>37</v>
      </c>
      <c r="I496" s="443">
        <f ca="1">IFERROR(__xludf.DUMMYFUNCTION("IMPORTRANGE(""https://docs.google.com/spreadsheets/d/11923uPwbBZFjjGgGUA6NLw09EwE0CqkOc4q9oUmW1yo/edit?usp=sharing"",""พิจิตร!I391"")"),0)</f>
        <v>0</v>
      </c>
      <c r="J496" s="444">
        <f ca="1">IFERROR(__xludf.DUMMYFUNCTION("IMPORTRANGE(""https://docs.google.com/spreadsheets/d/11923uPwbBZFjjGgGUA6NLw09EwE0CqkOc4q9oUmW1yo/edit?usp=sharing"",""พิจิตร!J391"")"),0)</f>
        <v>0</v>
      </c>
      <c r="K496" s="296">
        <f t="shared" ca="1" si="117"/>
        <v>0</v>
      </c>
      <c r="L496" s="254"/>
      <c r="M496" s="254"/>
      <c r="N496" s="254"/>
      <c r="O496" s="254"/>
      <c r="P496" s="254"/>
    </row>
    <row r="497" spans="1:16" ht="21.75" customHeight="1" x14ac:dyDescent="0.2">
      <c r="A497" s="445"/>
      <c r="B497" s="446"/>
      <c r="C497" s="447" t="s">
        <v>184</v>
      </c>
      <c r="D497" s="447"/>
      <c r="E497" s="448"/>
      <c r="F497" s="448"/>
      <c r="G497" s="449"/>
      <c r="H497" s="450" t="s">
        <v>123</v>
      </c>
      <c r="I497" s="451">
        <f ca="1">IFERROR(__xludf.DUMMYFUNCTION("IMPORTRANGE(""https://docs.google.com/spreadsheets/d/11923uPwbBZFjjGgGUA6NLw09EwE0CqkOc4q9oUmW1yo/edit?usp=sharing"",""พิจิตร!I392"")"),1363)</f>
        <v>1363</v>
      </c>
      <c r="J497" s="451">
        <f ca="1">IFERROR(__xludf.DUMMYFUNCTION("IMPORTRANGE(""https://docs.google.com/spreadsheets/d/11923uPwbBZFjjGgGUA6NLw09EwE0CqkOc4q9oUmW1yo/edit?usp=sharing"",""พิจิตร!J392"")"),0)</f>
        <v>0</v>
      </c>
      <c r="K497" s="452">
        <f t="shared" ca="1" si="117"/>
        <v>0</v>
      </c>
      <c r="L497" s="453"/>
      <c r="M497" s="453"/>
      <c r="N497" s="453"/>
      <c r="O497" s="453"/>
      <c r="P497" s="453"/>
    </row>
    <row r="498" spans="1:16" ht="21.75" customHeight="1" x14ac:dyDescent="0.2">
      <c r="A498" s="185"/>
      <c r="B498" s="186"/>
      <c r="C498" s="186"/>
      <c r="D498" s="412"/>
      <c r="E498" s="454" t="s">
        <v>185</v>
      </c>
      <c r="F498" s="455"/>
      <c r="G498" s="456"/>
      <c r="H498" s="457" t="s">
        <v>123</v>
      </c>
      <c r="I498" s="428">
        <f ca="1">IFERROR(__xludf.DUMMYFUNCTION("IMPORTRANGE(""https://docs.google.com/spreadsheets/d/11923uPwbBZFjjGgGUA6NLw09EwE0CqkOc4q9oUmW1yo/edit?usp=sharing"",""พิจิตร!I393"")"),1363)</f>
        <v>1363</v>
      </c>
      <c r="J498" s="428">
        <f ca="1">IFERROR(__xludf.DUMMYFUNCTION("IMPORTRANGE(""https://docs.google.com/spreadsheets/d/11923uPwbBZFjjGgGUA6NLw09EwE0CqkOc4q9oUmW1yo/edit?usp=sharing"",""พิจิตร!J393"")"),0)</f>
        <v>0</v>
      </c>
      <c r="K498" s="171">
        <f t="shared" ca="1" si="117"/>
        <v>0</v>
      </c>
      <c r="L498" s="191"/>
      <c r="M498" s="191"/>
      <c r="N498" s="191"/>
      <c r="O498" s="191"/>
      <c r="P498" s="191"/>
    </row>
    <row r="499" spans="1:16" ht="21.75" customHeight="1" x14ac:dyDescent="0.2">
      <c r="A499" s="185"/>
      <c r="B499" s="186"/>
      <c r="C499" s="186"/>
      <c r="D499" s="203"/>
      <c r="E499" s="455"/>
      <c r="F499" s="455"/>
      <c r="G499" s="456"/>
      <c r="H499" s="457" t="s">
        <v>37</v>
      </c>
      <c r="I499" s="428">
        <f ca="1">IFERROR(__xludf.DUMMYFUNCTION("IMPORTRANGE(""https://docs.google.com/spreadsheets/d/11923uPwbBZFjjGgGUA6NLw09EwE0CqkOc4q9oUmW1yo/edit?usp=sharing"",""พิจิตร!I394"")"),69)</f>
        <v>69</v>
      </c>
      <c r="J499" s="428">
        <f ca="1">IFERROR(__xludf.DUMMYFUNCTION("IMPORTRANGE(""https://docs.google.com/spreadsheets/d/11923uPwbBZFjjGgGUA6NLw09EwE0CqkOc4q9oUmW1yo/edit?usp=sharing"",""พิจิตร!J394"")"),0)</f>
        <v>0</v>
      </c>
      <c r="K499" s="211">
        <f t="shared" ca="1" si="117"/>
        <v>0</v>
      </c>
      <c r="L499" s="191"/>
      <c r="M499" s="191"/>
      <c r="N499" s="191"/>
      <c r="O499" s="191"/>
      <c r="P499" s="191"/>
    </row>
    <row r="500" spans="1:16" ht="21.75" customHeight="1" x14ac:dyDescent="0.2">
      <c r="A500" s="185"/>
      <c r="B500" s="186"/>
      <c r="C500" s="186"/>
      <c r="D500" s="412"/>
      <c r="E500" s="412" t="s">
        <v>186</v>
      </c>
      <c r="F500" s="205"/>
      <c r="G500" s="206"/>
      <c r="H500" s="430" t="s">
        <v>123</v>
      </c>
      <c r="I500" s="212">
        <f ca="1">IFERROR(__xludf.DUMMYFUNCTION("IMPORTRANGE(""https://docs.google.com/spreadsheets/d/11923uPwbBZFjjGgGUA6NLw09EwE0CqkOc4q9oUmW1yo/edit?usp=sharing"",""พิจิตร!I395"")"),0)</f>
        <v>0</v>
      </c>
      <c r="J500" s="170">
        <f ca="1">IFERROR(__xludf.DUMMYFUNCTION("IMPORTRANGE(""https://docs.google.com/spreadsheets/d/11923uPwbBZFjjGgGUA6NLw09EwE0CqkOc4q9oUmW1yo/edit?usp=sharing"",""พิจิตร!J395"")"),0)</f>
        <v>0</v>
      </c>
      <c r="K500" s="171">
        <f t="shared" ca="1" si="117"/>
        <v>0</v>
      </c>
      <c r="L500" s="191"/>
      <c r="M500" s="191"/>
      <c r="N500" s="191"/>
      <c r="O500" s="191"/>
      <c r="P500" s="191"/>
    </row>
    <row r="501" spans="1:16" ht="21.75" customHeight="1" x14ac:dyDescent="0.2">
      <c r="A501" s="185"/>
      <c r="B501" s="186"/>
      <c r="C501" s="186"/>
      <c r="D501" s="203"/>
      <c r="E501" s="205"/>
      <c r="F501" s="205"/>
      <c r="G501" s="206"/>
      <c r="H501" s="430" t="s">
        <v>37</v>
      </c>
      <c r="I501" s="212">
        <f ca="1">IFERROR(__xludf.DUMMYFUNCTION("IMPORTRANGE(""https://docs.google.com/spreadsheets/d/11923uPwbBZFjjGgGUA6NLw09EwE0CqkOc4q9oUmW1yo/edit?usp=sharing"",""พิจิตร!I396"")"),0)</f>
        <v>0</v>
      </c>
      <c r="J501" s="170">
        <f ca="1">IFERROR(__xludf.DUMMYFUNCTION("IMPORTRANGE(""https://docs.google.com/spreadsheets/d/11923uPwbBZFjjGgGUA6NLw09EwE0CqkOc4q9oUmW1yo/edit?usp=sharing"",""พิจิตร!J396"")"),0)</f>
        <v>0</v>
      </c>
      <c r="K501" s="171">
        <f t="shared" ca="1" si="117"/>
        <v>0</v>
      </c>
      <c r="L501" s="191"/>
      <c r="M501" s="191"/>
      <c r="N501" s="191"/>
      <c r="O501" s="191"/>
      <c r="P501" s="191"/>
    </row>
    <row r="502" spans="1:16" ht="21.75" customHeight="1" x14ac:dyDescent="0.2">
      <c r="A502" s="185"/>
      <c r="B502" s="186"/>
      <c r="C502" s="186"/>
      <c r="D502" s="203"/>
      <c r="E502" s="205"/>
      <c r="F502" s="407" t="s">
        <v>187</v>
      </c>
      <c r="G502" s="429"/>
      <c r="H502" s="430" t="s">
        <v>123</v>
      </c>
      <c r="I502" s="212">
        <f ca="1">IFERROR(__xludf.DUMMYFUNCTION("IMPORTRANGE(""https://docs.google.com/spreadsheets/d/11923uPwbBZFjjGgGUA6NLw09EwE0CqkOc4q9oUmW1yo/edit?usp=sharing"",""พิจิตร!I397"")"),0)</f>
        <v>0</v>
      </c>
      <c r="J502" s="198">
        <f ca="1">IFERROR(__xludf.DUMMYFUNCTION("IMPORTRANGE(""https://docs.google.com/spreadsheets/d/11923uPwbBZFjjGgGUA6NLw09EwE0CqkOc4q9oUmW1yo/edit?usp=sharing"",""พิจิตร!J397"")"),0)</f>
        <v>0</v>
      </c>
      <c r="K502" s="171">
        <f t="shared" ca="1" si="117"/>
        <v>0</v>
      </c>
      <c r="L502" s="191"/>
      <c r="M502" s="191"/>
      <c r="N502" s="191"/>
      <c r="O502" s="191"/>
      <c r="P502" s="191"/>
    </row>
    <row r="503" spans="1:16" ht="21.75" customHeight="1" x14ac:dyDescent="0.2">
      <c r="A503" s="185"/>
      <c r="B503" s="186"/>
      <c r="C503" s="186"/>
      <c r="D503" s="203"/>
      <c r="E503" s="205"/>
      <c r="F503" s="205"/>
      <c r="G503" s="429"/>
      <c r="H503" s="430" t="s">
        <v>37</v>
      </c>
      <c r="I503" s="197">
        <f ca="1">IFERROR(__xludf.DUMMYFUNCTION("IMPORTRANGE(""https://docs.google.com/spreadsheets/d/11923uPwbBZFjjGgGUA6NLw09EwE0CqkOc4q9oUmW1yo/edit?usp=sharing"",""พิจิตร!I398"")"),0)</f>
        <v>0</v>
      </c>
      <c r="J503" s="207">
        <f ca="1">IFERROR(__xludf.DUMMYFUNCTION("IMPORTRANGE(""https://docs.google.com/spreadsheets/d/11923uPwbBZFjjGgGUA6NLw09EwE0CqkOc4q9oUmW1yo/edit?usp=sharing"",""พิจิตร!J398"")"),0)</f>
        <v>0</v>
      </c>
      <c r="K503" s="171">
        <f t="shared" ca="1" si="117"/>
        <v>0</v>
      </c>
      <c r="L503" s="191"/>
      <c r="M503" s="191"/>
      <c r="N503" s="191"/>
      <c r="O503" s="191"/>
      <c r="P503" s="191"/>
    </row>
    <row r="504" spans="1:16" ht="21.75" customHeight="1" x14ac:dyDescent="0.2">
      <c r="A504" s="185"/>
      <c r="B504" s="186"/>
      <c r="C504" s="186"/>
      <c r="D504" s="203"/>
      <c r="E504" s="205"/>
      <c r="F504" s="398" t="s">
        <v>188</v>
      </c>
      <c r="G504" s="429"/>
      <c r="H504" s="430" t="s">
        <v>123</v>
      </c>
      <c r="I504" s="213">
        <f ca="1">IFERROR(__xludf.DUMMYFUNCTION("IMPORTRANGE(""https://docs.google.com/spreadsheets/d/11923uPwbBZFjjGgGUA6NLw09EwE0CqkOc4q9oUmW1yo/edit?usp=sharing"",""พิจิตร!I399"")"),0)</f>
        <v>0</v>
      </c>
      <c r="J504" s="198">
        <f ca="1">IFERROR(__xludf.DUMMYFUNCTION("IMPORTRANGE(""https://docs.google.com/spreadsheets/d/11923uPwbBZFjjGgGUA6NLw09EwE0CqkOc4q9oUmW1yo/edit?usp=sharing"",""พิจิตร!J399"")"),0)</f>
        <v>0</v>
      </c>
      <c r="K504" s="171">
        <f t="shared" ca="1" si="117"/>
        <v>0</v>
      </c>
      <c r="L504" s="191"/>
      <c r="M504" s="191"/>
      <c r="N504" s="191"/>
      <c r="O504" s="191"/>
      <c r="P504" s="191"/>
    </row>
    <row r="505" spans="1:16" ht="21.75" customHeight="1" x14ac:dyDescent="0.2">
      <c r="A505" s="185"/>
      <c r="B505" s="186"/>
      <c r="C505" s="186"/>
      <c r="D505" s="203"/>
      <c r="E505" s="205"/>
      <c r="F505" s="205"/>
      <c r="G505" s="429"/>
      <c r="H505" s="430" t="s">
        <v>37</v>
      </c>
      <c r="I505" s="197">
        <f ca="1">IFERROR(__xludf.DUMMYFUNCTION("IMPORTRANGE(""https://docs.google.com/spreadsheets/d/11923uPwbBZFjjGgGUA6NLw09EwE0CqkOc4q9oUmW1yo/edit?usp=sharing"",""พิจิตร!I400"")"),0)</f>
        <v>0</v>
      </c>
      <c r="J505" s="207">
        <f ca="1">IFERROR(__xludf.DUMMYFUNCTION("IMPORTRANGE(""https://docs.google.com/spreadsheets/d/11923uPwbBZFjjGgGUA6NLw09EwE0CqkOc4q9oUmW1yo/edit?usp=sharing"",""พิจิตร!J400"")"),0)</f>
        <v>0</v>
      </c>
      <c r="K505" s="171">
        <f t="shared" ca="1" si="117"/>
        <v>0</v>
      </c>
      <c r="L505" s="191"/>
      <c r="M505" s="191"/>
      <c r="N505" s="191"/>
      <c r="O505" s="191"/>
      <c r="P505" s="191"/>
    </row>
    <row r="506" spans="1:16" ht="21.75" customHeight="1" x14ac:dyDescent="0.2">
      <c r="A506" s="185"/>
      <c r="B506" s="186"/>
      <c r="C506" s="186"/>
      <c r="D506" s="203"/>
      <c r="E506" s="205"/>
      <c r="F506" s="407" t="s">
        <v>189</v>
      </c>
      <c r="G506" s="429"/>
      <c r="H506" s="430" t="s">
        <v>123</v>
      </c>
      <c r="I506" s="213">
        <f ca="1">IFERROR(__xludf.DUMMYFUNCTION("IMPORTRANGE(""https://docs.google.com/spreadsheets/d/11923uPwbBZFjjGgGUA6NLw09EwE0CqkOc4q9oUmW1yo/edit?usp=sharing"",""พิจิตร!I401"")"),0)</f>
        <v>0</v>
      </c>
      <c r="J506" s="198">
        <f ca="1">IFERROR(__xludf.DUMMYFUNCTION("IMPORTRANGE(""https://docs.google.com/spreadsheets/d/11923uPwbBZFjjGgGUA6NLw09EwE0CqkOc4q9oUmW1yo/edit?usp=sharing"",""พิจิตร!J401"")"),0)</f>
        <v>0</v>
      </c>
      <c r="K506" s="171">
        <f t="shared" ca="1" si="117"/>
        <v>0</v>
      </c>
      <c r="L506" s="191"/>
      <c r="M506" s="191"/>
      <c r="N506" s="191"/>
      <c r="O506" s="191"/>
      <c r="P506" s="191"/>
    </row>
    <row r="507" spans="1:16" ht="21.75" customHeight="1" x14ac:dyDescent="0.2">
      <c r="A507" s="185"/>
      <c r="B507" s="186"/>
      <c r="C507" s="186"/>
      <c r="D507" s="203"/>
      <c r="E507" s="205"/>
      <c r="F507" s="205"/>
      <c r="G507" s="205"/>
      <c r="H507" s="430" t="s">
        <v>37</v>
      </c>
      <c r="I507" s="197">
        <f ca="1">IFERROR(__xludf.DUMMYFUNCTION("IMPORTRANGE(""https://docs.google.com/spreadsheets/d/11923uPwbBZFjjGgGUA6NLw09EwE0CqkOc4q9oUmW1yo/edit?usp=sharing"",""พิจิตร!I402"")"),0)</f>
        <v>0</v>
      </c>
      <c r="J507" s="207">
        <f ca="1">IFERROR(__xludf.DUMMYFUNCTION("IMPORTRANGE(""https://docs.google.com/spreadsheets/d/11923uPwbBZFjjGgGUA6NLw09EwE0CqkOc4q9oUmW1yo/edit?usp=sharing"",""พิจิตร!J402"")"),0)</f>
        <v>0</v>
      </c>
      <c r="K507" s="171">
        <f t="shared" ca="1" si="117"/>
        <v>0</v>
      </c>
      <c r="L507" s="191"/>
      <c r="M507" s="191"/>
      <c r="N507" s="191"/>
      <c r="O507" s="191"/>
      <c r="P507" s="191"/>
    </row>
    <row r="508" spans="1:16" ht="21.75" customHeight="1" x14ac:dyDescent="0.2">
      <c r="A508" s="185"/>
      <c r="B508" s="186"/>
      <c r="C508" s="186"/>
      <c r="D508" s="203"/>
      <c r="E508" s="204" t="s">
        <v>190</v>
      </c>
      <c r="F508" s="205"/>
      <c r="G508" s="429"/>
      <c r="H508" s="430" t="s">
        <v>123</v>
      </c>
      <c r="I508" s="197">
        <f ca="1">IFERROR(__xludf.DUMMYFUNCTION("IMPORTRANGE(""https://docs.google.com/spreadsheets/d/11923uPwbBZFjjGgGUA6NLw09EwE0CqkOc4q9oUmW1yo/edit?usp=sharing"",""พิจิตร!I403"")"),0)</f>
        <v>0</v>
      </c>
      <c r="J508" s="170">
        <f ca="1">IFERROR(__xludf.DUMMYFUNCTION("IMPORTRANGE(""https://docs.google.com/spreadsheets/d/11923uPwbBZFjjGgGUA6NLw09EwE0CqkOc4q9oUmW1yo/edit?usp=sharing"",""พิจิตร!J403"")"),0)</f>
        <v>0</v>
      </c>
      <c r="K508" s="171">
        <f t="shared" ca="1" si="117"/>
        <v>0</v>
      </c>
      <c r="L508" s="191"/>
      <c r="M508" s="191"/>
      <c r="N508" s="191"/>
      <c r="O508" s="191"/>
      <c r="P508" s="191"/>
    </row>
    <row r="509" spans="1:16" ht="21.75" customHeight="1" x14ac:dyDescent="0.2">
      <c r="A509" s="185"/>
      <c r="B509" s="186"/>
      <c r="C509" s="186"/>
      <c r="D509" s="203"/>
      <c r="E509" s="205"/>
      <c r="F509" s="205"/>
      <c r="G509" s="205"/>
      <c r="H509" s="430" t="s">
        <v>37</v>
      </c>
      <c r="I509" s="197">
        <f ca="1">IFERROR(__xludf.DUMMYFUNCTION("IMPORTRANGE(""https://docs.google.com/spreadsheets/d/11923uPwbBZFjjGgGUA6NLw09EwE0CqkOc4q9oUmW1yo/edit?usp=sharing"",""พิจิตร!I404"")"),0)</f>
        <v>0</v>
      </c>
      <c r="J509" s="170">
        <f ca="1">IFERROR(__xludf.DUMMYFUNCTION("IMPORTRANGE(""https://docs.google.com/spreadsheets/d/11923uPwbBZFjjGgGUA6NLw09EwE0CqkOc4q9oUmW1yo/edit?usp=sharing"",""พิจิตร!J404"")"),0)</f>
        <v>0</v>
      </c>
      <c r="K509" s="171">
        <f t="shared" ca="1" si="117"/>
        <v>0</v>
      </c>
      <c r="L509" s="191"/>
      <c r="M509" s="191"/>
      <c r="N509" s="191"/>
      <c r="O509" s="191"/>
      <c r="P509" s="191"/>
    </row>
    <row r="510" spans="1:16" ht="21.75" customHeight="1" x14ac:dyDescent="0.2">
      <c r="A510" s="185"/>
      <c r="B510" s="186"/>
      <c r="C510" s="186"/>
      <c r="D510" s="203"/>
      <c r="E510" s="205"/>
      <c r="F510" s="204" t="s">
        <v>191</v>
      </c>
      <c r="G510" s="205"/>
      <c r="H510" s="430" t="s">
        <v>123</v>
      </c>
      <c r="I510" s="197">
        <f ca="1">IFERROR(__xludf.DUMMYFUNCTION("IMPORTRANGE(""https://docs.google.com/spreadsheets/d/11923uPwbBZFjjGgGUA6NLw09EwE0CqkOc4q9oUmW1yo/edit?usp=sharing"",""พิจิตร!I405"")"),0)</f>
        <v>0</v>
      </c>
      <c r="J510" s="207">
        <f ca="1">IFERROR(__xludf.DUMMYFUNCTION("IMPORTRANGE(""https://docs.google.com/spreadsheets/d/11923uPwbBZFjjGgGUA6NLw09EwE0CqkOc4q9oUmW1yo/edit?usp=sharing"",""พิจิตร!J405"")"),0)</f>
        <v>0</v>
      </c>
      <c r="K510" s="171">
        <f t="shared" ca="1" si="117"/>
        <v>0</v>
      </c>
      <c r="L510" s="191"/>
      <c r="M510" s="191"/>
      <c r="N510" s="191"/>
      <c r="O510" s="191"/>
      <c r="P510" s="191"/>
    </row>
    <row r="511" spans="1:16" ht="21.75" customHeight="1" x14ac:dyDescent="0.2">
      <c r="A511" s="185"/>
      <c r="B511" s="186"/>
      <c r="C511" s="186"/>
      <c r="D511" s="203"/>
      <c r="E511" s="205"/>
      <c r="F511" s="205"/>
      <c r="G511" s="205"/>
      <c r="H511" s="430" t="s">
        <v>37</v>
      </c>
      <c r="I511" s="197">
        <f ca="1">IFERROR(__xludf.DUMMYFUNCTION("IMPORTRANGE(""https://docs.google.com/spreadsheets/d/11923uPwbBZFjjGgGUA6NLw09EwE0CqkOc4q9oUmW1yo/edit?usp=sharing"",""พิจิตร!I406"")"),0)</f>
        <v>0</v>
      </c>
      <c r="J511" s="207">
        <f ca="1">IFERROR(__xludf.DUMMYFUNCTION("IMPORTRANGE(""https://docs.google.com/spreadsheets/d/11923uPwbBZFjjGgGUA6NLw09EwE0CqkOc4q9oUmW1yo/edit?usp=sharing"",""พิจิตร!J406"")"),0)</f>
        <v>0</v>
      </c>
      <c r="K511" s="171">
        <f t="shared" ca="1" si="117"/>
        <v>0</v>
      </c>
      <c r="L511" s="191"/>
      <c r="M511" s="191"/>
      <c r="N511" s="191"/>
      <c r="O511" s="191"/>
      <c r="P511" s="191"/>
    </row>
    <row r="512" spans="1:16" ht="21.75" customHeight="1" x14ac:dyDescent="0.2">
      <c r="A512" s="185"/>
      <c r="B512" s="186"/>
      <c r="C512" s="186"/>
      <c r="D512" s="203"/>
      <c r="E512" s="205"/>
      <c r="F512" s="204" t="s">
        <v>192</v>
      </c>
      <c r="G512" s="205"/>
      <c r="H512" s="430" t="s">
        <v>123</v>
      </c>
      <c r="I512" s="197">
        <f ca="1">IFERROR(__xludf.DUMMYFUNCTION("IMPORTRANGE(""https://docs.google.com/spreadsheets/d/11923uPwbBZFjjGgGUA6NLw09EwE0CqkOc4q9oUmW1yo/edit?usp=sharing"",""พิจิตร!I407"")"),0)</f>
        <v>0</v>
      </c>
      <c r="J512" s="207">
        <f ca="1">IFERROR(__xludf.DUMMYFUNCTION("IMPORTRANGE(""https://docs.google.com/spreadsheets/d/11923uPwbBZFjjGgGUA6NLw09EwE0CqkOc4q9oUmW1yo/edit?usp=sharing"",""พิจิตร!J407"")"),0)</f>
        <v>0</v>
      </c>
      <c r="K512" s="171">
        <f t="shared" ca="1" si="117"/>
        <v>0</v>
      </c>
      <c r="L512" s="191"/>
      <c r="M512" s="191"/>
      <c r="N512" s="191"/>
      <c r="O512" s="191"/>
      <c r="P512" s="191"/>
    </row>
    <row r="513" spans="1:16" ht="21.75" customHeight="1" x14ac:dyDescent="0.2">
      <c r="A513" s="185"/>
      <c r="B513" s="186"/>
      <c r="C513" s="186"/>
      <c r="D513" s="203"/>
      <c r="E513" s="205"/>
      <c r="F513" s="205"/>
      <c r="G513" s="206"/>
      <c r="H513" s="430" t="s">
        <v>37</v>
      </c>
      <c r="I513" s="197">
        <f ca="1">IFERROR(__xludf.DUMMYFUNCTION("IMPORTRANGE(""https://docs.google.com/spreadsheets/d/11923uPwbBZFjjGgGUA6NLw09EwE0CqkOc4q9oUmW1yo/edit?usp=sharing"",""พิจิตร!I408"")"),0)</f>
        <v>0</v>
      </c>
      <c r="J513" s="207">
        <f ca="1">IFERROR(__xludf.DUMMYFUNCTION("IMPORTRANGE(""https://docs.google.com/spreadsheets/d/11923uPwbBZFjjGgGUA6NLw09EwE0CqkOc4q9oUmW1yo/edit?usp=sharing"",""พิจิตร!J408"")"),0)</f>
        <v>0</v>
      </c>
      <c r="K513" s="171">
        <f t="shared" ca="1" si="117"/>
        <v>0</v>
      </c>
      <c r="L513" s="191"/>
      <c r="M513" s="191"/>
      <c r="N513" s="191"/>
      <c r="O513" s="191"/>
      <c r="P513" s="191"/>
    </row>
    <row r="514" spans="1:16" ht="21.75" customHeight="1" x14ac:dyDescent="0.2">
      <c r="A514" s="185"/>
      <c r="B514" s="186"/>
      <c r="C514" s="186"/>
      <c r="D514" s="412"/>
      <c r="E514" s="458" t="s">
        <v>193</v>
      </c>
      <c r="F514" s="205"/>
      <c r="G514" s="206"/>
      <c r="H514" s="430" t="s">
        <v>123</v>
      </c>
      <c r="I514" s="197">
        <f ca="1">IFERROR(__xludf.DUMMYFUNCTION("IMPORTRANGE(""https://docs.google.com/spreadsheets/d/11923uPwbBZFjjGgGUA6NLw09EwE0CqkOc4q9oUmW1yo/edit?usp=sharing"",""พิจิตร!I409"")"),0)</f>
        <v>0</v>
      </c>
      <c r="J514" s="207">
        <f ca="1">IFERROR(__xludf.DUMMYFUNCTION("IMPORTRANGE(""https://docs.google.com/spreadsheets/d/11923uPwbBZFjjGgGUA6NLw09EwE0CqkOc4q9oUmW1yo/edit?usp=sharing"",""พิจิตร!J409"")"),0)</f>
        <v>0</v>
      </c>
      <c r="K514" s="171">
        <f t="shared" ca="1" si="117"/>
        <v>0</v>
      </c>
      <c r="L514" s="191"/>
      <c r="M514" s="191"/>
      <c r="N514" s="191"/>
      <c r="O514" s="191"/>
      <c r="P514" s="191"/>
    </row>
    <row r="515" spans="1:16" ht="21.75" customHeight="1" x14ac:dyDescent="0.2">
      <c r="A515" s="185"/>
      <c r="B515" s="186"/>
      <c r="C515" s="186"/>
      <c r="D515" s="203"/>
      <c r="E515" s="205"/>
      <c r="F515" s="205"/>
      <c r="G515" s="206"/>
      <c r="H515" s="430" t="s">
        <v>37</v>
      </c>
      <c r="I515" s="197">
        <f ca="1">IFERROR(__xludf.DUMMYFUNCTION("IMPORTRANGE(""https://docs.google.com/spreadsheets/d/11923uPwbBZFjjGgGUA6NLw09EwE0CqkOc4q9oUmW1yo/edit?usp=sharing"",""พิจิตร!I410"")"),0)</f>
        <v>0</v>
      </c>
      <c r="J515" s="207">
        <f ca="1">IFERROR(__xludf.DUMMYFUNCTION("IMPORTRANGE(""https://docs.google.com/spreadsheets/d/11923uPwbBZFjjGgGUA6NLw09EwE0CqkOc4q9oUmW1yo/edit?usp=sharing"",""พิจิตร!J410"")"),0)</f>
        <v>0</v>
      </c>
      <c r="K515" s="171">
        <f t="shared" ca="1" si="117"/>
        <v>0</v>
      </c>
      <c r="L515" s="191"/>
      <c r="M515" s="191"/>
      <c r="N515" s="191"/>
      <c r="O515" s="191"/>
      <c r="P515" s="191"/>
    </row>
    <row r="516" spans="1:16" ht="21.75" customHeight="1" x14ac:dyDescent="0.2">
      <c r="A516" s="185"/>
      <c r="B516" s="186"/>
      <c r="C516" s="423" t="s">
        <v>194</v>
      </c>
      <c r="D516" s="423"/>
      <c r="E516" s="459"/>
      <c r="F516" s="459"/>
      <c r="G516" s="460"/>
      <c r="H516" s="461" t="s">
        <v>123</v>
      </c>
      <c r="I516" s="276">
        <f ca="1">IFERROR(__xludf.DUMMYFUNCTION("IMPORTRANGE(""https://docs.google.com/spreadsheets/d/11923uPwbBZFjjGgGUA6NLw09EwE0CqkOc4q9oUmW1yo/edit?usp=sharing"",""พิจิตร!I411"")"),0)</f>
        <v>0</v>
      </c>
      <c r="J516" s="276">
        <f ca="1">IFERROR(__xludf.DUMMYFUNCTION("IMPORTRANGE(""https://docs.google.com/spreadsheets/d/11923uPwbBZFjjGgGUA6NLw09EwE0CqkOc4q9oUmW1yo/edit?usp=sharing"",""พิจิตร!J411"")"),0)</f>
        <v>0</v>
      </c>
      <c r="K516" s="277">
        <v>0</v>
      </c>
      <c r="L516" s="191"/>
      <c r="M516" s="191"/>
      <c r="N516" s="191"/>
      <c r="O516" s="191"/>
      <c r="P516" s="191"/>
    </row>
    <row r="517" spans="1:16" ht="21.75" customHeight="1" x14ac:dyDescent="0.2">
      <c r="A517" s="185"/>
      <c r="B517" s="186"/>
      <c r="C517" s="462"/>
      <c r="D517" s="462"/>
      <c r="E517" s="462" t="s">
        <v>195</v>
      </c>
      <c r="F517" s="463"/>
      <c r="G517" s="464"/>
      <c r="H517" s="465" t="s">
        <v>123</v>
      </c>
      <c r="I517" s="292">
        <f ca="1">IFERROR(__xludf.DUMMYFUNCTION("IMPORTRANGE(""https://docs.google.com/spreadsheets/d/11923uPwbBZFjjGgGUA6NLw09EwE0CqkOc4q9oUmW1yo/edit?usp=sharing"",""พิจิตร!I412"")"),0)</f>
        <v>0</v>
      </c>
      <c r="J517" s="292">
        <f ca="1">IFERROR(__xludf.DUMMYFUNCTION("IMPORTRANGE(""https://docs.google.com/spreadsheets/d/11923uPwbBZFjjGgGUA6NLw09EwE0CqkOc4q9oUmW1yo/edit?usp=sharing"",""พิจิตร!J412"")"),0)</f>
        <v>0</v>
      </c>
      <c r="K517" s="293">
        <v>0</v>
      </c>
      <c r="L517" s="191"/>
      <c r="M517" s="191"/>
      <c r="N517" s="191"/>
      <c r="O517" s="191"/>
      <c r="P517" s="191"/>
    </row>
    <row r="518" spans="1:16" ht="21.75" customHeight="1" x14ac:dyDescent="0.2">
      <c r="A518" s="185"/>
      <c r="B518" s="186"/>
      <c r="C518" s="462"/>
      <c r="D518" s="462"/>
      <c r="E518" s="462" t="s">
        <v>196</v>
      </c>
      <c r="F518" s="463"/>
      <c r="G518" s="464"/>
      <c r="H518" s="465" t="s">
        <v>37</v>
      </c>
      <c r="I518" s="292">
        <f ca="1">IFERROR(__xludf.DUMMYFUNCTION("IMPORTRANGE(""https://docs.google.com/spreadsheets/d/11923uPwbBZFjjGgGUA6NLw09EwE0CqkOc4q9oUmW1yo/edit?usp=sharing"",""พิจิตร!I413"")"),0)</f>
        <v>0</v>
      </c>
      <c r="J518" s="292">
        <f ca="1">IFERROR(__xludf.DUMMYFUNCTION("IMPORTRANGE(""https://docs.google.com/spreadsheets/d/11923uPwbBZFjjGgGUA6NLw09EwE0CqkOc4q9oUmW1yo/edit?usp=sharing"",""พิจิตร!J413"")"),0)</f>
        <v>0</v>
      </c>
      <c r="K518" s="293">
        <v>0</v>
      </c>
      <c r="L518" s="191"/>
      <c r="M518" s="191"/>
      <c r="N518" s="191"/>
      <c r="O518" s="191"/>
      <c r="P518" s="191"/>
    </row>
    <row r="519" spans="1:16" ht="21.75" customHeight="1" x14ac:dyDescent="0.2">
      <c r="A519" s="185"/>
      <c r="B519" s="186"/>
      <c r="C519" s="186"/>
      <c r="D519" s="203"/>
      <c r="E519" s="205"/>
      <c r="F519" s="205"/>
      <c r="G519" s="235" t="s">
        <v>197</v>
      </c>
      <c r="H519" s="430" t="s">
        <v>123</v>
      </c>
      <c r="I519" s="197">
        <f ca="1">IFERROR(__xludf.DUMMYFUNCTION("IMPORTRANGE(""https://docs.google.com/spreadsheets/d/11923uPwbBZFjjGgGUA6NLw09EwE0CqkOc4q9oUmW1yo/edit?usp=sharing"",""พิจิตร!I414"")"),0)</f>
        <v>0</v>
      </c>
      <c r="J519" s="197">
        <f ca="1">IFERROR(__xludf.DUMMYFUNCTION("IMPORTRANGE(""https://docs.google.com/spreadsheets/d/11923uPwbBZFjjGgGUA6NLw09EwE0CqkOc4q9oUmW1yo/edit?usp=sharing"",""พิจิตร!J414"")"),0)</f>
        <v>0</v>
      </c>
      <c r="K519" s="171">
        <v>0</v>
      </c>
      <c r="L519" s="191"/>
      <c r="M519" s="191"/>
      <c r="N519" s="191"/>
      <c r="O519" s="191"/>
      <c r="P519" s="191"/>
    </row>
    <row r="520" spans="1:16" ht="21.75" customHeight="1" x14ac:dyDescent="0.2">
      <c r="A520" s="185"/>
      <c r="B520" s="186"/>
      <c r="C520" s="186"/>
      <c r="D520" s="203"/>
      <c r="E520" s="205"/>
      <c r="F520" s="205"/>
      <c r="G520" s="206"/>
      <c r="H520" s="430" t="s">
        <v>37</v>
      </c>
      <c r="I520" s="197">
        <f ca="1">IFERROR(__xludf.DUMMYFUNCTION("IMPORTRANGE(""https://docs.google.com/spreadsheets/d/11923uPwbBZFjjGgGUA6NLw09EwE0CqkOc4q9oUmW1yo/edit?usp=sharing"",""พิจิตร!I415"")"),0)</f>
        <v>0</v>
      </c>
      <c r="J520" s="197">
        <f ca="1">IFERROR(__xludf.DUMMYFUNCTION("IMPORTRANGE(""https://docs.google.com/spreadsheets/d/11923uPwbBZFjjGgGUA6NLw09EwE0CqkOc4q9oUmW1yo/edit?usp=sharing"",""พิจิตร!J415"")"),0)</f>
        <v>0</v>
      </c>
      <c r="K520" s="171">
        <v>0</v>
      </c>
      <c r="L520" s="191"/>
      <c r="M520" s="191"/>
      <c r="N520" s="191"/>
      <c r="O520" s="191"/>
      <c r="P520" s="191"/>
    </row>
    <row r="521" spans="1:16" ht="21.75" customHeight="1" x14ac:dyDescent="0.2">
      <c r="A521" s="185"/>
      <c r="B521" s="186"/>
      <c r="C521" s="186"/>
      <c r="D521" s="203"/>
      <c r="E521" s="205"/>
      <c r="F521" s="205"/>
      <c r="G521" s="235" t="s">
        <v>198</v>
      </c>
      <c r="H521" s="430" t="s">
        <v>123</v>
      </c>
      <c r="I521" s="197">
        <f ca="1">IFERROR(__xludf.DUMMYFUNCTION("IMPORTRANGE(""https://docs.google.com/spreadsheets/d/11923uPwbBZFjjGgGUA6NLw09EwE0CqkOc4q9oUmW1yo/edit?usp=sharing"",""พิจิตร!I416"")"),0)</f>
        <v>0</v>
      </c>
      <c r="J521" s="197">
        <f ca="1">IFERROR(__xludf.DUMMYFUNCTION("IMPORTRANGE(""https://docs.google.com/spreadsheets/d/11923uPwbBZFjjGgGUA6NLw09EwE0CqkOc4q9oUmW1yo/edit?usp=sharing"",""พิจิตร!J416"")"),0)</f>
        <v>0</v>
      </c>
      <c r="K521" s="171">
        <v>0</v>
      </c>
      <c r="L521" s="191"/>
      <c r="M521" s="191"/>
      <c r="N521" s="191"/>
      <c r="O521" s="191"/>
      <c r="P521" s="191"/>
    </row>
    <row r="522" spans="1:16" ht="21.75" customHeight="1" x14ac:dyDescent="0.2">
      <c r="A522" s="185"/>
      <c r="B522" s="186"/>
      <c r="C522" s="186"/>
      <c r="D522" s="203"/>
      <c r="E522" s="205"/>
      <c r="F522" s="205"/>
      <c r="G522" s="206"/>
      <c r="H522" s="430" t="s">
        <v>37</v>
      </c>
      <c r="I522" s="197">
        <f ca="1">IFERROR(__xludf.DUMMYFUNCTION("IMPORTRANGE(""https://docs.google.com/spreadsheets/d/11923uPwbBZFjjGgGUA6NLw09EwE0CqkOc4q9oUmW1yo/edit?usp=sharing"",""พิจิตร!I417"")"),0)</f>
        <v>0</v>
      </c>
      <c r="J522" s="197">
        <f ca="1">IFERROR(__xludf.DUMMYFUNCTION("IMPORTRANGE(""https://docs.google.com/spreadsheets/d/11923uPwbBZFjjGgGUA6NLw09EwE0CqkOc4q9oUmW1yo/edit?usp=sharing"",""พิจิตร!J417"")"),0)</f>
        <v>0</v>
      </c>
      <c r="K522" s="171">
        <v>0</v>
      </c>
      <c r="L522" s="191"/>
      <c r="M522" s="191"/>
      <c r="N522" s="191"/>
      <c r="O522" s="191"/>
      <c r="P522" s="191"/>
    </row>
    <row r="523" spans="1:16" ht="21.75" customHeight="1" x14ac:dyDescent="0.2">
      <c r="A523" s="185"/>
      <c r="B523" s="186"/>
      <c r="C523" s="186"/>
      <c r="D523" s="203"/>
      <c r="E523" s="205"/>
      <c r="F523" s="205"/>
      <c r="G523" s="466" t="s">
        <v>199</v>
      </c>
      <c r="H523" s="430" t="s">
        <v>123</v>
      </c>
      <c r="I523" s="197">
        <f ca="1">IFERROR(__xludf.DUMMYFUNCTION("IMPORTRANGE(""https://docs.google.com/spreadsheets/d/11923uPwbBZFjjGgGUA6NLw09EwE0CqkOc4q9oUmW1yo/edit?usp=sharing"",""พิจิตร!I418"")"),0)</f>
        <v>0</v>
      </c>
      <c r="J523" s="197">
        <f ca="1">IFERROR(__xludf.DUMMYFUNCTION("IMPORTRANGE(""https://docs.google.com/spreadsheets/d/11923uPwbBZFjjGgGUA6NLw09EwE0CqkOc4q9oUmW1yo/edit?usp=sharing"",""พิจิตร!J418"")"),0)</f>
        <v>0</v>
      </c>
      <c r="K523" s="171">
        <v>0</v>
      </c>
      <c r="L523" s="191"/>
      <c r="M523" s="191"/>
      <c r="N523" s="191"/>
      <c r="O523" s="191"/>
      <c r="P523" s="191"/>
    </row>
    <row r="524" spans="1:16" ht="21.75" customHeight="1" x14ac:dyDescent="0.2">
      <c r="A524" s="185"/>
      <c r="B524" s="186"/>
      <c r="C524" s="186"/>
      <c r="D524" s="203"/>
      <c r="E524" s="205"/>
      <c r="F524" s="205"/>
      <c r="G524" s="206"/>
      <c r="H524" s="430" t="s">
        <v>37</v>
      </c>
      <c r="I524" s="197">
        <f ca="1">IFERROR(__xludf.DUMMYFUNCTION("IMPORTRANGE(""https://docs.google.com/spreadsheets/d/11923uPwbBZFjjGgGUA6NLw09EwE0CqkOc4q9oUmW1yo/edit?usp=sharing"",""พิจิตร!I419"")"),0)</f>
        <v>0</v>
      </c>
      <c r="J524" s="197">
        <f ca="1">IFERROR(__xludf.DUMMYFUNCTION("IMPORTRANGE(""https://docs.google.com/spreadsheets/d/11923uPwbBZFjjGgGUA6NLw09EwE0CqkOc4q9oUmW1yo/edit?usp=sharing"",""พิจิตร!J419"")"),0)</f>
        <v>0</v>
      </c>
      <c r="K524" s="171">
        <v>0</v>
      </c>
      <c r="L524" s="191"/>
      <c r="M524" s="191"/>
      <c r="N524" s="191"/>
      <c r="O524" s="191"/>
      <c r="P524" s="191"/>
    </row>
    <row r="525" spans="1:16" ht="21.75" customHeight="1" x14ac:dyDescent="0.2">
      <c r="A525" s="185"/>
      <c r="B525" s="186"/>
      <c r="C525" s="462"/>
      <c r="D525" s="462"/>
      <c r="E525" s="462" t="s">
        <v>200</v>
      </c>
      <c r="F525" s="463"/>
      <c r="G525" s="464"/>
      <c r="H525" s="465" t="s">
        <v>123</v>
      </c>
      <c r="I525" s="292">
        <f ca="1">IFERROR(__xludf.DUMMYFUNCTION("IMPORTRANGE(""https://docs.google.com/spreadsheets/d/11923uPwbBZFjjGgGUA6NLw09EwE0CqkOc4q9oUmW1yo/edit?usp=sharing"",""พิจิตร!I420"")"),0)</f>
        <v>0</v>
      </c>
      <c r="J525" s="292">
        <f ca="1">IFERROR(__xludf.DUMMYFUNCTION("IMPORTRANGE(""https://docs.google.com/spreadsheets/d/11923uPwbBZFjjGgGUA6NLw09EwE0CqkOc4q9oUmW1yo/edit?usp=sharing"",""พิจิตร!J420"")"),0)</f>
        <v>0</v>
      </c>
      <c r="K525" s="293">
        <v>0</v>
      </c>
      <c r="L525" s="191"/>
      <c r="M525" s="191"/>
      <c r="N525" s="191"/>
      <c r="O525" s="191"/>
      <c r="P525" s="191"/>
    </row>
    <row r="526" spans="1:16" ht="21.75" customHeight="1" x14ac:dyDescent="0.2">
      <c r="A526" s="185"/>
      <c r="B526" s="186"/>
      <c r="C526" s="462"/>
      <c r="D526" s="462"/>
      <c r="E526" s="462" t="s">
        <v>201</v>
      </c>
      <c r="F526" s="463"/>
      <c r="G526" s="464"/>
      <c r="H526" s="465" t="s">
        <v>37</v>
      </c>
      <c r="I526" s="292">
        <f ca="1">IFERROR(__xludf.DUMMYFUNCTION("IMPORTRANGE(""https://docs.google.com/spreadsheets/d/11923uPwbBZFjjGgGUA6NLw09EwE0CqkOc4q9oUmW1yo/edit?usp=sharing"",""พิจิตร!I421"")"),0)</f>
        <v>0</v>
      </c>
      <c r="J526" s="292">
        <f ca="1">IFERROR(__xludf.DUMMYFUNCTION("IMPORTRANGE(""https://docs.google.com/spreadsheets/d/11923uPwbBZFjjGgGUA6NLw09EwE0CqkOc4q9oUmW1yo/edit?usp=sharing"",""พิจิตร!J421"")"),0)</f>
        <v>0</v>
      </c>
      <c r="K526" s="293">
        <v>0</v>
      </c>
      <c r="L526" s="191"/>
      <c r="M526" s="191"/>
      <c r="N526" s="191"/>
      <c r="O526" s="191"/>
      <c r="P526" s="191"/>
    </row>
    <row r="527" spans="1:16" ht="21.75" customHeight="1" x14ac:dyDescent="0.2">
      <c r="A527" s="185"/>
      <c r="B527" s="186"/>
      <c r="C527" s="186"/>
      <c r="D527" s="203"/>
      <c r="E527" s="205"/>
      <c r="F527" s="205"/>
      <c r="G527" s="235" t="s">
        <v>197</v>
      </c>
      <c r="H527" s="430" t="s">
        <v>123</v>
      </c>
      <c r="I527" s="197">
        <f ca="1">IFERROR(__xludf.DUMMYFUNCTION("IMPORTRANGE(""https://docs.google.com/spreadsheets/d/11923uPwbBZFjjGgGUA6NLw09EwE0CqkOc4q9oUmW1yo/edit?usp=sharing"",""พิจิตร!I422"")"),0)</f>
        <v>0</v>
      </c>
      <c r="J527" s="207">
        <f ca="1">IFERROR(__xludf.DUMMYFUNCTION("IMPORTRANGE(""https://docs.google.com/spreadsheets/d/11923uPwbBZFjjGgGUA6NLw09EwE0CqkOc4q9oUmW1yo/edit?usp=sharing"",""พิจิตร!J422"")"),0)</f>
        <v>0</v>
      </c>
      <c r="K527" s="171">
        <v>0</v>
      </c>
      <c r="L527" s="191"/>
      <c r="M527" s="191"/>
      <c r="N527" s="191"/>
      <c r="O527" s="191"/>
      <c r="P527" s="191"/>
    </row>
    <row r="528" spans="1:16" ht="21.75" customHeight="1" x14ac:dyDescent="0.2">
      <c r="A528" s="185"/>
      <c r="B528" s="186"/>
      <c r="C528" s="186"/>
      <c r="D528" s="203"/>
      <c r="E528" s="205"/>
      <c r="F528" s="205"/>
      <c r="G528" s="206"/>
      <c r="H528" s="430" t="s">
        <v>37</v>
      </c>
      <c r="I528" s="197">
        <f ca="1">IFERROR(__xludf.DUMMYFUNCTION("IMPORTRANGE(""https://docs.google.com/spreadsheets/d/11923uPwbBZFjjGgGUA6NLw09EwE0CqkOc4q9oUmW1yo/edit?usp=sharing"",""พิจิตร!I423"")"),0)</f>
        <v>0</v>
      </c>
      <c r="J528" s="207">
        <f ca="1">IFERROR(__xludf.DUMMYFUNCTION("IMPORTRANGE(""https://docs.google.com/spreadsheets/d/11923uPwbBZFjjGgGUA6NLw09EwE0CqkOc4q9oUmW1yo/edit?usp=sharing"",""พิจิตร!J423"")"),0)</f>
        <v>0</v>
      </c>
      <c r="K528" s="171">
        <v>0</v>
      </c>
      <c r="L528" s="191"/>
      <c r="M528" s="191"/>
      <c r="N528" s="191"/>
      <c r="O528" s="191"/>
      <c r="P528" s="191"/>
    </row>
    <row r="529" spans="1:16" ht="21.75" customHeight="1" x14ac:dyDescent="0.2">
      <c r="A529" s="185"/>
      <c r="B529" s="186"/>
      <c r="C529" s="186"/>
      <c r="D529" s="203"/>
      <c r="E529" s="205"/>
      <c r="F529" s="205"/>
      <c r="G529" s="235" t="s">
        <v>198</v>
      </c>
      <c r="H529" s="430" t="s">
        <v>123</v>
      </c>
      <c r="I529" s="197">
        <f ca="1">IFERROR(__xludf.DUMMYFUNCTION("IMPORTRANGE(""https://docs.google.com/spreadsheets/d/11923uPwbBZFjjGgGUA6NLw09EwE0CqkOc4q9oUmW1yo/edit?usp=sharing"",""พิจิตร!I424"")"),0)</f>
        <v>0</v>
      </c>
      <c r="J529" s="207">
        <f ca="1">IFERROR(__xludf.DUMMYFUNCTION("IMPORTRANGE(""https://docs.google.com/spreadsheets/d/11923uPwbBZFjjGgGUA6NLw09EwE0CqkOc4q9oUmW1yo/edit?usp=sharing"",""พิจิตร!J424"")"),0)</f>
        <v>0</v>
      </c>
      <c r="K529" s="171">
        <v>0</v>
      </c>
      <c r="L529" s="191"/>
      <c r="M529" s="191"/>
      <c r="N529" s="191"/>
      <c r="O529" s="191"/>
      <c r="P529" s="191"/>
    </row>
    <row r="530" spans="1:16" ht="21.75" customHeight="1" x14ac:dyDescent="0.2">
      <c r="A530" s="185"/>
      <c r="B530" s="186"/>
      <c r="C530" s="186"/>
      <c r="D530" s="203"/>
      <c r="E530" s="205"/>
      <c r="F530" s="205"/>
      <c r="G530" s="206"/>
      <c r="H530" s="430" t="s">
        <v>37</v>
      </c>
      <c r="I530" s="197">
        <f ca="1">IFERROR(__xludf.DUMMYFUNCTION("IMPORTRANGE(""https://docs.google.com/spreadsheets/d/11923uPwbBZFjjGgGUA6NLw09EwE0CqkOc4q9oUmW1yo/edit?usp=sharing"",""พิจิตร!I425"")"),0)</f>
        <v>0</v>
      </c>
      <c r="J530" s="207">
        <f ca="1">IFERROR(__xludf.DUMMYFUNCTION("IMPORTRANGE(""https://docs.google.com/spreadsheets/d/11923uPwbBZFjjGgGUA6NLw09EwE0CqkOc4q9oUmW1yo/edit?usp=sharing"",""พิจิตร!J425"")"),0)</f>
        <v>0</v>
      </c>
      <c r="K530" s="171">
        <v>0</v>
      </c>
      <c r="L530" s="191"/>
      <c r="M530" s="191"/>
      <c r="N530" s="191"/>
      <c r="O530" s="191"/>
      <c r="P530" s="191"/>
    </row>
    <row r="531" spans="1:16" ht="21.75" customHeight="1" x14ac:dyDescent="0.2">
      <c r="A531" s="185"/>
      <c r="B531" s="186"/>
      <c r="C531" s="186"/>
      <c r="D531" s="203"/>
      <c r="E531" s="205"/>
      <c r="F531" s="205"/>
      <c r="G531" s="235" t="s">
        <v>202</v>
      </c>
      <c r="H531" s="430" t="s">
        <v>123</v>
      </c>
      <c r="I531" s="197">
        <f ca="1">IFERROR(__xludf.DUMMYFUNCTION("IMPORTRANGE(""https://docs.google.com/spreadsheets/d/11923uPwbBZFjjGgGUA6NLw09EwE0CqkOc4q9oUmW1yo/edit?usp=sharing"",""พิจิตร!I426"")"),0)</f>
        <v>0</v>
      </c>
      <c r="J531" s="207">
        <f ca="1">IFERROR(__xludf.DUMMYFUNCTION("IMPORTRANGE(""https://docs.google.com/spreadsheets/d/11923uPwbBZFjjGgGUA6NLw09EwE0CqkOc4q9oUmW1yo/edit?usp=sharing"",""พิจิตร!J426"")"),0)</f>
        <v>0</v>
      </c>
      <c r="K531" s="171">
        <v>0</v>
      </c>
      <c r="L531" s="191"/>
      <c r="M531" s="191"/>
      <c r="N531" s="191"/>
      <c r="O531" s="191"/>
      <c r="P531" s="191"/>
    </row>
    <row r="532" spans="1:16" ht="21.75" customHeight="1" x14ac:dyDescent="0.2">
      <c r="A532" s="467"/>
      <c r="B532" s="468"/>
      <c r="C532" s="468"/>
      <c r="D532" s="469"/>
      <c r="E532" s="470"/>
      <c r="F532" s="470"/>
      <c r="G532" s="471"/>
      <c r="H532" s="472" t="s">
        <v>37</v>
      </c>
      <c r="I532" s="473">
        <f ca="1">IFERROR(__xludf.DUMMYFUNCTION("IMPORTRANGE(""https://docs.google.com/spreadsheets/d/11923uPwbBZFjjGgGUA6NLw09EwE0CqkOc4q9oUmW1yo/edit?usp=sharing"",""พิจิตร!I427"")"),0)</f>
        <v>0</v>
      </c>
      <c r="J532" s="474">
        <f ca="1">IFERROR(__xludf.DUMMYFUNCTION("IMPORTRANGE(""https://docs.google.com/spreadsheets/d/11923uPwbBZFjjGgGUA6NLw09EwE0CqkOc4q9oUmW1yo/edit?usp=sharing"",""พิจิตร!J427"")"),0)</f>
        <v>0</v>
      </c>
      <c r="K532" s="475">
        <v>0</v>
      </c>
      <c r="L532" s="476"/>
      <c r="M532" s="476"/>
      <c r="N532" s="476"/>
      <c r="O532" s="476"/>
      <c r="P532" s="476"/>
    </row>
    <row r="533" spans="1:16" ht="21.75" customHeight="1" x14ac:dyDescent="0.2">
      <c r="A533" s="413"/>
      <c r="B533" s="414">
        <v>6</v>
      </c>
      <c r="C533" s="415" t="s">
        <v>203</v>
      </c>
      <c r="D533" s="415"/>
      <c r="E533" s="415"/>
      <c r="F533" s="415"/>
      <c r="G533" s="416"/>
      <c r="H533" s="417" t="s">
        <v>38</v>
      </c>
      <c r="I533" s="418">
        <f ca="1">IFERROR(__xludf.DUMMYFUNCTION("IMPORTRANGE(""https://docs.google.com/spreadsheets/d/11923uPwbBZFjjGgGUA6NLw09EwE0CqkOc4q9oUmW1yo/edit?usp=sharing"",""พิจิตร!I428"")"),22)</f>
        <v>22</v>
      </c>
      <c r="J533" s="418">
        <f ca="1">IFERROR(__xludf.DUMMYFUNCTION("IMPORTRANGE(""https://docs.google.com/spreadsheets/d/11923uPwbBZFjjGgGUA6NLw09EwE0CqkOc4q9oUmW1yo/edit?usp=sharing"",""พิจิตร!J428"")"),22)</f>
        <v>22</v>
      </c>
      <c r="K533" s="419">
        <f ca="1">IF(I533&gt;0,J533*100/I533,0)</f>
        <v>100</v>
      </c>
      <c r="L533" s="420">
        <f ca="1">IFERROR(__xludf.DUMMYFUNCTION("IMPORTRANGE(""https://docs.google.com/spreadsheets/d/11923uPwbBZFjjGgGUA6NLw09EwE0CqkOc4q9oUmW1yo/edit?usp=sharing"",""พิจิตร!L428"")"),34340)</f>
        <v>34340</v>
      </c>
      <c r="M533" s="420"/>
      <c r="N533" s="420">
        <f ca="1">IFERROR(__xludf.DUMMYFUNCTION("IMPORTRANGE(""https://docs.google.com/spreadsheets/d/11923uPwbBZFjjGgGUA6NLw09EwE0CqkOc4q9oUmW1yo/edit?usp=sharing"",""พิจิตร!M428"")"),18181)</f>
        <v>18181</v>
      </c>
      <c r="O533" s="420">
        <f t="shared" ref="O533:O537" ca="1" si="118">+IF(L533&gt;0,N533*100/L533,0)</f>
        <v>52.944088526499712</v>
      </c>
      <c r="P533" s="420"/>
    </row>
    <row r="534" spans="1:16" ht="21.75" customHeight="1" x14ac:dyDescent="0.2">
      <c r="A534" s="164"/>
      <c r="B534" s="165"/>
      <c r="C534" s="165" t="s">
        <v>17</v>
      </c>
      <c r="D534" s="166" t="s">
        <v>39</v>
      </c>
      <c r="E534" s="167"/>
      <c r="F534" s="167"/>
      <c r="G534" s="168" t="s">
        <v>40</v>
      </c>
      <c r="H534" s="169" t="s">
        <v>13</v>
      </c>
      <c r="I534" s="170" t="s">
        <v>41</v>
      </c>
      <c r="J534" s="170"/>
      <c r="K534" s="171"/>
      <c r="L534" s="172">
        <f ca="1">IFERROR(__xludf.DUMMYFUNCTION("IMPORTRANGE(""https://docs.google.com/spreadsheets/d/11923uPwbBZFjjGgGUA6NLw09EwE0CqkOc4q9oUmW1yo/edit?usp=sharing"",""พิจิตร!L429"")"),0)</f>
        <v>0</v>
      </c>
      <c r="M534" s="172"/>
      <c r="N534" s="178">
        <f ca="1">IFERROR(__xludf.DUMMYFUNCTION("IMPORTRANGE(""https://docs.google.com/spreadsheets/d/11923uPwbBZFjjGgGUA6NLw09EwE0CqkOc4q9oUmW1yo/edit?usp=sharing"",""พิจิตร!M429"")"),0)</f>
        <v>0</v>
      </c>
      <c r="O534" s="178">
        <f t="shared" ca="1" si="118"/>
        <v>0</v>
      </c>
      <c r="P534" s="178"/>
    </row>
    <row r="535" spans="1:16" ht="21.75" customHeight="1" x14ac:dyDescent="0.2">
      <c r="A535" s="164"/>
      <c r="B535" s="165"/>
      <c r="C535" s="165"/>
      <c r="D535" s="174"/>
      <c r="E535" s="167"/>
      <c r="F535" s="167" t="s">
        <v>41</v>
      </c>
      <c r="G535" s="168" t="s">
        <v>42</v>
      </c>
      <c r="H535" s="169" t="s">
        <v>13</v>
      </c>
      <c r="I535" s="170"/>
      <c r="J535" s="170"/>
      <c r="K535" s="171"/>
      <c r="L535" s="173">
        <f ca="1">IFERROR(__xludf.DUMMYFUNCTION("IMPORTRANGE(""https://docs.google.com/spreadsheets/d/11923uPwbBZFjjGgGUA6NLw09EwE0CqkOc4q9oUmW1yo/edit?usp=sharing"",""พิจิตร!L430"")"),34340)</f>
        <v>34340</v>
      </c>
      <c r="M535" s="173"/>
      <c r="N535" s="178">
        <f ca="1">IFERROR(__xludf.DUMMYFUNCTION("IMPORTRANGE(""https://docs.google.com/spreadsheets/d/11923uPwbBZFjjGgGUA6NLw09EwE0CqkOc4q9oUmW1yo/edit?usp=sharing"",""พิจิตร!M430"")"),18181)</f>
        <v>18181</v>
      </c>
      <c r="O535" s="178">
        <f t="shared" ca="1" si="118"/>
        <v>52.944088526499712</v>
      </c>
      <c r="P535" s="178"/>
    </row>
    <row r="536" spans="1:16" ht="21.75" customHeight="1" x14ac:dyDescent="0.2">
      <c r="A536" s="164"/>
      <c r="B536" s="165"/>
      <c r="C536" s="165"/>
      <c r="D536" s="174"/>
      <c r="E536" s="167"/>
      <c r="F536" s="167"/>
      <c r="G536" s="382" t="s">
        <v>130</v>
      </c>
      <c r="H536" s="169" t="s">
        <v>13</v>
      </c>
      <c r="I536" s="170"/>
      <c r="J536" s="170"/>
      <c r="K536" s="171"/>
      <c r="L536" s="178">
        <f ca="1">IFERROR(__xludf.DUMMYFUNCTION("IMPORTRANGE(""https://docs.google.com/spreadsheets/d/11923uPwbBZFjjGgGUA6NLw09EwE0CqkOc4q9oUmW1yo/edit?usp=sharing"",""พิจิตร!L431"")"),0)</f>
        <v>0</v>
      </c>
      <c r="M536" s="178"/>
      <c r="N536" s="178">
        <f ca="1">IFERROR(__xludf.DUMMYFUNCTION("IMPORTRANGE(""https://docs.google.com/spreadsheets/d/11923uPwbBZFjjGgGUA6NLw09EwE0CqkOc4q9oUmW1yo/edit?usp=sharing"",""พิจิตร!M431"")"),0)</f>
        <v>0</v>
      </c>
      <c r="O536" s="178">
        <f t="shared" ca="1" si="118"/>
        <v>0</v>
      </c>
      <c r="P536" s="178"/>
    </row>
    <row r="537" spans="1:16" ht="21.75" customHeight="1" x14ac:dyDescent="0.2">
      <c r="A537" s="164"/>
      <c r="B537" s="165"/>
      <c r="C537" s="165"/>
      <c r="D537" s="174"/>
      <c r="E537" s="167"/>
      <c r="F537" s="167"/>
      <c r="G537" s="382" t="s">
        <v>131</v>
      </c>
      <c r="H537" s="169" t="s">
        <v>13</v>
      </c>
      <c r="I537" s="170"/>
      <c r="J537" s="170"/>
      <c r="K537" s="171"/>
      <c r="L537" s="178">
        <f ca="1">IFERROR(__xludf.DUMMYFUNCTION("IMPORTRANGE(""https://docs.google.com/spreadsheets/d/11923uPwbBZFjjGgGUA6NLw09EwE0CqkOc4q9oUmW1yo/edit?usp=sharing"",""พิจิตร!L432"")"),34340)</f>
        <v>34340</v>
      </c>
      <c r="M537" s="178"/>
      <c r="N537" s="178">
        <f ca="1">IFERROR(__xludf.DUMMYFUNCTION("IMPORTRANGE(""https://docs.google.com/spreadsheets/d/11923uPwbBZFjjGgGUA6NLw09EwE0CqkOc4q9oUmW1yo/edit?usp=sharing"",""พิจิตร!M432"")"),18181)</f>
        <v>18181</v>
      </c>
      <c r="O537" s="178">
        <f t="shared" ca="1" si="118"/>
        <v>52.944088526499712</v>
      </c>
      <c r="P537" s="178"/>
    </row>
    <row r="538" spans="1:16" ht="21.75" customHeight="1" x14ac:dyDescent="0.2">
      <c r="A538" s="383"/>
      <c r="B538" s="384"/>
      <c r="C538" s="165"/>
      <c r="D538" s="385"/>
      <c r="E538" s="167"/>
      <c r="F538" s="167"/>
      <c r="G538" s="386" t="s">
        <v>132</v>
      </c>
      <c r="H538" s="169" t="s">
        <v>13</v>
      </c>
      <c r="I538" s="197"/>
      <c r="J538" s="197"/>
      <c r="K538" s="233"/>
      <c r="L538" s="178"/>
      <c r="M538" s="178"/>
      <c r="N538" s="387">
        <f ca="1">IFERROR(__xludf.DUMMYFUNCTION("IMPORTRANGE(""https://docs.google.com/spreadsheets/d/11923uPwbBZFjjGgGUA6NLw09EwE0CqkOc4q9oUmW1yo/edit?usp=sharing"",""พิจิตร!M433"")"),17181)</f>
        <v>17181</v>
      </c>
      <c r="O538" s="178"/>
      <c r="P538" s="178"/>
    </row>
    <row r="539" spans="1:16" ht="21.75" customHeight="1" x14ac:dyDescent="0.2">
      <c r="A539" s="383"/>
      <c r="B539" s="384"/>
      <c r="C539" s="165"/>
      <c r="D539" s="385"/>
      <c r="E539" s="167"/>
      <c r="F539" s="167"/>
      <c r="G539" s="386" t="s">
        <v>133</v>
      </c>
      <c r="H539" s="169" t="s">
        <v>13</v>
      </c>
      <c r="I539" s="197"/>
      <c r="J539" s="197"/>
      <c r="K539" s="233"/>
      <c r="L539" s="178"/>
      <c r="M539" s="178"/>
      <c r="N539" s="387">
        <f ca="1">IFERROR(__xludf.DUMMYFUNCTION("IMPORTRANGE(""https://docs.google.com/spreadsheets/d/11923uPwbBZFjjGgGUA6NLw09EwE0CqkOc4q9oUmW1yo/edit?usp=sharing"",""พิจิตร!M434"")"),0)</f>
        <v>0</v>
      </c>
      <c r="O539" s="178"/>
      <c r="P539" s="178"/>
    </row>
    <row r="540" spans="1:16" ht="21.75" customHeight="1" x14ac:dyDescent="0.2">
      <c r="A540" s="383"/>
      <c r="B540" s="384"/>
      <c r="C540" s="165"/>
      <c r="D540" s="385"/>
      <c r="E540" s="167"/>
      <c r="F540" s="167"/>
      <c r="G540" s="386" t="s">
        <v>134</v>
      </c>
      <c r="H540" s="169" t="s">
        <v>13</v>
      </c>
      <c r="I540" s="197"/>
      <c r="J540" s="197"/>
      <c r="K540" s="233"/>
      <c r="L540" s="178"/>
      <c r="M540" s="178"/>
      <c r="N540" s="387">
        <f ca="1">IFERROR(__xludf.DUMMYFUNCTION("IMPORTRANGE(""https://docs.google.com/spreadsheets/d/11923uPwbBZFjjGgGUA6NLw09EwE0CqkOc4q9oUmW1yo/edit?usp=sharing"",""พิจิตร!M435"")"),0)</f>
        <v>0</v>
      </c>
      <c r="O540" s="178"/>
      <c r="P540" s="178"/>
    </row>
    <row r="541" spans="1:16" ht="21.75" customHeight="1" x14ac:dyDescent="0.2">
      <c r="A541" s="383"/>
      <c r="B541" s="384"/>
      <c r="C541" s="165"/>
      <c r="D541" s="385"/>
      <c r="E541" s="167"/>
      <c r="F541" s="167"/>
      <c r="G541" s="386" t="s">
        <v>135</v>
      </c>
      <c r="H541" s="169" t="s">
        <v>13</v>
      </c>
      <c r="I541" s="197"/>
      <c r="J541" s="197"/>
      <c r="K541" s="233"/>
      <c r="L541" s="178"/>
      <c r="M541" s="178"/>
      <c r="N541" s="387">
        <f ca="1">IFERROR(__xludf.DUMMYFUNCTION("IMPORTRANGE(""https://docs.google.com/spreadsheets/d/11923uPwbBZFjjGgGUA6NLw09EwE0CqkOc4q9oUmW1yo/edit?usp=sharing"",""พิจิตร!M436"")"),1000)</f>
        <v>1000</v>
      </c>
      <c r="O541" s="178"/>
      <c r="P541" s="178"/>
    </row>
    <row r="542" spans="1:16" ht="21.75" customHeight="1" x14ac:dyDescent="0.2">
      <c r="A542" s="185"/>
      <c r="B542" s="186"/>
      <c r="C542" s="165" t="s">
        <v>17</v>
      </c>
      <c r="D542" s="187" t="s">
        <v>45</v>
      </c>
      <c r="E542" s="188"/>
      <c r="F542" s="188"/>
      <c r="G542" s="189"/>
      <c r="H542" s="190"/>
      <c r="I542" s="170"/>
      <c r="J542" s="170"/>
      <c r="K542" s="171"/>
      <c r="L542" s="191"/>
      <c r="M542" s="191"/>
      <c r="N542" s="191"/>
      <c r="O542" s="191"/>
      <c r="P542" s="191"/>
    </row>
    <row r="543" spans="1:16" ht="21.75" customHeight="1" x14ac:dyDescent="0.2">
      <c r="A543" s="185"/>
      <c r="B543" s="186"/>
      <c r="C543" s="186"/>
      <c r="D543" s="192">
        <v>1</v>
      </c>
      <c r="E543" s="193" t="s">
        <v>46</v>
      </c>
      <c r="F543" s="194"/>
      <c r="G543" s="195"/>
      <c r="H543" s="196"/>
      <c r="I543" s="197"/>
      <c r="J543" s="207">
        <f ca="1">IFERROR(__xludf.DUMMYFUNCTION("IMPORTRANGE(""https://docs.google.com/spreadsheets/d/11923uPwbBZFjjGgGUA6NLw09EwE0CqkOc4q9oUmW1yo/edit?usp=sharing"",""พิจิตร!J438"")"),0)</f>
        <v>0</v>
      </c>
      <c r="K543" s="171"/>
      <c r="L543" s="191"/>
      <c r="M543" s="191"/>
      <c r="N543" s="191"/>
      <c r="O543" s="191"/>
      <c r="P543" s="191"/>
    </row>
    <row r="544" spans="1:16" ht="21.75" customHeight="1" x14ac:dyDescent="0.2">
      <c r="A544" s="185"/>
      <c r="B544" s="186"/>
      <c r="C544" s="186"/>
      <c r="D544" s="199">
        <v>2</v>
      </c>
      <c r="E544" s="200" t="s">
        <v>47</v>
      </c>
      <c r="F544" s="201"/>
      <c r="G544" s="202"/>
      <c r="H544" s="196"/>
      <c r="I544" s="197"/>
      <c r="J544" s="198">
        <f ca="1">IFERROR(__xludf.DUMMYFUNCTION("IMPORTRANGE(""https://docs.google.com/spreadsheets/d/11923uPwbBZFjjGgGUA6NLw09EwE0CqkOc4q9oUmW1yo/edit?usp=sharing"",""พิจิตร!J439"")"),1)</f>
        <v>1</v>
      </c>
      <c r="K544" s="171"/>
      <c r="L544" s="191" t="s">
        <v>41</v>
      </c>
      <c r="M544" s="191"/>
      <c r="N544" s="191" t="s">
        <v>41</v>
      </c>
      <c r="O544" s="191"/>
      <c r="P544" s="191"/>
    </row>
    <row r="545" spans="1:16" ht="21.75" customHeight="1" x14ac:dyDescent="0.2">
      <c r="A545" s="185"/>
      <c r="B545" s="186"/>
      <c r="C545" s="186"/>
      <c r="D545" s="203"/>
      <c r="E545" s="204" t="s">
        <v>48</v>
      </c>
      <c r="F545" s="205"/>
      <c r="G545" s="206"/>
      <c r="H545" s="196"/>
      <c r="I545" s="197"/>
      <c r="J545" s="198">
        <f ca="1">IFERROR(__xludf.DUMMYFUNCTION("IMPORTRANGE(""https://docs.google.com/spreadsheets/d/11923uPwbBZFjjGgGUA6NLw09EwE0CqkOc4q9oUmW1yo/edit?usp=sharing"",""พิจิตร!J440"")"),1)</f>
        <v>1</v>
      </c>
      <c r="K545" s="171"/>
      <c r="L545" s="191"/>
      <c r="M545" s="191"/>
      <c r="N545" s="191"/>
      <c r="O545" s="191"/>
      <c r="P545" s="191"/>
    </row>
    <row r="546" spans="1:16" ht="21.75" customHeight="1" x14ac:dyDescent="0.2">
      <c r="A546" s="185"/>
      <c r="B546" s="186"/>
      <c r="C546" s="186"/>
      <c r="D546" s="203"/>
      <c r="E546" s="204" t="s">
        <v>49</v>
      </c>
      <c r="F546" s="205"/>
      <c r="G546" s="206"/>
      <c r="H546" s="196"/>
      <c r="I546" s="197"/>
      <c r="J546" s="207">
        <f ca="1">IFERROR(__xludf.DUMMYFUNCTION("IMPORTRANGE(""https://docs.google.com/spreadsheets/d/11923uPwbBZFjjGgGUA6NLw09EwE0CqkOc4q9oUmW1yo/edit?usp=sharing"",""พิจิตร!J441"")"),1)</f>
        <v>1</v>
      </c>
      <c r="K546" s="171"/>
      <c r="L546" s="191"/>
      <c r="M546" s="191"/>
      <c r="N546" s="191"/>
      <c r="O546" s="191"/>
      <c r="P546" s="191"/>
    </row>
    <row r="547" spans="1:16" ht="21.75" customHeight="1" x14ac:dyDescent="0.2">
      <c r="A547" s="185"/>
      <c r="B547" s="186"/>
      <c r="C547" s="186"/>
      <c r="D547" s="203"/>
      <c r="E547" s="208"/>
      <c r="F547" s="205"/>
      <c r="G547" s="235" t="s">
        <v>204</v>
      </c>
      <c r="H547" s="196" t="s">
        <v>38</v>
      </c>
      <c r="I547" s="213">
        <f ca="1">IFERROR(__xludf.DUMMYFUNCTION("IMPORTRANGE(""https://docs.google.com/spreadsheets/d/11923uPwbBZFjjGgGUA6NLw09EwE0CqkOc4q9oUmW1yo/edit?usp=sharing"",""พิจิตร!I442"")"),22)</f>
        <v>22</v>
      </c>
      <c r="J547" s="198">
        <f ca="1">IFERROR(__xludf.DUMMYFUNCTION("IMPORTRANGE(""https://docs.google.com/spreadsheets/d/11923uPwbBZFjjGgGUA6NLw09EwE0CqkOc4q9oUmW1yo/edit?usp=sharing"",""พิจิตร!J442"")"),22)</f>
        <v>22</v>
      </c>
      <c r="K547" s="171">
        <f t="shared" ref="K547:K548" ca="1" si="119">IF(I547&gt;0,J547*100/I547,0)</f>
        <v>100</v>
      </c>
      <c r="L547" s="191"/>
      <c r="M547" s="191"/>
      <c r="N547" s="191"/>
      <c r="O547" s="191"/>
      <c r="P547" s="191"/>
    </row>
    <row r="548" spans="1:16" ht="21.75" hidden="1" customHeight="1" x14ac:dyDescent="0.2">
      <c r="A548" s="185"/>
      <c r="B548" s="186"/>
      <c r="C548" s="186"/>
      <c r="D548" s="203"/>
      <c r="E548" s="208"/>
      <c r="F548" s="205"/>
      <c r="G548" s="235" t="s">
        <v>205</v>
      </c>
      <c r="H548" s="196" t="s">
        <v>38</v>
      </c>
      <c r="I548" s="349">
        <f ca="1">IFERROR(__xludf.DUMMYFUNCTION("IMPORTRANGE(""https://docs.google.com/spreadsheets/d/1C3CXT74ZlgGe6_JY_1olB1XN4rF0dxEuIIF-xsYjHgg/edit?usp=sharing"",""งบกองทุน!dr63"")"),0)</f>
        <v>0</v>
      </c>
      <c r="J548" s="207">
        <f ca="1">IFERROR(__xludf.DUMMYFUNCTION("IMPORTRANGE(""https://docs.google.com/spreadsheets/d/11923uPwbBZFjjGgGUA6NLw09EwE0CqkOc4q9oUmW1yo/edit?usp=sharing"",""พิจิตร!J166"")"),0)</f>
        <v>0</v>
      </c>
      <c r="K548" s="171">
        <f t="shared" ca="1" si="119"/>
        <v>0</v>
      </c>
      <c r="L548" s="191"/>
      <c r="M548" s="191"/>
      <c r="N548" s="191"/>
      <c r="O548" s="191"/>
      <c r="P548" s="191"/>
    </row>
    <row r="549" spans="1:16" ht="21.75" customHeight="1" x14ac:dyDescent="0.2">
      <c r="A549" s="185"/>
      <c r="B549" s="186"/>
      <c r="C549" s="186"/>
      <c r="D549" s="203"/>
      <c r="E549" s="204" t="s">
        <v>55</v>
      </c>
      <c r="F549" s="205"/>
      <c r="G549" s="206"/>
      <c r="H549" s="196"/>
      <c r="I549" s="197"/>
      <c r="J549" s="207">
        <f ca="1">IFERROR(__xludf.DUMMYFUNCTION("IMPORTRANGE(""https://docs.google.com/spreadsheets/d/11923uPwbBZFjjGgGUA6NLw09EwE0CqkOc4q9oUmW1yo/edit?usp=sharing"",""พิจิตร!J444"")"),1)</f>
        <v>1</v>
      </c>
      <c r="K549" s="171"/>
      <c r="L549" s="191"/>
      <c r="M549" s="191"/>
      <c r="N549" s="191"/>
      <c r="O549" s="191"/>
      <c r="P549" s="191"/>
    </row>
    <row r="550" spans="1:16" ht="21.75" customHeight="1" x14ac:dyDescent="0.2">
      <c r="A550" s="467"/>
      <c r="B550" s="468"/>
      <c r="C550" s="468"/>
      <c r="D550" s="477">
        <v>3</v>
      </c>
      <c r="E550" s="478" t="s">
        <v>56</v>
      </c>
      <c r="F550" s="479"/>
      <c r="G550" s="480"/>
      <c r="H550" s="481"/>
      <c r="I550" s="473"/>
      <c r="J550" s="482">
        <f ca="1">IFERROR(__xludf.DUMMYFUNCTION("IMPORTRANGE(""https://docs.google.com/spreadsheets/d/11923uPwbBZFjjGgGUA6NLw09EwE0CqkOc4q9oUmW1yo/edit?usp=sharing"",""พิจิตร!J445"")"),0)</f>
        <v>0</v>
      </c>
      <c r="K550" s="475"/>
      <c r="L550" s="476"/>
      <c r="M550" s="476"/>
      <c r="N550" s="476"/>
      <c r="O550" s="476"/>
      <c r="P550" s="476"/>
    </row>
    <row r="551" spans="1:16" ht="21.75" customHeight="1" x14ac:dyDescent="0.2">
      <c r="A551" s="413"/>
      <c r="B551" s="414">
        <v>7</v>
      </c>
      <c r="C551" s="415" t="s">
        <v>206</v>
      </c>
      <c r="D551" s="415"/>
      <c r="E551" s="415"/>
      <c r="F551" s="415"/>
      <c r="G551" s="416"/>
      <c r="H551" s="417" t="s">
        <v>123</v>
      </c>
      <c r="I551" s="418">
        <f ca="1">IFERROR(__xludf.DUMMYFUNCTION("IMPORTRANGE(""https://docs.google.com/spreadsheets/d/11923uPwbBZFjjGgGUA6NLw09EwE0CqkOc4q9oUmW1yo/edit?usp=sharing"",""พิจิตร!I446"")"),0)</f>
        <v>0</v>
      </c>
      <c r="J551" s="418">
        <f ca="1">IFERROR(__xludf.DUMMYFUNCTION("IMPORTRANGE(""https://docs.google.com/spreadsheets/d/11923uPwbBZFjjGgGUA6NLw09EwE0CqkOc4q9oUmW1yo/edit?usp=sharing"",""พิจิตร!J446"")"),0)</f>
        <v>0</v>
      </c>
      <c r="K551" s="419">
        <f ca="1">IF(I551&gt;0,J551*100/I551,0)</f>
        <v>0</v>
      </c>
      <c r="L551" s="420">
        <f ca="1">IFERROR(__xludf.DUMMYFUNCTION("IMPORTRANGE(""https://docs.google.com/spreadsheets/d/11923uPwbBZFjjGgGUA6NLw09EwE0CqkOc4q9oUmW1yo/edit?usp=sharing"",""พิจิตร!L446"")"),0)</f>
        <v>0</v>
      </c>
      <c r="M551" s="420"/>
      <c r="N551" s="420">
        <f ca="1">IFERROR(__xludf.DUMMYFUNCTION("IMPORTRANGE(""https://docs.google.com/spreadsheets/d/11923uPwbBZFjjGgGUA6NLw09EwE0CqkOc4q9oUmW1yo/edit?usp=sharing"",""พิจิตร!M446"")"),0)</f>
        <v>0</v>
      </c>
      <c r="O551" s="420">
        <f t="shared" ref="O551:O555" ca="1" si="120">+IF(L551&gt;0,N551*100/L551,0)</f>
        <v>0</v>
      </c>
      <c r="P551" s="420"/>
    </row>
    <row r="552" spans="1:16" ht="21.75" customHeight="1" x14ac:dyDescent="0.2">
      <c r="A552" s="164"/>
      <c r="B552" s="165"/>
      <c r="C552" s="165" t="s">
        <v>17</v>
      </c>
      <c r="D552" s="166" t="s">
        <v>39</v>
      </c>
      <c r="E552" s="167"/>
      <c r="F552" s="167"/>
      <c r="G552" s="168" t="s">
        <v>40</v>
      </c>
      <c r="H552" s="169" t="s">
        <v>13</v>
      </c>
      <c r="I552" s="170" t="s">
        <v>41</v>
      </c>
      <c r="J552" s="170"/>
      <c r="K552" s="171"/>
      <c r="L552" s="172">
        <f ca="1">IFERROR(__xludf.DUMMYFUNCTION("IMPORTRANGE(""https://docs.google.com/spreadsheets/d/11923uPwbBZFjjGgGUA6NLw09EwE0CqkOc4q9oUmW1yo/edit?usp=sharing"",""พิจิตร!L447"")"),0)</f>
        <v>0</v>
      </c>
      <c r="M552" s="172"/>
      <c r="N552" s="178">
        <f ca="1">IFERROR(__xludf.DUMMYFUNCTION("IMPORTRANGE(""https://docs.google.com/spreadsheets/d/11923uPwbBZFjjGgGUA6NLw09EwE0CqkOc4q9oUmW1yo/edit?usp=sharing"",""พิจิตร!M447"")"),0)</f>
        <v>0</v>
      </c>
      <c r="O552" s="178">
        <f t="shared" ca="1" si="120"/>
        <v>0</v>
      </c>
      <c r="P552" s="178"/>
    </row>
    <row r="553" spans="1:16" ht="21.75" customHeight="1" x14ac:dyDescent="0.2">
      <c r="A553" s="164"/>
      <c r="B553" s="165"/>
      <c r="C553" s="165"/>
      <c r="D553" s="174"/>
      <c r="E553" s="167"/>
      <c r="F553" s="167" t="s">
        <v>41</v>
      </c>
      <c r="G553" s="168" t="s">
        <v>42</v>
      </c>
      <c r="H553" s="169" t="s">
        <v>13</v>
      </c>
      <c r="I553" s="170"/>
      <c r="J553" s="170"/>
      <c r="K553" s="171"/>
      <c r="L553" s="173">
        <f ca="1">IFERROR(__xludf.DUMMYFUNCTION("IMPORTRANGE(""https://docs.google.com/spreadsheets/d/11923uPwbBZFjjGgGUA6NLw09EwE0CqkOc4q9oUmW1yo/edit?usp=sharing"",""พิจิตร!L448"")"),0)</f>
        <v>0</v>
      </c>
      <c r="M553" s="173"/>
      <c r="N553" s="178">
        <f ca="1">IFERROR(__xludf.DUMMYFUNCTION("IMPORTRANGE(""https://docs.google.com/spreadsheets/d/11923uPwbBZFjjGgGUA6NLw09EwE0CqkOc4q9oUmW1yo/edit?usp=sharing"",""พิจิตร!M448"")"),0)</f>
        <v>0</v>
      </c>
      <c r="O553" s="178">
        <f t="shared" ca="1" si="120"/>
        <v>0</v>
      </c>
      <c r="P553" s="178"/>
    </row>
    <row r="554" spans="1:16" ht="21.75" customHeight="1" x14ac:dyDescent="0.2">
      <c r="A554" s="164"/>
      <c r="B554" s="165"/>
      <c r="C554" s="165"/>
      <c r="D554" s="174"/>
      <c r="E554" s="167"/>
      <c r="F554" s="167"/>
      <c r="G554" s="382" t="s">
        <v>130</v>
      </c>
      <c r="H554" s="169" t="s">
        <v>13</v>
      </c>
      <c r="I554" s="170"/>
      <c r="J554" s="170"/>
      <c r="K554" s="171"/>
      <c r="L554" s="178">
        <f ca="1">IFERROR(__xludf.DUMMYFUNCTION("IMPORTRANGE(""https://docs.google.com/spreadsheets/d/11923uPwbBZFjjGgGUA6NLw09EwE0CqkOc4q9oUmW1yo/edit?usp=sharing"",""พิจิตร!L449"")"),0)</f>
        <v>0</v>
      </c>
      <c r="M554" s="178"/>
      <c r="N554" s="178">
        <f ca="1">IFERROR(__xludf.DUMMYFUNCTION("IMPORTRANGE(""https://docs.google.com/spreadsheets/d/11923uPwbBZFjjGgGUA6NLw09EwE0CqkOc4q9oUmW1yo/edit?usp=sharing"",""พิจิตร!M449"")"),0)</f>
        <v>0</v>
      </c>
      <c r="O554" s="178">
        <f t="shared" ca="1" si="120"/>
        <v>0</v>
      </c>
      <c r="P554" s="178"/>
    </row>
    <row r="555" spans="1:16" ht="21.75" customHeight="1" x14ac:dyDescent="0.2">
      <c r="A555" s="164"/>
      <c r="B555" s="165"/>
      <c r="C555" s="165"/>
      <c r="D555" s="174"/>
      <c r="E555" s="167"/>
      <c r="F555" s="167"/>
      <c r="G555" s="382" t="s">
        <v>131</v>
      </c>
      <c r="H555" s="169" t="s">
        <v>13</v>
      </c>
      <c r="I555" s="170"/>
      <c r="J555" s="170"/>
      <c r="K555" s="171"/>
      <c r="L555" s="178">
        <f ca="1">IFERROR(__xludf.DUMMYFUNCTION("IMPORTRANGE(""https://docs.google.com/spreadsheets/d/11923uPwbBZFjjGgGUA6NLw09EwE0CqkOc4q9oUmW1yo/edit?usp=sharing"",""พิจิตร!L450"")"),0)</f>
        <v>0</v>
      </c>
      <c r="M555" s="178"/>
      <c r="N555" s="178">
        <f ca="1">IFERROR(__xludf.DUMMYFUNCTION("IMPORTRANGE(""https://docs.google.com/spreadsheets/d/11923uPwbBZFjjGgGUA6NLw09EwE0CqkOc4q9oUmW1yo/edit?usp=sharing"",""พิจิตร!M450"")"),0)</f>
        <v>0</v>
      </c>
      <c r="O555" s="178">
        <f t="shared" ca="1" si="120"/>
        <v>0</v>
      </c>
      <c r="P555" s="178"/>
    </row>
    <row r="556" spans="1:16" ht="21.75" customHeight="1" x14ac:dyDescent="0.2">
      <c r="A556" s="383"/>
      <c r="B556" s="384"/>
      <c r="C556" s="165"/>
      <c r="D556" s="385"/>
      <c r="E556" s="167"/>
      <c r="F556" s="167"/>
      <c r="G556" s="386" t="s">
        <v>132</v>
      </c>
      <c r="H556" s="169" t="s">
        <v>13</v>
      </c>
      <c r="I556" s="197"/>
      <c r="J556" s="197"/>
      <c r="K556" s="233"/>
      <c r="L556" s="178"/>
      <c r="M556" s="178"/>
      <c r="N556" s="175">
        <f ca="1">IFERROR(__xludf.DUMMYFUNCTION("IMPORTRANGE(""https://docs.google.com/spreadsheets/d/11923uPwbBZFjjGgGUA6NLw09EwE0CqkOc4q9oUmW1yo/edit?usp=sharing"",""พิจิตร!M451"")"),0)</f>
        <v>0</v>
      </c>
      <c r="O556" s="178"/>
      <c r="P556" s="178"/>
    </row>
    <row r="557" spans="1:16" ht="21.75" customHeight="1" x14ac:dyDescent="0.2">
      <c r="A557" s="383"/>
      <c r="B557" s="384"/>
      <c r="C557" s="165"/>
      <c r="D557" s="385"/>
      <c r="E557" s="167"/>
      <c r="F557" s="167"/>
      <c r="G557" s="386" t="s">
        <v>133</v>
      </c>
      <c r="H557" s="169" t="s">
        <v>13</v>
      </c>
      <c r="I557" s="197"/>
      <c r="J557" s="197"/>
      <c r="K557" s="233"/>
      <c r="L557" s="178"/>
      <c r="M557" s="178"/>
      <c r="N557" s="175">
        <f ca="1">IFERROR(__xludf.DUMMYFUNCTION("IMPORTRANGE(""https://docs.google.com/spreadsheets/d/11923uPwbBZFjjGgGUA6NLw09EwE0CqkOc4q9oUmW1yo/edit?usp=sharing"",""พิจิตร!M452"")"),0)</f>
        <v>0</v>
      </c>
      <c r="O557" s="178"/>
      <c r="P557" s="178"/>
    </row>
    <row r="558" spans="1:16" ht="21.75" customHeight="1" x14ac:dyDescent="0.2">
      <c r="A558" s="383"/>
      <c r="B558" s="384"/>
      <c r="C558" s="165"/>
      <c r="D558" s="385"/>
      <c r="E558" s="167"/>
      <c r="F558" s="167"/>
      <c r="G558" s="386" t="s">
        <v>134</v>
      </c>
      <c r="H558" s="169" t="s">
        <v>13</v>
      </c>
      <c r="I558" s="197"/>
      <c r="J558" s="197"/>
      <c r="K558" s="233"/>
      <c r="L558" s="178"/>
      <c r="M558" s="178"/>
      <c r="N558" s="175">
        <f ca="1">IFERROR(__xludf.DUMMYFUNCTION("IMPORTRANGE(""https://docs.google.com/spreadsheets/d/11923uPwbBZFjjGgGUA6NLw09EwE0CqkOc4q9oUmW1yo/edit?usp=sharing"",""พิจิตร!M453"")"),0)</f>
        <v>0</v>
      </c>
      <c r="O558" s="178"/>
      <c r="P558" s="178"/>
    </row>
    <row r="559" spans="1:16" ht="21.75" customHeight="1" x14ac:dyDescent="0.2">
      <c r="A559" s="383"/>
      <c r="B559" s="384"/>
      <c r="C559" s="165"/>
      <c r="D559" s="385"/>
      <c r="E559" s="167"/>
      <c r="F559" s="167"/>
      <c r="G559" s="386" t="s">
        <v>135</v>
      </c>
      <c r="H559" s="169" t="s">
        <v>13</v>
      </c>
      <c r="I559" s="197"/>
      <c r="J559" s="197"/>
      <c r="K559" s="233"/>
      <c r="L559" s="178"/>
      <c r="M559" s="178"/>
      <c r="N559" s="175">
        <f ca="1">IFERROR(__xludf.DUMMYFUNCTION("IMPORTRANGE(""https://docs.google.com/spreadsheets/d/11923uPwbBZFjjGgGUA6NLw09EwE0CqkOc4q9oUmW1yo/edit?usp=sharing"",""พิจิตร!M454"")"),0)</f>
        <v>0</v>
      </c>
      <c r="O559" s="178"/>
      <c r="P559" s="178"/>
    </row>
    <row r="560" spans="1:16" ht="21.75" customHeight="1" x14ac:dyDescent="0.2">
      <c r="A560" s="185"/>
      <c r="B560" s="186"/>
      <c r="C560" s="186"/>
      <c r="D560" s="203"/>
      <c r="E560" s="205"/>
      <c r="F560" s="287" t="s">
        <v>207</v>
      </c>
      <c r="G560" s="206"/>
      <c r="H560" s="483" t="s">
        <v>123</v>
      </c>
      <c r="I560" s="170">
        <f ca="1">IFERROR(__xludf.DUMMYFUNCTION("IMPORTRANGE(""https://docs.google.com/spreadsheets/d/11923uPwbBZFjjGgGUA6NLw09EwE0CqkOc4q9oUmW1yo/edit?usp=sharing"",""พิจิตร!I455"")"),0)</f>
        <v>0</v>
      </c>
      <c r="J560" s="170">
        <f ca="1">IFERROR(__xludf.DUMMYFUNCTION("IMPORTRANGE(""https://docs.google.com/spreadsheets/d/11923uPwbBZFjjGgGUA6NLw09EwE0CqkOc4q9oUmW1yo/edit?usp=sharing"",""พิจิตร!J455"")"),0)</f>
        <v>0</v>
      </c>
      <c r="K560" s="233">
        <f t="shared" ref="K560:K564" ca="1" si="121">IF(I560&gt;0,J560*100/I560,0)</f>
        <v>0</v>
      </c>
      <c r="L560" s="178"/>
      <c r="M560" s="178"/>
      <c r="N560" s="178"/>
      <c r="O560" s="191"/>
      <c r="P560" s="191"/>
    </row>
    <row r="561" spans="1:16" ht="21.75" customHeight="1" x14ac:dyDescent="0.2">
      <c r="A561" s="185"/>
      <c r="B561" s="186"/>
      <c r="C561" s="186"/>
      <c r="D561" s="203"/>
      <c r="E561" s="205"/>
      <c r="F561" s="205"/>
      <c r="G561" s="206"/>
      <c r="H561" s="483" t="s">
        <v>37</v>
      </c>
      <c r="I561" s="170">
        <f ca="1">IFERROR(__xludf.DUMMYFUNCTION("IMPORTRANGE(""https://docs.google.com/spreadsheets/d/11923uPwbBZFjjGgGUA6NLw09EwE0CqkOc4q9oUmW1yo/edit?usp=sharing"",""พิจิตร!I456"")"),0)</f>
        <v>0</v>
      </c>
      <c r="J561" s="213">
        <f ca="1">IFERROR(__xludf.DUMMYFUNCTION("IMPORTRANGE(""https://docs.google.com/spreadsheets/d/11923uPwbBZFjjGgGUA6NLw09EwE0CqkOc4q9oUmW1yo/edit?usp=sharing"",""พิจิตร!J456"")"),0)</f>
        <v>0</v>
      </c>
      <c r="K561" s="233">
        <f t="shared" ca="1" si="121"/>
        <v>0</v>
      </c>
      <c r="L561" s="178"/>
      <c r="M561" s="178"/>
      <c r="N561" s="178"/>
      <c r="O561" s="191"/>
      <c r="P561" s="191"/>
    </row>
    <row r="562" spans="1:16" ht="21.75" customHeight="1" x14ac:dyDescent="0.2">
      <c r="A562" s="185"/>
      <c r="B562" s="186"/>
      <c r="C562" s="186"/>
      <c r="D562" s="203"/>
      <c r="E562" s="205"/>
      <c r="F562" s="205" t="s">
        <v>208</v>
      </c>
      <c r="G562" s="206"/>
      <c r="H562" s="483" t="s">
        <v>123</v>
      </c>
      <c r="I562" s="170" t="str">
        <f ca="1">IFERROR(__xludf.DUMMYFUNCTION("IMPORTRANGE(""https://docs.google.com/spreadsheets/d/11923uPwbBZFjjGgGUA6NLw09EwE0CqkOc4q9oUmW1yo/edit?usp=sharing"",""พิจิตร!I457"")"),"")</f>
        <v/>
      </c>
      <c r="J562" s="213" t="str">
        <f ca="1">IFERROR(__xludf.DUMMYFUNCTION("IMPORTRANGE(""https://docs.google.com/spreadsheets/d/11923uPwbBZFjjGgGUA6NLw09EwE0CqkOc4q9oUmW1yo/edit?usp=sharing"",""พิจิตร!J457"")"),"")</f>
        <v/>
      </c>
      <c r="K562" s="171" t="e">
        <f t="shared" ca="1" si="121"/>
        <v>#VALUE!</v>
      </c>
      <c r="L562" s="191"/>
      <c r="M562" s="191"/>
      <c r="N562" s="191"/>
      <c r="O562" s="191"/>
      <c r="P562" s="191"/>
    </row>
    <row r="563" spans="1:16" ht="21.75" customHeight="1" x14ac:dyDescent="0.2">
      <c r="A563" s="185"/>
      <c r="B563" s="186"/>
      <c r="C563" s="186"/>
      <c r="D563" s="203"/>
      <c r="E563" s="205"/>
      <c r="F563" s="205"/>
      <c r="G563" s="206"/>
      <c r="H563" s="483" t="s">
        <v>37</v>
      </c>
      <c r="I563" s="170" t="str">
        <f ca="1">IFERROR(__xludf.DUMMYFUNCTION("IMPORTRANGE(""https://docs.google.com/spreadsheets/d/11923uPwbBZFjjGgGUA6NLw09EwE0CqkOc4q9oUmW1yo/edit?usp=sharing"",""พิจิตร!I458"")"),"")</f>
        <v/>
      </c>
      <c r="J563" s="197" t="str">
        <f ca="1">IFERROR(__xludf.DUMMYFUNCTION("IMPORTRANGE(""https://docs.google.com/spreadsheets/d/11923uPwbBZFjjGgGUA6NLw09EwE0CqkOc4q9oUmW1yo/edit?usp=sharing"",""พิจิตร!J458"")"),"")</f>
        <v/>
      </c>
      <c r="K563" s="171" t="e">
        <f t="shared" ca="1" si="121"/>
        <v>#VALUE!</v>
      </c>
      <c r="L563" s="191"/>
      <c r="M563" s="191"/>
      <c r="N563" s="191"/>
      <c r="O563" s="191"/>
      <c r="P563" s="191"/>
    </row>
    <row r="564" spans="1:16" ht="21.75" customHeight="1" x14ac:dyDescent="0.2">
      <c r="A564" s="374"/>
      <c r="B564" s="375">
        <v>8</v>
      </c>
      <c r="C564" s="376" t="s">
        <v>209</v>
      </c>
      <c r="D564" s="376"/>
      <c r="E564" s="376"/>
      <c r="F564" s="376"/>
      <c r="G564" s="377"/>
      <c r="H564" s="378" t="s">
        <v>38</v>
      </c>
      <c r="I564" s="379">
        <f ca="1">IFERROR(__xludf.DUMMYFUNCTION("IMPORTRANGE(""https://docs.google.com/spreadsheets/d/11923uPwbBZFjjGgGUA6NLw09EwE0CqkOc4q9oUmW1yo/edit?usp=sharing"",""พิจิตร!I459"")"),1100)</f>
        <v>1100</v>
      </c>
      <c r="J564" s="379">
        <f ca="1">IFERROR(__xludf.DUMMYFUNCTION("IMPORTRANGE(""https://docs.google.com/spreadsheets/d/11923uPwbBZFjjGgGUA6NLw09EwE0CqkOc4q9oUmW1yo/edit?usp=sharing"",""พิจิตร!J459"")"),671)</f>
        <v>671</v>
      </c>
      <c r="K564" s="380">
        <f t="shared" ca="1" si="121"/>
        <v>61</v>
      </c>
      <c r="L564" s="381">
        <f ca="1">IFERROR(__xludf.DUMMYFUNCTION("IMPORTRANGE(""https://docs.google.com/spreadsheets/d/11923uPwbBZFjjGgGUA6NLw09EwE0CqkOc4q9oUmW1yo/edit?usp=sharing"",""พิจิตร!L459"")"),126080)</f>
        <v>126080</v>
      </c>
      <c r="M564" s="381"/>
      <c r="N564" s="381">
        <f ca="1">IFERROR(__xludf.DUMMYFUNCTION("IMPORTRANGE(""https://docs.google.com/spreadsheets/d/11923uPwbBZFjjGgGUA6NLw09EwE0CqkOc4q9oUmW1yo/edit?usp=sharing"",""พิจิตร!M459"")"),28706.19)</f>
        <v>28706.19</v>
      </c>
      <c r="O564" s="381">
        <f t="shared" ref="O564:O568" ca="1" si="122">+IF(L564&gt;0,N564*100/L564,0)</f>
        <v>22.768234454314722</v>
      </c>
      <c r="P564" s="381"/>
    </row>
    <row r="565" spans="1:16" ht="21.75" customHeight="1" x14ac:dyDescent="0.2">
      <c r="A565" s="164"/>
      <c r="B565" s="165"/>
      <c r="C565" s="165" t="s">
        <v>17</v>
      </c>
      <c r="D565" s="166" t="s">
        <v>39</v>
      </c>
      <c r="E565" s="167"/>
      <c r="F565" s="167"/>
      <c r="G565" s="168" t="s">
        <v>40</v>
      </c>
      <c r="H565" s="169" t="s">
        <v>13</v>
      </c>
      <c r="I565" s="170" t="s">
        <v>41</v>
      </c>
      <c r="J565" s="170"/>
      <c r="K565" s="171"/>
      <c r="L565" s="172">
        <f ca="1">IFERROR(__xludf.DUMMYFUNCTION("IMPORTRANGE(""https://docs.google.com/spreadsheets/d/11923uPwbBZFjjGgGUA6NLw09EwE0CqkOc4q9oUmW1yo/edit?usp=sharing"",""พิจิตร!L460"")"),0)</f>
        <v>0</v>
      </c>
      <c r="M565" s="172"/>
      <c r="N565" s="178">
        <f ca="1">IFERROR(__xludf.DUMMYFUNCTION("IMPORTRANGE(""https://docs.google.com/spreadsheets/d/11923uPwbBZFjjGgGUA6NLw09EwE0CqkOc4q9oUmW1yo/edit?usp=sharing"",""พิจิตร!M460"")"),0)</f>
        <v>0</v>
      </c>
      <c r="O565" s="178">
        <f t="shared" ca="1" si="122"/>
        <v>0</v>
      </c>
      <c r="P565" s="178"/>
    </row>
    <row r="566" spans="1:16" ht="21.75" customHeight="1" x14ac:dyDescent="0.2">
      <c r="A566" s="164"/>
      <c r="B566" s="165"/>
      <c r="C566" s="165"/>
      <c r="D566" s="174"/>
      <c r="E566" s="167"/>
      <c r="F566" s="167" t="s">
        <v>41</v>
      </c>
      <c r="G566" s="168" t="s">
        <v>42</v>
      </c>
      <c r="H566" s="169" t="s">
        <v>13</v>
      </c>
      <c r="I566" s="170"/>
      <c r="J566" s="170"/>
      <c r="K566" s="171"/>
      <c r="L566" s="173">
        <f ca="1">IFERROR(__xludf.DUMMYFUNCTION("IMPORTRANGE(""https://docs.google.com/spreadsheets/d/11923uPwbBZFjjGgGUA6NLw09EwE0CqkOc4q9oUmW1yo/edit?usp=sharing"",""พิจิตร!L461"")"),126080)</f>
        <v>126080</v>
      </c>
      <c r="M566" s="173"/>
      <c r="N566" s="178">
        <f ca="1">IFERROR(__xludf.DUMMYFUNCTION("IMPORTRANGE(""https://docs.google.com/spreadsheets/d/11923uPwbBZFjjGgGUA6NLw09EwE0CqkOc4q9oUmW1yo/edit?usp=sharing"",""พิจิตร!M461"")"),28706.19)</f>
        <v>28706.19</v>
      </c>
      <c r="O566" s="178">
        <f t="shared" ca="1" si="122"/>
        <v>22.768234454314722</v>
      </c>
      <c r="P566" s="178"/>
    </row>
    <row r="567" spans="1:16" ht="21.75" customHeight="1" x14ac:dyDescent="0.2">
      <c r="A567" s="164"/>
      <c r="B567" s="165"/>
      <c r="C567" s="165"/>
      <c r="D567" s="174"/>
      <c r="E567" s="167"/>
      <c r="F567" s="167"/>
      <c r="G567" s="382" t="s">
        <v>130</v>
      </c>
      <c r="H567" s="169" t="s">
        <v>13</v>
      </c>
      <c r="I567" s="170"/>
      <c r="J567" s="170"/>
      <c r="K567" s="171"/>
      <c r="L567" s="178">
        <f ca="1">IFERROR(__xludf.DUMMYFUNCTION("IMPORTRANGE(""https://docs.google.com/spreadsheets/d/11923uPwbBZFjjGgGUA6NLw09EwE0CqkOc4q9oUmW1yo/edit?usp=sharing"",""พิจิตร!L462"")"),0)</f>
        <v>0</v>
      </c>
      <c r="M567" s="178"/>
      <c r="N567" s="178">
        <f ca="1">IFERROR(__xludf.DUMMYFUNCTION("IMPORTRANGE(""https://docs.google.com/spreadsheets/d/11923uPwbBZFjjGgGUA6NLw09EwE0CqkOc4q9oUmW1yo/edit?usp=sharing"",""พิจิตร!M462"")"),0)</f>
        <v>0</v>
      </c>
      <c r="O567" s="178">
        <f t="shared" ca="1" si="122"/>
        <v>0</v>
      </c>
      <c r="P567" s="178"/>
    </row>
    <row r="568" spans="1:16" ht="21.75" customHeight="1" x14ac:dyDescent="0.2">
      <c r="A568" s="164"/>
      <c r="B568" s="165"/>
      <c r="C568" s="165"/>
      <c r="D568" s="174"/>
      <c r="E568" s="167"/>
      <c r="F568" s="167"/>
      <c r="G568" s="382" t="s">
        <v>131</v>
      </c>
      <c r="H568" s="169" t="s">
        <v>13</v>
      </c>
      <c r="I568" s="170"/>
      <c r="J568" s="170"/>
      <c r="K568" s="171"/>
      <c r="L568" s="178">
        <f ca="1">IFERROR(__xludf.DUMMYFUNCTION("IMPORTRANGE(""https://docs.google.com/spreadsheets/d/11923uPwbBZFjjGgGUA6NLw09EwE0CqkOc4q9oUmW1yo/edit?usp=sharing"",""พิจิตร!L463"")"),126080)</f>
        <v>126080</v>
      </c>
      <c r="M568" s="178"/>
      <c r="N568" s="178">
        <f ca="1">IFERROR(__xludf.DUMMYFUNCTION("IMPORTRANGE(""https://docs.google.com/spreadsheets/d/11923uPwbBZFjjGgGUA6NLw09EwE0CqkOc4q9oUmW1yo/edit?usp=sharing"",""พิจิตร!M463"")"),28706.19)</f>
        <v>28706.19</v>
      </c>
      <c r="O568" s="178">
        <f t="shared" ca="1" si="122"/>
        <v>22.768234454314722</v>
      </c>
      <c r="P568" s="178"/>
    </row>
    <row r="569" spans="1:16" ht="21.75" customHeight="1" x14ac:dyDescent="0.2">
      <c r="A569" s="383"/>
      <c r="B569" s="384"/>
      <c r="C569" s="165"/>
      <c r="D569" s="385"/>
      <c r="E569" s="167"/>
      <c r="F569" s="167"/>
      <c r="G569" s="386" t="s">
        <v>132</v>
      </c>
      <c r="H569" s="169" t="s">
        <v>13</v>
      </c>
      <c r="I569" s="197"/>
      <c r="J569" s="197"/>
      <c r="K569" s="233"/>
      <c r="L569" s="178"/>
      <c r="M569" s="178"/>
      <c r="N569" s="175">
        <f ca="1">IFERROR(__xludf.DUMMYFUNCTION("IMPORTRANGE(""https://docs.google.com/spreadsheets/d/11923uPwbBZFjjGgGUA6NLw09EwE0CqkOc4q9oUmW1yo/edit?usp=sharing"",""พิจิตร!M464"")"),0)</f>
        <v>0</v>
      </c>
      <c r="O569" s="178"/>
      <c r="P569" s="178"/>
    </row>
    <row r="570" spans="1:16" ht="21.75" customHeight="1" x14ac:dyDescent="0.2">
      <c r="A570" s="383"/>
      <c r="B570" s="384"/>
      <c r="C570" s="165"/>
      <c r="D570" s="385"/>
      <c r="E570" s="167"/>
      <c r="F570" s="167"/>
      <c r="G570" s="386" t="s">
        <v>133</v>
      </c>
      <c r="H570" s="169" t="s">
        <v>13</v>
      </c>
      <c r="I570" s="197"/>
      <c r="J570" s="197"/>
      <c r="K570" s="233"/>
      <c r="L570" s="178"/>
      <c r="M570" s="178"/>
      <c r="N570" s="175">
        <f ca="1">IFERROR(__xludf.DUMMYFUNCTION("IMPORTRANGE(""https://docs.google.com/spreadsheets/d/11923uPwbBZFjjGgGUA6NLw09EwE0CqkOc4q9oUmW1yo/edit?usp=sharing"",""พิจิตร!M465"")"),0)</f>
        <v>0</v>
      </c>
      <c r="O570" s="178"/>
      <c r="P570" s="178"/>
    </row>
    <row r="571" spans="1:16" ht="21.75" customHeight="1" x14ac:dyDescent="0.2">
      <c r="A571" s="383"/>
      <c r="B571" s="384"/>
      <c r="C571" s="165"/>
      <c r="D571" s="385"/>
      <c r="E571" s="167"/>
      <c r="F571" s="167"/>
      <c r="G571" s="386" t="s">
        <v>134</v>
      </c>
      <c r="H571" s="169" t="s">
        <v>13</v>
      </c>
      <c r="I571" s="197"/>
      <c r="J571" s="197"/>
      <c r="K571" s="233"/>
      <c r="L571" s="178"/>
      <c r="M571" s="178"/>
      <c r="N571" s="387">
        <f ca="1">IFERROR(__xludf.DUMMYFUNCTION("IMPORTRANGE(""https://docs.google.com/spreadsheets/d/11923uPwbBZFjjGgGUA6NLw09EwE0CqkOc4q9oUmW1yo/edit?usp=sharing"",""พิจิตร!M466"")"),24330.19)</f>
        <v>24330.19</v>
      </c>
      <c r="O571" s="178"/>
      <c r="P571" s="178"/>
    </row>
    <row r="572" spans="1:16" ht="21.75" customHeight="1" x14ac:dyDescent="0.2">
      <c r="A572" s="383"/>
      <c r="B572" s="384"/>
      <c r="C572" s="165"/>
      <c r="D572" s="385"/>
      <c r="E572" s="167"/>
      <c r="F572" s="167"/>
      <c r="G572" s="386" t="s">
        <v>135</v>
      </c>
      <c r="H572" s="169" t="s">
        <v>13</v>
      </c>
      <c r="I572" s="197"/>
      <c r="J572" s="197"/>
      <c r="K572" s="233"/>
      <c r="L572" s="178"/>
      <c r="M572" s="178"/>
      <c r="N572" s="387">
        <f ca="1">IFERROR(__xludf.DUMMYFUNCTION("IMPORTRANGE(""https://docs.google.com/spreadsheets/d/11923uPwbBZFjjGgGUA6NLw09EwE0CqkOc4q9oUmW1yo/edit?usp=sharing"",""พิจิตร!M467"")"),4376)</f>
        <v>4376</v>
      </c>
      <c r="O572" s="178"/>
      <c r="P572" s="178"/>
    </row>
    <row r="573" spans="1:16" ht="21.75" customHeight="1" x14ac:dyDescent="0.2">
      <c r="A573" s="185"/>
      <c r="B573" s="186"/>
      <c r="C573" s="186"/>
      <c r="D573" s="205"/>
      <c r="E573" s="204" t="s">
        <v>41</v>
      </c>
      <c r="F573" s="422" t="s">
        <v>210</v>
      </c>
      <c r="G573" s="396"/>
      <c r="H573" s="484" t="s">
        <v>38</v>
      </c>
      <c r="I573" s="428">
        <f ca="1">IFERROR(__xludf.DUMMYFUNCTION("IMPORTRANGE(""https://docs.google.com/spreadsheets/d/11923uPwbBZFjjGgGUA6NLw09EwE0CqkOc4q9oUmW1yo/edit?usp=sharing"",""พิจิตร!I468"")"),1100)</f>
        <v>1100</v>
      </c>
      <c r="J573" s="428">
        <f ca="1">IFERROR(__xludf.DUMMYFUNCTION("IMPORTRANGE(""https://docs.google.com/spreadsheets/d/11923uPwbBZFjjGgGUA6NLw09EwE0CqkOc4q9oUmW1yo/edit?usp=sharing"",""พิจิตร!J468"")"),671)</f>
        <v>671</v>
      </c>
      <c r="K573" s="211">
        <f ca="1">IF(I573&gt;0,J573*100/I573,0)</f>
        <v>61</v>
      </c>
      <c r="L573" s="191"/>
      <c r="M573" s="191"/>
      <c r="N573" s="191"/>
      <c r="O573" s="191"/>
      <c r="P573" s="191"/>
    </row>
    <row r="574" spans="1:16" ht="21.75" customHeight="1" x14ac:dyDescent="0.2">
      <c r="A574" s="185"/>
      <c r="B574" s="186"/>
      <c r="C574" s="186"/>
      <c r="D574" s="205"/>
      <c r="E574" s="205"/>
      <c r="F574" s="204" t="s">
        <v>211</v>
      </c>
      <c r="G574" s="206"/>
      <c r="H574" s="483"/>
      <c r="I574" s="170"/>
      <c r="J574" s="170"/>
      <c r="K574" s="171"/>
      <c r="L574" s="191"/>
      <c r="M574" s="191"/>
      <c r="N574" s="191"/>
      <c r="O574" s="191"/>
      <c r="P574" s="191"/>
    </row>
    <row r="575" spans="1:16" ht="21.75" customHeight="1" x14ac:dyDescent="0.2">
      <c r="A575" s="185"/>
      <c r="B575" s="186"/>
      <c r="C575" s="186"/>
      <c r="D575" s="205"/>
      <c r="E575" s="204" t="s">
        <v>41</v>
      </c>
      <c r="F575" s="204" t="s">
        <v>212</v>
      </c>
      <c r="G575" s="206"/>
      <c r="H575" s="483" t="s">
        <v>78</v>
      </c>
      <c r="I575" s="212">
        <f ca="1">IFERROR(__xludf.DUMMYFUNCTION("IMPORTRANGE(""https://docs.google.com/spreadsheets/d/11923uPwbBZFjjGgGUA6NLw09EwE0CqkOc4q9oUmW1yo/edit?usp=sharing"",""พิจิตร!I470"")"),0)</f>
        <v>0</v>
      </c>
      <c r="J575" s="207">
        <f ca="1">IFERROR(__xludf.DUMMYFUNCTION("IMPORTRANGE(""https://docs.google.com/spreadsheets/d/11923uPwbBZFjjGgGUA6NLw09EwE0CqkOc4q9oUmW1yo/edit?usp=sharing"",""พิจิตร!J470"")"),4)</f>
        <v>4</v>
      </c>
      <c r="K575" s="171">
        <f t="shared" ref="K575:K579" ca="1" si="123">IF(I575&gt;0,J575*100/I575,0)</f>
        <v>0</v>
      </c>
      <c r="L575" s="191"/>
      <c r="M575" s="191"/>
      <c r="N575" s="191"/>
      <c r="O575" s="191"/>
      <c r="P575" s="191"/>
    </row>
    <row r="576" spans="1:16" ht="21.75" customHeight="1" x14ac:dyDescent="0.2">
      <c r="A576" s="185"/>
      <c r="B576" s="186"/>
      <c r="C576" s="186"/>
      <c r="D576" s="205"/>
      <c r="E576" s="205"/>
      <c r="F576" s="204" t="s">
        <v>213</v>
      </c>
      <c r="G576" s="206"/>
      <c r="H576" s="483" t="s">
        <v>38</v>
      </c>
      <c r="I576" s="212">
        <f ca="1">IFERROR(__xludf.DUMMYFUNCTION("IMPORTRANGE(""https://docs.google.com/spreadsheets/d/11923uPwbBZFjjGgGUA6NLw09EwE0CqkOc4q9oUmW1yo/edit?usp=sharing"",""พิจิตร!I471"")"),0)</f>
        <v>0</v>
      </c>
      <c r="J576" s="207">
        <f ca="1">IFERROR(__xludf.DUMMYFUNCTION("IMPORTRANGE(""https://docs.google.com/spreadsheets/d/11923uPwbBZFjjGgGUA6NLw09EwE0CqkOc4q9oUmW1yo/edit?usp=sharing"",""พิจิตร!J471"")"),95)</f>
        <v>95</v>
      </c>
      <c r="K576" s="171">
        <f t="shared" ca="1" si="123"/>
        <v>0</v>
      </c>
      <c r="L576" s="191"/>
      <c r="M576" s="191"/>
      <c r="N576" s="191"/>
      <c r="O576" s="191"/>
      <c r="P576" s="191"/>
    </row>
    <row r="577" spans="1:16" ht="21.75" customHeight="1" x14ac:dyDescent="0.2">
      <c r="A577" s="185"/>
      <c r="B577" s="186"/>
      <c r="C577" s="186"/>
      <c r="D577" s="205"/>
      <c r="E577" s="205"/>
      <c r="F577" s="204" t="s">
        <v>214</v>
      </c>
      <c r="G577" s="206"/>
      <c r="H577" s="483" t="s">
        <v>38</v>
      </c>
      <c r="I577" s="212">
        <f ca="1">IFERROR(__xludf.DUMMYFUNCTION("IMPORTRANGE(""https://docs.google.com/spreadsheets/d/11923uPwbBZFjjGgGUA6NLw09EwE0CqkOc4q9oUmW1yo/edit?usp=sharing"",""พิจิตร!I472"")"),0)</f>
        <v>0</v>
      </c>
      <c r="J577" s="198">
        <f ca="1">IFERROR(__xludf.DUMMYFUNCTION("IMPORTRANGE(""https://docs.google.com/spreadsheets/d/11923uPwbBZFjjGgGUA6NLw09EwE0CqkOc4q9oUmW1yo/edit?usp=sharing"",""พิจิตร!J472"")"),576)</f>
        <v>576</v>
      </c>
      <c r="K577" s="171">
        <f t="shared" ca="1" si="123"/>
        <v>0</v>
      </c>
      <c r="L577" s="191"/>
      <c r="M577" s="191"/>
      <c r="N577" s="191"/>
      <c r="O577" s="191"/>
      <c r="P577" s="191"/>
    </row>
    <row r="578" spans="1:16" ht="21.75" customHeight="1" x14ac:dyDescent="0.2">
      <c r="A578" s="185"/>
      <c r="B578" s="186"/>
      <c r="C578" s="186"/>
      <c r="D578" s="205"/>
      <c r="E578" s="205"/>
      <c r="F578" s="204" t="s">
        <v>215</v>
      </c>
      <c r="G578" s="429"/>
      <c r="H578" s="483" t="s">
        <v>38</v>
      </c>
      <c r="I578" s="212">
        <f ca="1">IFERROR(__xludf.DUMMYFUNCTION("IMPORTRANGE(""https://docs.google.com/spreadsheets/d/11923uPwbBZFjjGgGUA6NLw09EwE0CqkOc4q9oUmW1yo/edit?usp=sharing"",""พิจิตร!I473"")"),0)</f>
        <v>0</v>
      </c>
      <c r="J578" s="207">
        <f ca="1">IFERROR(__xludf.DUMMYFUNCTION("IMPORTRANGE(""https://docs.google.com/spreadsheets/d/11923uPwbBZFjjGgGUA6NLw09EwE0CqkOc4q9oUmW1yo/edit?usp=sharing"",""พิจิตร!J473"")"),0)</f>
        <v>0</v>
      </c>
      <c r="K578" s="171">
        <f t="shared" ca="1" si="123"/>
        <v>0</v>
      </c>
      <c r="L578" s="191"/>
      <c r="M578" s="191"/>
      <c r="N578" s="191"/>
      <c r="O578" s="191"/>
      <c r="P578" s="191"/>
    </row>
    <row r="579" spans="1:16" ht="21.75" customHeight="1" x14ac:dyDescent="0.2">
      <c r="A579" s="185"/>
      <c r="B579" s="186"/>
      <c r="C579" s="186"/>
      <c r="D579" s="205"/>
      <c r="E579" s="205"/>
      <c r="F579" s="204" t="s">
        <v>216</v>
      </c>
      <c r="G579" s="429"/>
      <c r="H579" s="483" t="s">
        <v>38</v>
      </c>
      <c r="I579" s="212">
        <f ca="1">IFERROR(__xludf.DUMMYFUNCTION("IMPORTRANGE(""https://docs.google.com/spreadsheets/d/11923uPwbBZFjjGgGUA6NLw09EwE0CqkOc4q9oUmW1yo/edit?usp=sharing"",""พิจิตร!I474"")"),0)</f>
        <v>0</v>
      </c>
      <c r="J579" s="207">
        <f ca="1">IFERROR(__xludf.DUMMYFUNCTION("IMPORTRANGE(""https://docs.google.com/spreadsheets/d/11923uPwbBZFjjGgGUA6NLw09EwE0CqkOc4q9oUmW1yo/edit?usp=sharing"",""พิจิตร!J474"")"),0)</f>
        <v>0</v>
      </c>
      <c r="K579" s="171">
        <f t="shared" ca="1" si="123"/>
        <v>0</v>
      </c>
      <c r="L579" s="191"/>
      <c r="M579" s="191"/>
      <c r="N579" s="191"/>
      <c r="O579" s="191"/>
      <c r="P579" s="191"/>
    </row>
    <row r="580" spans="1:16" ht="21.75" customHeight="1" x14ac:dyDescent="0.2">
      <c r="A580" s="374"/>
      <c r="B580" s="375">
        <v>9</v>
      </c>
      <c r="C580" s="485" t="s">
        <v>217</v>
      </c>
      <c r="D580" s="376"/>
      <c r="E580" s="376"/>
      <c r="F580" s="376"/>
      <c r="G580" s="377"/>
      <c r="H580" s="378" t="s">
        <v>38</v>
      </c>
      <c r="I580" s="379">
        <f ca="1">IFERROR(__xludf.DUMMYFUNCTION("IMPORTRANGE(""https://docs.google.com/spreadsheets/d/11923uPwbBZFjjGgGUA6NLw09EwE0CqkOc4q9oUmW1yo/edit?usp=sharing"",""พิจิตร!I475"")"),200)</f>
        <v>200</v>
      </c>
      <c r="J580" s="379">
        <f ca="1">IFERROR(__xludf.DUMMYFUNCTION("IMPORTRANGE(""https://docs.google.com/spreadsheets/d/11923uPwbBZFjjGgGUA6NLw09EwE0CqkOc4q9oUmW1yo/edit?usp=sharing"",""พิจิตร!J475"")"),4)</f>
        <v>4</v>
      </c>
      <c r="K580" s="380">
        <f ca="1">IF(I580&gt;0,J580*100/I580,0)</f>
        <v>2</v>
      </c>
      <c r="L580" s="381">
        <f ca="1">IFERROR(__xludf.DUMMYFUNCTION("IMPORTRANGE(""https://docs.google.com/spreadsheets/d/11923uPwbBZFjjGgGUA6NLw09EwE0CqkOc4q9oUmW1yo/edit?usp=sharing"",""พิจิตร!L475"")"),352400)</f>
        <v>352400</v>
      </c>
      <c r="M580" s="381"/>
      <c r="N580" s="381">
        <f ca="1">IFERROR(__xludf.DUMMYFUNCTION("IMPORTRANGE(""https://docs.google.com/spreadsheets/d/11923uPwbBZFjjGgGUA6NLw09EwE0CqkOc4q9oUmW1yo/edit?usp=sharing"",""พิจิตร!M475"")"),31411.64)</f>
        <v>31411.64</v>
      </c>
      <c r="O580" s="381">
        <f t="shared" ref="O580:O584" ca="1" si="124">+IF(L580&gt;0,N580*100/L580,0)</f>
        <v>8.9136322360953457</v>
      </c>
      <c r="P580" s="381"/>
    </row>
    <row r="581" spans="1:16" ht="21.75" customHeight="1" x14ac:dyDescent="0.2">
      <c r="A581" s="164"/>
      <c r="B581" s="165"/>
      <c r="C581" s="165" t="s">
        <v>17</v>
      </c>
      <c r="D581" s="166" t="s">
        <v>39</v>
      </c>
      <c r="E581" s="167"/>
      <c r="F581" s="167"/>
      <c r="G581" s="168" t="s">
        <v>40</v>
      </c>
      <c r="H581" s="169" t="s">
        <v>13</v>
      </c>
      <c r="I581" s="170" t="s">
        <v>41</v>
      </c>
      <c r="J581" s="170"/>
      <c r="K581" s="171"/>
      <c r="L581" s="172">
        <f ca="1">IFERROR(__xludf.DUMMYFUNCTION("IMPORTRANGE(""https://docs.google.com/spreadsheets/d/11923uPwbBZFjjGgGUA6NLw09EwE0CqkOc4q9oUmW1yo/edit?usp=sharing"",""พิจิตร!L476"")"),0)</f>
        <v>0</v>
      </c>
      <c r="M581" s="172"/>
      <c r="N581" s="178">
        <f ca="1">IFERROR(__xludf.DUMMYFUNCTION("IMPORTRANGE(""https://docs.google.com/spreadsheets/d/11923uPwbBZFjjGgGUA6NLw09EwE0CqkOc4q9oUmW1yo/edit?usp=sharing"",""พิจิตร!M476"")"),0)</f>
        <v>0</v>
      </c>
      <c r="O581" s="178">
        <f t="shared" ca="1" si="124"/>
        <v>0</v>
      </c>
      <c r="P581" s="178"/>
    </row>
    <row r="582" spans="1:16" ht="21.75" customHeight="1" x14ac:dyDescent="0.2">
      <c r="A582" s="164"/>
      <c r="B582" s="165"/>
      <c r="C582" s="165"/>
      <c r="D582" s="174"/>
      <c r="E582" s="167"/>
      <c r="F582" s="167" t="s">
        <v>41</v>
      </c>
      <c r="G582" s="168" t="s">
        <v>42</v>
      </c>
      <c r="H582" s="169" t="s">
        <v>13</v>
      </c>
      <c r="I582" s="170"/>
      <c r="J582" s="170"/>
      <c r="K582" s="171"/>
      <c r="L582" s="173">
        <f ca="1">IFERROR(__xludf.DUMMYFUNCTION("IMPORTRANGE(""https://docs.google.com/spreadsheets/d/11923uPwbBZFjjGgGUA6NLw09EwE0CqkOc4q9oUmW1yo/edit?usp=sharing"",""พิจิตร!L477"")"),352400)</f>
        <v>352400</v>
      </c>
      <c r="M582" s="173"/>
      <c r="N582" s="178">
        <f ca="1">IFERROR(__xludf.DUMMYFUNCTION("IMPORTRANGE(""https://docs.google.com/spreadsheets/d/11923uPwbBZFjjGgGUA6NLw09EwE0CqkOc4q9oUmW1yo/edit?usp=sharing"",""พิจิตร!M477"")"),31411.64)</f>
        <v>31411.64</v>
      </c>
      <c r="O582" s="178">
        <f t="shared" ca="1" si="124"/>
        <v>8.9136322360953457</v>
      </c>
      <c r="P582" s="178"/>
    </row>
    <row r="583" spans="1:16" ht="21.75" customHeight="1" x14ac:dyDescent="0.2">
      <c r="A583" s="164"/>
      <c r="B583" s="165"/>
      <c r="C583" s="165"/>
      <c r="D583" s="174"/>
      <c r="E583" s="167"/>
      <c r="F583" s="167"/>
      <c r="G583" s="382" t="s">
        <v>130</v>
      </c>
      <c r="H583" s="169" t="s">
        <v>13</v>
      </c>
      <c r="I583" s="170"/>
      <c r="J583" s="170"/>
      <c r="K583" s="171"/>
      <c r="L583" s="178">
        <f ca="1">IFERROR(__xludf.DUMMYFUNCTION("IMPORTRANGE(""https://docs.google.com/spreadsheets/d/11923uPwbBZFjjGgGUA6NLw09EwE0CqkOc4q9oUmW1yo/edit?usp=sharing"",""พิจิตร!L478"")"),0)</f>
        <v>0</v>
      </c>
      <c r="M583" s="178"/>
      <c r="N583" s="178">
        <f ca="1">IFERROR(__xludf.DUMMYFUNCTION("IMPORTRANGE(""https://docs.google.com/spreadsheets/d/11923uPwbBZFjjGgGUA6NLw09EwE0CqkOc4q9oUmW1yo/edit?usp=sharing"",""พิจิตร!M478"")"),0)</f>
        <v>0</v>
      </c>
      <c r="O583" s="178">
        <f t="shared" ca="1" si="124"/>
        <v>0</v>
      </c>
      <c r="P583" s="178"/>
    </row>
    <row r="584" spans="1:16" ht="21.75" customHeight="1" x14ac:dyDescent="0.2">
      <c r="A584" s="164"/>
      <c r="B584" s="165"/>
      <c r="C584" s="165"/>
      <c r="D584" s="174"/>
      <c r="E584" s="167"/>
      <c r="F584" s="167"/>
      <c r="G584" s="382" t="s">
        <v>131</v>
      </c>
      <c r="H584" s="169" t="s">
        <v>13</v>
      </c>
      <c r="I584" s="170"/>
      <c r="J584" s="170"/>
      <c r="K584" s="171"/>
      <c r="L584" s="178">
        <f ca="1">IFERROR(__xludf.DUMMYFUNCTION("IMPORTRANGE(""https://docs.google.com/spreadsheets/d/11923uPwbBZFjjGgGUA6NLw09EwE0CqkOc4q9oUmW1yo/edit?usp=sharing"",""พิจิตร!L479"")"),352400)</f>
        <v>352400</v>
      </c>
      <c r="M584" s="178"/>
      <c r="N584" s="178">
        <f ca="1">IFERROR(__xludf.DUMMYFUNCTION("IMPORTRANGE(""https://docs.google.com/spreadsheets/d/11923uPwbBZFjjGgGUA6NLw09EwE0CqkOc4q9oUmW1yo/edit?usp=sharing"",""พิจิตร!M479"")"),31411.64)</f>
        <v>31411.64</v>
      </c>
      <c r="O584" s="178">
        <f t="shared" ca="1" si="124"/>
        <v>8.9136322360953457</v>
      </c>
      <c r="P584" s="178"/>
    </row>
    <row r="585" spans="1:16" ht="21.75" customHeight="1" x14ac:dyDescent="0.2">
      <c r="A585" s="383"/>
      <c r="B585" s="384"/>
      <c r="C585" s="165"/>
      <c r="D585" s="385"/>
      <c r="E585" s="167"/>
      <c r="F585" s="167"/>
      <c r="G585" s="386" t="s">
        <v>132</v>
      </c>
      <c r="H585" s="169" t="s">
        <v>13</v>
      </c>
      <c r="I585" s="197"/>
      <c r="J585" s="197"/>
      <c r="K585" s="233"/>
      <c r="L585" s="178"/>
      <c r="M585" s="178"/>
      <c r="N585" s="175">
        <f ca="1">IFERROR(__xludf.DUMMYFUNCTION("IMPORTRANGE(""https://docs.google.com/spreadsheets/d/11923uPwbBZFjjGgGUA6NLw09EwE0CqkOc4q9oUmW1yo/edit?usp=sharing"",""พิจิตร!M480"")"),0)</f>
        <v>0</v>
      </c>
      <c r="O585" s="178"/>
      <c r="P585" s="178"/>
    </row>
    <row r="586" spans="1:16" ht="21.75" customHeight="1" x14ac:dyDescent="0.2">
      <c r="A586" s="383"/>
      <c r="B586" s="384"/>
      <c r="C586" s="165"/>
      <c r="D586" s="385"/>
      <c r="E586" s="167"/>
      <c r="F586" s="167"/>
      <c r="G586" s="386" t="s">
        <v>133</v>
      </c>
      <c r="H586" s="169" t="s">
        <v>13</v>
      </c>
      <c r="I586" s="197"/>
      <c r="J586" s="197"/>
      <c r="K586" s="233"/>
      <c r="L586" s="178"/>
      <c r="M586" s="178"/>
      <c r="N586" s="175">
        <f ca="1">IFERROR(__xludf.DUMMYFUNCTION("IMPORTRANGE(""https://docs.google.com/spreadsheets/d/11923uPwbBZFjjGgGUA6NLw09EwE0CqkOc4q9oUmW1yo/edit?usp=sharing"",""พิจิตร!M481"")"),0)</f>
        <v>0</v>
      </c>
      <c r="O586" s="178"/>
      <c r="P586" s="178"/>
    </row>
    <row r="587" spans="1:16" ht="21.75" customHeight="1" x14ac:dyDescent="0.2">
      <c r="A587" s="383"/>
      <c r="B587" s="384"/>
      <c r="C587" s="165"/>
      <c r="D587" s="385"/>
      <c r="E587" s="167"/>
      <c r="F587" s="167"/>
      <c r="G587" s="386" t="s">
        <v>134</v>
      </c>
      <c r="H587" s="169" t="s">
        <v>13</v>
      </c>
      <c r="I587" s="197"/>
      <c r="J587" s="197"/>
      <c r="K587" s="233"/>
      <c r="L587" s="178"/>
      <c r="M587" s="178"/>
      <c r="N587" s="175">
        <f ca="1">IFERROR(__xludf.DUMMYFUNCTION("IMPORTRANGE(""https://docs.google.com/spreadsheets/d/11923uPwbBZFjjGgGUA6NLw09EwE0CqkOc4q9oUmW1yo/edit?usp=sharing"",""พิจิตร!M482"")"),1960)</f>
        <v>1960</v>
      </c>
      <c r="O587" s="178"/>
      <c r="P587" s="178"/>
    </row>
    <row r="588" spans="1:16" ht="21.75" customHeight="1" x14ac:dyDescent="0.2">
      <c r="A588" s="383"/>
      <c r="B588" s="384"/>
      <c r="C588" s="165"/>
      <c r="D588" s="385"/>
      <c r="E588" s="167"/>
      <c r="F588" s="167"/>
      <c r="G588" s="386" t="s">
        <v>135</v>
      </c>
      <c r="H588" s="169" t="s">
        <v>13</v>
      </c>
      <c r="I588" s="197"/>
      <c r="J588" s="197"/>
      <c r="K588" s="233"/>
      <c r="L588" s="178"/>
      <c r="M588" s="178"/>
      <c r="N588" s="175">
        <f ca="1">IFERROR(__xludf.DUMMYFUNCTION("IMPORTRANGE(""https://docs.google.com/spreadsheets/d/11923uPwbBZFjjGgGUA6NLw09EwE0CqkOc4q9oUmW1yo/edit?usp=sharing"",""พิจิตร!M483"")"),29451.64)</f>
        <v>29451.64</v>
      </c>
      <c r="O588" s="178"/>
      <c r="P588" s="178"/>
    </row>
    <row r="589" spans="1:16" ht="21.75" customHeight="1" x14ac:dyDescent="0.2">
      <c r="A589" s="486"/>
      <c r="B589" s="174"/>
      <c r="C589" s="165"/>
      <c r="D589" s="299"/>
      <c r="E589" s="204" t="s">
        <v>218</v>
      </c>
      <c r="F589" s="205"/>
      <c r="G589" s="206"/>
      <c r="H589" s="190" t="s">
        <v>37</v>
      </c>
      <c r="I589" s="349">
        <f ca="1">IFERROR(__xludf.DUMMYFUNCTION("IMPORTRANGE(""https://docs.google.com/spreadsheets/d/11923uPwbBZFjjGgGUA6NLw09EwE0CqkOc4q9oUmW1yo/edit?usp=sharing"",""พิจิตร!I484"")"),200)</f>
        <v>200</v>
      </c>
      <c r="J589" s="197">
        <f ca="1">IFERROR(__xludf.DUMMYFUNCTION("IMPORTRANGE(""https://docs.google.com/spreadsheets/d/11923uPwbBZFjjGgGUA6NLw09EwE0CqkOc4q9oUmW1yo/edit?usp=sharing"",""พิจิตร!J484"")"),39)</f>
        <v>39</v>
      </c>
      <c r="K589" s="171">
        <f t="shared" ref="K589:K596" ca="1" si="125">IF(I589&gt;0,J589*100/I589,0)</f>
        <v>19.5</v>
      </c>
      <c r="L589" s="191"/>
      <c r="M589" s="191"/>
      <c r="N589" s="178"/>
      <c r="O589" s="191"/>
      <c r="P589" s="191"/>
    </row>
    <row r="590" spans="1:16" ht="21.75" customHeight="1" x14ac:dyDescent="0.2">
      <c r="A590" s="486"/>
      <c r="B590" s="174"/>
      <c r="C590" s="165"/>
      <c r="D590" s="299"/>
      <c r="E590" s="205"/>
      <c r="F590" s="205"/>
      <c r="G590" s="206"/>
      <c r="H590" s="190" t="s">
        <v>123</v>
      </c>
      <c r="I590" s="353">
        <f ca="1">IFERROR(__xludf.DUMMYFUNCTION("IMPORTRANGE(""https://docs.google.com/spreadsheets/d/11923uPwbBZFjjGgGUA6NLw09EwE0CqkOc4q9oUmW1yo/edit?usp=sharing"",""พิจิตร!I485"")"),0)</f>
        <v>0</v>
      </c>
      <c r="J590" s="197">
        <f ca="1">IFERROR(__xludf.DUMMYFUNCTION("IMPORTRANGE(""https://docs.google.com/spreadsheets/d/11923uPwbBZFjjGgGUA6NLw09EwE0CqkOc4q9oUmW1yo/edit?usp=sharing"",""พิจิตร!J485"")"),26.38)</f>
        <v>26.38</v>
      </c>
      <c r="K590" s="487">
        <f t="shared" ca="1" si="125"/>
        <v>0</v>
      </c>
      <c r="L590" s="191"/>
      <c r="M590" s="191"/>
      <c r="N590" s="178"/>
      <c r="O590" s="191"/>
      <c r="P590" s="191"/>
    </row>
    <row r="591" spans="1:16" ht="21.75" customHeight="1" x14ac:dyDescent="0.2">
      <c r="A591" s="486"/>
      <c r="B591" s="174"/>
      <c r="C591" s="165"/>
      <c r="D591" s="299"/>
      <c r="E591" s="204" t="s">
        <v>124</v>
      </c>
      <c r="F591" s="205"/>
      <c r="G591" s="206"/>
      <c r="H591" s="190" t="s">
        <v>38</v>
      </c>
      <c r="I591" s="349">
        <f ca="1">IFERROR(__xludf.DUMMYFUNCTION("IMPORTRANGE(""https://docs.google.com/spreadsheets/d/11923uPwbBZFjjGgGUA6NLw09EwE0CqkOc4q9oUmW1yo/edit?usp=sharing"",""พิจิตร!I486"")"),200)</f>
        <v>200</v>
      </c>
      <c r="J591" s="197">
        <f ca="1">IFERROR(__xludf.DUMMYFUNCTION("IMPORTRANGE(""https://docs.google.com/spreadsheets/d/11923uPwbBZFjjGgGUA6NLw09EwE0CqkOc4q9oUmW1yo/edit?usp=sharing"",""พิจิตร!J486"")"),4)</f>
        <v>4</v>
      </c>
      <c r="K591" s="171">
        <f t="shared" ca="1" si="125"/>
        <v>2</v>
      </c>
      <c r="L591" s="191"/>
      <c r="M591" s="191"/>
      <c r="N591" s="191"/>
      <c r="O591" s="191"/>
      <c r="P591" s="191"/>
    </row>
    <row r="592" spans="1:16" ht="21.75" customHeight="1" x14ac:dyDescent="0.2">
      <c r="A592" s="486"/>
      <c r="B592" s="174"/>
      <c r="C592" s="165"/>
      <c r="D592" s="299"/>
      <c r="E592" s="205"/>
      <c r="F592" s="205"/>
      <c r="G592" s="206"/>
      <c r="H592" s="190" t="s">
        <v>123</v>
      </c>
      <c r="I592" s="353">
        <f ca="1">IFERROR(__xludf.DUMMYFUNCTION("IMPORTRANGE(""https://docs.google.com/spreadsheets/d/11923uPwbBZFjjGgGUA6NLw09EwE0CqkOc4q9oUmW1yo/edit?usp=sharing"",""พิจิตร!I487"")"),0)</f>
        <v>0</v>
      </c>
      <c r="J592" s="197">
        <f ca="1">IFERROR(__xludf.DUMMYFUNCTION("IMPORTRANGE(""https://docs.google.com/spreadsheets/d/11923uPwbBZFjjGgGUA6NLw09EwE0CqkOc4q9oUmW1yo/edit?usp=sharing"",""พิจิตร!J487"")"),5.13)</f>
        <v>5.13</v>
      </c>
      <c r="K592" s="350">
        <f t="shared" ca="1" si="125"/>
        <v>0</v>
      </c>
      <c r="L592" s="191"/>
      <c r="M592" s="191"/>
      <c r="N592" s="191"/>
      <c r="O592" s="191"/>
      <c r="P592" s="191"/>
    </row>
    <row r="593" spans="1:16" ht="21.75" customHeight="1" x14ac:dyDescent="0.2">
      <c r="A593" s="486"/>
      <c r="B593" s="174"/>
      <c r="C593" s="165"/>
      <c r="D593" s="299"/>
      <c r="E593" s="204" t="s">
        <v>125</v>
      </c>
      <c r="F593" s="205"/>
      <c r="G593" s="206"/>
      <c r="H593" s="190" t="s">
        <v>38</v>
      </c>
      <c r="I593" s="349">
        <f ca="1">IFERROR(__xludf.DUMMYFUNCTION("IMPORTRANGE(""https://docs.google.com/spreadsheets/d/11923uPwbBZFjjGgGUA6NLw09EwE0CqkOc4q9oUmW1yo/edit?usp=sharing"",""พิจิตร!I488"")"),200)</f>
        <v>200</v>
      </c>
      <c r="J593" s="197">
        <f ca="1">IFERROR(__xludf.DUMMYFUNCTION("IMPORTRANGE(""https://docs.google.com/spreadsheets/d/11923uPwbBZFjjGgGUA6NLw09EwE0CqkOc4q9oUmW1yo/edit?usp=sharing"",""พิจิตร!J488"")"),0)</f>
        <v>0</v>
      </c>
      <c r="K593" s="171">
        <f t="shared" ca="1" si="125"/>
        <v>0</v>
      </c>
      <c r="L593" s="191"/>
      <c r="M593" s="191"/>
      <c r="N593" s="191"/>
      <c r="O593" s="191"/>
      <c r="P593" s="191"/>
    </row>
    <row r="594" spans="1:16" ht="21.75" customHeight="1" x14ac:dyDescent="0.2">
      <c r="A594" s="486"/>
      <c r="B594" s="174"/>
      <c r="C594" s="165"/>
      <c r="D594" s="299"/>
      <c r="E594" s="205"/>
      <c r="F594" s="205"/>
      <c r="G594" s="206"/>
      <c r="H594" s="190" t="s">
        <v>123</v>
      </c>
      <c r="I594" s="353">
        <f ca="1">IFERROR(__xludf.DUMMYFUNCTION("IMPORTRANGE(""https://docs.google.com/spreadsheets/d/11923uPwbBZFjjGgGUA6NLw09EwE0CqkOc4q9oUmW1yo/edit?usp=sharing"",""พิจิตร!I489"")"),0)</f>
        <v>0</v>
      </c>
      <c r="J594" s="197">
        <f ca="1">IFERROR(__xludf.DUMMYFUNCTION("IMPORTRANGE(""https://docs.google.com/spreadsheets/d/11923uPwbBZFjjGgGUA6NLw09EwE0CqkOc4q9oUmW1yo/edit?usp=sharing"",""พิจิตร!J489"")"),0)</f>
        <v>0</v>
      </c>
      <c r="K594" s="350">
        <f t="shared" ca="1" si="125"/>
        <v>0</v>
      </c>
      <c r="L594" s="191"/>
      <c r="M594" s="191"/>
      <c r="N594" s="191"/>
      <c r="O594" s="191"/>
      <c r="P594" s="191"/>
    </row>
    <row r="595" spans="1:16" ht="21.75" customHeight="1" x14ac:dyDescent="0.2">
      <c r="A595" s="486"/>
      <c r="B595" s="174"/>
      <c r="C595" s="165"/>
      <c r="D595" s="299"/>
      <c r="E595" s="204" t="s">
        <v>126</v>
      </c>
      <c r="F595" s="205"/>
      <c r="G595" s="206"/>
      <c r="H595" s="190" t="s">
        <v>38</v>
      </c>
      <c r="I595" s="349">
        <f ca="1">IFERROR(__xludf.DUMMYFUNCTION("IMPORTRANGE(""https://docs.google.com/spreadsheets/d/11923uPwbBZFjjGgGUA6NLw09EwE0CqkOc4q9oUmW1yo/edit?usp=sharing"",""พิจิตร!I490"")"),200)</f>
        <v>200</v>
      </c>
      <c r="J595" s="197">
        <f ca="1">IFERROR(__xludf.DUMMYFUNCTION("IMPORTRANGE(""https://docs.google.com/spreadsheets/d/11923uPwbBZFjjGgGUA6NLw09EwE0CqkOc4q9oUmW1yo/edit?usp=sharing"",""พิจิตร!J490"")"),4)</f>
        <v>4</v>
      </c>
      <c r="K595" s="171">
        <f t="shared" ca="1" si="125"/>
        <v>2</v>
      </c>
      <c r="L595" s="191"/>
      <c r="M595" s="191"/>
      <c r="N595" s="191"/>
      <c r="O595" s="191"/>
      <c r="P595" s="191"/>
    </row>
    <row r="596" spans="1:16" ht="21.75" customHeight="1" x14ac:dyDescent="0.2">
      <c r="A596" s="488"/>
      <c r="B596" s="489"/>
      <c r="C596" s="490"/>
      <c r="D596" s="491"/>
      <c r="E596" s="470"/>
      <c r="F596" s="470"/>
      <c r="G596" s="471"/>
      <c r="H596" s="492" t="s">
        <v>123</v>
      </c>
      <c r="I596" s="493">
        <f ca="1">IFERROR(__xludf.DUMMYFUNCTION("IMPORTRANGE(""https://docs.google.com/spreadsheets/d/11923uPwbBZFjjGgGUA6NLw09EwE0CqkOc4q9oUmW1yo/edit?usp=sharing"",""พิจิตร!I491"")"),0)</f>
        <v>0</v>
      </c>
      <c r="J596" s="250">
        <f ca="1">IFERROR(__xludf.DUMMYFUNCTION("IMPORTRANGE(""https://docs.google.com/spreadsheets/d/11923uPwbBZFjjGgGUA6NLw09EwE0CqkOc4q9oUmW1yo/edit?usp=sharing"",""พิจิตร!J491"")"),5.13)</f>
        <v>5.13</v>
      </c>
      <c r="K596" s="494">
        <f t="shared" ca="1" si="125"/>
        <v>0</v>
      </c>
      <c r="L596" s="476"/>
      <c r="M596" s="476"/>
      <c r="N596" s="476"/>
      <c r="O596" s="476"/>
      <c r="P596" s="476"/>
    </row>
    <row r="597" spans="1:16" ht="21.75" customHeight="1" x14ac:dyDescent="0.2">
      <c r="A597" s="413"/>
      <c r="B597" s="414">
        <v>10</v>
      </c>
      <c r="C597" s="415" t="s">
        <v>219</v>
      </c>
      <c r="D597" s="415"/>
      <c r="E597" s="415"/>
      <c r="F597" s="415"/>
      <c r="G597" s="416"/>
      <c r="H597" s="417" t="s">
        <v>123</v>
      </c>
      <c r="I597" s="418">
        <f ca="1">IFERROR(__xludf.DUMMYFUNCTION("IMPORTRANGE(""https://docs.google.com/spreadsheets/d/11923uPwbBZFjjGgGUA6NLw09EwE0CqkOc4q9oUmW1yo/edit?usp=sharing"",""พิจิตร!I492"")"),50)</f>
        <v>50</v>
      </c>
      <c r="J597" s="495">
        <f ca="1">IFERROR(__xludf.DUMMYFUNCTION("IMPORTRANGE(""https://docs.google.com/spreadsheets/d/11923uPwbBZFjjGgGUA6NLw09EwE0CqkOc4q9oUmW1yo/edit?usp=sharing"",""พิจิตร!J492"")"),0)</f>
        <v>0</v>
      </c>
      <c r="K597" s="419">
        <f ca="1">IF(I597&gt;0,J597*100/I597,0)</f>
        <v>0</v>
      </c>
      <c r="L597" s="420">
        <f ca="1">IFERROR(__xludf.DUMMYFUNCTION("IMPORTRANGE(""https://docs.google.com/spreadsheets/d/11923uPwbBZFjjGgGUA6NLw09EwE0CqkOc4q9oUmW1yo/edit?usp=sharing"",""พิจิตร!L492"")"),4550)</f>
        <v>4550</v>
      </c>
      <c r="M597" s="420"/>
      <c r="N597" s="420">
        <f ca="1">IFERROR(__xludf.DUMMYFUNCTION("IMPORTRANGE(""https://docs.google.com/spreadsheets/d/11923uPwbBZFjjGgGUA6NLw09EwE0CqkOc4q9oUmW1yo/edit?usp=sharing"",""พิจิตร!M492"")"),1794)</f>
        <v>1794</v>
      </c>
      <c r="O597" s="420">
        <f t="shared" ref="O597:O601" ca="1" si="126">+IF(L597&gt;0,N597*100/L597,0)</f>
        <v>39.428571428571431</v>
      </c>
      <c r="P597" s="420"/>
    </row>
    <row r="598" spans="1:16" ht="21.75" customHeight="1" x14ac:dyDescent="0.2">
      <c r="A598" s="164"/>
      <c r="B598" s="165"/>
      <c r="C598" s="165" t="s">
        <v>17</v>
      </c>
      <c r="D598" s="166" t="s">
        <v>39</v>
      </c>
      <c r="E598" s="167"/>
      <c r="F598" s="167"/>
      <c r="G598" s="168" t="s">
        <v>40</v>
      </c>
      <c r="H598" s="169" t="s">
        <v>13</v>
      </c>
      <c r="I598" s="170" t="s">
        <v>41</v>
      </c>
      <c r="J598" s="170"/>
      <c r="K598" s="171"/>
      <c r="L598" s="172">
        <f ca="1">IFERROR(__xludf.DUMMYFUNCTION("IMPORTRANGE(""https://docs.google.com/spreadsheets/d/11923uPwbBZFjjGgGUA6NLw09EwE0CqkOc4q9oUmW1yo/edit?usp=sharing"",""พิจิตร!L493"")"),0)</f>
        <v>0</v>
      </c>
      <c r="M598" s="172"/>
      <c r="N598" s="178">
        <f ca="1">IFERROR(__xludf.DUMMYFUNCTION("IMPORTRANGE(""https://docs.google.com/spreadsheets/d/11923uPwbBZFjjGgGUA6NLw09EwE0CqkOc4q9oUmW1yo/edit?usp=sharing"",""พิจิตร!M493"")"),0)</f>
        <v>0</v>
      </c>
      <c r="O598" s="178">
        <f t="shared" ca="1" si="126"/>
        <v>0</v>
      </c>
      <c r="P598" s="178"/>
    </row>
    <row r="599" spans="1:16" ht="21.75" customHeight="1" x14ac:dyDescent="0.2">
      <c r="A599" s="164"/>
      <c r="B599" s="165"/>
      <c r="C599" s="165"/>
      <c r="D599" s="174"/>
      <c r="E599" s="167"/>
      <c r="F599" s="167" t="s">
        <v>41</v>
      </c>
      <c r="G599" s="168" t="s">
        <v>42</v>
      </c>
      <c r="H599" s="169" t="s">
        <v>13</v>
      </c>
      <c r="I599" s="170"/>
      <c r="J599" s="170"/>
      <c r="K599" s="171"/>
      <c r="L599" s="173">
        <f ca="1">IFERROR(__xludf.DUMMYFUNCTION("IMPORTRANGE(""https://docs.google.com/spreadsheets/d/11923uPwbBZFjjGgGUA6NLw09EwE0CqkOc4q9oUmW1yo/edit?usp=sharing"",""พิจิตร!L494"")"),4550)</f>
        <v>4550</v>
      </c>
      <c r="M599" s="173"/>
      <c r="N599" s="178">
        <f ca="1">IFERROR(__xludf.DUMMYFUNCTION("IMPORTRANGE(""https://docs.google.com/spreadsheets/d/11923uPwbBZFjjGgGUA6NLw09EwE0CqkOc4q9oUmW1yo/edit?usp=sharing"",""พิจิตร!M494"")"),1794)</f>
        <v>1794</v>
      </c>
      <c r="O599" s="178">
        <f t="shared" ca="1" si="126"/>
        <v>39.428571428571431</v>
      </c>
      <c r="P599" s="178"/>
    </row>
    <row r="600" spans="1:16" ht="21.75" customHeight="1" x14ac:dyDescent="0.2">
      <c r="A600" s="164"/>
      <c r="B600" s="165"/>
      <c r="C600" s="165"/>
      <c r="D600" s="174"/>
      <c r="E600" s="167"/>
      <c r="F600" s="167"/>
      <c r="G600" s="382" t="s">
        <v>130</v>
      </c>
      <c r="H600" s="169" t="s">
        <v>13</v>
      </c>
      <c r="I600" s="170"/>
      <c r="J600" s="170"/>
      <c r="K600" s="171"/>
      <c r="L600" s="178">
        <f ca="1">IFERROR(__xludf.DUMMYFUNCTION("IMPORTRANGE(""https://docs.google.com/spreadsheets/d/11923uPwbBZFjjGgGUA6NLw09EwE0CqkOc4q9oUmW1yo/edit?usp=sharing"",""พิจิตร!L495"")"),0)</f>
        <v>0</v>
      </c>
      <c r="M600" s="178"/>
      <c r="N600" s="178">
        <f ca="1">IFERROR(__xludf.DUMMYFUNCTION("IMPORTRANGE(""https://docs.google.com/spreadsheets/d/11923uPwbBZFjjGgGUA6NLw09EwE0CqkOc4q9oUmW1yo/edit?usp=sharing"",""พิจิตร!M495"")"),0)</f>
        <v>0</v>
      </c>
      <c r="O600" s="178">
        <f t="shared" ca="1" si="126"/>
        <v>0</v>
      </c>
      <c r="P600" s="178"/>
    </row>
    <row r="601" spans="1:16" ht="21.75" customHeight="1" x14ac:dyDescent="0.2">
      <c r="A601" s="164"/>
      <c r="B601" s="165"/>
      <c r="C601" s="165"/>
      <c r="D601" s="174"/>
      <c r="E601" s="167"/>
      <c r="F601" s="167"/>
      <c r="G601" s="382" t="s">
        <v>131</v>
      </c>
      <c r="H601" s="169" t="s">
        <v>13</v>
      </c>
      <c r="I601" s="170"/>
      <c r="J601" s="170"/>
      <c r="K601" s="171"/>
      <c r="L601" s="178">
        <f ca="1">IFERROR(__xludf.DUMMYFUNCTION("IMPORTRANGE(""https://docs.google.com/spreadsheets/d/11923uPwbBZFjjGgGUA6NLw09EwE0CqkOc4q9oUmW1yo/edit?usp=sharing"",""พิจิตร!L496"")"),4550)</f>
        <v>4550</v>
      </c>
      <c r="M601" s="178"/>
      <c r="N601" s="178">
        <f ca="1">IFERROR(__xludf.DUMMYFUNCTION("IMPORTRANGE(""https://docs.google.com/spreadsheets/d/11923uPwbBZFjjGgGUA6NLw09EwE0CqkOc4q9oUmW1yo/edit?usp=sharing"",""พิจิตร!M496"")"),1794)</f>
        <v>1794</v>
      </c>
      <c r="O601" s="178">
        <f t="shared" ca="1" si="126"/>
        <v>39.428571428571431</v>
      </c>
      <c r="P601" s="178"/>
    </row>
    <row r="602" spans="1:16" ht="21.75" customHeight="1" x14ac:dyDescent="0.2">
      <c r="A602" s="383"/>
      <c r="B602" s="384"/>
      <c r="C602" s="165"/>
      <c r="D602" s="385"/>
      <c r="E602" s="167"/>
      <c r="F602" s="167"/>
      <c r="G602" s="386" t="s">
        <v>132</v>
      </c>
      <c r="H602" s="169" t="s">
        <v>13</v>
      </c>
      <c r="I602" s="197"/>
      <c r="J602" s="197"/>
      <c r="K602" s="233"/>
      <c r="L602" s="178"/>
      <c r="M602" s="178"/>
      <c r="N602" s="175">
        <f ca="1">IFERROR(__xludf.DUMMYFUNCTION("IMPORTRANGE(""https://docs.google.com/spreadsheets/d/11923uPwbBZFjjGgGUA6NLw09EwE0CqkOc4q9oUmW1yo/edit?usp=sharing"",""พิจิตร!M497"")"),0)</f>
        <v>0</v>
      </c>
      <c r="O602" s="178"/>
      <c r="P602" s="178"/>
    </row>
    <row r="603" spans="1:16" ht="21.75" customHeight="1" x14ac:dyDescent="0.2">
      <c r="A603" s="383"/>
      <c r="B603" s="384"/>
      <c r="C603" s="165"/>
      <c r="D603" s="385"/>
      <c r="E603" s="167"/>
      <c r="F603" s="167"/>
      <c r="G603" s="386" t="s">
        <v>133</v>
      </c>
      <c r="H603" s="169" t="s">
        <v>13</v>
      </c>
      <c r="I603" s="197"/>
      <c r="J603" s="197"/>
      <c r="K603" s="233"/>
      <c r="L603" s="178"/>
      <c r="M603" s="178"/>
      <c r="N603" s="175">
        <f ca="1">IFERROR(__xludf.DUMMYFUNCTION("IMPORTRANGE(""https://docs.google.com/spreadsheets/d/11923uPwbBZFjjGgGUA6NLw09EwE0CqkOc4q9oUmW1yo/edit?usp=sharing"",""พิจิตร!M498"")"),0)</f>
        <v>0</v>
      </c>
      <c r="O603" s="178"/>
      <c r="P603" s="178"/>
    </row>
    <row r="604" spans="1:16" ht="21.75" customHeight="1" x14ac:dyDescent="0.2">
      <c r="A604" s="383"/>
      <c r="B604" s="384"/>
      <c r="C604" s="165"/>
      <c r="D604" s="385"/>
      <c r="E604" s="167"/>
      <c r="F604" s="167"/>
      <c r="G604" s="386" t="s">
        <v>134</v>
      </c>
      <c r="H604" s="169" t="s">
        <v>13</v>
      </c>
      <c r="I604" s="197"/>
      <c r="J604" s="197"/>
      <c r="K604" s="233"/>
      <c r="L604" s="178"/>
      <c r="M604" s="178"/>
      <c r="N604" s="387">
        <f ca="1">IFERROR(__xludf.DUMMYFUNCTION("IMPORTRANGE(""https://docs.google.com/spreadsheets/d/11923uPwbBZFjjGgGUA6NLw09EwE0CqkOc4q9oUmW1yo/edit?usp=sharing"",""พิจิตร!M499"")"),0)</f>
        <v>0</v>
      </c>
      <c r="O604" s="178"/>
      <c r="P604" s="178"/>
    </row>
    <row r="605" spans="1:16" ht="21.75" customHeight="1" x14ac:dyDescent="0.2">
      <c r="A605" s="383"/>
      <c r="B605" s="384"/>
      <c r="C605" s="165"/>
      <c r="D605" s="385"/>
      <c r="E605" s="167"/>
      <c r="F605" s="167"/>
      <c r="G605" s="386" t="s">
        <v>135</v>
      </c>
      <c r="H605" s="169" t="s">
        <v>13</v>
      </c>
      <c r="I605" s="197"/>
      <c r="J605" s="197"/>
      <c r="K605" s="233"/>
      <c r="L605" s="178"/>
      <c r="M605" s="178"/>
      <c r="N605" s="387">
        <f ca="1">IFERROR(__xludf.DUMMYFUNCTION("IMPORTRANGE(""https://docs.google.com/spreadsheets/d/11923uPwbBZFjjGgGUA6NLw09EwE0CqkOc4q9oUmW1yo/edit?usp=sharing"",""พิจิตร!M500"")"),1794)</f>
        <v>1794</v>
      </c>
      <c r="O605" s="178"/>
      <c r="P605" s="178"/>
    </row>
    <row r="606" spans="1:16" ht="21.75" customHeight="1" x14ac:dyDescent="0.2">
      <c r="A606" s="185"/>
      <c r="B606" s="186"/>
      <c r="C606" s="165" t="s">
        <v>17</v>
      </c>
      <c r="D606" s="187" t="s">
        <v>45</v>
      </c>
      <c r="E606" s="188"/>
      <c r="F606" s="188"/>
      <c r="G606" s="189"/>
      <c r="H606" s="190"/>
      <c r="I606" s="170"/>
      <c r="J606" s="170"/>
      <c r="K606" s="171"/>
      <c r="L606" s="191"/>
      <c r="M606" s="191"/>
      <c r="N606" s="191"/>
      <c r="O606" s="191"/>
      <c r="P606" s="191"/>
    </row>
    <row r="607" spans="1:16" ht="21.75" customHeight="1" x14ac:dyDescent="0.2">
      <c r="A607" s="185"/>
      <c r="B607" s="186"/>
      <c r="C607" s="186"/>
      <c r="D607" s="192">
        <v>1</v>
      </c>
      <c r="E607" s="193" t="s">
        <v>46</v>
      </c>
      <c r="F607" s="194"/>
      <c r="G607" s="195"/>
      <c r="H607" s="196"/>
      <c r="I607" s="197"/>
      <c r="J607" s="207">
        <f ca="1">IFERROR(__xludf.DUMMYFUNCTION("IMPORTRANGE(""https://docs.google.com/spreadsheets/d/11923uPwbBZFjjGgGUA6NLw09EwE0CqkOc4q9oUmW1yo/edit?usp=sharing"",""พิจิตร!J502"")"),0)</f>
        <v>0</v>
      </c>
      <c r="K607" s="171"/>
      <c r="L607" s="191"/>
      <c r="M607" s="191"/>
      <c r="N607" s="191"/>
      <c r="O607" s="191"/>
      <c r="P607" s="191"/>
    </row>
    <row r="608" spans="1:16" ht="21.75" customHeight="1" x14ac:dyDescent="0.2">
      <c r="A608" s="185"/>
      <c r="B608" s="186"/>
      <c r="C608" s="186"/>
      <c r="D608" s="199">
        <v>2</v>
      </c>
      <c r="E608" s="200" t="s">
        <v>47</v>
      </c>
      <c r="F608" s="201"/>
      <c r="G608" s="202"/>
      <c r="H608" s="196"/>
      <c r="I608" s="197"/>
      <c r="J608" s="207">
        <f ca="1">IFERROR(__xludf.DUMMYFUNCTION("IMPORTRANGE(""https://docs.google.com/spreadsheets/d/11923uPwbBZFjjGgGUA6NLw09EwE0CqkOc4q9oUmW1yo/edit?usp=sharing"",""พิจิตร!J503"")"),1)</f>
        <v>1</v>
      </c>
      <c r="K608" s="171"/>
      <c r="L608" s="191" t="s">
        <v>41</v>
      </c>
      <c r="M608" s="191"/>
      <c r="N608" s="191" t="s">
        <v>41</v>
      </c>
      <c r="O608" s="191"/>
      <c r="P608" s="191"/>
    </row>
    <row r="609" spans="1:16" ht="21.75" hidden="1" customHeight="1" x14ac:dyDescent="0.2">
      <c r="A609" s="496"/>
      <c r="B609" s="497"/>
      <c r="C609" s="497"/>
      <c r="D609" s="498"/>
      <c r="E609" s="499" t="s">
        <v>48</v>
      </c>
      <c r="F609" s="500"/>
      <c r="G609" s="501"/>
      <c r="H609" s="502"/>
      <c r="I609" s="503"/>
      <c r="J609" s="503">
        <f ca="1">IFERROR(__xludf.DUMMYFUNCTION("IMPORTRANGE(""https://docs.google.com/spreadsheets/d/11923uPwbBZFjjGgGUA6NLw09EwE0CqkOc4q9oUmW1yo/edit?usp=sharing"",""พิจิตร!J166"")"),0)</f>
        <v>0</v>
      </c>
      <c r="K609" s="504"/>
      <c r="L609" s="505"/>
      <c r="M609" s="505"/>
      <c r="N609" s="505"/>
      <c r="O609" s="505"/>
      <c r="P609" s="505"/>
    </row>
    <row r="610" spans="1:16" ht="21.75" hidden="1" customHeight="1" x14ac:dyDescent="0.2">
      <c r="A610" s="496"/>
      <c r="B610" s="497"/>
      <c r="C610" s="497"/>
      <c r="D610" s="498"/>
      <c r="E610" s="499" t="s">
        <v>49</v>
      </c>
      <c r="F610" s="500"/>
      <c r="G610" s="501"/>
      <c r="H610" s="502"/>
      <c r="I610" s="503"/>
      <c r="J610" s="503">
        <f ca="1">IFERROR(__xludf.DUMMYFUNCTION("IMPORTRANGE(""https://docs.google.com/spreadsheets/d/11923uPwbBZFjjGgGUA6NLw09EwE0CqkOc4q9oUmW1yo/edit?usp=sharing"",""พิจิตร!J166"")"),0)</f>
        <v>0</v>
      </c>
      <c r="K610" s="504"/>
      <c r="L610" s="505"/>
      <c r="M610" s="505"/>
      <c r="N610" s="505"/>
      <c r="O610" s="505"/>
      <c r="P610" s="505"/>
    </row>
    <row r="611" spans="1:16" ht="21.75" customHeight="1" x14ac:dyDescent="0.2">
      <c r="A611" s="185"/>
      <c r="B611" s="186"/>
      <c r="C611" s="186"/>
      <c r="D611" s="203"/>
      <c r="E611" s="205"/>
      <c r="F611" s="205" t="s">
        <v>220</v>
      </c>
      <c r="G611" s="206"/>
      <c r="H611" s="190" t="s">
        <v>123</v>
      </c>
      <c r="I611" s="197">
        <f ca="1">IFERROR(__xludf.DUMMYFUNCTION("IMPORTRANGE(""https://docs.google.com/spreadsheets/d/11923uPwbBZFjjGgGUA6NLw09EwE0CqkOc4q9oUmW1yo/edit?usp=sharing"",""พิจิตร!I506"")"),50)</f>
        <v>50</v>
      </c>
      <c r="J611" s="170">
        <f ca="1">IFERROR(__xludf.DUMMYFUNCTION("IMPORTRANGE(""https://docs.google.com/spreadsheets/d/11923uPwbBZFjjGgGUA6NLw09EwE0CqkOc4q9oUmW1yo/edit?usp=sharing"",""พิจิตร!J506"")"),0)</f>
        <v>0</v>
      </c>
      <c r="K611" s="171">
        <f t="shared" ref="K611:K619" ca="1" si="127">IF(I$611&gt;0,J611*100/I$611,0)</f>
        <v>0</v>
      </c>
      <c r="L611" s="191"/>
      <c r="M611" s="191"/>
      <c r="N611" s="191"/>
      <c r="O611" s="191"/>
      <c r="P611" s="191"/>
    </row>
    <row r="612" spans="1:16" ht="21.75" customHeight="1" x14ac:dyDescent="0.2">
      <c r="A612" s="185"/>
      <c r="B612" s="186"/>
      <c r="C612" s="186"/>
      <c r="D612" s="203"/>
      <c r="E612" s="208"/>
      <c r="F612" s="205"/>
      <c r="G612" s="235" t="s">
        <v>221</v>
      </c>
      <c r="H612" s="190" t="s">
        <v>123</v>
      </c>
      <c r="I612" s="213">
        <f ca="1">IFERROR(__xludf.DUMMYFUNCTION("IMPORTRANGE(""https://docs.google.com/spreadsheets/d/11923uPwbBZFjjGgGUA6NLw09EwE0CqkOc4q9oUmW1yo/edit?usp=sharing"",""พิจิตร!I507"")"),0)</f>
        <v>0</v>
      </c>
      <c r="J612" s="207">
        <f ca="1">IFERROR(__xludf.DUMMYFUNCTION("IMPORTRANGE(""https://docs.google.com/spreadsheets/d/11923uPwbBZFjjGgGUA6NLw09EwE0CqkOc4q9oUmW1yo/edit?usp=sharing"",""พิจิตร!J507"")"),0)</f>
        <v>0</v>
      </c>
      <c r="K612" s="171">
        <f t="shared" ca="1" si="127"/>
        <v>0</v>
      </c>
      <c r="L612" s="191"/>
      <c r="M612" s="191"/>
      <c r="N612" s="191"/>
      <c r="O612" s="191"/>
      <c r="P612" s="191"/>
    </row>
    <row r="613" spans="1:16" ht="21.75" customHeight="1" x14ac:dyDescent="0.2">
      <c r="A613" s="185"/>
      <c r="B613" s="186"/>
      <c r="C613" s="186"/>
      <c r="D613" s="203"/>
      <c r="E613" s="208"/>
      <c r="F613" s="205"/>
      <c r="G613" s="235" t="s">
        <v>222</v>
      </c>
      <c r="H613" s="190" t="s">
        <v>123</v>
      </c>
      <c r="I613" s="213">
        <f ca="1">IFERROR(__xludf.DUMMYFUNCTION("IMPORTRANGE(""https://docs.google.com/spreadsheets/d/11923uPwbBZFjjGgGUA6NLw09EwE0CqkOc4q9oUmW1yo/edit?usp=sharing"",""พิจิตร!I508"")"),0)</f>
        <v>0</v>
      </c>
      <c r="J613" s="207">
        <f ca="1">IFERROR(__xludf.DUMMYFUNCTION("IMPORTRANGE(""https://docs.google.com/spreadsheets/d/11923uPwbBZFjjGgGUA6NLw09EwE0CqkOc4q9oUmW1yo/edit?usp=sharing"",""พิจิตร!J508"")"),0)</f>
        <v>0</v>
      </c>
      <c r="K613" s="171">
        <f t="shared" ca="1" si="127"/>
        <v>0</v>
      </c>
      <c r="L613" s="191"/>
      <c r="M613" s="191"/>
      <c r="N613" s="191"/>
      <c r="O613" s="191"/>
      <c r="P613" s="191"/>
    </row>
    <row r="614" spans="1:16" ht="21.75" customHeight="1" x14ac:dyDescent="0.2">
      <c r="A614" s="185"/>
      <c r="B614" s="186"/>
      <c r="C614" s="186"/>
      <c r="D614" s="203"/>
      <c r="E614" s="208"/>
      <c r="F614" s="205"/>
      <c r="G614" s="235" t="s">
        <v>223</v>
      </c>
      <c r="H614" s="190" t="s">
        <v>123</v>
      </c>
      <c r="I614" s="213">
        <f ca="1">IFERROR(__xludf.DUMMYFUNCTION("IMPORTRANGE(""https://docs.google.com/spreadsheets/d/11923uPwbBZFjjGgGUA6NLw09EwE0CqkOc4q9oUmW1yo/edit?usp=sharing"",""พิจิตร!I509"")"),0)</f>
        <v>0</v>
      </c>
      <c r="J614" s="207">
        <f ca="1">IFERROR(__xludf.DUMMYFUNCTION("IMPORTRANGE(""https://docs.google.com/spreadsheets/d/11923uPwbBZFjjGgGUA6NLw09EwE0CqkOc4q9oUmW1yo/edit?usp=sharing"",""พิจิตร!J509"")"),0)</f>
        <v>0</v>
      </c>
      <c r="K614" s="171">
        <f t="shared" ca="1" si="127"/>
        <v>0</v>
      </c>
      <c r="L614" s="191"/>
      <c r="M614" s="191"/>
      <c r="N614" s="191"/>
      <c r="O614" s="191"/>
      <c r="P614" s="191"/>
    </row>
    <row r="615" spans="1:16" ht="21.75" customHeight="1" x14ac:dyDescent="0.2">
      <c r="A615" s="185"/>
      <c r="B615" s="186"/>
      <c r="C615" s="186"/>
      <c r="D615" s="203"/>
      <c r="E615" s="208"/>
      <c r="F615" s="205"/>
      <c r="G615" s="235" t="s">
        <v>224</v>
      </c>
      <c r="H615" s="190" t="s">
        <v>123</v>
      </c>
      <c r="I615" s="213">
        <f ca="1">IFERROR(__xludf.DUMMYFUNCTION("IMPORTRANGE(""https://docs.google.com/spreadsheets/d/11923uPwbBZFjjGgGUA6NLw09EwE0CqkOc4q9oUmW1yo/edit?usp=sharing"",""พิจิตร!I510"")"),0)</f>
        <v>0</v>
      </c>
      <c r="J615" s="207">
        <f ca="1">IFERROR(__xludf.DUMMYFUNCTION("IMPORTRANGE(""https://docs.google.com/spreadsheets/d/11923uPwbBZFjjGgGUA6NLw09EwE0CqkOc4q9oUmW1yo/edit?usp=sharing"",""พิจิตร!J510"")"),0)</f>
        <v>0</v>
      </c>
      <c r="K615" s="171">
        <f t="shared" ca="1" si="127"/>
        <v>0</v>
      </c>
      <c r="L615" s="191"/>
      <c r="M615" s="191"/>
      <c r="N615" s="191"/>
      <c r="O615" s="191"/>
      <c r="P615" s="191"/>
    </row>
    <row r="616" spans="1:16" ht="21.75" customHeight="1" x14ac:dyDescent="0.2">
      <c r="A616" s="185"/>
      <c r="B616" s="186"/>
      <c r="C616" s="186"/>
      <c r="D616" s="203"/>
      <c r="E616" s="208"/>
      <c r="F616" s="205"/>
      <c r="G616" s="204" t="s">
        <v>225</v>
      </c>
      <c r="H616" s="190" t="s">
        <v>123</v>
      </c>
      <c r="I616" s="213">
        <f ca="1">IFERROR(__xludf.DUMMYFUNCTION("IMPORTRANGE(""https://docs.google.com/spreadsheets/d/11923uPwbBZFjjGgGUA6NLw09EwE0CqkOc4q9oUmW1yo/edit?usp=sharing"",""พิจิตร!I511"")"),0)</f>
        <v>0</v>
      </c>
      <c r="J616" s="207">
        <f ca="1">IFERROR(__xludf.DUMMYFUNCTION("IMPORTRANGE(""https://docs.google.com/spreadsheets/d/11923uPwbBZFjjGgGUA6NLw09EwE0CqkOc4q9oUmW1yo/edit?usp=sharing"",""พิจิตร!J511"")"),0)</f>
        <v>0</v>
      </c>
      <c r="K616" s="171">
        <f t="shared" ca="1" si="127"/>
        <v>0</v>
      </c>
      <c r="L616" s="191"/>
      <c r="M616" s="191"/>
      <c r="N616" s="191"/>
      <c r="O616" s="191"/>
      <c r="P616" s="191"/>
    </row>
    <row r="617" spans="1:16" ht="21.75" customHeight="1" x14ac:dyDescent="0.2">
      <c r="A617" s="185"/>
      <c r="B617" s="186"/>
      <c r="C617" s="186"/>
      <c r="D617" s="203"/>
      <c r="E617" s="208"/>
      <c r="F617" s="205"/>
      <c r="G617" s="204" t="s">
        <v>226</v>
      </c>
      <c r="H617" s="190" t="s">
        <v>123</v>
      </c>
      <c r="I617" s="197">
        <f ca="1">IFERROR(__xludf.DUMMYFUNCTION("IMPORTRANGE(""https://docs.google.com/spreadsheets/d/11923uPwbBZFjjGgGUA6NLw09EwE0CqkOc4q9oUmW1yo/edit?usp=sharing"",""พิจิตร!I512"")"),0)</f>
        <v>0</v>
      </c>
      <c r="J617" s="197">
        <f ca="1">IFERROR(__xludf.DUMMYFUNCTION("IMPORTRANGE(""https://docs.google.com/spreadsheets/d/11923uPwbBZFjjGgGUA6NLw09EwE0CqkOc4q9oUmW1yo/edit?usp=sharing"",""พิจิตร!J512"")"),0)</f>
        <v>0</v>
      </c>
      <c r="K617" s="171">
        <f t="shared" ca="1" si="127"/>
        <v>0</v>
      </c>
      <c r="L617" s="191"/>
      <c r="M617" s="191"/>
      <c r="N617" s="191"/>
      <c r="O617" s="191"/>
      <c r="P617" s="191"/>
    </row>
    <row r="618" spans="1:16" ht="21.75" customHeight="1" x14ac:dyDescent="0.2">
      <c r="A618" s="185"/>
      <c r="B618" s="186"/>
      <c r="C618" s="186"/>
      <c r="D618" s="203"/>
      <c r="E618" s="208"/>
      <c r="F618" s="205"/>
      <c r="G618" s="506" t="s">
        <v>227</v>
      </c>
      <c r="H618" s="190" t="s">
        <v>123</v>
      </c>
      <c r="I618" s="213">
        <f ca="1">IFERROR(__xludf.DUMMYFUNCTION("IMPORTRANGE(""https://docs.google.com/spreadsheets/d/11923uPwbBZFjjGgGUA6NLw09EwE0CqkOc4q9oUmW1yo/edit?usp=sharing"",""พิจิตร!I513"")"),0)</f>
        <v>0</v>
      </c>
      <c r="J618" s="198">
        <f ca="1">IFERROR(__xludf.DUMMYFUNCTION("IMPORTRANGE(""https://docs.google.com/spreadsheets/d/11923uPwbBZFjjGgGUA6NLw09EwE0CqkOc4q9oUmW1yo/edit?usp=sharing"",""พิจิตร!J513"")"),0)</f>
        <v>0</v>
      </c>
      <c r="K618" s="171">
        <f t="shared" ca="1" si="127"/>
        <v>0</v>
      </c>
      <c r="L618" s="191"/>
      <c r="M618" s="191"/>
      <c r="N618" s="191"/>
      <c r="O618" s="191"/>
      <c r="P618" s="191"/>
    </row>
    <row r="619" spans="1:16" ht="21.75" customHeight="1" x14ac:dyDescent="0.2">
      <c r="A619" s="185"/>
      <c r="B619" s="186"/>
      <c r="C619" s="186"/>
      <c r="D619" s="203"/>
      <c r="E619" s="208"/>
      <c r="F619" s="205"/>
      <c r="G619" s="506" t="s">
        <v>228</v>
      </c>
      <c r="H619" s="190" t="s">
        <v>123</v>
      </c>
      <c r="I619" s="213">
        <f ca="1">IFERROR(__xludf.DUMMYFUNCTION("IMPORTRANGE(""https://docs.google.com/spreadsheets/d/11923uPwbBZFjjGgGUA6NLw09EwE0CqkOc4q9oUmW1yo/edit?usp=sharing"",""พิจิตร!I514"")"),0)</f>
        <v>0</v>
      </c>
      <c r="J619" s="198">
        <f ca="1">IFERROR(__xludf.DUMMYFUNCTION("IMPORTRANGE(""https://docs.google.com/spreadsheets/d/11923uPwbBZFjjGgGUA6NLw09EwE0CqkOc4q9oUmW1yo/edit?usp=sharing"",""พิจิตร!J514"")"),0)</f>
        <v>0</v>
      </c>
      <c r="K619" s="171">
        <f t="shared" ca="1" si="127"/>
        <v>0</v>
      </c>
      <c r="L619" s="191"/>
      <c r="M619" s="191"/>
      <c r="N619" s="191"/>
      <c r="O619" s="191"/>
      <c r="P619" s="191"/>
    </row>
    <row r="620" spans="1:16" ht="21.75" customHeight="1" x14ac:dyDescent="0.2">
      <c r="A620" s="185"/>
      <c r="B620" s="186"/>
      <c r="C620" s="186"/>
      <c r="D620" s="203"/>
      <c r="E620" s="205"/>
      <c r="F620" s="204" t="s">
        <v>229</v>
      </c>
      <c r="G620" s="206"/>
      <c r="H620" s="190" t="s">
        <v>123</v>
      </c>
      <c r="I620" s="197">
        <f ca="1">IFERROR(__xludf.DUMMYFUNCTION("IMPORTRANGE(""https://docs.google.com/spreadsheets/d/11923uPwbBZFjjGgGUA6NLw09EwE0CqkOc4q9oUmW1yo/edit?usp=sharing"",""พิจิตร!I515"")"),0)</f>
        <v>0</v>
      </c>
      <c r="J620" s="212">
        <f ca="1">IFERROR(__xludf.DUMMYFUNCTION("IMPORTRANGE(""https://docs.google.com/spreadsheets/d/11923uPwbBZFjjGgGUA6NLw09EwE0CqkOc4q9oUmW1yo/edit?usp=sharing"",""พิจิตร!J515"")"),0)</f>
        <v>0</v>
      </c>
      <c r="K620" s="171">
        <f t="shared" ref="K620:K626" ca="1" si="128">IF(I$620&gt;0,J620*100/I$620,0)</f>
        <v>0</v>
      </c>
      <c r="L620" s="191"/>
      <c r="M620" s="191"/>
      <c r="N620" s="191"/>
      <c r="O620" s="191"/>
      <c r="P620" s="191"/>
    </row>
    <row r="621" spans="1:16" ht="21.75" customHeight="1" x14ac:dyDescent="0.2">
      <c r="A621" s="185"/>
      <c r="B621" s="186"/>
      <c r="C621" s="186"/>
      <c r="D621" s="203"/>
      <c r="E621" s="208"/>
      <c r="F621" s="205"/>
      <c r="G621" s="235" t="s">
        <v>226</v>
      </c>
      <c r="H621" s="190" t="s">
        <v>123</v>
      </c>
      <c r="I621" s="212">
        <f ca="1">IFERROR(__xludf.DUMMYFUNCTION("IMPORTRANGE(""https://docs.google.com/spreadsheets/d/11923uPwbBZFjjGgGUA6NLw09EwE0CqkOc4q9oUmW1yo/edit?usp=sharing"",""พิจิตร!I516"")"),0)</f>
        <v>0</v>
      </c>
      <c r="J621" s="212">
        <f ca="1">IFERROR(__xludf.DUMMYFUNCTION("IMPORTRANGE(""https://docs.google.com/spreadsheets/d/11923uPwbBZFjjGgGUA6NLw09EwE0CqkOc4q9oUmW1yo/edit?usp=sharing"",""พิจิตร!J516"")"),0)</f>
        <v>0</v>
      </c>
      <c r="K621" s="171">
        <f t="shared" ca="1" si="128"/>
        <v>0</v>
      </c>
      <c r="L621" s="191"/>
      <c r="M621" s="191"/>
      <c r="N621" s="191"/>
      <c r="O621" s="191"/>
      <c r="P621" s="191"/>
    </row>
    <row r="622" spans="1:16" ht="21.75" customHeight="1" x14ac:dyDescent="0.2">
      <c r="A622" s="185"/>
      <c r="B622" s="186"/>
      <c r="C622" s="186"/>
      <c r="D622" s="203"/>
      <c r="E622" s="208"/>
      <c r="F622" s="205"/>
      <c r="G622" s="506" t="s">
        <v>227</v>
      </c>
      <c r="H622" s="190" t="s">
        <v>123</v>
      </c>
      <c r="I622" s="213">
        <f ca="1">IFERROR(__xludf.DUMMYFUNCTION("IMPORTRANGE(""https://docs.google.com/spreadsheets/d/11923uPwbBZFjjGgGUA6NLw09EwE0CqkOc4q9oUmW1yo/edit?usp=sharing"",""พิจิตร!I517"")"),0)</f>
        <v>0</v>
      </c>
      <c r="J622" s="198">
        <f ca="1">IFERROR(__xludf.DUMMYFUNCTION("IMPORTRANGE(""https://docs.google.com/spreadsheets/d/11923uPwbBZFjjGgGUA6NLw09EwE0CqkOc4q9oUmW1yo/edit?usp=sharing"",""พิจิตร!J517"")"),0)</f>
        <v>0</v>
      </c>
      <c r="K622" s="171">
        <f t="shared" ca="1" si="128"/>
        <v>0</v>
      </c>
      <c r="L622" s="191"/>
      <c r="M622" s="191"/>
      <c r="N622" s="191"/>
      <c r="O622" s="191"/>
      <c r="P622" s="191"/>
    </row>
    <row r="623" spans="1:16" ht="21.75" customHeight="1" x14ac:dyDescent="0.2">
      <c r="A623" s="185"/>
      <c r="B623" s="186"/>
      <c r="C623" s="186"/>
      <c r="D623" s="203"/>
      <c r="E623" s="208"/>
      <c r="F623" s="205"/>
      <c r="G623" s="506" t="s">
        <v>228</v>
      </c>
      <c r="H623" s="190" t="s">
        <v>123</v>
      </c>
      <c r="I623" s="213">
        <f ca="1">IFERROR(__xludf.DUMMYFUNCTION("IMPORTRANGE(""https://docs.google.com/spreadsheets/d/11923uPwbBZFjjGgGUA6NLw09EwE0CqkOc4q9oUmW1yo/edit?usp=sharing"",""พิจิตร!I518"")"),0)</f>
        <v>0</v>
      </c>
      <c r="J623" s="198">
        <f ca="1">IFERROR(__xludf.DUMMYFUNCTION("IMPORTRANGE(""https://docs.google.com/spreadsheets/d/11923uPwbBZFjjGgGUA6NLw09EwE0CqkOc4q9oUmW1yo/edit?usp=sharing"",""พิจิตร!J518"")"),0)</f>
        <v>0</v>
      </c>
      <c r="K623" s="171">
        <f t="shared" ca="1" si="128"/>
        <v>0</v>
      </c>
      <c r="L623" s="191"/>
      <c r="M623" s="191"/>
      <c r="N623" s="191"/>
      <c r="O623" s="191"/>
      <c r="P623" s="191"/>
    </row>
    <row r="624" spans="1:16" ht="21.75" customHeight="1" x14ac:dyDescent="0.2">
      <c r="A624" s="185"/>
      <c r="B624" s="186"/>
      <c r="C624" s="186"/>
      <c r="D624" s="203"/>
      <c r="E624" s="208"/>
      <c r="F624" s="205"/>
      <c r="G624" s="235" t="s">
        <v>230</v>
      </c>
      <c r="H624" s="190" t="s">
        <v>123</v>
      </c>
      <c r="I624" s="197">
        <f ca="1">IFERROR(__xludf.DUMMYFUNCTION("IMPORTRANGE(""https://docs.google.com/spreadsheets/d/11923uPwbBZFjjGgGUA6NLw09EwE0CqkOc4q9oUmW1yo/edit?usp=sharing"",""พิจิตร!I519"")"),0)</f>
        <v>0</v>
      </c>
      <c r="J624" s="197">
        <f ca="1">IFERROR(__xludf.DUMMYFUNCTION("IMPORTRANGE(""https://docs.google.com/spreadsheets/d/11923uPwbBZFjjGgGUA6NLw09EwE0CqkOc4q9oUmW1yo/edit?usp=sharing"",""พิจิตร!J519"")"),0)</f>
        <v>0</v>
      </c>
      <c r="K624" s="171">
        <f t="shared" ca="1" si="128"/>
        <v>0</v>
      </c>
      <c r="L624" s="191"/>
      <c r="M624" s="191"/>
      <c r="N624" s="191"/>
      <c r="O624" s="191"/>
      <c r="P624" s="191"/>
    </row>
    <row r="625" spans="1:16" ht="21.75" customHeight="1" x14ac:dyDescent="0.2">
      <c r="A625" s="185"/>
      <c r="B625" s="186"/>
      <c r="C625" s="186"/>
      <c r="D625" s="203"/>
      <c r="E625" s="208"/>
      <c r="F625" s="205"/>
      <c r="G625" s="506" t="s">
        <v>231</v>
      </c>
      <c r="H625" s="190" t="s">
        <v>123</v>
      </c>
      <c r="I625" s="213">
        <f ca="1">IFERROR(__xludf.DUMMYFUNCTION("IMPORTRANGE(""https://docs.google.com/spreadsheets/d/11923uPwbBZFjjGgGUA6NLw09EwE0CqkOc4q9oUmW1yo/edit?usp=sharing"",""พิจิตร!I520"")"),0)</f>
        <v>0</v>
      </c>
      <c r="J625" s="198">
        <f ca="1">IFERROR(__xludf.DUMMYFUNCTION("IMPORTRANGE(""https://docs.google.com/spreadsheets/d/11923uPwbBZFjjGgGUA6NLw09EwE0CqkOc4q9oUmW1yo/edit?usp=sharing"",""พิจิตร!J520"")"),0)</f>
        <v>0</v>
      </c>
      <c r="K625" s="171">
        <f t="shared" ca="1" si="128"/>
        <v>0</v>
      </c>
      <c r="L625" s="191"/>
      <c r="M625" s="191"/>
      <c r="N625" s="191"/>
      <c r="O625" s="191"/>
      <c r="P625" s="191"/>
    </row>
    <row r="626" spans="1:16" ht="21.75" customHeight="1" x14ac:dyDescent="0.2">
      <c r="A626" s="185"/>
      <c r="B626" s="186"/>
      <c r="C626" s="186"/>
      <c r="D626" s="203"/>
      <c r="E626" s="208"/>
      <c r="F626" s="205"/>
      <c r="G626" s="506" t="s">
        <v>232</v>
      </c>
      <c r="H626" s="190" t="s">
        <v>123</v>
      </c>
      <c r="I626" s="213">
        <f ca="1">IFERROR(__xludf.DUMMYFUNCTION("IMPORTRANGE(""https://docs.google.com/spreadsheets/d/11923uPwbBZFjjGgGUA6NLw09EwE0CqkOc4q9oUmW1yo/edit?usp=sharing"",""พิจิตร!I521"")"),0)</f>
        <v>0</v>
      </c>
      <c r="J626" s="198">
        <f ca="1">IFERROR(__xludf.DUMMYFUNCTION("IMPORTRANGE(""https://docs.google.com/spreadsheets/d/11923uPwbBZFjjGgGUA6NLw09EwE0CqkOc4q9oUmW1yo/edit?usp=sharing"",""พิจิตร!J521"")"),0)</f>
        <v>0</v>
      </c>
      <c r="K626" s="171">
        <f t="shared" ca="1" si="128"/>
        <v>0</v>
      </c>
      <c r="L626" s="191"/>
      <c r="M626" s="191"/>
      <c r="N626" s="191"/>
      <c r="O626" s="191"/>
      <c r="P626" s="191"/>
    </row>
    <row r="627" spans="1:16" ht="21.75" customHeight="1" x14ac:dyDescent="0.2">
      <c r="A627" s="507" t="s">
        <v>233</v>
      </c>
      <c r="B627" s="508"/>
      <c r="C627" s="508"/>
      <c r="D627" s="508"/>
      <c r="E627" s="508"/>
      <c r="F627" s="508"/>
      <c r="G627" s="509"/>
      <c r="H627" s="510"/>
      <c r="I627" s="511"/>
      <c r="J627" s="511"/>
      <c r="K627" s="512"/>
      <c r="L627" s="512"/>
      <c r="M627" s="512"/>
      <c r="N627" s="512"/>
      <c r="O627" s="513"/>
      <c r="P627" s="513"/>
    </row>
    <row r="628" spans="1:16" ht="21.75" customHeight="1" x14ac:dyDescent="0.2">
      <c r="A628" s="486"/>
      <c r="B628" s="514" t="s">
        <v>234</v>
      </c>
      <c r="C628" s="165"/>
      <c r="D628" s="174"/>
      <c r="E628" s="167"/>
      <c r="F628" s="167"/>
      <c r="G628" s="168"/>
      <c r="H628" s="515" t="s">
        <v>13</v>
      </c>
      <c r="I628" s="349">
        <f ca="1">IFERROR(__xludf.DUMMYFUNCTION("IMPORTRANGE(""https://docs.google.com/spreadsheets/d/11923uPwbBZFjjGgGUA6NLw09EwE0CqkOc4q9oUmW1yo/edit?usp=sharing"",""พิจิตร!I523"")"),2520250)</f>
        <v>2520250</v>
      </c>
      <c r="J628" s="349">
        <f ca="1">IFERROR(__xludf.DUMMYFUNCTION("IMPORTRANGE(""https://docs.google.com/spreadsheets/d/11923uPwbBZFjjGgGUA6NLw09EwE0CqkOc4q9oUmW1yo/edit?usp=sharing"",""พิจิตร!J523"")"),40000)</f>
        <v>40000</v>
      </c>
      <c r="K628" s="350">
        <f t="shared" ref="K628:K635" ca="1" si="129">IF(I628&gt;0,J628*100/I628,0)</f>
        <v>1.587144132526535</v>
      </c>
      <c r="L628" s="350"/>
      <c r="M628" s="350"/>
      <c r="N628" s="350"/>
      <c r="O628" s="178"/>
      <c r="P628" s="178"/>
    </row>
    <row r="629" spans="1:16" ht="21.75" customHeight="1" x14ac:dyDescent="0.2">
      <c r="A629" s="486"/>
      <c r="B629" s="165"/>
      <c r="C629" s="165"/>
      <c r="D629" s="174"/>
      <c r="E629" s="167"/>
      <c r="F629" s="167"/>
      <c r="G629" s="168"/>
      <c r="H629" s="515" t="s">
        <v>38</v>
      </c>
      <c r="I629" s="349">
        <f ca="1">IFERROR(__xludf.DUMMYFUNCTION("IMPORTRANGE(""https://docs.google.com/spreadsheets/d/11923uPwbBZFjjGgGUA6NLw09EwE0CqkOc4q9oUmW1yo/edit?usp=sharing"",""พิจิตร!I524"")"),93)</f>
        <v>93</v>
      </c>
      <c r="J629" s="349">
        <f ca="1">IFERROR(__xludf.DUMMYFUNCTION("IMPORTRANGE(""https://docs.google.com/spreadsheets/d/11923uPwbBZFjjGgGUA6NLw09EwE0CqkOc4q9oUmW1yo/edit?usp=sharing"",""พิจิตร!J524"")"),2)</f>
        <v>2</v>
      </c>
      <c r="K629" s="350">
        <f t="shared" ca="1" si="129"/>
        <v>2.150537634408602</v>
      </c>
      <c r="L629" s="350"/>
      <c r="M629" s="350"/>
      <c r="N629" s="350"/>
      <c r="O629" s="178"/>
      <c r="P629" s="178"/>
    </row>
    <row r="630" spans="1:16" ht="21.75" customHeight="1" x14ac:dyDescent="0.2">
      <c r="A630" s="486"/>
      <c r="B630" s="514" t="s">
        <v>235</v>
      </c>
      <c r="C630" s="165"/>
      <c r="D630" s="174"/>
      <c r="E630" s="167"/>
      <c r="F630" s="167"/>
      <c r="G630" s="168"/>
      <c r="H630" s="515" t="s">
        <v>13</v>
      </c>
      <c r="I630" s="349">
        <f ca="1">IFERROR(__xludf.DUMMYFUNCTION("IMPORTRANGE(""https://docs.google.com/spreadsheets/d/11923uPwbBZFjjGgGUA6NLw09EwE0CqkOc4q9oUmW1yo/edit?usp=sharing"",""พิจิตร!I525"")"),510790.7)</f>
        <v>510790.7</v>
      </c>
      <c r="J630" s="349">
        <f ca="1">IFERROR(__xludf.DUMMYFUNCTION("IMPORTRANGE(""https://docs.google.com/spreadsheets/d/11923uPwbBZFjjGgGUA6NLw09EwE0CqkOc4q9oUmW1yo/edit?usp=sharing"",""พิจิตร!J525"")"),26839.75)</f>
        <v>26839.75</v>
      </c>
      <c r="K630" s="350">
        <f t="shared" ca="1" si="129"/>
        <v>5.2545494661512047</v>
      </c>
      <c r="L630" s="350"/>
      <c r="M630" s="350"/>
      <c r="N630" s="350"/>
      <c r="O630" s="178"/>
      <c r="P630" s="178"/>
    </row>
    <row r="631" spans="1:16" ht="21.75" customHeight="1" x14ac:dyDescent="0.2">
      <c r="A631" s="486"/>
      <c r="B631" s="165"/>
      <c r="C631" s="165"/>
      <c r="D631" s="174"/>
      <c r="E631" s="167"/>
      <c r="F631" s="167"/>
      <c r="G631" s="168"/>
      <c r="H631" s="515" t="s">
        <v>38</v>
      </c>
      <c r="I631" s="349">
        <f ca="1">IFERROR(__xludf.DUMMYFUNCTION("IMPORTRANGE(""https://docs.google.com/spreadsheets/d/11923uPwbBZFjjGgGUA6NLw09EwE0CqkOc4q9oUmW1yo/edit?usp=sharing"",""พิจิตร!I526"")"),29)</f>
        <v>29</v>
      </c>
      <c r="J631" s="349">
        <f ca="1">IFERROR(__xludf.DUMMYFUNCTION("IMPORTRANGE(""https://docs.google.com/spreadsheets/d/11923uPwbBZFjjGgGUA6NLw09EwE0CqkOc4q9oUmW1yo/edit?usp=sharing"",""พิจิตร!J526"")"),3)</f>
        <v>3</v>
      </c>
      <c r="K631" s="350">
        <f t="shared" ca="1" si="129"/>
        <v>10.344827586206897</v>
      </c>
      <c r="L631" s="350"/>
      <c r="M631" s="350"/>
      <c r="N631" s="350"/>
      <c r="O631" s="178"/>
      <c r="P631" s="178"/>
    </row>
    <row r="632" spans="1:16" ht="21.75" customHeight="1" x14ac:dyDescent="0.2">
      <c r="A632" s="486"/>
      <c r="B632" s="514" t="s">
        <v>236</v>
      </c>
      <c r="C632" s="165"/>
      <c r="D632" s="174"/>
      <c r="E632" s="167"/>
      <c r="F632" s="167"/>
      <c r="G632" s="168"/>
      <c r="H632" s="515" t="s">
        <v>13</v>
      </c>
      <c r="I632" s="349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9">
        <f ca="1">IFERROR(__xludf.DUMMYFUNCTION("IMPORTRANGE(""https://docs.google.com/spreadsheets/d/11923uPwbBZFjjGgGUA6NLw09EwE0CqkOc4q9oUmW1yo/edit?usp=sharing"",""พิจิตร!J527"")"),1533761.18)</f>
        <v>1533761.18</v>
      </c>
      <c r="K632" s="350">
        <f t="shared" ca="1" si="129"/>
        <v>24.976352716323643</v>
      </c>
      <c r="L632" s="350"/>
      <c r="M632" s="350"/>
      <c r="N632" s="350"/>
      <c r="O632" s="178"/>
      <c r="P632" s="178"/>
    </row>
    <row r="633" spans="1:16" ht="21.75" customHeight="1" x14ac:dyDescent="0.2">
      <c r="A633" s="486"/>
      <c r="B633" s="514"/>
      <c r="C633" s="165"/>
      <c r="D633" s="174"/>
      <c r="E633" s="167"/>
      <c r="F633" s="167"/>
      <c r="G633" s="168"/>
      <c r="H633" s="515" t="s">
        <v>38</v>
      </c>
      <c r="I633" s="349">
        <f ca="1">IFERROR(__xludf.DUMMYFUNCTION("IMPORTRANGE(""https://docs.google.com/spreadsheets/d/11923uPwbBZFjjGgGUA6NLw09EwE0CqkOc4q9oUmW1yo/edit?usp=sharing"",""พิจิตร!I528"")"),482)</f>
        <v>482</v>
      </c>
      <c r="J633" s="349">
        <f ca="1">IFERROR(__xludf.DUMMYFUNCTION("IMPORTRANGE(""https://docs.google.com/spreadsheets/d/11923uPwbBZFjjGgGUA6NLw09EwE0CqkOc4q9oUmW1yo/edit?usp=sharing"",""พิจิตร!J528"")"),177)</f>
        <v>177</v>
      </c>
      <c r="K633" s="350">
        <f t="shared" ca="1" si="129"/>
        <v>36.721991701244811</v>
      </c>
      <c r="L633" s="350"/>
      <c r="M633" s="350"/>
      <c r="N633" s="350"/>
      <c r="O633" s="178"/>
      <c r="P633" s="178"/>
    </row>
    <row r="634" spans="1:16" ht="21.75" customHeight="1" x14ac:dyDescent="0.2">
      <c r="A634" s="486"/>
      <c r="B634" s="514" t="s">
        <v>237</v>
      </c>
      <c r="C634" s="165"/>
      <c r="D634" s="174"/>
      <c r="E634" s="167"/>
      <c r="F634" s="167"/>
      <c r="G634" s="168"/>
      <c r="H634" s="515" t="s">
        <v>13</v>
      </c>
      <c r="I634" s="349">
        <f ca="1">IFERROR(__xludf.DUMMYFUNCTION("IMPORTRANGE(""https://docs.google.com/spreadsheets/d/11923uPwbBZFjjGgGUA6NLw09EwE0CqkOc4q9oUmW1yo/edit?usp=sharing"",""พิจิตร!I529"")"),2320000)</f>
        <v>2320000</v>
      </c>
      <c r="J634" s="349">
        <f ca="1">IFERROR(__xludf.DUMMYFUNCTION("IMPORTRANGE(""https://docs.google.com/spreadsheets/d/11923uPwbBZFjjGgGUA6NLw09EwE0CqkOc4q9oUmW1yo/edit?usp=sharing"",""พิจิตร!J529"")"),0)</f>
        <v>0</v>
      </c>
      <c r="K634" s="350">
        <f t="shared" ca="1" si="129"/>
        <v>0</v>
      </c>
      <c r="L634" s="350"/>
      <c r="M634" s="350"/>
      <c r="N634" s="350"/>
      <c r="O634" s="178"/>
      <c r="P634" s="178"/>
    </row>
    <row r="635" spans="1:16" ht="21.75" customHeight="1" x14ac:dyDescent="0.2">
      <c r="A635" s="488"/>
      <c r="B635" s="490"/>
      <c r="C635" s="490"/>
      <c r="D635" s="489"/>
      <c r="E635" s="516"/>
      <c r="F635" s="516"/>
      <c r="G635" s="517"/>
      <c r="H635" s="518" t="s">
        <v>38</v>
      </c>
      <c r="I635" s="519">
        <f ca="1">IFERROR(__xludf.DUMMYFUNCTION("IMPORTRANGE(""https://docs.google.com/spreadsheets/d/11923uPwbBZFjjGgGUA6NLw09EwE0CqkOc4q9oUmW1yo/edit?usp=sharing"",""พิจิตร!I530"")"),87)</f>
        <v>87</v>
      </c>
      <c r="J635" s="519">
        <f ca="1">IFERROR(__xludf.DUMMYFUNCTION("IMPORTRANGE(""https://docs.google.com/spreadsheets/d/11923uPwbBZFjjGgGUA6NLw09EwE0CqkOc4q9oUmW1yo/edit?usp=sharing"",""พิจิตร!J530"")"),0)</f>
        <v>0</v>
      </c>
      <c r="K635" s="494">
        <f t="shared" ca="1" si="129"/>
        <v>0</v>
      </c>
      <c r="L635" s="494"/>
      <c r="M635" s="494"/>
      <c r="N635" s="494"/>
      <c r="O635" s="520"/>
      <c r="P635" s="520"/>
    </row>
    <row r="636" spans="1:16" ht="21.75" customHeight="1" x14ac:dyDescent="0.2">
      <c r="A636" s="521"/>
      <c r="B636" s="521"/>
      <c r="C636" s="521"/>
      <c r="D636" s="521"/>
      <c r="E636" s="522" t="s">
        <v>238</v>
      </c>
      <c r="F636" s="522"/>
      <c r="G636" s="523"/>
      <c r="H636" s="524"/>
      <c r="I636" s="524"/>
      <c r="J636" s="524"/>
      <c r="K636" s="525"/>
      <c r="L636" s="526"/>
      <c r="M636" s="526"/>
      <c r="N636" s="526"/>
      <c r="O636" s="527"/>
      <c r="P636" s="527"/>
    </row>
    <row r="637" spans="1:16" ht="21.75" customHeight="1" x14ac:dyDescent="0.2">
      <c r="A637" s="521"/>
      <c r="B637" s="521"/>
      <c r="C637" s="521"/>
      <c r="D637" s="521"/>
      <c r="E637" s="524"/>
      <c r="F637" s="524"/>
      <c r="G637" s="524"/>
      <c r="H637" s="524"/>
      <c r="I637" s="524"/>
      <c r="J637" s="524"/>
      <c r="K637" s="525"/>
      <c r="L637" s="526"/>
      <c r="M637" s="526"/>
      <c r="N637" s="526"/>
      <c r="O637" s="527"/>
      <c r="P637" s="527"/>
    </row>
    <row r="638" spans="1:16" ht="21.75" customHeight="1" x14ac:dyDescent="0.2">
      <c r="A638" s="521"/>
      <c r="B638" s="521"/>
      <c r="C638" s="521"/>
      <c r="D638" s="521"/>
      <c r="E638" s="524"/>
      <c r="F638" s="524"/>
      <c r="G638" s="524"/>
      <c r="H638" s="524"/>
      <c r="I638" s="524"/>
      <c r="J638" s="524"/>
      <c r="K638" s="525"/>
      <c r="L638" s="526"/>
      <c r="M638" s="526"/>
      <c r="N638" s="526"/>
      <c r="O638" s="527"/>
      <c r="P638" s="527"/>
    </row>
    <row r="639" spans="1:16" ht="21.75" customHeight="1" x14ac:dyDescent="0.2">
      <c r="A639" s="521"/>
      <c r="B639" s="521"/>
      <c r="C639" s="521"/>
      <c r="D639" s="521"/>
      <c r="E639" s="524"/>
      <c r="F639" s="524"/>
      <c r="G639" s="524"/>
      <c r="H639" s="524"/>
      <c r="I639" s="524"/>
      <c r="J639" s="524"/>
      <c r="K639" s="525"/>
      <c r="L639" s="526"/>
      <c r="M639" s="526"/>
      <c r="N639" s="526"/>
      <c r="O639" s="527"/>
      <c r="P639" s="527"/>
    </row>
    <row r="640" spans="1:16" ht="21.75" customHeight="1" x14ac:dyDescent="0.2">
      <c r="A640" s="521"/>
      <c r="B640" s="521"/>
      <c r="C640" s="521"/>
      <c r="D640" s="521"/>
      <c r="E640" s="524"/>
      <c r="F640" s="524"/>
      <c r="G640" s="524"/>
      <c r="H640" s="524"/>
      <c r="I640" s="524"/>
      <c r="J640" s="524"/>
      <c r="K640" s="525"/>
      <c r="L640" s="526"/>
      <c r="M640" s="526"/>
      <c r="N640" s="526"/>
      <c r="O640" s="527"/>
      <c r="P640" s="527"/>
    </row>
    <row r="641" spans="1:16" ht="21.75" customHeight="1" x14ac:dyDescent="0.2">
      <c r="A641" s="521"/>
      <c r="B641" s="521"/>
      <c r="C641" s="521"/>
      <c r="D641" s="521"/>
      <c r="E641" s="524"/>
      <c r="F641" s="524"/>
      <c r="G641" s="524"/>
      <c r="H641" s="524"/>
      <c r="I641" s="524"/>
      <c r="J641" s="524"/>
      <c r="K641" s="525"/>
      <c r="L641" s="526"/>
      <c r="M641" s="526"/>
      <c r="N641" s="526"/>
      <c r="O641" s="527"/>
      <c r="P641" s="527"/>
    </row>
    <row r="642" spans="1:16" ht="21.75" customHeight="1" x14ac:dyDescent="0.2">
      <c r="A642" s="521"/>
      <c r="B642" s="521"/>
      <c r="C642" s="521"/>
      <c r="D642" s="521"/>
      <c r="E642" s="524"/>
      <c r="F642" s="524"/>
      <c r="G642" s="524"/>
      <c r="H642" s="524"/>
      <c r="I642" s="524"/>
      <c r="J642" s="524"/>
      <c r="K642" s="525"/>
      <c r="L642" s="526"/>
      <c r="M642" s="526"/>
      <c r="N642" s="526"/>
      <c r="O642" s="527"/>
      <c r="P642" s="527"/>
    </row>
    <row r="643" spans="1:16" ht="21.75" customHeight="1" x14ac:dyDescent="0.2">
      <c r="A643" s="521"/>
      <c r="B643" s="521"/>
      <c r="C643" s="521"/>
      <c r="D643" s="521"/>
      <c r="E643" s="524"/>
      <c r="F643" s="524"/>
      <c r="G643" s="524"/>
      <c r="H643" s="524"/>
      <c r="I643" s="524"/>
      <c r="J643" s="524"/>
      <c r="K643" s="525"/>
      <c r="L643" s="526"/>
      <c r="M643" s="526"/>
      <c r="N643" s="526"/>
      <c r="O643" s="527"/>
      <c r="P643" s="527"/>
    </row>
    <row r="644" spans="1:16" ht="21.75" customHeight="1" x14ac:dyDescent="0.2">
      <c r="A644" s="521"/>
      <c r="B644" s="521"/>
      <c r="C644" s="521"/>
      <c r="D644" s="521"/>
      <c r="E644" s="524"/>
      <c r="F644" s="524"/>
      <c r="G644" s="524"/>
      <c r="H644" s="524"/>
      <c r="I644" s="524"/>
      <c r="J644" s="524"/>
      <c r="K644" s="525"/>
      <c r="L644" s="526"/>
      <c r="M644" s="526"/>
      <c r="N644" s="526"/>
      <c r="O644" s="527"/>
      <c r="P644" s="527"/>
    </row>
    <row r="645" spans="1:16" ht="21.75" customHeight="1" x14ac:dyDescent="0.2">
      <c r="A645" s="521"/>
      <c r="B645" s="521"/>
      <c r="C645" s="521"/>
      <c r="D645" s="521"/>
      <c r="E645" s="524"/>
      <c r="F645" s="524"/>
      <c r="G645" s="524"/>
      <c r="H645" s="524"/>
      <c r="I645" s="524"/>
      <c r="J645" s="524"/>
      <c r="K645" s="525"/>
      <c r="L645" s="526"/>
      <c r="M645" s="526"/>
      <c r="N645" s="526"/>
      <c r="O645" s="527"/>
      <c r="P645" s="527"/>
    </row>
    <row r="646" spans="1:16" ht="21.75" customHeight="1" x14ac:dyDescent="0.2">
      <c r="A646" s="521"/>
      <c r="B646" s="521"/>
      <c r="C646" s="521"/>
      <c r="D646" s="521"/>
      <c r="E646" s="524"/>
      <c r="F646" s="524"/>
      <c r="G646" s="524"/>
      <c r="H646" s="524"/>
      <c r="I646" s="524"/>
      <c r="J646" s="524"/>
      <c r="K646" s="525"/>
      <c r="L646" s="526"/>
      <c r="M646" s="526"/>
      <c r="N646" s="526"/>
      <c r="O646" s="527"/>
      <c r="P646" s="527"/>
    </row>
    <row r="647" spans="1:16" ht="21.75" customHeight="1" x14ac:dyDescent="0.2">
      <c r="A647" s="521"/>
      <c r="B647" s="521"/>
      <c r="C647" s="521"/>
      <c r="D647" s="521"/>
      <c r="E647" s="524"/>
      <c r="F647" s="524"/>
      <c r="G647" s="524"/>
      <c r="H647" s="524"/>
      <c r="I647" s="524"/>
      <c r="J647" s="524"/>
      <c r="K647" s="525"/>
      <c r="L647" s="526"/>
      <c r="M647" s="526"/>
      <c r="N647" s="526"/>
      <c r="O647" s="527"/>
      <c r="P647" s="527"/>
    </row>
    <row r="648" spans="1:16" ht="21.75" customHeight="1" x14ac:dyDescent="0.2">
      <c r="A648" s="521"/>
      <c r="B648" s="521"/>
      <c r="C648" s="521"/>
      <c r="D648" s="521"/>
      <c r="E648" s="524"/>
      <c r="F648" s="524"/>
      <c r="G648" s="524"/>
      <c r="H648" s="524"/>
      <c r="I648" s="524"/>
      <c r="J648" s="524"/>
      <c r="K648" s="525"/>
      <c r="L648" s="526"/>
      <c r="M648" s="526"/>
      <c r="N648" s="526"/>
      <c r="O648" s="527"/>
      <c r="P648" s="527"/>
    </row>
    <row r="649" spans="1:16" ht="21.75" customHeight="1" x14ac:dyDescent="0.2">
      <c r="A649" s="521"/>
      <c r="B649" s="521"/>
      <c r="C649" s="521"/>
      <c r="D649" s="521"/>
      <c r="E649" s="524"/>
      <c r="F649" s="524"/>
      <c r="G649" s="524"/>
      <c r="H649" s="524"/>
      <c r="I649" s="524"/>
      <c r="J649" s="524"/>
      <c r="K649" s="525"/>
      <c r="L649" s="526"/>
      <c r="M649" s="526"/>
      <c r="N649" s="526"/>
      <c r="O649" s="527"/>
      <c r="P649" s="527"/>
    </row>
    <row r="650" spans="1:16" ht="21.75" customHeight="1" x14ac:dyDescent="0.2">
      <c r="A650" s="521"/>
      <c r="B650" s="521"/>
      <c r="C650" s="521"/>
      <c r="D650" s="521"/>
      <c r="E650" s="524"/>
      <c r="F650" s="524"/>
      <c r="G650" s="524"/>
      <c r="H650" s="524"/>
      <c r="I650" s="524"/>
      <c r="J650" s="524"/>
      <c r="K650" s="525"/>
      <c r="L650" s="526"/>
      <c r="M650" s="526"/>
      <c r="N650" s="526"/>
      <c r="O650" s="527"/>
      <c r="P650" s="527"/>
    </row>
    <row r="651" spans="1:16" ht="21.75" customHeight="1" x14ac:dyDescent="0.2">
      <c r="A651" s="521"/>
      <c r="B651" s="521"/>
      <c r="C651" s="521"/>
      <c r="D651" s="521"/>
      <c r="E651" s="524"/>
      <c r="F651" s="524"/>
      <c r="G651" s="524"/>
      <c r="H651" s="524"/>
      <c r="I651" s="524"/>
      <c r="J651" s="524"/>
      <c r="K651" s="525"/>
      <c r="L651" s="526"/>
      <c r="M651" s="526"/>
      <c r="N651" s="526"/>
      <c r="O651" s="527"/>
      <c r="P651" s="527"/>
    </row>
    <row r="652" spans="1:16" ht="21.75" customHeight="1" x14ac:dyDescent="0.2">
      <c r="A652" s="521"/>
      <c r="B652" s="521"/>
      <c r="C652" s="521"/>
      <c r="D652" s="521"/>
      <c r="E652" s="524"/>
      <c r="F652" s="524"/>
      <c r="G652" s="524"/>
      <c r="H652" s="524"/>
      <c r="I652" s="524"/>
      <c r="J652" s="524"/>
      <c r="K652" s="525"/>
      <c r="L652" s="526"/>
      <c r="M652" s="526"/>
      <c r="N652" s="526"/>
      <c r="O652" s="527"/>
      <c r="P652" s="527"/>
    </row>
    <row r="653" spans="1:16" ht="21.75" customHeight="1" x14ac:dyDescent="0.2">
      <c r="A653" s="521"/>
      <c r="B653" s="521"/>
      <c r="C653" s="521"/>
      <c r="D653" s="521"/>
      <c r="E653" s="524"/>
      <c r="F653" s="524"/>
      <c r="G653" s="524"/>
      <c r="H653" s="524"/>
      <c r="I653" s="524"/>
      <c r="J653" s="524"/>
      <c r="K653" s="525"/>
      <c r="L653" s="526"/>
      <c r="M653" s="526"/>
      <c r="N653" s="526"/>
      <c r="O653" s="527"/>
      <c r="P653" s="527"/>
    </row>
    <row r="654" spans="1:16" ht="21.75" customHeight="1" x14ac:dyDescent="0.2">
      <c r="A654" s="521"/>
      <c r="B654" s="521"/>
      <c r="C654" s="521"/>
      <c r="D654" s="521"/>
      <c r="E654" s="524"/>
      <c r="F654" s="524"/>
      <c r="G654" s="524"/>
      <c r="H654" s="524"/>
      <c r="I654" s="524"/>
      <c r="J654" s="524"/>
      <c r="K654" s="525"/>
      <c r="L654" s="526"/>
      <c r="M654" s="526"/>
      <c r="N654" s="526"/>
      <c r="O654" s="527"/>
      <c r="P654" s="527"/>
    </row>
    <row r="655" spans="1:16" ht="21.75" customHeight="1" x14ac:dyDescent="0.2">
      <c r="A655" s="521"/>
      <c r="B655" s="521"/>
      <c r="C655" s="521"/>
      <c r="D655" s="521"/>
      <c r="E655" s="524"/>
      <c r="F655" s="524"/>
      <c r="G655" s="524"/>
      <c r="H655" s="524"/>
      <c r="I655" s="524"/>
      <c r="J655" s="524"/>
      <c r="K655" s="525"/>
      <c r="L655" s="526"/>
      <c r="M655" s="526"/>
      <c r="N655" s="526"/>
      <c r="O655" s="527"/>
      <c r="P655" s="527"/>
    </row>
    <row r="656" spans="1:16" ht="21.75" customHeight="1" x14ac:dyDescent="0.2">
      <c r="A656" s="521"/>
      <c r="B656" s="521"/>
      <c r="C656" s="521"/>
      <c r="D656" s="521"/>
      <c r="E656" s="524"/>
      <c r="F656" s="524"/>
      <c r="G656" s="524"/>
      <c r="H656" s="524"/>
      <c r="I656" s="524"/>
      <c r="J656" s="524"/>
      <c r="K656" s="525"/>
      <c r="L656" s="526"/>
      <c r="M656" s="526"/>
      <c r="N656" s="526"/>
      <c r="O656" s="527"/>
      <c r="P656" s="527"/>
    </row>
    <row r="657" spans="1:16" ht="21.75" customHeight="1" x14ac:dyDescent="0.2">
      <c r="A657" s="521"/>
      <c r="B657" s="521"/>
      <c r="C657" s="521"/>
      <c r="D657" s="521"/>
      <c r="E657" s="524"/>
      <c r="F657" s="524"/>
      <c r="G657" s="524"/>
      <c r="H657" s="524"/>
      <c r="I657" s="524"/>
      <c r="J657" s="524"/>
      <c r="K657" s="525"/>
      <c r="L657" s="526"/>
      <c r="M657" s="526"/>
      <c r="N657" s="526"/>
      <c r="O657" s="527"/>
      <c r="P657" s="527"/>
    </row>
    <row r="658" spans="1:16" ht="21.75" customHeight="1" x14ac:dyDescent="0.2">
      <c r="A658" s="521"/>
      <c r="B658" s="521"/>
      <c r="C658" s="521"/>
      <c r="D658" s="521"/>
      <c r="E658" s="524"/>
      <c r="F658" s="524"/>
      <c r="G658" s="524"/>
      <c r="H658" s="524"/>
      <c r="I658" s="524"/>
      <c r="J658" s="524"/>
      <c r="K658" s="525"/>
      <c r="L658" s="526"/>
      <c r="M658" s="526"/>
      <c r="N658" s="526"/>
      <c r="O658" s="527"/>
      <c r="P658" s="527"/>
    </row>
    <row r="659" spans="1:16" ht="21.75" customHeight="1" x14ac:dyDescent="0.2">
      <c r="A659" s="521"/>
      <c r="B659" s="521"/>
      <c r="C659" s="521"/>
      <c r="D659" s="521"/>
      <c r="E659" s="524"/>
      <c r="F659" s="524"/>
      <c r="G659" s="524"/>
      <c r="H659" s="524"/>
      <c r="I659" s="524"/>
      <c r="J659" s="524"/>
      <c r="K659" s="525"/>
      <c r="L659" s="526"/>
      <c r="M659" s="526"/>
      <c r="N659" s="526"/>
      <c r="O659" s="527"/>
      <c r="P659" s="527"/>
    </row>
    <row r="660" spans="1:16" ht="21.75" customHeight="1" x14ac:dyDescent="0.2">
      <c r="A660" s="521"/>
      <c r="B660" s="521"/>
      <c r="C660" s="521"/>
      <c r="D660" s="521"/>
      <c r="E660" s="524"/>
      <c r="F660" s="524"/>
      <c r="G660" s="524"/>
      <c r="H660" s="524"/>
      <c r="I660" s="524"/>
      <c r="J660" s="524"/>
      <c r="K660" s="525"/>
      <c r="L660" s="526"/>
      <c r="M660" s="526"/>
      <c r="N660" s="526"/>
      <c r="O660" s="527"/>
      <c r="P660" s="527"/>
    </row>
    <row r="661" spans="1:16" ht="21.75" customHeight="1" x14ac:dyDescent="0.2">
      <c r="A661" s="521"/>
      <c r="B661" s="521"/>
      <c r="C661" s="521"/>
      <c r="D661" s="521"/>
      <c r="E661" s="524"/>
      <c r="F661" s="524"/>
      <c r="G661" s="524"/>
      <c r="H661" s="524"/>
      <c r="I661" s="524"/>
      <c r="J661" s="524"/>
      <c r="K661" s="525"/>
      <c r="L661" s="526"/>
      <c r="M661" s="526"/>
      <c r="N661" s="526"/>
      <c r="O661" s="527"/>
      <c r="P661" s="527"/>
    </row>
    <row r="662" spans="1:16" ht="21.75" customHeight="1" x14ac:dyDescent="0.2">
      <c r="A662" s="521"/>
      <c r="B662" s="521"/>
      <c r="C662" s="521"/>
      <c r="D662" s="521"/>
      <c r="E662" s="524"/>
      <c r="F662" s="524"/>
      <c r="G662" s="524"/>
      <c r="H662" s="524"/>
      <c r="I662" s="524"/>
      <c r="J662" s="524"/>
      <c r="K662" s="525"/>
      <c r="L662" s="526"/>
      <c r="M662" s="526"/>
      <c r="N662" s="526"/>
      <c r="O662" s="527"/>
      <c r="P662" s="527"/>
    </row>
    <row r="663" spans="1:16" ht="21.75" customHeight="1" x14ac:dyDescent="0.2">
      <c r="A663" s="521"/>
      <c r="B663" s="521"/>
      <c r="C663" s="521"/>
      <c r="D663" s="521"/>
      <c r="E663" s="524"/>
      <c r="F663" s="524"/>
      <c r="G663" s="524"/>
      <c r="H663" s="524"/>
      <c r="I663" s="524"/>
      <c r="J663" s="524"/>
      <c r="K663" s="525"/>
      <c r="L663" s="526"/>
      <c r="M663" s="526"/>
      <c r="N663" s="526"/>
      <c r="O663" s="527"/>
      <c r="P663" s="527"/>
    </row>
    <row r="664" spans="1:16" ht="21.75" customHeight="1" x14ac:dyDescent="0.2">
      <c r="A664" s="521"/>
      <c r="B664" s="521"/>
      <c r="C664" s="521"/>
      <c r="D664" s="521"/>
      <c r="E664" s="524"/>
      <c r="F664" s="524"/>
      <c r="G664" s="524"/>
      <c r="H664" s="524"/>
      <c r="I664" s="524"/>
      <c r="J664" s="524"/>
      <c r="K664" s="525"/>
      <c r="L664" s="526"/>
      <c r="M664" s="526"/>
      <c r="N664" s="526"/>
      <c r="O664" s="527"/>
      <c r="P664" s="527"/>
    </row>
    <row r="665" spans="1:16" ht="21.75" customHeight="1" x14ac:dyDescent="0.2">
      <c r="A665" s="521"/>
      <c r="B665" s="521"/>
      <c r="C665" s="521"/>
      <c r="D665" s="521"/>
      <c r="E665" s="524"/>
      <c r="F665" s="524"/>
      <c r="G665" s="524"/>
      <c r="H665" s="524"/>
      <c r="I665" s="524"/>
      <c r="J665" s="524"/>
      <c r="K665" s="525"/>
      <c r="L665" s="526"/>
      <c r="M665" s="526"/>
      <c r="N665" s="526"/>
      <c r="O665" s="527"/>
      <c r="P665" s="527"/>
    </row>
    <row r="666" spans="1:16" ht="21.75" customHeight="1" x14ac:dyDescent="0.2">
      <c r="A666" s="521"/>
      <c r="B666" s="521"/>
      <c r="C666" s="521"/>
      <c r="D666" s="521"/>
      <c r="E666" s="524"/>
      <c r="F666" s="524"/>
      <c r="G666" s="524"/>
      <c r="H666" s="524"/>
      <c r="I666" s="524"/>
      <c r="J666" s="524"/>
      <c r="K666" s="525"/>
      <c r="L666" s="526"/>
      <c r="M666" s="526"/>
      <c r="N666" s="526"/>
      <c r="O666" s="527"/>
      <c r="P666" s="527"/>
    </row>
    <row r="667" spans="1:16" ht="21.75" customHeight="1" x14ac:dyDescent="0.2">
      <c r="A667" s="521"/>
      <c r="B667" s="521"/>
      <c r="C667" s="521"/>
      <c r="D667" s="521"/>
      <c r="E667" s="524"/>
      <c r="F667" s="524"/>
      <c r="G667" s="524"/>
      <c r="H667" s="524"/>
      <c r="I667" s="524"/>
      <c r="J667" s="524"/>
      <c r="K667" s="525"/>
      <c r="L667" s="526"/>
      <c r="M667" s="526"/>
      <c r="N667" s="526"/>
      <c r="O667" s="527"/>
      <c r="P667" s="527"/>
    </row>
    <row r="668" spans="1:16" ht="21.75" customHeight="1" x14ac:dyDescent="0.2">
      <c r="A668" s="521"/>
      <c r="B668" s="521"/>
      <c r="C668" s="521"/>
      <c r="D668" s="521"/>
      <c r="E668" s="524"/>
      <c r="F668" s="524"/>
      <c r="G668" s="524"/>
      <c r="H668" s="524"/>
      <c r="I668" s="524"/>
      <c r="J668" s="524"/>
      <c r="K668" s="525"/>
      <c r="L668" s="526"/>
      <c r="M668" s="526"/>
      <c r="N668" s="526"/>
      <c r="O668" s="527"/>
      <c r="P668" s="527"/>
    </row>
    <row r="669" spans="1:16" ht="21.75" customHeight="1" x14ac:dyDescent="0.2">
      <c r="A669" s="521"/>
      <c r="B669" s="521"/>
      <c r="C669" s="521"/>
      <c r="D669" s="521"/>
      <c r="E669" s="524"/>
      <c r="F669" s="524"/>
      <c r="G669" s="524"/>
      <c r="H669" s="524"/>
      <c r="I669" s="524"/>
      <c r="J669" s="524"/>
      <c r="K669" s="525"/>
      <c r="L669" s="526"/>
      <c r="M669" s="526"/>
      <c r="N669" s="526"/>
      <c r="O669" s="527"/>
      <c r="P669" s="527"/>
    </row>
    <row r="670" spans="1:16" ht="21.75" customHeight="1" x14ac:dyDescent="0.2">
      <c r="A670" s="521"/>
      <c r="B670" s="521"/>
      <c r="C670" s="521"/>
      <c r="D670" s="521"/>
      <c r="E670" s="524"/>
      <c r="F670" s="524"/>
      <c r="G670" s="524"/>
      <c r="H670" s="524"/>
      <c r="I670" s="524"/>
      <c r="J670" s="524"/>
      <c r="K670" s="525"/>
      <c r="L670" s="526"/>
      <c r="M670" s="526"/>
      <c r="N670" s="526"/>
      <c r="O670" s="527"/>
      <c r="P670" s="527"/>
    </row>
    <row r="671" spans="1:16" ht="21.75" customHeight="1" x14ac:dyDescent="0.2">
      <c r="A671" s="521"/>
      <c r="B671" s="521"/>
      <c r="C671" s="521"/>
      <c r="D671" s="521"/>
      <c r="E671" s="524"/>
      <c r="F671" s="524"/>
      <c r="G671" s="524"/>
      <c r="H671" s="524"/>
      <c r="I671" s="524"/>
      <c r="J671" s="524"/>
      <c r="K671" s="525"/>
      <c r="L671" s="526"/>
      <c r="M671" s="526"/>
      <c r="N671" s="526"/>
      <c r="O671" s="527"/>
      <c r="P671" s="527"/>
    </row>
    <row r="672" spans="1:16" ht="21.75" customHeight="1" x14ac:dyDescent="0.2">
      <c r="A672" s="521"/>
      <c r="B672" s="521"/>
      <c r="C672" s="521"/>
      <c r="D672" s="521"/>
      <c r="E672" s="524"/>
      <c r="F672" s="524"/>
      <c r="G672" s="524"/>
      <c r="H672" s="524"/>
      <c r="I672" s="524"/>
      <c r="J672" s="524"/>
      <c r="K672" s="525"/>
      <c r="L672" s="526"/>
      <c r="M672" s="526"/>
      <c r="N672" s="526"/>
      <c r="O672" s="527"/>
      <c r="P672" s="527"/>
    </row>
    <row r="673" spans="1:16" ht="21.75" customHeight="1" x14ac:dyDescent="0.2">
      <c r="A673" s="521"/>
      <c r="B673" s="521"/>
      <c r="C673" s="521"/>
      <c r="D673" s="521"/>
      <c r="E673" s="524"/>
      <c r="F673" s="524"/>
      <c r="G673" s="524"/>
      <c r="H673" s="524"/>
      <c r="I673" s="524"/>
      <c r="J673" s="524"/>
      <c r="K673" s="525"/>
      <c r="L673" s="526"/>
      <c r="M673" s="526"/>
      <c r="N673" s="526"/>
      <c r="O673" s="527"/>
      <c r="P673" s="527"/>
    </row>
    <row r="674" spans="1:16" ht="21.75" customHeight="1" x14ac:dyDescent="0.2">
      <c r="A674" s="521"/>
      <c r="B674" s="521"/>
      <c r="C674" s="521"/>
      <c r="D674" s="521"/>
      <c r="E674" s="524"/>
      <c r="F674" s="524"/>
      <c r="G674" s="524"/>
      <c r="H674" s="524"/>
      <c r="I674" s="524"/>
      <c r="J674" s="524"/>
      <c r="K674" s="525"/>
      <c r="L674" s="526"/>
      <c r="M674" s="526"/>
      <c r="N674" s="526"/>
      <c r="O674" s="527"/>
      <c r="P674" s="527"/>
    </row>
    <row r="675" spans="1:16" ht="21.75" customHeight="1" x14ac:dyDescent="0.2">
      <c r="A675" s="521"/>
      <c r="B675" s="521"/>
      <c r="C675" s="521"/>
      <c r="D675" s="521"/>
      <c r="E675" s="524"/>
      <c r="F675" s="524"/>
      <c r="G675" s="524"/>
      <c r="H675" s="524"/>
      <c r="I675" s="524"/>
      <c r="J675" s="524"/>
      <c r="K675" s="525"/>
      <c r="L675" s="526"/>
      <c r="M675" s="526"/>
      <c r="N675" s="526"/>
      <c r="O675" s="527"/>
      <c r="P675" s="527"/>
    </row>
    <row r="676" spans="1:16" ht="21.75" customHeight="1" x14ac:dyDescent="0.2">
      <c r="A676" s="521"/>
      <c r="B676" s="521"/>
      <c r="C676" s="521"/>
      <c r="D676" s="521"/>
      <c r="E676" s="524"/>
      <c r="F676" s="524"/>
      <c r="G676" s="524"/>
      <c r="H676" s="524"/>
      <c r="I676" s="524"/>
      <c r="J676" s="524"/>
      <c r="K676" s="525"/>
      <c r="L676" s="526"/>
      <c r="M676" s="526"/>
      <c r="N676" s="526"/>
      <c r="O676" s="527"/>
      <c r="P676" s="527"/>
    </row>
    <row r="677" spans="1:16" ht="21.75" customHeight="1" x14ac:dyDescent="0.2">
      <c r="A677" s="521"/>
      <c r="B677" s="521"/>
      <c r="C677" s="521"/>
      <c r="D677" s="521"/>
      <c r="E677" s="524"/>
      <c r="F677" s="524"/>
      <c r="G677" s="524"/>
      <c r="H677" s="524"/>
      <c r="I677" s="524"/>
      <c r="J677" s="524"/>
      <c r="K677" s="525"/>
      <c r="L677" s="526"/>
      <c r="M677" s="526"/>
      <c r="N677" s="526"/>
      <c r="O677" s="527"/>
      <c r="P677" s="527"/>
    </row>
    <row r="678" spans="1:16" ht="21.75" customHeight="1" x14ac:dyDescent="0.2">
      <c r="A678" s="521"/>
      <c r="B678" s="521"/>
      <c r="C678" s="521"/>
      <c r="D678" s="521"/>
      <c r="E678" s="524"/>
      <c r="F678" s="524"/>
      <c r="G678" s="524"/>
      <c r="H678" s="524"/>
      <c r="I678" s="524"/>
      <c r="J678" s="524"/>
      <c r="K678" s="525"/>
      <c r="L678" s="526"/>
      <c r="M678" s="526"/>
      <c r="N678" s="526"/>
      <c r="O678" s="527"/>
      <c r="P678" s="527"/>
    </row>
    <row r="679" spans="1:16" ht="21.75" customHeight="1" x14ac:dyDescent="0.2">
      <c r="A679" s="521"/>
      <c r="B679" s="521"/>
      <c r="C679" s="521"/>
      <c r="D679" s="521"/>
      <c r="E679" s="524"/>
      <c r="F679" s="524"/>
      <c r="G679" s="524"/>
      <c r="H679" s="524"/>
      <c r="I679" s="524"/>
      <c r="J679" s="524"/>
      <c r="K679" s="525"/>
      <c r="L679" s="526"/>
      <c r="M679" s="526"/>
      <c r="N679" s="526"/>
      <c r="O679" s="527"/>
      <c r="P679" s="527"/>
    </row>
    <row r="680" spans="1:16" ht="21.75" customHeight="1" x14ac:dyDescent="0.2">
      <c r="A680" s="521"/>
      <c r="B680" s="521"/>
      <c r="C680" s="521"/>
      <c r="D680" s="521"/>
      <c r="E680" s="524"/>
      <c r="F680" s="524"/>
      <c r="G680" s="524"/>
      <c r="H680" s="524"/>
      <c r="I680" s="524"/>
      <c r="J680" s="524"/>
      <c r="K680" s="525"/>
      <c r="L680" s="526"/>
      <c r="M680" s="526"/>
      <c r="N680" s="526"/>
      <c r="O680" s="527"/>
      <c r="P680" s="527"/>
    </row>
    <row r="681" spans="1:16" ht="21.75" customHeight="1" x14ac:dyDescent="0.2">
      <c r="A681" s="521"/>
      <c r="B681" s="521"/>
      <c r="C681" s="521"/>
      <c r="D681" s="521"/>
      <c r="E681" s="524"/>
      <c r="F681" s="524"/>
      <c r="G681" s="524"/>
      <c r="H681" s="524"/>
      <c r="I681" s="524"/>
      <c r="J681" s="524"/>
      <c r="K681" s="525"/>
      <c r="L681" s="526"/>
      <c r="M681" s="526"/>
      <c r="N681" s="526"/>
      <c r="O681" s="527"/>
      <c r="P681" s="527"/>
    </row>
    <row r="682" spans="1:16" ht="21.75" customHeight="1" x14ac:dyDescent="0.2">
      <c r="A682" s="521"/>
      <c r="B682" s="521"/>
      <c r="C682" s="521"/>
      <c r="D682" s="521"/>
      <c r="E682" s="524"/>
      <c r="F682" s="524"/>
      <c r="G682" s="524"/>
      <c r="H682" s="524"/>
      <c r="I682" s="524"/>
      <c r="J682" s="524"/>
      <c r="K682" s="525"/>
      <c r="L682" s="526"/>
      <c r="M682" s="526"/>
      <c r="N682" s="526"/>
      <c r="O682" s="527"/>
      <c r="P682" s="527"/>
    </row>
    <row r="683" spans="1:16" ht="21.75" customHeight="1" x14ac:dyDescent="0.2">
      <c r="A683" s="521"/>
      <c r="B683" s="521"/>
      <c r="C683" s="521"/>
      <c r="D683" s="521"/>
      <c r="E683" s="524"/>
      <c r="F683" s="524"/>
      <c r="G683" s="524"/>
      <c r="H683" s="524"/>
      <c r="I683" s="524"/>
      <c r="J683" s="524"/>
      <c r="K683" s="525"/>
      <c r="L683" s="526"/>
      <c r="M683" s="526"/>
      <c r="N683" s="526"/>
      <c r="O683" s="527"/>
      <c r="P683" s="527"/>
    </row>
    <row r="684" spans="1:16" ht="21.75" customHeight="1" x14ac:dyDescent="0.2">
      <c r="A684" s="521"/>
      <c r="B684" s="521"/>
      <c r="C684" s="521"/>
      <c r="D684" s="521"/>
      <c r="E684" s="524"/>
      <c r="F684" s="524"/>
      <c r="G684" s="524"/>
      <c r="H684" s="524"/>
      <c r="I684" s="524"/>
      <c r="J684" s="524"/>
      <c r="K684" s="525"/>
      <c r="L684" s="526"/>
      <c r="M684" s="526"/>
      <c r="N684" s="526"/>
      <c r="O684" s="527"/>
      <c r="P684" s="527"/>
    </row>
    <row r="685" spans="1:16" ht="21.75" customHeight="1" x14ac:dyDescent="0.2">
      <c r="A685" s="521"/>
      <c r="B685" s="521"/>
      <c r="C685" s="521"/>
      <c r="D685" s="521"/>
      <c r="E685" s="524"/>
      <c r="F685" s="524"/>
      <c r="G685" s="524"/>
      <c r="H685" s="524"/>
      <c r="I685" s="524"/>
      <c r="J685" s="524"/>
      <c r="K685" s="525"/>
      <c r="L685" s="526"/>
      <c r="M685" s="526"/>
      <c r="N685" s="526"/>
      <c r="O685" s="527"/>
      <c r="P685" s="527"/>
    </row>
    <row r="686" spans="1:16" ht="21.75" customHeight="1" x14ac:dyDescent="0.2">
      <c r="A686" s="521"/>
      <c r="B686" s="521"/>
      <c r="C686" s="521"/>
      <c r="D686" s="521"/>
      <c r="E686" s="524"/>
      <c r="F686" s="524"/>
      <c r="G686" s="524"/>
      <c r="H686" s="524"/>
      <c r="I686" s="524"/>
      <c r="J686" s="524"/>
      <c r="K686" s="525"/>
      <c r="L686" s="526"/>
      <c r="M686" s="526"/>
      <c r="N686" s="526"/>
      <c r="O686" s="527"/>
      <c r="P686" s="527"/>
    </row>
    <row r="687" spans="1:16" ht="21.75" customHeight="1" x14ac:dyDescent="0.2">
      <c r="A687" s="521"/>
      <c r="B687" s="521"/>
      <c r="C687" s="521"/>
      <c r="D687" s="521"/>
      <c r="E687" s="524"/>
      <c r="F687" s="524"/>
      <c r="G687" s="524"/>
      <c r="H687" s="524"/>
      <c r="I687" s="524"/>
      <c r="J687" s="524"/>
      <c r="K687" s="525"/>
      <c r="L687" s="526"/>
      <c r="M687" s="526"/>
      <c r="N687" s="526"/>
      <c r="O687" s="527"/>
      <c r="P687" s="527"/>
    </row>
    <row r="688" spans="1:16" ht="21.75" customHeight="1" x14ac:dyDescent="0.2">
      <c r="A688" s="521"/>
      <c r="B688" s="521"/>
      <c r="C688" s="521"/>
      <c r="D688" s="521"/>
      <c r="E688" s="524"/>
      <c r="F688" s="524"/>
      <c r="G688" s="524"/>
      <c r="H688" s="524"/>
      <c r="I688" s="524"/>
      <c r="J688" s="524"/>
      <c r="K688" s="525"/>
      <c r="L688" s="526"/>
      <c r="M688" s="526"/>
      <c r="N688" s="526"/>
      <c r="O688" s="527"/>
      <c r="P688" s="527"/>
    </row>
    <row r="689" spans="1:16" ht="21.75" customHeight="1" x14ac:dyDescent="0.2">
      <c r="A689" s="521"/>
      <c r="B689" s="521"/>
      <c r="C689" s="521"/>
      <c r="D689" s="521"/>
      <c r="E689" s="524"/>
      <c r="F689" s="524"/>
      <c r="G689" s="524"/>
      <c r="H689" s="524"/>
      <c r="I689" s="524"/>
      <c r="J689" s="524"/>
      <c r="K689" s="525"/>
      <c r="L689" s="526"/>
      <c r="M689" s="526"/>
      <c r="N689" s="526"/>
      <c r="O689" s="527"/>
      <c r="P689" s="527"/>
    </row>
    <row r="690" spans="1:16" ht="21.75" customHeight="1" x14ac:dyDescent="0.2">
      <c r="A690" s="521"/>
      <c r="B690" s="521"/>
      <c r="C690" s="521"/>
      <c r="D690" s="521"/>
      <c r="E690" s="524"/>
      <c r="F690" s="524"/>
      <c r="G690" s="524"/>
      <c r="H690" s="524"/>
      <c r="I690" s="524"/>
      <c r="J690" s="524"/>
      <c r="K690" s="525"/>
      <c r="L690" s="526"/>
      <c r="M690" s="526"/>
      <c r="N690" s="526"/>
      <c r="O690" s="527"/>
      <c r="P690" s="527"/>
    </row>
    <row r="691" spans="1:16" ht="21.75" customHeight="1" x14ac:dyDescent="0.2">
      <c r="A691" s="521"/>
      <c r="B691" s="521"/>
      <c r="C691" s="521"/>
      <c r="D691" s="521"/>
      <c r="E691" s="524"/>
      <c r="F691" s="524"/>
      <c r="G691" s="524"/>
      <c r="H691" s="524"/>
      <c r="I691" s="524"/>
      <c r="J691" s="524"/>
      <c r="K691" s="525"/>
      <c r="L691" s="526"/>
      <c r="M691" s="526"/>
      <c r="N691" s="526"/>
      <c r="O691" s="527"/>
      <c r="P691" s="527"/>
    </row>
    <row r="692" spans="1:16" ht="21.75" customHeight="1" x14ac:dyDescent="0.2">
      <c r="A692" s="521"/>
      <c r="B692" s="521"/>
      <c r="C692" s="521"/>
      <c r="D692" s="521"/>
      <c r="E692" s="524"/>
      <c r="F692" s="524"/>
      <c r="G692" s="524"/>
      <c r="H692" s="524"/>
      <c r="I692" s="524"/>
      <c r="J692" s="524"/>
      <c r="K692" s="525"/>
      <c r="L692" s="526"/>
      <c r="M692" s="526"/>
      <c r="N692" s="526"/>
      <c r="O692" s="527"/>
      <c r="P692" s="527"/>
    </row>
    <row r="693" spans="1:16" ht="21.75" customHeight="1" x14ac:dyDescent="0.2">
      <c r="A693" s="521"/>
      <c r="B693" s="521"/>
      <c r="C693" s="521"/>
      <c r="D693" s="521"/>
      <c r="E693" s="524"/>
      <c r="F693" s="524"/>
      <c r="G693" s="524"/>
      <c r="H693" s="524"/>
      <c r="I693" s="524"/>
      <c r="J693" s="524"/>
      <c r="K693" s="525"/>
      <c r="L693" s="526"/>
      <c r="M693" s="526"/>
      <c r="N693" s="526"/>
      <c r="O693" s="527"/>
      <c r="P693" s="527"/>
    </row>
    <row r="694" spans="1:16" ht="21.75" customHeight="1" x14ac:dyDescent="0.2">
      <c r="A694" s="521"/>
      <c r="B694" s="521"/>
      <c r="C694" s="521"/>
      <c r="D694" s="521"/>
      <c r="E694" s="524"/>
      <c r="F694" s="524"/>
      <c r="G694" s="524"/>
      <c r="H694" s="524"/>
      <c r="I694" s="524"/>
      <c r="J694" s="524"/>
      <c r="K694" s="525"/>
      <c r="L694" s="526"/>
      <c r="M694" s="526"/>
      <c r="N694" s="526"/>
      <c r="O694" s="527"/>
      <c r="P694" s="527"/>
    </row>
    <row r="695" spans="1:16" ht="21.75" customHeight="1" x14ac:dyDescent="0.2">
      <c r="A695" s="521"/>
      <c r="B695" s="521"/>
      <c r="C695" s="521"/>
      <c r="D695" s="521"/>
      <c r="E695" s="524"/>
      <c r="F695" s="524"/>
      <c r="G695" s="524"/>
      <c r="H695" s="524"/>
      <c r="I695" s="524"/>
      <c r="J695" s="524"/>
      <c r="K695" s="525"/>
      <c r="L695" s="526"/>
      <c r="M695" s="526"/>
      <c r="N695" s="526"/>
      <c r="O695" s="527"/>
      <c r="P695" s="527"/>
    </row>
    <row r="696" spans="1:16" ht="21.75" customHeight="1" x14ac:dyDescent="0.2">
      <c r="A696" s="521"/>
      <c r="B696" s="521"/>
      <c r="C696" s="521"/>
      <c r="D696" s="521"/>
      <c r="E696" s="524"/>
      <c r="F696" s="524"/>
      <c r="G696" s="524"/>
      <c r="H696" s="524"/>
      <c r="I696" s="524"/>
      <c r="J696" s="524"/>
      <c r="K696" s="525"/>
      <c r="L696" s="526"/>
      <c r="M696" s="526"/>
      <c r="N696" s="526"/>
      <c r="O696" s="527"/>
      <c r="P696" s="527"/>
    </row>
    <row r="697" spans="1:16" ht="21.75" customHeight="1" x14ac:dyDescent="0.2">
      <c r="A697" s="521"/>
      <c r="B697" s="521"/>
      <c r="C697" s="521"/>
      <c r="D697" s="521"/>
      <c r="E697" s="524"/>
      <c r="F697" s="524"/>
      <c r="G697" s="524"/>
      <c r="H697" s="524"/>
      <c r="I697" s="524"/>
      <c r="J697" s="524"/>
      <c r="K697" s="525"/>
      <c r="L697" s="526"/>
      <c r="M697" s="526"/>
      <c r="N697" s="526"/>
      <c r="O697" s="527"/>
      <c r="P697" s="527"/>
    </row>
    <row r="698" spans="1:16" ht="21.75" customHeight="1" x14ac:dyDescent="0.2">
      <c r="A698" s="521"/>
      <c r="B698" s="521"/>
      <c r="C698" s="521"/>
      <c r="D698" s="521"/>
      <c r="E698" s="524"/>
      <c r="F698" s="524"/>
      <c r="G698" s="524"/>
      <c r="H698" s="524"/>
      <c r="I698" s="524"/>
      <c r="J698" s="524"/>
      <c r="K698" s="525"/>
      <c r="L698" s="526"/>
      <c r="M698" s="526"/>
      <c r="N698" s="526"/>
      <c r="O698" s="527"/>
      <c r="P698" s="527"/>
    </row>
    <row r="699" spans="1:16" ht="21.75" customHeight="1" x14ac:dyDescent="0.2">
      <c r="A699" s="521"/>
      <c r="B699" s="521"/>
      <c r="C699" s="521"/>
      <c r="D699" s="521"/>
      <c r="E699" s="524"/>
      <c r="F699" s="524"/>
      <c r="G699" s="524"/>
      <c r="H699" s="524"/>
      <c r="I699" s="524"/>
      <c r="J699" s="524"/>
      <c r="K699" s="525"/>
      <c r="L699" s="526"/>
      <c r="M699" s="526"/>
      <c r="N699" s="526"/>
      <c r="O699" s="527"/>
      <c r="P699" s="527"/>
    </row>
    <row r="700" spans="1:16" ht="21.75" customHeight="1" x14ac:dyDescent="0.2">
      <c r="A700" s="521"/>
      <c r="B700" s="521"/>
      <c r="C700" s="521"/>
      <c r="D700" s="521"/>
      <c r="E700" s="524"/>
      <c r="F700" s="524"/>
      <c r="G700" s="524"/>
      <c r="H700" s="524"/>
      <c r="I700" s="524"/>
      <c r="J700" s="524"/>
      <c r="K700" s="525"/>
      <c r="L700" s="526"/>
      <c r="M700" s="526"/>
      <c r="N700" s="526"/>
      <c r="O700" s="527"/>
      <c r="P700" s="527"/>
    </row>
    <row r="701" spans="1:16" ht="21.75" customHeight="1" x14ac:dyDescent="0.2">
      <c r="A701" s="521"/>
      <c r="B701" s="521"/>
      <c r="C701" s="521"/>
      <c r="D701" s="521"/>
      <c r="E701" s="524"/>
      <c r="F701" s="524"/>
      <c r="G701" s="524"/>
      <c r="H701" s="524"/>
      <c r="I701" s="524"/>
      <c r="J701" s="524"/>
      <c r="K701" s="525"/>
      <c r="L701" s="526"/>
      <c r="M701" s="526"/>
      <c r="N701" s="526"/>
      <c r="O701" s="527"/>
      <c r="P701" s="527"/>
    </row>
    <row r="702" spans="1:16" ht="21.75" customHeight="1" x14ac:dyDescent="0.2">
      <c r="A702" s="521"/>
      <c r="B702" s="521"/>
      <c r="C702" s="521"/>
      <c r="D702" s="521"/>
      <c r="E702" s="524"/>
      <c r="F702" s="524"/>
      <c r="G702" s="524"/>
      <c r="H702" s="524"/>
      <c r="I702" s="524"/>
      <c r="J702" s="524"/>
      <c r="K702" s="525"/>
      <c r="L702" s="526"/>
      <c r="M702" s="526"/>
      <c r="N702" s="526"/>
      <c r="O702" s="527"/>
      <c r="P702" s="527"/>
    </row>
    <row r="703" spans="1:16" ht="21.75" customHeight="1" x14ac:dyDescent="0.2">
      <c r="A703" s="521"/>
      <c r="B703" s="521"/>
      <c r="C703" s="521"/>
      <c r="D703" s="521"/>
      <c r="E703" s="524"/>
      <c r="F703" s="524"/>
      <c r="G703" s="524"/>
      <c r="H703" s="524"/>
      <c r="I703" s="524"/>
      <c r="J703" s="524"/>
      <c r="K703" s="525"/>
      <c r="L703" s="526"/>
      <c r="M703" s="526"/>
      <c r="N703" s="526"/>
      <c r="O703" s="527"/>
      <c r="P703" s="527"/>
    </row>
    <row r="704" spans="1:16" ht="21.75" customHeight="1" x14ac:dyDescent="0.2">
      <c r="A704" s="521"/>
      <c r="B704" s="521"/>
      <c r="C704" s="521"/>
      <c r="D704" s="521"/>
      <c r="E704" s="524"/>
      <c r="F704" s="524"/>
      <c r="G704" s="524"/>
      <c r="H704" s="524"/>
      <c r="I704" s="524"/>
      <c r="J704" s="524"/>
      <c r="K704" s="525"/>
      <c r="L704" s="526"/>
      <c r="M704" s="526"/>
      <c r="N704" s="526"/>
      <c r="O704" s="527"/>
      <c r="P704" s="527"/>
    </row>
    <row r="705" spans="1:16" ht="21.75" customHeight="1" x14ac:dyDescent="0.2">
      <c r="A705" s="521"/>
      <c r="B705" s="521"/>
      <c r="C705" s="521"/>
      <c r="D705" s="521"/>
      <c r="E705" s="524"/>
      <c r="F705" s="524"/>
      <c r="G705" s="524"/>
      <c r="H705" s="524"/>
      <c r="I705" s="524"/>
      <c r="J705" s="524"/>
      <c r="K705" s="525"/>
      <c r="L705" s="526"/>
      <c r="M705" s="526"/>
      <c r="N705" s="526"/>
      <c r="O705" s="527"/>
      <c r="P705" s="527"/>
    </row>
    <row r="706" spans="1:16" ht="21.75" customHeight="1" x14ac:dyDescent="0.2">
      <c r="A706" s="521"/>
      <c r="B706" s="521"/>
      <c r="C706" s="521"/>
      <c r="D706" s="521"/>
      <c r="E706" s="524"/>
      <c r="F706" s="524"/>
      <c r="G706" s="524"/>
      <c r="H706" s="524"/>
      <c r="I706" s="524"/>
      <c r="J706" s="524"/>
      <c r="K706" s="525"/>
      <c r="L706" s="526"/>
      <c r="M706" s="526"/>
      <c r="N706" s="526"/>
      <c r="O706" s="527"/>
      <c r="P706" s="527"/>
    </row>
    <row r="707" spans="1:16" ht="21.75" customHeight="1" x14ac:dyDescent="0.2">
      <c r="A707" s="521"/>
      <c r="B707" s="521"/>
      <c r="C707" s="521"/>
      <c r="D707" s="521"/>
      <c r="E707" s="524"/>
      <c r="F707" s="524"/>
      <c r="G707" s="524"/>
      <c r="H707" s="524"/>
      <c r="I707" s="524"/>
      <c r="J707" s="524"/>
      <c r="K707" s="525"/>
      <c r="L707" s="526"/>
      <c r="M707" s="526"/>
      <c r="N707" s="526"/>
      <c r="O707" s="527"/>
      <c r="P707" s="527"/>
    </row>
    <row r="708" spans="1:16" ht="21.75" customHeight="1" x14ac:dyDescent="0.2">
      <c r="A708" s="521"/>
      <c r="B708" s="521"/>
      <c r="C708" s="521"/>
      <c r="D708" s="521"/>
      <c r="E708" s="524"/>
      <c r="F708" s="524"/>
      <c r="G708" s="524"/>
      <c r="H708" s="524"/>
      <c r="I708" s="524"/>
      <c r="J708" s="524"/>
      <c r="K708" s="525"/>
      <c r="L708" s="526"/>
      <c r="M708" s="526"/>
      <c r="N708" s="526"/>
      <c r="O708" s="527"/>
      <c r="P708" s="527"/>
    </row>
    <row r="709" spans="1:16" ht="21.75" customHeight="1" x14ac:dyDescent="0.2">
      <c r="A709" s="521"/>
      <c r="B709" s="521"/>
      <c r="C709" s="521"/>
      <c r="D709" s="521"/>
      <c r="E709" s="524"/>
      <c r="F709" s="524"/>
      <c r="G709" s="524"/>
      <c r="H709" s="524"/>
      <c r="I709" s="524"/>
      <c r="J709" s="524"/>
      <c r="K709" s="525"/>
      <c r="L709" s="526"/>
      <c r="M709" s="526"/>
      <c r="N709" s="526"/>
      <c r="O709" s="527"/>
      <c r="P709" s="527"/>
    </row>
    <row r="710" spans="1:16" ht="21.75" customHeight="1" x14ac:dyDescent="0.2">
      <c r="A710" s="521"/>
      <c r="B710" s="521"/>
      <c r="C710" s="521"/>
      <c r="D710" s="521"/>
      <c r="E710" s="524"/>
      <c r="F710" s="524"/>
      <c r="G710" s="524"/>
      <c r="H710" s="524"/>
      <c r="I710" s="524"/>
      <c r="J710" s="524"/>
      <c r="K710" s="525"/>
      <c r="L710" s="526"/>
      <c r="M710" s="526"/>
      <c r="N710" s="526"/>
      <c r="O710" s="527"/>
      <c r="P710" s="527"/>
    </row>
    <row r="711" spans="1:16" ht="21.75" customHeight="1" x14ac:dyDescent="0.2">
      <c r="A711" s="521"/>
      <c r="B711" s="521"/>
      <c r="C711" s="521"/>
      <c r="D711" s="521"/>
      <c r="E711" s="524"/>
      <c r="F711" s="524"/>
      <c r="G711" s="524"/>
      <c r="H711" s="524"/>
      <c r="I711" s="524"/>
      <c r="J711" s="524"/>
      <c r="K711" s="525"/>
      <c r="L711" s="526"/>
      <c r="M711" s="526"/>
      <c r="N711" s="526"/>
      <c r="O711" s="527"/>
      <c r="P711" s="527"/>
    </row>
    <row r="712" spans="1:16" ht="21.75" customHeight="1" x14ac:dyDescent="0.2">
      <c r="A712" s="521"/>
      <c r="B712" s="521"/>
      <c r="C712" s="521"/>
      <c r="D712" s="521"/>
      <c r="E712" s="524"/>
      <c r="F712" s="524"/>
      <c r="G712" s="524"/>
      <c r="H712" s="524"/>
      <c r="I712" s="524"/>
      <c r="J712" s="524"/>
      <c r="K712" s="525"/>
      <c r="L712" s="526"/>
      <c r="M712" s="526"/>
      <c r="N712" s="526"/>
      <c r="O712" s="527"/>
      <c r="P712" s="527"/>
    </row>
    <row r="713" spans="1:16" ht="21.75" customHeight="1" x14ac:dyDescent="0.2">
      <c r="A713" s="521"/>
      <c r="B713" s="521"/>
      <c r="C713" s="521"/>
      <c r="D713" s="521"/>
      <c r="E713" s="524"/>
      <c r="F713" s="524"/>
      <c r="G713" s="524"/>
      <c r="H713" s="524"/>
      <c r="I713" s="524"/>
      <c r="J713" s="524"/>
      <c r="K713" s="525"/>
      <c r="L713" s="526"/>
      <c r="M713" s="526"/>
      <c r="N713" s="526"/>
      <c r="O713" s="527"/>
      <c r="P713" s="527"/>
    </row>
    <row r="714" spans="1:16" ht="21.75" customHeight="1" x14ac:dyDescent="0.2">
      <c r="A714" s="521"/>
      <c r="B714" s="521"/>
      <c r="C714" s="521"/>
      <c r="D714" s="521"/>
      <c r="E714" s="524"/>
      <c r="F714" s="524"/>
      <c r="G714" s="524"/>
      <c r="H714" s="524"/>
      <c r="I714" s="524"/>
      <c r="J714" s="524"/>
      <c r="K714" s="525"/>
      <c r="L714" s="526"/>
      <c r="M714" s="526"/>
      <c r="N714" s="526"/>
      <c r="O714" s="527"/>
      <c r="P714" s="527"/>
    </row>
    <row r="715" spans="1:16" ht="21.75" customHeight="1" x14ac:dyDescent="0.2">
      <c r="A715" s="521"/>
      <c r="B715" s="521"/>
      <c r="C715" s="521"/>
      <c r="D715" s="521"/>
      <c r="E715" s="524"/>
      <c r="F715" s="524"/>
      <c r="G715" s="524"/>
      <c r="H715" s="524"/>
      <c r="I715" s="524"/>
      <c r="J715" s="524"/>
      <c r="K715" s="525"/>
      <c r="L715" s="526"/>
      <c r="M715" s="526"/>
      <c r="N715" s="526"/>
      <c r="O715" s="527"/>
      <c r="P715" s="527"/>
    </row>
    <row r="716" spans="1:16" ht="21.75" customHeight="1" x14ac:dyDescent="0.2">
      <c r="A716" s="521"/>
      <c r="B716" s="521"/>
      <c r="C716" s="521"/>
      <c r="D716" s="521"/>
      <c r="E716" s="524"/>
      <c r="F716" s="524"/>
      <c r="G716" s="524"/>
      <c r="H716" s="524"/>
      <c r="I716" s="524"/>
      <c r="J716" s="524"/>
      <c r="K716" s="525"/>
      <c r="L716" s="526"/>
      <c r="M716" s="526"/>
      <c r="N716" s="526"/>
      <c r="O716" s="527"/>
      <c r="P716" s="527"/>
    </row>
    <row r="717" spans="1:16" ht="21.75" customHeight="1" x14ac:dyDescent="0.2">
      <c r="A717" s="521"/>
      <c r="B717" s="521"/>
      <c r="C717" s="521"/>
      <c r="D717" s="521"/>
      <c r="E717" s="524"/>
      <c r="F717" s="524"/>
      <c r="G717" s="524"/>
      <c r="H717" s="524"/>
      <c r="I717" s="524"/>
      <c r="J717" s="524"/>
      <c r="K717" s="525"/>
      <c r="L717" s="526"/>
      <c r="M717" s="526"/>
      <c r="N717" s="526"/>
      <c r="O717" s="527"/>
      <c r="P717" s="527"/>
    </row>
    <row r="718" spans="1:16" ht="21.75" customHeight="1" x14ac:dyDescent="0.2">
      <c r="A718" s="521"/>
      <c r="B718" s="521"/>
      <c r="C718" s="521"/>
      <c r="D718" s="521"/>
      <c r="E718" s="524"/>
      <c r="F718" s="524"/>
      <c r="G718" s="524"/>
      <c r="H718" s="524"/>
      <c r="I718" s="524"/>
      <c r="J718" s="524"/>
      <c r="K718" s="525"/>
      <c r="L718" s="526"/>
      <c r="M718" s="526"/>
      <c r="N718" s="526"/>
      <c r="O718" s="527"/>
      <c r="P718" s="527"/>
    </row>
    <row r="719" spans="1:16" ht="21.75" customHeight="1" x14ac:dyDescent="0.2">
      <c r="A719" s="521"/>
      <c r="B719" s="521"/>
      <c r="C719" s="521"/>
      <c r="D719" s="521"/>
      <c r="E719" s="524"/>
      <c r="F719" s="524"/>
      <c r="G719" s="524"/>
      <c r="H719" s="524"/>
      <c r="I719" s="524"/>
      <c r="J719" s="524"/>
      <c r="K719" s="525"/>
      <c r="L719" s="526"/>
      <c r="M719" s="526"/>
      <c r="N719" s="526"/>
      <c r="O719" s="527"/>
      <c r="P719" s="527"/>
    </row>
    <row r="720" spans="1:16" ht="21.75" customHeight="1" x14ac:dyDescent="0.2">
      <c r="A720" s="521"/>
      <c r="B720" s="521"/>
      <c r="C720" s="521"/>
      <c r="D720" s="521"/>
      <c r="E720" s="524"/>
      <c r="F720" s="524"/>
      <c r="G720" s="524"/>
      <c r="H720" s="524"/>
      <c r="I720" s="524"/>
      <c r="J720" s="524"/>
      <c r="K720" s="525"/>
      <c r="L720" s="526"/>
      <c r="M720" s="526"/>
      <c r="N720" s="526"/>
      <c r="O720" s="527"/>
      <c r="P720" s="527"/>
    </row>
    <row r="721" spans="1:16" ht="21.75" customHeight="1" x14ac:dyDescent="0.2">
      <c r="A721" s="521"/>
      <c r="B721" s="521"/>
      <c r="C721" s="521"/>
      <c r="D721" s="521"/>
      <c r="E721" s="524"/>
      <c r="F721" s="524"/>
      <c r="G721" s="524"/>
      <c r="H721" s="524"/>
      <c r="I721" s="524"/>
      <c r="J721" s="524"/>
      <c r="K721" s="525"/>
      <c r="L721" s="526"/>
      <c r="M721" s="526"/>
      <c r="N721" s="526"/>
      <c r="O721" s="527"/>
      <c r="P721" s="527"/>
    </row>
    <row r="722" spans="1:16" ht="21.75" customHeight="1" x14ac:dyDescent="0.2">
      <c r="A722" s="521"/>
      <c r="B722" s="521"/>
      <c r="C722" s="521"/>
      <c r="D722" s="521"/>
      <c r="E722" s="524"/>
      <c r="F722" s="524"/>
      <c r="G722" s="524"/>
      <c r="H722" s="524"/>
      <c r="I722" s="524"/>
      <c r="J722" s="524"/>
      <c r="K722" s="525"/>
      <c r="L722" s="526"/>
      <c r="M722" s="526"/>
      <c r="N722" s="526"/>
      <c r="O722" s="527"/>
      <c r="P722" s="527"/>
    </row>
    <row r="723" spans="1:16" ht="21.75" customHeight="1" x14ac:dyDescent="0.2">
      <c r="A723" s="521"/>
      <c r="B723" s="521"/>
      <c r="C723" s="521"/>
      <c r="D723" s="521"/>
      <c r="E723" s="524"/>
      <c r="F723" s="524"/>
      <c r="G723" s="524"/>
      <c r="H723" s="524"/>
      <c r="I723" s="524"/>
      <c r="J723" s="524"/>
      <c r="K723" s="525"/>
      <c r="L723" s="526"/>
      <c r="M723" s="526"/>
      <c r="N723" s="526"/>
      <c r="O723" s="527"/>
      <c r="P723" s="527"/>
    </row>
    <row r="724" spans="1:16" ht="21.75" customHeight="1" x14ac:dyDescent="0.2">
      <c r="A724" s="521"/>
      <c r="B724" s="521"/>
      <c r="C724" s="521"/>
      <c r="D724" s="521"/>
      <c r="E724" s="524"/>
      <c r="F724" s="524"/>
      <c r="G724" s="524"/>
      <c r="H724" s="524"/>
      <c r="I724" s="524"/>
      <c r="J724" s="524"/>
      <c r="K724" s="525"/>
      <c r="L724" s="526"/>
      <c r="M724" s="526"/>
      <c r="N724" s="526"/>
      <c r="O724" s="527"/>
      <c r="P724" s="527"/>
    </row>
    <row r="725" spans="1:16" ht="21.75" customHeight="1" x14ac:dyDescent="0.2">
      <c r="A725" s="521"/>
      <c r="B725" s="521"/>
      <c r="C725" s="521"/>
      <c r="D725" s="521"/>
      <c r="E725" s="524"/>
      <c r="F725" s="524"/>
      <c r="G725" s="524"/>
      <c r="H725" s="524"/>
      <c r="I725" s="524"/>
      <c r="J725" s="524"/>
      <c r="K725" s="525"/>
      <c r="L725" s="526"/>
      <c r="M725" s="526"/>
      <c r="N725" s="526"/>
      <c r="O725" s="527"/>
      <c r="P725" s="527"/>
    </row>
    <row r="726" spans="1:16" ht="21.75" customHeight="1" x14ac:dyDescent="0.2">
      <c r="A726" s="521"/>
      <c r="B726" s="521"/>
      <c r="C726" s="521"/>
      <c r="D726" s="521"/>
      <c r="E726" s="524"/>
      <c r="F726" s="524"/>
      <c r="G726" s="524"/>
      <c r="H726" s="524"/>
      <c r="I726" s="524"/>
      <c r="J726" s="524"/>
      <c r="K726" s="525"/>
      <c r="L726" s="526"/>
      <c r="M726" s="526"/>
      <c r="N726" s="526"/>
      <c r="O726" s="527"/>
      <c r="P726" s="527"/>
    </row>
    <row r="727" spans="1:16" ht="21.75" customHeight="1" x14ac:dyDescent="0.2">
      <c r="A727" s="521"/>
      <c r="B727" s="521"/>
      <c r="C727" s="521"/>
      <c r="D727" s="521"/>
      <c r="E727" s="524"/>
      <c r="F727" s="524"/>
      <c r="G727" s="524"/>
      <c r="H727" s="524"/>
      <c r="I727" s="524"/>
      <c r="J727" s="524"/>
      <c r="K727" s="525"/>
      <c r="L727" s="526"/>
      <c r="M727" s="526"/>
      <c r="N727" s="526"/>
      <c r="O727" s="527"/>
      <c r="P727" s="527"/>
    </row>
    <row r="728" spans="1:16" ht="21.75" customHeight="1" x14ac:dyDescent="0.2">
      <c r="A728" s="521"/>
      <c r="B728" s="521"/>
      <c r="C728" s="521"/>
      <c r="D728" s="521"/>
      <c r="E728" s="524"/>
      <c r="F728" s="524"/>
      <c r="G728" s="524"/>
      <c r="H728" s="524"/>
      <c r="I728" s="524"/>
      <c r="J728" s="524"/>
      <c r="K728" s="525"/>
      <c r="L728" s="526"/>
      <c r="M728" s="526"/>
      <c r="N728" s="526"/>
      <c r="O728" s="527"/>
      <c r="P728" s="527"/>
    </row>
    <row r="729" spans="1:16" ht="21.75" customHeight="1" x14ac:dyDescent="0.2">
      <c r="A729" s="521"/>
      <c r="B729" s="521"/>
      <c r="C729" s="521"/>
      <c r="D729" s="521"/>
      <c r="E729" s="524"/>
      <c r="F729" s="524"/>
      <c r="G729" s="524"/>
      <c r="H729" s="524"/>
      <c r="I729" s="524"/>
      <c r="J729" s="524"/>
      <c r="K729" s="525"/>
      <c r="L729" s="526"/>
      <c r="M729" s="526"/>
      <c r="N729" s="526"/>
      <c r="O729" s="527"/>
      <c r="P729" s="527"/>
    </row>
    <row r="730" spans="1:16" ht="21.75" customHeight="1" x14ac:dyDescent="0.2">
      <c r="A730" s="521"/>
      <c r="B730" s="521"/>
      <c r="C730" s="521"/>
      <c r="D730" s="521"/>
      <c r="E730" s="524"/>
      <c r="F730" s="524"/>
      <c r="G730" s="524"/>
      <c r="H730" s="524"/>
      <c r="I730" s="524"/>
      <c r="J730" s="524"/>
      <c r="K730" s="525"/>
      <c r="L730" s="526"/>
      <c r="M730" s="526"/>
      <c r="N730" s="526"/>
      <c r="O730" s="527"/>
      <c r="P730" s="527"/>
    </row>
    <row r="731" spans="1:16" ht="21.75" customHeight="1" x14ac:dyDescent="0.2">
      <c r="A731" s="521"/>
      <c r="B731" s="521"/>
      <c r="C731" s="521"/>
      <c r="D731" s="521"/>
      <c r="E731" s="524"/>
      <c r="F731" s="524"/>
      <c r="G731" s="524"/>
      <c r="H731" s="524"/>
      <c r="I731" s="524"/>
      <c r="J731" s="524"/>
      <c r="K731" s="525"/>
      <c r="L731" s="526"/>
      <c r="M731" s="526"/>
      <c r="N731" s="526"/>
      <c r="O731" s="527"/>
      <c r="P731" s="527"/>
    </row>
    <row r="732" spans="1:16" ht="21.75" customHeight="1" x14ac:dyDescent="0.2">
      <c r="A732" s="521"/>
      <c r="B732" s="521"/>
      <c r="C732" s="521"/>
      <c r="D732" s="521"/>
      <c r="E732" s="524"/>
      <c r="F732" s="524"/>
      <c r="G732" s="524"/>
      <c r="H732" s="524"/>
      <c r="I732" s="524"/>
      <c r="J732" s="524"/>
      <c r="K732" s="525"/>
      <c r="L732" s="526"/>
      <c r="M732" s="526"/>
      <c r="N732" s="526"/>
      <c r="O732" s="527"/>
      <c r="P732" s="527"/>
    </row>
    <row r="733" spans="1:16" ht="21.75" customHeight="1" x14ac:dyDescent="0.2">
      <c r="A733" s="521"/>
      <c r="B733" s="521"/>
      <c r="C733" s="521"/>
      <c r="D733" s="521"/>
      <c r="E733" s="524"/>
      <c r="F733" s="524"/>
      <c r="G733" s="524"/>
      <c r="H733" s="524"/>
      <c r="I733" s="524"/>
      <c r="J733" s="524"/>
      <c r="K733" s="525"/>
      <c r="L733" s="526"/>
      <c r="M733" s="526"/>
      <c r="N733" s="526"/>
      <c r="O733" s="527"/>
      <c r="P733" s="527"/>
    </row>
    <row r="734" spans="1:16" ht="21.75" customHeight="1" x14ac:dyDescent="0.2">
      <c r="A734" s="521"/>
      <c r="B734" s="521"/>
      <c r="C734" s="521"/>
      <c r="D734" s="521"/>
      <c r="E734" s="524"/>
      <c r="F734" s="524"/>
      <c r="G734" s="524"/>
      <c r="H734" s="524"/>
      <c r="I734" s="524"/>
      <c r="J734" s="524"/>
      <c r="K734" s="525"/>
      <c r="L734" s="526"/>
      <c r="M734" s="526"/>
      <c r="N734" s="526"/>
      <c r="O734" s="527"/>
      <c r="P734" s="527"/>
    </row>
    <row r="735" spans="1:16" ht="21.75" customHeight="1" x14ac:dyDescent="0.2">
      <c r="A735" s="521"/>
      <c r="B735" s="521"/>
      <c r="C735" s="521"/>
      <c r="D735" s="521"/>
      <c r="E735" s="524"/>
      <c r="F735" s="524"/>
      <c r="G735" s="524"/>
      <c r="H735" s="524"/>
      <c r="I735" s="524"/>
      <c r="J735" s="524"/>
      <c r="K735" s="525"/>
      <c r="L735" s="526"/>
      <c r="M735" s="526"/>
      <c r="N735" s="526"/>
      <c r="O735" s="527"/>
      <c r="P735" s="527"/>
    </row>
    <row r="736" spans="1:16" ht="21.75" customHeight="1" x14ac:dyDescent="0.2">
      <c r="A736" s="521"/>
      <c r="B736" s="521"/>
      <c r="C736" s="521"/>
      <c r="D736" s="521"/>
      <c r="E736" s="524"/>
      <c r="F736" s="524"/>
      <c r="G736" s="524"/>
      <c r="H736" s="524"/>
      <c r="I736" s="524"/>
      <c r="J736" s="524"/>
      <c r="K736" s="525"/>
      <c r="L736" s="526"/>
      <c r="M736" s="526"/>
      <c r="N736" s="526"/>
      <c r="O736" s="527"/>
      <c r="P736" s="527"/>
    </row>
    <row r="737" spans="1:16" ht="21.75" customHeight="1" x14ac:dyDescent="0.2">
      <c r="A737" s="521"/>
      <c r="B737" s="521"/>
      <c r="C737" s="521"/>
      <c r="D737" s="521"/>
      <c r="E737" s="524"/>
      <c r="F737" s="524"/>
      <c r="G737" s="524"/>
      <c r="H737" s="524"/>
      <c r="I737" s="524"/>
      <c r="J737" s="524"/>
      <c r="K737" s="525"/>
      <c r="L737" s="526"/>
      <c r="M737" s="526"/>
      <c r="N737" s="526"/>
      <c r="O737" s="527"/>
      <c r="P737" s="527"/>
    </row>
    <row r="738" spans="1:16" ht="21.75" customHeight="1" x14ac:dyDescent="0.2">
      <c r="A738" s="521"/>
      <c r="B738" s="521"/>
      <c r="C738" s="521"/>
      <c r="D738" s="521"/>
      <c r="E738" s="524"/>
      <c r="F738" s="524"/>
      <c r="G738" s="524"/>
      <c r="H738" s="524"/>
      <c r="I738" s="524"/>
      <c r="J738" s="524"/>
      <c r="K738" s="525"/>
      <c r="L738" s="526"/>
      <c r="M738" s="526"/>
      <c r="N738" s="526"/>
      <c r="O738" s="527"/>
      <c r="P738" s="527"/>
    </row>
    <row r="739" spans="1:16" ht="21.75" customHeight="1" x14ac:dyDescent="0.2">
      <c r="A739" s="521"/>
      <c r="B739" s="521"/>
      <c r="C739" s="521"/>
      <c r="D739" s="521"/>
      <c r="E739" s="524"/>
      <c r="F739" s="524"/>
      <c r="G739" s="524"/>
      <c r="H739" s="524"/>
      <c r="I739" s="524"/>
      <c r="J739" s="524"/>
      <c r="K739" s="525"/>
      <c r="L739" s="526"/>
      <c r="M739" s="526"/>
      <c r="N739" s="526"/>
      <c r="O739" s="527"/>
      <c r="P739" s="527"/>
    </row>
    <row r="740" spans="1:16" ht="21.75" customHeight="1" x14ac:dyDescent="0.2">
      <c r="A740" s="521"/>
      <c r="B740" s="521"/>
      <c r="C740" s="521"/>
      <c r="D740" s="521"/>
      <c r="E740" s="524"/>
      <c r="F740" s="524"/>
      <c r="G740" s="524"/>
      <c r="H740" s="524"/>
      <c r="I740" s="524"/>
      <c r="J740" s="524"/>
      <c r="K740" s="525"/>
      <c r="L740" s="526"/>
      <c r="M740" s="526"/>
      <c r="N740" s="526"/>
      <c r="O740" s="527"/>
      <c r="P740" s="527"/>
    </row>
    <row r="741" spans="1:16" ht="21.75" customHeight="1" x14ac:dyDescent="0.2">
      <c r="A741" s="521"/>
      <c r="B741" s="521"/>
      <c r="C741" s="521"/>
      <c r="D741" s="521"/>
      <c r="E741" s="524"/>
      <c r="F741" s="524"/>
      <c r="G741" s="524"/>
      <c r="H741" s="524"/>
      <c r="I741" s="524"/>
      <c r="J741" s="524"/>
      <c r="K741" s="525"/>
      <c r="L741" s="526"/>
      <c r="M741" s="526"/>
      <c r="N741" s="526"/>
      <c r="O741" s="527"/>
      <c r="P741" s="527"/>
    </row>
    <row r="742" spans="1:16" ht="21.75" customHeight="1" x14ac:dyDescent="0.2">
      <c r="A742" s="521"/>
      <c r="B742" s="521"/>
      <c r="C742" s="521"/>
      <c r="D742" s="521"/>
      <c r="E742" s="524"/>
      <c r="F742" s="524"/>
      <c r="G742" s="524"/>
      <c r="H742" s="524"/>
      <c r="I742" s="524"/>
      <c r="J742" s="524"/>
      <c r="K742" s="525"/>
      <c r="L742" s="526"/>
      <c r="M742" s="526"/>
      <c r="N742" s="526"/>
      <c r="O742" s="527"/>
      <c r="P742" s="527"/>
    </row>
    <row r="743" spans="1:16" ht="21.75" customHeight="1" x14ac:dyDescent="0.2">
      <c r="A743" s="521"/>
      <c r="B743" s="521"/>
      <c r="C743" s="521"/>
      <c r="D743" s="521"/>
      <c r="E743" s="524"/>
      <c r="F743" s="524"/>
      <c r="G743" s="524"/>
      <c r="H743" s="524"/>
      <c r="I743" s="524"/>
      <c r="J743" s="524"/>
      <c r="K743" s="525"/>
      <c r="L743" s="526"/>
      <c r="M743" s="526"/>
      <c r="N743" s="526"/>
      <c r="O743" s="527"/>
      <c r="P743" s="527"/>
    </row>
    <row r="744" spans="1:16" ht="21.75" customHeight="1" x14ac:dyDescent="0.2">
      <c r="A744" s="521"/>
      <c r="B744" s="521"/>
      <c r="C744" s="521"/>
      <c r="D744" s="521"/>
      <c r="E744" s="524"/>
      <c r="F744" s="524"/>
      <c r="G744" s="524"/>
      <c r="H744" s="524"/>
      <c r="I744" s="524"/>
      <c r="J744" s="524"/>
      <c r="K744" s="525"/>
      <c r="L744" s="526"/>
      <c r="M744" s="526"/>
      <c r="N744" s="526"/>
      <c r="O744" s="527"/>
      <c r="P744" s="527"/>
    </row>
    <row r="745" spans="1:16" ht="21.75" customHeight="1" x14ac:dyDescent="0.2">
      <c r="A745" s="521"/>
      <c r="B745" s="521"/>
      <c r="C745" s="521"/>
      <c r="D745" s="521"/>
      <c r="E745" s="524"/>
      <c r="F745" s="524"/>
      <c r="G745" s="524"/>
      <c r="H745" s="524"/>
      <c r="I745" s="524"/>
      <c r="J745" s="524"/>
      <c r="K745" s="525"/>
      <c r="L745" s="526"/>
      <c r="M745" s="526"/>
      <c r="N745" s="526"/>
      <c r="O745" s="527"/>
      <c r="P745" s="527"/>
    </row>
    <row r="746" spans="1:16" ht="21.75" customHeight="1" x14ac:dyDescent="0.2">
      <c r="A746" s="521"/>
      <c r="B746" s="521"/>
      <c r="C746" s="521"/>
      <c r="D746" s="521"/>
      <c r="E746" s="524"/>
      <c r="F746" s="524"/>
      <c r="G746" s="524"/>
      <c r="H746" s="524"/>
      <c r="I746" s="524"/>
      <c r="J746" s="524"/>
      <c r="K746" s="525"/>
      <c r="L746" s="526"/>
      <c r="M746" s="526"/>
      <c r="N746" s="526"/>
      <c r="O746" s="527"/>
      <c r="P746" s="527"/>
    </row>
    <row r="747" spans="1:16" ht="21.75" customHeight="1" x14ac:dyDescent="0.2">
      <c r="A747" s="521"/>
      <c r="B747" s="521"/>
      <c r="C747" s="521"/>
      <c r="D747" s="521"/>
      <c r="E747" s="524"/>
      <c r="F747" s="524"/>
      <c r="G747" s="524"/>
      <c r="H747" s="524"/>
      <c r="I747" s="524"/>
      <c r="J747" s="524"/>
      <c r="K747" s="525"/>
      <c r="L747" s="526"/>
      <c r="M747" s="526"/>
      <c r="N747" s="526"/>
      <c r="O747" s="527"/>
      <c r="P747" s="527"/>
    </row>
    <row r="748" spans="1:16" ht="21.75" customHeight="1" x14ac:dyDescent="0.2">
      <c r="A748" s="521"/>
      <c r="B748" s="521"/>
      <c r="C748" s="521"/>
      <c r="D748" s="521"/>
      <c r="E748" s="524"/>
      <c r="F748" s="524"/>
      <c r="G748" s="524"/>
      <c r="H748" s="524"/>
      <c r="I748" s="524"/>
      <c r="J748" s="524"/>
      <c r="K748" s="525"/>
      <c r="L748" s="526"/>
      <c r="M748" s="526"/>
      <c r="N748" s="526"/>
      <c r="O748" s="527"/>
      <c r="P748" s="527"/>
    </row>
    <row r="749" spans="1:16" ht="21.75" customHeight="1" x14ac:dyDescent="0.2">
      <c r="A749" s="521"/>
      <c r="B749" s="521"/>
      <c r="C749" s="521"/>
      <c r="D749" s="521"/>
      <c r="E749" s="524"/>
      <c r="F749" s="524"/>
      <c r="G749" s="524"/>
      <c r="H749" s="524"/>
      <c r="I749" s="524"/>
      <c r="J749" s="524"/>
      <c r="K749" s="525"/>
      <c r="L749" s="526"/>
      <c r="M749" s="526"/>
      <c r="N749" s="526"/>
      <c r="O749" s="527"/>
      <c r="P749" s="527"/>
    </row>
    <row r="750" spans="1:16" ht="21.75" customHeight="1" x14ac:dyDescent="0.2">
      <c r="A750" s="521"/>
      <c r="B750" s="521"/>
      <c r="C750" s="521"/>
      <c r="D750" s="521"/>
      <c r="E750" s="524"/>
      <c r="F750" s="524"/>
      <c r="G750" s="524"/>
      <c r="H750" s="524"/>
      <c r="I750" s="524"/>
      <c r="J750" s="524"/>
      <c r="K750" s="525"/>
      <c r="L750" s="526"/>
      <c r="M750" s="526"/>
      <c r="N750" s="526"/>
      <c r="O750" s="527"/>
      <c r="P750" s="527"/>
    </row>
    <row r="751" spans="1:16" ht="21.75" customHeight="1" x14ac:dyDescent="0.2">
      <c r="A751" s="521"/>
      <c r="B751" s="521"/>
      <c r="C751" s="521"/>
      <c r="D751" s="521"/>
      <c r="E751" s="524"/>
      <c r="F751" s="524"/>
      <c r="G751" s="524"/>
      <c r="H751" s="524"/>
      <c r="I751" s="524"/>
      <c r="J751" s="524"/>
      <c r="K751" s="525"/>
      <c r="L751" s="526"/>
      <c r="M751" s="526"/>
      <c r="N751" s="526"/>
      <c r="O751" s="527"/>
      <c r="P751" s="527"/>
    </row>
    <row r="752" spans="1:16" ht="21.75" customHeight="1" x14ac:dyDescent="0.2">
      <c r="A752" s="521"/>
      <c r="B752" s="521"/>
      <c r="C752" s="521"/>
      <c r="D752" s="521"/>
      <c r="E752" s="524"/>
      <c r="F752" s="524"/>
      <c r="G752" s="524"/>
      <c r="H752" s="524"/>
      <c r="I752" s="524"/>
      <c r="J752" s="524"/>
      <c r="K752" s="525"/>
      <c r="L752" s="526"/>
      <c r="M752" s="526"/>
      <c r="N752" s="526"/>
      <c r="O752" s="527"/>
      <c r="P752" s="527"/>
    </row>
    <row r="753" spans="1:16" ht="21.75" customHeight="1" x14ac:dyDescent="0.2">
      <c r="A753" s="521"/>
      <c r="B753" s="521"/>
      <c r="C753" s="521"/>
      <c r="D753" s="521"/>
      <c r="E753" s="524"/>
      <c r="F753" s="524"/>
      <c r="G753" s="524"/>
      <c r="H753" s="524"/>
      <c r="I753" s="524"/>
      <c r="J753" s="524"/>
      <c r="K753" s="525"/>
      <c r="L753" s="526"/>
      <c r="M753" s="526"/>
      <c r="N753" s="526"/>
      <c r="O753" s="527"/>
      <c r="P753" s="527"/>
    </row>
    <row r="754" spans="1:16" ht="21.75" customHeight="1" x14ac:dyDescent="0.2">
      <c r="A754" s="521"/>
      <c r="B754" s="521"/>
      <c r="C754" s="521"/>
      <c r="D754" s="521"/>
      <c r="E754" s="524"/>
      <c r="F754" s="524"/>
      <c r="G754" s="524"/>
      <c r="H754" s="524"/>
      <c r="I754" s="524"/>
      <c r="J754" s="524"/>
      <c r="K754" s="525"/>
      <c r="L754" s="526"/>
      <c r="M754" s="526"/>
      <c r="N754" s="526"/>
      <c r="O754" s="527"/>
      <c r="P754" s="527"/>
    </row>
    <row r="755" spans="1:16" ht="21.75" customHeight="1" x14ac:dyDescent="0.2">
      <c r="A755" s="521"/>
      <c r="B755" s="521"/>
      <c r="C755" s="521"/>
      <c r="D755" s="521"/>
      <c r="E755" s="524"/>
      <c r="F755" s="524"/>
      <c r="G755" s="524"/>
      <c r="H755" s="524"/>
      <c r="I755" s="524"/>
      <c r="J755" s="524"/>
      <c r="K755" s="525"/>
      <c r="L755" s="526"/>
      <c r="M755" s="526"/>
      <c r="N755" s="526"/>
      <c r="O755" s="527"/>
      <c r="P755" s="527"/>
    </row>
    <row r="756" spans="1:16" ht="21.75" customHeight="1" x14ac:dyDescent="0.2">
      <c r="A756" s="521"/>
      <c r="B756" s="521"/>
      <c r="C756" s="521"/>
      <c r="D756" s="521"/>
      <c r="E756" s="524"/>
      <c r="F756" s="524"/>
      <c r="G756" s="524"/>
      <c r="H756" s="524"/>
      <c r="I756" s="524"/>
      <c r="J756" s="524"/>
      <c r="K756" s="525"/>
      <c r="L756" s="526"/>
      <c r="M756" s="526"/>
      <c r="N756" s="526"/>
      <c r="O756" s="527"/>
      <c r="P756" s="527"/>
    </row>
    <row r="757" spans="1:16" ht="21.75" customHeight="1" x14ac:dyDescent="0.2">
      <c r="A757" s="521"/>
      <c r="B757" s="521"/>
      <c r="C757" s="521"/>
      <c r="D757" s="521"/>
      <c r="E757" s="524"/>
      <c r="F757" s="524"/>
      <c r="G757" s="524"/>
      <c r="H757" s="524"/>
      <c r="I757" s="524"/>
      <c r="J757" s="524"/>
      <c r="K757" s="525"/>
      <c r="L757" s="526"/>
      <c r="M757" s="526"/>
      <c r="N757" s="526"/>
      <c r="O757" s="527"/>
      <c r="P757" s="527"/>
    </row>
    <row r="758" spans="1:16" ht="21.75" customHeight="1" x14ac:dyDescent="0.2">
      <c r="A758" s="521"/>
      <c r="B758" s="521"/>
      <c r="C758" s="521"/>
      <c r="D758" s="521"/>
      <c r="E758" s="524"/>
      <c r="F758" s="524"/>
      <c r="G758" s="524"/>
      <c r="H758" s="524"/>
      <c r="I758" s="524"/>
      <c r="J758" s="524"/>
      <c r="K758" s="525"/>
      <c r="L758" s="526"/>
      <c r="M758" s="526"/>
      <c r="N758" s="526"/>
      <c r="O758" s="527"/>
      <c r="P758" s="527"/>
    </row>
    <row r="759" spans="1:16" ht="21.75" customHeight="1" x14ac:dyDescent="0.2">
      <c r="A759" s="521"/>
      <c r="B759" s="521"/>
      <c r="C759" s="521"/>
      <c r="D759" s="521"/>
      <c r="E759" s="524"/>
      <c r="F759" s="524"/>
      <c r="G759" s="524"/>
      <c r="H759" s="524"/>
      <c r="I759" s="524"/>
      <c r="J759" s="524"/>
      <c r="K759" s="525"/>
      <c r="L759" s="526"/>
      <c r="M759" s="526"/>
      <c r="N759" s="526"/>
      <c r="O759" s="527"/>
      <c r="P759" s="527"/>
    </row>
    <row r="760" spans="1:16" ht="21.75" customHeight="1" x14ac:dyDescent="0.2">
      <c r="A760" s="521"/>
      <c r="B760" s="521"/>
      <c r="C760" s="521"/>
      <c r="D760" s="521"/>
      <c r="E760" s="524"/>
      <c r="F760" s="524"/>
      <c r="G760" s="524"/>
      <c r="H760" s="524"/>
      <c r="I760" s="524"/>
      <c r="J760" s="524"/>
      <c r="K760" s="525"/>
      <c r="L760" s="526"/>
      <c r="M760" s="526"/>
      <c r="N760" s="526"/>
      <c r="O760" s="527"/>
      <c r="P760" s="527"/>
    </row>
    <row r="761" spans="1:16" ht="21.75" customHeight="1" x14ac:dyDescent="0.2">
      <c r="A761" s="521"/>
      <c r="B761" s="521"/>
      <c r="C761" s="521"/>
      <c r="D761" s="521"/>
      <c r="E761" s="524"/>
      <c r="F761" s="524"/>
      <c r="G761" s="524"/>
      <c r="H761" s="524"/>
      <c r="I761" s="524"/>
      <c r="J761" s="524"/>
      <c r="K761" s="525"/>
      <c r="L761" s="526"/>
      <c r="M761" s="526"/>
      <c r="N761" s="526"/>
      <c r="O761" s="527"/>
      <c r="P761" s="527"/>
    </row>
    <row r="762" spans="1:16" ht="21.75" customHeight="1" x14ac:dyDescent="0.2">
      <c r="A762" s="521"/>
      <c r="B762" s="521"/>
      <c r="C762" s="521"/>
      <c r="D762" s="521"/>
      <c r="E762" s="524"/>
      <c r="F762" s="524"/>
      <c r="G762" s="524"/>
      <c r="H762" s="524"/>
      <c r="I762" s="524"/>
      <c r="J762" s="524"/>
      <c r="K762" s="525"/>
      <c r="L762" s="526"/>
      <c r="M762" s="526"/>
      <c r="N762" s="526"/>
      <c r="O762" s="527"/>
      <c r="P762" s="527"/>
    </row>
    <row r="763" spans="1:16" ht="21.75" customHeight="1" x14ac:dyDescent="0.2">
      <c r="A763" s="521"/>
      <c r="B763" s="521"/>
      <c r="C763" s="521"/>
      <c r="D763" s="521"/>
      <c r="E763" s="524"/>
      <c r="F763" s="524"/>
      <c r="G763" s="524"/>
      <c r="H763" s="524"/>
      <c r="I763" s="524"/>
      <c r="J763" s="524"/>
      <c r="K763" s="525"/>
      <c r="L763" s="526"/>
      <c r="M763" s="526"/>
      <c r="N763" s="526"/>
      <c r="O763" s="527"/>
      <c r="P763" s="527"/>
    </row>
    <row r="764" spans="1:16" ht="21.75" customHeight="1" x14ac:dyDescent="0.2">
      <c r="A764" s="521"/>
      <c r="B764" s="521"/>
      <c r="C764" s="521"/>
      <c r="D764" s="521"/>
      <c r="E764" s="524"/>
      <c r="F764" s="524"/>
      <c r="G764" s="524"/>
      <c r="H764" s="524"/>
      <c r="I764" s="524"/>
      <c r="J764" s="524"/>
      <c r="K764" s="525"/>
      <c r="L764" s="526"/>
      <c r="M764" s="526"/>
      <c r="N764" s="526"/>
      <c r="O764" s="527"/>
      <c r="P764" s="527"/>
    </row>
    <row r="765" spans="1:16" ht="21.75" customHeight="1" x14ac:dyDescent="0.2">
      <c r="A765" s="521"/>
      <c r="B765" s="521"/>
      <c r="C765" s="521"/>
      <c r="D765" s="521"/>
      <c r="E765" s="524"/>
      <c r="F765" s="524"/>
      <c r="G765" s="524"/>
      <c r="H765" s="524"/>
      <c r="I765" s="524"/>
      <c r="J765" s="524"/>
      <c r="K765" s="525"/>
      <c r="L765" s="526"/>
      <c r="M765" s="526"/>
      <c r="N765" s="526"/>
      <c r="O765" s="527"/>
      <c r="P765" s="527"/>
    </row>
    <row r="766" spans="1:16" ht="21.75" customHeight="1" x14ac:dyDescent="0.2">
      <c r="A766" s="521"/>
      <c r="B766" s="521"/>
      <c r="C766" s="521"/>
      <c r="D766" s="521"/>
      <c r="E766" s="524"/>
      <c r="F766" s="524"/>
      <c r="G766" s="524"/>
      <c r="H766" s="524"/>
      <c r="I766" s="524"/>
      <c r="J766" s="524"/>
      <c r="K766" s="525"/>
      <c r="L766" s="526"/>
      <c r="M766" s="526"/>
      <c r="N766" s="526"/>
      <c r="O766" s="527"/>
      <c r="P766" s="527"/>
    </row>
    <row r="767" spans="1:16" ht="21.75" customHeight="1" x14ac:dyDescent="0.2">
      <c r="A767" s="521"/>
      <c r="B767" s="521"/>
      <c r="C767" s="521"/>
      <c r="D767" s="521"/>
      <c r="E767" s="524"/>
      <c r="F767" s="524"/>
      <c r="G767" s="524"/>
      <c r="H767" s="524"/>
      <c r="I767" s="524"/>
      <c r="J767" s="524"/>
      <c r="K767" s="525"/>
      <c r="L767" s="526"/>
      <c r="M767" s="526"/>
      <c r="N767" s="526"/>
      <c r="O767" s="527"/>
      <c r="P767" s="527"/>
    </row>
    <row r="768" spans="1:16" ht="21.75" customHeight="1" x14ac:dyDescent="0.2">
      <c r="A768" s="521"/>
      <c r="B768" s="521"/>
      <c r="C768" s="521"/>
      <c r="D768" s="521"/>
      <c r="E768" s="524"/>
      <c r="F768" s="524"/>
      <c r="G768" s="524"/>
      <c r="H768" s="524"/>
      <c r="I768" s="524"/>
      <c r="J768" s="524"/>
      <c r="K768" s="525"/>
      <c r="L768" s="526"/>
      <c r="M768" s="526"/>
      <c r="N768" s="526"/>
      <c r="O768" s="527"/>
      <c r="P768" s="527"/>
    </row>
    <row r="769" spans="1:16" ht="21.75" customHeight="1" x14ac:dyDescent="0.2">
      <c r="A769" s="521"/>
      <c r="B769" s="521"/>
      <c r="C769" s="521"/>
      <c r="D769" s="521"/>
      <c r="E769" s="524"/>
      <c r="F769" s="524"/>
      <c r="G769" s="524"/>
      <c r="H769" s="524"/>
      <c r="I769" s="524"/>
      <c r="J769" s="524"/>
      <c r="K769" s="525"/>
      <c r="L769" s="526"/>
      <c r="M769" s="526"/>
      <c r="N769" s="526"/>
      <c r="O769" s="527"/>
      <c r="P769" s="527"/>
    </row>
    <row r="770" spans="1:16" ht="21.75" customHeight="1" x14ac:dyDescent="0.2">
      <c r="A770" s="521"/>
      <c r="B770" s="521"/>
      <c r="C770" s="521"/>
      <c r="D770" s="521"/>
      <c r="E770" s="524"/>
      <c r="F770" s="524"/>
      <c r="G770" s="524"/>
      <c r="H770" s="524"/>
      <c r="I770" s="524"/>
      <c r="J770" s="524"/>
      <c r="K770" s="525"/>
      <c r="L770" s="526"/>
      <c r="M770" s="526"/>
      <c r="N770" s="526"/>
      <c r="O770" s="527"/>
      <c r="P770" s="527"/>
    </row>
    <row r="771" spans="1:16" ht="21.75" customHeight="1" x14ac:dyDescent="0.2">
      <c r="A771" s="521"/>
      <c r="B771" s="521"/>
      <c r="C771" s="521"/>
      <c r="D771" s="521"/>
      <c r="E771" s="524"/>
      <c r="F771" s="524"/>
      <c r="G771" s="524"/>
      <c r="H771" s="524"/>
      <c r="I771" s="524"/>
      <c r="J771" s="524"/>
      <c r="K771" s="525"/>
      <c r="L771" s="526"/>
      <c r="M771" s="526"/>
      <c r="N771" s="526"/>
      <c r="O771" s="527"/>
      <c r="P771" s="527"/>
    </row>
    <row r="772" spans="1:16" ht="21.75" customHeight="1" x14ac:dyDescent="0.2">
      <c r="A772" s="521"/>
      <c r="B772" s="521"/>
      <c r="C772" s="521"/>
      <c r="D772" s="521"/>
      <c r="E772" s="524"/>
      <c r="F772" s="524"/>
      <c r="G772" s="524"/>
      <c r="H772" s="524"/>
      <c r="I772" s="524"/>
      <c r="J772" s="524"/>
      <c r="K772" s="525"/>
      <c r="L772" s="526"/>
      <c r="M772" s="526"/>
      <c r="N772" s="526"/>
      <c r="O772" s="527"/>
      <c r="P772" s="527"/>
    </row>
    <row r="773" spans="1:16" ht="21.75" customHeight="1" x14ac:dyDescent="0.2">
      <c r="A773" s="521"/>
      <c r="B773" s="521"/>
      <c r="C773" s="521"/>
      <c r="D773" s="521"/>
      <c r="E773" s="524"/>
      <c r="F773" s="524"/>
      <c r="G773" s="524"/>
      <c r="H773" s="524"/>
      <c r="I773" s="524"/>
      <c r="J773" s="524"/>
      <c r="K773" s="525"/>
      <c r="L773" s="526"/>
      <c r="M773" s="526"/>
      <c r="N773" s="526"/>
      <c r="O773" s="527"/>
      <c r="P773" s="527"/>
    </row>
    <row r="774" spans="1:16" ht="21.75" customHeight="1" x14ac:dyDescent="0.2">
      <c r="A774" s="521"/>
      <c r="B774" s="521"/>
      <c r="C774" s="521"/>
      <c r="D774" s="521"/>
      <c r="E774" s="524"/>
      <c r="F774" s="524"/>
      <c r="G774" s="524"/>
      <c r="H774" s="524"/>
      <c r="I774" s="524"/>
      <c r="J774" s="524"/>
      <c r="K774" s="525"/>
      <c r="L774" s="526"/>
      <c r="M774" s="526"/>
      <c r="N774" s="526"/>
      <c r="O774" s="527"/>
      <c r="P774" s="527"/>
    </row>
    <row r="775" spans="1:16" ht="21.75" customHeight="1" x14ac:dyDescent="0.2">
      <c r="A775" s="521"/>
      <c r="B775" s="521"/>
      <c r="C775" s="521"/>
      <c r="D775" s="521"/>
      <c r="E775" s="524"/>
      <c r="F775" s="524"/>
      <c r="G775" s="524"/>
      <c r="H775" s="524"/>
      <c r="I775" s="524"/>
      <c r="J775" s="524"/>
      <c r="K775" s="525"/>
      <c r="L775" s="526"/>
      <c r="M775" s="526"/>
      <c r="N775" s="526"/>
      <c r="O775" s="527"/>
      <c r="P775" s="527"/>
    </row>
    <row r="776" spans="1:16" ht="21.75" customHeight="1" x14ac:dyDescent="0.2">
      <c r="A776" s="521"/>
      <c r="B776" s="521"/>
      <c r="C776" s="521"/>
      <c r="D776" s="521"/>
      <c r="E776" s="524"/>
      <c r="F776" s="524"/>
      <c r="G776" s="524"/>
      <c r="H776" s="524"/>
      <c r="I776" s="524"/>
      <c r="J776" s="524"/>
      <c r="K776" s="525"/>
      <c r="L776" s="526"/>
      <c r="M776" s="526"/>
      <c r="N776" s="526"/>
      <c r="O776" s="527"/>
      <c r="P776" s="527"/>
    </row>
    <row r="777" spans="1:16" ht="21.75" customHeight="1" x14ac:dyDescent="0.2">
      <c r="A777" s="521"/>
      <c r="B777" s="521"/>
      <c r="C777" s="521"/>
      <c r="D777" s="521"/>
      <c r="E777" s="524"/>
      <c r="F777" s="524"/>
      <c r="G777" s="524"/>
      <c r="H777" s="524"/>
      <c r="I777" s="524"/>
      <c r="J777" s="524"/>
      <c r="K777" s="525"/>
      <c r="L777" s="526"/>
      <c r="M777" s="526"/>
      <c r="N777" s="526"/>
      <c r="O777" s="527"/>
      <c r="P777" s="527"/>
    </row>
    <row r="778" spans="1:16" ht="21.75" customHeight="1" x14ac:dyDescent="0.2">
      <c r="A778" s="521"/>
      <c r="B778" s="521"/>
      <c r="C778" s="521"/>
      <c r="D778" s="521"/>
      <c r="E778" s="524"/>
      <c r="F778" s="524"/>
      <c r="G778" s="524"/>
      <c r="H778" s="524"/>
      <c r="I778" s="524"/>
      <c r="J778" s="524"/>
      <c r="K778" s="525"/>
      <c r="L778" s="526"/>
      <c r="M778" s="526"/>
      <c r="N778" s="526"/>
      <c r="O778" s="527"/>
      <c r="P778" s="527"/>
    </row>
    <row r="779" spans="1:16" ht="21.75" customHeight="1" x14ac:dyDescent="0.2">
      <c r="A779" s="521"/>
      <c r="B779" s="521"/>
      <c r="C779" s="521"/>
      <c r="D779" s="521"/>
      <c r="E779" s="524"/>
      <c r="F779" s="524"/>
      <c r="G779" s="524"/>
      <c r="H779" s="524"/>
      <c r="I779" s="524"/>
      <c r="J779" s="524"/>
      <c r="K779" s="525"/>
      <c r="L779" s="526"/>
      <c r="M779" s="526"/>
      <c r="N779" s="526"/>
      <c r="O779" s="527"/>
      <c r="P779" s="527"/>
    </row>
    <row r="780" spans="1:16" ht="21.75" customHeight="1" x14ac:dyDescent="0.2">
      <c r="A780" s="521"/>
      <c r="B780" s="521"/>
      <c r="C780" s="521"/>
      <c r="D780" s="521"/>
      <c r="E780" s="524"/>
      <c r="F780" s="524"/>
      <c r="G780" s="524"/>
      <c r="H780" s="524"/>
      <c r="I780" s="524"/>
      <c r="J780" s="524"/>
      <c r="K780" s="525"/>
      <c r="L780" s="526"/>
      <c r="M780" s="526"/>
      <c r="N780" s="526"/>
      <c r="O780" s="527"/>
      <c r="P780" s="527"/>
    </row>
    <row r="781" spans="1:16" ht="21.75" customHeight="1" x14ac:dyDescent="0.2">
      <c r="A781" s="521"/>
      <c r="B781" s="521"/>
      <c r="C781" s="521"/>
      <c r="D781" s="521"/>
      <c r="E781" s="524"/>
      <c r="F781" s="524"/>
      <c r="G781" s="524"/>
      <c r="H781" s="524"/>
      <c r="I781" s="524"/>
      <c r="J781" s="524"/>
      <c r="K781" s="525"/>
      <c r="L781" s="526"/>
      <c r="M781" s="526"/>
      <c r="N781" s="526"/>
      <c r="O781" s="527"/>
      <c r="P781" s="527"/>
    </row>
    <row r="782" spans="1:16" ht="21.75" customHeight="1" x14ac:dyDescent="0.2">
      <c r="A782" s="521"/>
      <c r="B782" s="521"/>
      <c r="C782" s="521"/>
      <c r="D782" s="521"/>
      <c r="E782" s="524"/>
      <c r="F782" s="524"/>
      <c r="G782" s="524"/>
      <c r="H782" s="524"/>
      <c r="I782" s="524"/>
      <c r="J782" s="524"/>
      <c r="K782" s="525"/>
      <c r="L782" s="526"/>
      <c r="M782" s="526"/>
      <c r="N782" s="526"/>
      <c r="O782" s="527"/>
      <c r="P782" s="527"/>
    </row>
    <row r="783" spans="1:16" ht="21.75" customHeight="1" x14ac:dyDescent="0.2">
      <c r="A783" s="521"/>
      <c r="B783" s="521"/>
      <c r="C783" s="521"/>
      <c r="D783" s="521"/>
      <c r="E783" s="524"/>
      <c r="F783" s="524"/>
      <c r="G783" s="524"/>
      <c r="H783" s="524"/>
      <c r="I783" s="524"/>
      <c r="J783" s="524"/>
      <c r="K783" s="525"/>
      <c r="L783" s="526"/>
      <c r="M783" s="526"/>
      <c r="N783" s="526"/>
      <c r="O783" s="527"/>
      <c r="P783" s="527"/>
    </row>
    <row r="784" spans="1:16" ht="21.75" customHeight="1" x14ac:dyDescent="0.2">
      <c r="A784" s="521"/>
      <c r="B784" s="521"/>
      <c r="C784" s="521"/>
      <c r="D784" s="521"/>
      <c r="E784" s="524"/>
      <c r="F784" s="524"/>
      <c r="G784" s="524"/>
      <c r="H784" s="524"/>
      <c r="I784" s="524"/>
      <c r="J784" s="524"/>
      <c r="K784" s="525"/>
      <c r="L784" s="526"/>
      <c r="M784" s="526"/>
      <c r="N784" s="526"/>
      <c r="O784" s="527"/>
      <c r="P784" s="527"/>
    </row>
    <row r="785" spans="1:16" ht="21.75" customHeight="1" x14ac:dyDescent="0.2">
      <c r="A785" s="521"/>
      <c r="B785" s="521"/>
      <c r="C785" s="521"/>
      <c r="D785" s="521"/>
      <c r="E785" s="524"/>
      <c r="F785" s="524"/>
      <c r="G785" s="524"/>
      <c r="H785" s="524"/>
      <c r="I785" s="524"/>
      <c r="J785" s="524"/>
      <c r="K785" s="525"/>
      <c r="L785" s="526"/>
      <c r="M785" s="526"/>
      <c r="N785" s="526"/>
      <c r="O785" s="527"/>
      <c r="P785" s="527"/>
    </row>
    <row r="786" spans="1:16" ht="21.75" customHeight="1" x14ac:dyDescent="0.2">
      <c r="A786" s="521"/>
      <c r="B786" s="521"/>
      <c r="C786" s="521"/>
      <c r="D786" s="521"/>
      <c r="E786" s="524"/>
      <c r="F786" s="524"/>
      <c r="G786" s="524"/>
      <c r="H786" s="524"/>
      <c r="I786" s="524"/>
      <c r="J786" s="524"/>
      <c r="K786" s="525"/>
      <c r="L786" s="526"/>
      <c r="M786" s="526"/>
      <c r="N786" s="526"/>
      <c r="O786" s="527"/>
      <c r="P786" s="527"/>
    </row>
    <row r="787" spans="1:16" ht="21.75" customHeight="1" x14ac:dyDescent="0.2">
      <c r="A787" s="521"/>
      <c r="B787" s="521"/>
      <c r="C787" s="521"/>
      <c r="D787" s="521"/>
      <c r="E787" s="524"/>
      <c r="F787" s="524"/>
      <c r="G787" s="524"/>
      <c r="H787" s="524"/>
      <c r="I787" s="524"/>
      <c r="J787" s="524"/>
      <c r="K787" s="525"/>
      <c r="L787" s="526"/>
      <c r="M787" s="526"/>
      <c r="N787" s="526"/>
      <c r="O787" s="527"/>
      <c r="P787" s="527"/>
    </row>
    <row r="788" spans="1:16" ht="21.75" customHeight="1" x14ac:dyDescent="0.2">
      <c r="A788" s="521"/>
      <c r="B788" s="521"/>
      <c r="C788" s="521"/>
      <c r="D788" s="521"/>
      <c r="E788" s="524"/>
      <c r="F788" s="524"/>
      <c r="G788" s="524"/>
      <c r="H788" s="524"/>
      <c r="I788" s="524"/>
      <c r="J788" s="524"/>
      <c r="K788" s="525"/>
      <c r="L788" s="526"/>
      <c r="M788" s="526"/>
      <c r="N788" s="526"/>
      <c r="O788" s="527"/>
      <c r="P788" s="527"/>
    </row>
    <row r="789" spans="1:16" ht="21.75" customHeight="1" x14ac:dyDescent="0.2">
      <c r="A789" s="521"/>
      <c r="B789" s="521"/>
      <c r="C789" s="521"/>
      <c r="D789" s="521"/>
      <c r="E789" s="524"/>
      <c r="F789" s="524"/>
      <c r="G789" s="524"/>
      <c r="H789" s="524"/>
      <c r="I789" s="524"/>
      <c r="J789" s="524"/>
      <c r="K789" s="525"/>
      <c r="L789" s="526"/>
      <c r="M789" s="526"/>
      <c r="N789" s="526"/>
      <c r="O789" s="527"/>
      <c r="P789" s="527"/>
    </row>
    <row r="790" spans="1:16" ht="21.75" customHeight="1" x14ac:dyDescent="0.2">
      <c r="A790" s="521"/>
      <c r="B790" s="521"/>
      <c r="C790" s="521"/>
      <c r="D790" s="521"/>
      <c r="E790" s="524"/>
      <c r="F790" s="524"/>
      <c r="G790" s="524"/>
      <c r="H790" s="524"/>
      <c r="I790" s="524"/>
      <c r="J790" s="524"/>
      <c r="K790" s="525"/>
      <c r="L790" s="526"/>
      <c r="M790" s="526"/>
      <c r="N790" s="526"/>
      <c r="O790" s="527"/>
      <c r="P790" s="527"/>
    </row>
    <row r="791" spans="1:16" ht="21.75" customHeight="1" x14ac:dyDescent="0.2">
      <c r="A791" s="521"/>
      <c r="B791" s="521"/>
      <c r="C791" s="521"/>
      <c r="D791" s="521"/>
      <c r="E791" s="524"/>
      <c r="F791" s="524"/>
      <c r="G791" s="524"/>
      <c r="H791" s="524"/>
      <c r="I791" s="524"/>
      <c r="J791" s="524"/>
      <c r="K791" s="525"/>
      <c r="L791" s="526"/>
      <c r="M791" s="526"/>
      <c r="N791" s="526"/>
      <c r="O791" s="527"/>
      <c r="P791" s="527"/>
    </row>
    <row r="792" spans="1:16" ht="21.75" customHeight="1" x14ac:dyDescent="0.2">
      <c r="A792" s="521"/>
      <c r="B792" s="521"/>
      <c r="C792" s="521"/>
      <c r="D792" s="521"/>
      <c r="E792" s="524"/>
      <c r="F792" s="524"/>
      <c r="G792" s="524"/>
      <c r="H792" s="524"/>
      <c r="I792" s="524"/>
      <c r="J792" s="524"/>
      <c r="K792" s="525"/>
      <c r="L792" s="526"/>
      <c r="M792" s="526"/>
      <c r="N792" s="526"/>
      <c r="O792" s="527"/>
      <c r="P792" s="527"/>
    </row>
    <row r="793" spans="1:16" ht="21.75" customHeight="1" x14ac:dyDescent="0.2">
      <c r="A793" s="521"/>
      <c r="B793" s="521"/>
      <c r="C793" s="521"/>
      <c r="D793" s="521"/>
      <c r="E793" s="524"/>
      <c r="F793" s="524"/>
      <c r="G793" s="524"/>
      <c r="H793" s="524"/>
      <c r="I793" s="524"/>
      <c r="J793" s="524"/>
      <c r="K793" s="525"/>
      <c r="L793" s="526"/>
      <c r="M793" s="526"/>
      <c r="N793" s="526"/>
      <c r="O793" s="527"/>
      <c r="P793" s="527"/>
    </row>
    <row r="794" spans="1:16" ht="21.75" customHeight="1" x14ac:dyDescent="0.2">
      <c r="A794" s="521"/>
      <c r="B794" s="521"/>
      <c r="C794" s="521"/>
      <c r="D794" s="521"/>
      <c r="E794" s="524"/>
      <c r="F794" s="524"/>
      <c r="G794" s="524"/>
      <c r="H794" s="524"/>
      <c r="I794" s="524"/>
      <c r="J794" s="524"/>
      <c r="K794" s="525"/>
      <c r="L794" s="526"/>
      <c r="M794" s="526"/>
      <c r="N794" s="526"/>
      <c r="O794" s="527"/>
      <c r="P794" s="527"/>
    </row>
    <row r="795" spans="1:16" ht="21.75" customHeight="1" x14ac:dyDescent="0.2">
      <c r="A795" s="521"/>
      <c r="B795" s="521"/>
      <c r="C795" s="521"/>
      <c r="D795" s="521"/>
      <c r="E795" s="524"/>
      <c r="F795" s="524"/>
      <c r="G795" s="524"/>
      <c r="H795" s="524"/>
      <c r="I795" s="524"/>
      <c r="J795" s="524"/>
      <c r="K795" s="525"/>
      <c r="L795" s="526"/>
      <c r="M795" s="526"/>
      <c r="N795" s="526"/>
      <c r="O795" s="527"/>
      <c r="P795" s="527"/>
    </row>
    <row r="796" spans="1:16" ht="21.75" customHeight="1" x14ac:dyDescent="0.2">
      <c r="A796" s="521"/>
      <c r="B796" s="521"/>
      <c r="C796" s="521"/>
      <c r="D796" s="521"/>
      <c r="E796" s="524"/>
      <c r="F796" s="524"/>
      <c r="G796" s="524"/>
      <c r="H796" s="524"/>
      <c r="I796" s="524"/>
      <c r="J796" s="524"/>
      <c r="K796" s="525"/>
      <c r="L796" s="526"/>
      <c r="M796" s="526"/>
      <c r="N796" s="526"/>
      <c r="O796" s="527"/>
      <c r="P796" s="527"/>
    </row>
    <row r="797" spans="1:16" ht="21.75" customHeight="1" x14ac:dyDescent="0.2">
      <c r="A797" s="521"/>
      <c r="B797" s="521"/>
      <c r="C797" s="521"/>
      <c r="D797" s="521"/>
      <c r="E797" s="524"/>
      <c r="F797" s="524"/>
      <c r="G797" s="524"/>
      <c r="H797" s="524"/>
      <c r="I797" s="524"/>
      <c r="J797" s="524"/>
      <c r="K797" s="525"/>
      <c r="L797" s="526"/>
      <c r="M797" s="526"/>
      <c r="N797" s="526"/>
      <c r="O797" s="527"/>
      <c r="P797" s="527"/>
    </row>
    <row r="798" spans="1:16" ht="21.75" customHeight="1" x14ac:dyDescent="0.2">
      <c r="A798" s="521"/>
      <c r="B798" s="521"/>
      <c r="C798" s="521"/>
      <c r="D798" s="521"/>
      <c r="E798" s="524"/>
      <c r="F798" s="524"/>
      <c r="G798" s="524"/>
      <c r="H798" s="524"/>
      <c r="I798" s="524"/>
      <c r="J798" s="524"/>
      <c r="K798" s="525"/>
      <c r="L798" s="526"/>
      <c r="M798" s="526"/>
      <c r="N798" s="526"/>
      <c r="O798" s="527"/>
      <c r="P798" s="527"/>
    </row>
    <row r="799" spans="1:16" ht="21.75" customHeight="1" x14ac:dyDescent="0.2">
      <c r="A799" s="521"/>
      <c r="B799" s="521"/>
      <c r="C799" s="521"/>
      <c r="D799" s="521"/>
      <c r="E799" s="524"/>
      <c r="F799" s="524"/>
      <c r="G799" s="524"/>
      <c r="H799" s="524"/>
      <c r="I799" s="524"/>
      <c r="J799" s="524"/>
      <c r="K799" s="525"/>
      <c r="L799" s="526"/>
      <c r="M799" s="526"/>
      <c r="N799" s="526"/>
      <c r="O799" s="527"/>
      <c r="P799" s="527"/>
    </row>
    <row r="800" spans="1:16" ht="21.75" customHeight="1" x14ac:dyDescent="0.2">
      <c r="A800" s="521"/>
      <c r="B800" s="521"/>
      <c r="C800" s="521"/>
      <c r="D800" s="521"/>
      <c r="E800" s="524"/>
      <c r="F800" s="524"/>
      <c r="G800" s="524"/>
      <c r="H800" s="524"/>
      <c r="I800" s="524"/>
      <c r="J800" s="524"/>
      <c r="K800" s="525"/>
      <c r="L800" s="526"/>
      <c r="M800" s="526"/>
      <c r="N800" s="526"/>
      <c r="O800" s="527"/>
      <c r="P800" s="527"/>
    </row>
    <row r="801" spans="1:16" ht="21.75" customHeight="1" x14ac:dyDescent="0.2">
      <c r="A801" s="521"/>
      <c r="B801" s="521"/>
      <c r="C801" s="521"/>
      <c r="D801" s="521"/>
      <c r="E801" s="524"/>
      <c r="F801" s="524"/>
      <c r="G801" s="524"/>
      <c r="H801" s="524"/>
      <c r="I801" s="524"/>
      <c r="J801" s="524"/>
      <c r="K801" s="525"/>
      <c r="L801" s="526"/>
      <c r="M801" s="526"/>
      <c r="N801" s="526"/>
      <c r="O801" s="527"/>
      <c r="P801" s="527"/>
    </row>
    <row r="802" spans="1:16" ht="21.75" customHeight="1" x14ac:dyDescent="0.2">
      <c r="A802" s="521"/>
      <c r="B802" s="521"/>
      <c r="C802" s="521"/>
      <c r="D802" s="521"/>
      <c r="E802" s="524"/>
      <c r="F802" s="524"/>
      <c r="G802" s="524"/>
      <c r="H802" s="524"/>
      <c r="I802" s="524"/>
      <c r="J802" s="524"/>
      <c r="K802" s="525"/>
      <c r="L802" s="526"/>
      <c r="M802" s="526"/>
      <c r="N802" s="526"/>
      <c r="O802" s="527"/>
      <c r="P802" s="527"/>
    </row>
    <row r="803" spans="1:16" ht="21.75" customHeight="1" x14ac:dyDescent="0.2">
      <c r="A803" s="521"/>
      <c r="B803" s="521"/>
      <c r="C803" s="521"/>
      <c r="D803" s="521"/>
      <c r="E803" s="524"/>
      <c r="F803" s="524"/>
      <c r="G803" s="524"/>
      <c r="H803" s="524"/>
      <c r="I803" s="524"/>
      <c r="J803" s="524"/>
      <c r="K803" s="525"/>
      <c r="L803" s="526"/>
      <c r="M803" s="526"/>
      <c r="N803" s="526"/>
      <c r="O803" s="527"/>
      <c r="P803" s="527"/>
    </row>
    <row r="804" spans="1:16" ht="21.75" customHeight="1" x14ac:dyDescent="0.2">
      <c r="A804" s="521"/>
      <c r="B804" s="521"/>
      <c r="C804" s="521"/>
      <c r="D804" s="521"/>
      <c r="E804" s="524"/>
      <c r="F804" s="524"/>
      <c r="G804" s="524"/>
      <c r="H804" s="524"/>
      <c r="I804" s="524"/>
      <c r="J804" s="524"/>
      <c r="K804" s="525"/>
      <c r="L804" s="526"/>
      <c r="M804" s="526"/>
      <c r="N804" s="526"/>
      <c r="O804" s="527"/>
      <c r="P804" s="527"/>
    </row>
    <row r="805" spans="1:16" ht="21.75" customHeight="1" x14ac:dyDescent="0.2">
      <c r="A805" s="521"/>
      <c r="B805" s="521"/>
      <c r="C805" s="521"/>
      <c r="D805" s="521"/>
      <c r="E805" s="524"/>
      <c r="F805" s="524"/>
      <c r="G805" s="524"/>
      <c r="H805" s="524"/>
      <c r="I805" s="524"/>
      <c r="J805" s="524"/>
      <c r="K805" s="525"/>
      <c r="L805" s="526"/>
      <c r="M805" s="526"/>
      <c r="N805" s="526"/>
      <c r="O805" s="527"/>
      <c r="P805" s="527"/>
    </row>
    <row r="806" spans="1:16" ht="21.75" customHeight="1" x14ac:dyDescent="0.2">
      <c r="A806" s="521"/>
      <c r="B806" s="521"/>
      <c r="C806" s="521"/>
      <c r="D806" s="521"/>
      <c r="E806" s="524"/>
      <c r="F806" s="524"/>
      <c r="G806" s="524"/>
      <c r="H806" s="524"/>
      <c r="I806" s="524"/>
      <c r="J806" s="524"/>
      <c r="K806" s="525"/>
      <c r="L806" s="526"/>
      <c r="M806" s="526"/>
      <c r="N806" s="526"/>
      <c r="O806" s="527"/>
      <c r="P806" s="527"/>
    </row>
    <row r="807" spans="1:16" ht="21.75" customHeight="1" x14ac:dyDescent="0.2">
      <c r="A807" s="521"/>
      <c r="B807" s="521"/>
      <c r="C807" s="521"/>
      <c r="D807" s="521"/>
      <c r="E807" s="524"/>
      <c r="F807" s="524"/>
      <c r="G807" s="524"/>
      <c r="H807" s="524"/>
      <c r="I807" s="524"/>
      <c r="J807" s="524"/>
      <c r="K807" s="525"/>
      <c r="L807" s="526"/>
      <c r="M807" s="526"/>
      <c r="N807" s="526"/>
      <c r="O807" s="527"/>
      <c r="P807" s="527"/>
    </row>
    <row r="808" spans="1:16" ht="21.75" customHeight="1" x14ac:dyDescent="0.2">
      <c r="A808" s="521"/>
      <c r="B808" s="521"/>
      <c r="C808" s="521"/>
      <c r="D808" s="521"/>
      <c r="E808" s="524"/>
      <c r="F808" s="524"/>
      <c r="G808" s="524"/>
      <c r="H808" s="524"/>
      <c r="I808" s="524"/>
      <c r="J808" s="524"/>
      <c r="K808" s="525"/>
      <c r="L808" s="526"/>
      <c r="M808" s="526"/>
      <c r="N808" s="526"/>
      <c r="O808" s="527"/>
      <c r="P808" s="527"/>
    </row>
    <row r="809" spans="1:16" ht="21.75" customHeight="1" x14ac:dyDescent="0.2">
      <c r="A809" s="521"/>
      <c r="B809" s="521"/>
      <c r="C809" s="521"/>
      <c r="D809" s="521"/>
      <c r="E809" s="524"/>
      <c r="F809" s="524"/>
      <c r="G809" s="524"/>
      <c r="H809" s="524"/>
      <c r="I809" s="524"/>
      <c r="J809" s="524"/>
      <c r="K809" s="525"/>
      <c r="L809" s="526"/>
      <c r="M809" s="526"/>
      <c r="N809" s="526"/>
      <c r="O809" s="527"/>
      <c r="P809" s="527"/>
    </row>
    <row r="810" spans="1:16" ht="21.75" customHeight="1" x14ac:dyDescent="0.2">
      <c r="A810" s="521"/>
      <c r="B810" s="521"/>
      <c r="C810" s="521"/>
      <c r="D810" s="521"/>
      <c r="E810" s="524"/>
      <c r="F810" s="524"/>
      <c r="G810" s="524"/>
      <c r="H810" s="524"/>
      <c r="I810" s="524"/>
      <c r="J810" s="524"/>
      <c r="K810" s="525"/>
      <c r="L810" s="526"/>
      <c r="M810" s="526"/>
      <c r="N810" s="526"/>
      <c r="O810" s="527"/>
      <c r="P810" s="527"/>
    </row>
    <row r="811" spans="1:16" ht="21.75" customHeight="1" x14ac:dyDescent="0.2">
      <c r="A811" s="521"/>
      <c r="B811" s="521"/>
      <c r="C811" s="521"/>
      <c r="D811" s="521"/>
      <c r="E811" s="524"/>
      <c r="F811" s="524"/>
      <c r="G811" s="524"/>
      <c r="H811" s="524"/>
      <c r="I811" s="524"/>
      <c r="J811" s="524"/>
      <c r="K811" s="525"/>
      <c r="L811" s="526"/>
      <c r="M811" s="526"/>
      <c r="N811" s="526"/>
      <c r="O811" s="527"/>
      <c r="P811" s="527"/>
    </row>
    <row r="812" spans="1:16" ht="21.75" customHeight="1" x14ac:dyDescent="0.2">
      <c r="A812" s="521"/>
      <c r="B812" s="521"/>
      <c r="C812" s="521"/>
      <c r="D812" s="521"/>
      <c r="E812" s="524"/>
      <c r="F812" s="524"/>
      <c r="G812" s="524"/>
      <c r="H812" s="524"/>
      <c r="I812" s="524"/>
      <c r="J812" s="524"/>
      <c r="K812" s="525"/>
      <c r="L812" s="526"/>
      <c r="M812" s="526"/>
      <c r="N812" s="526"/>
      <c r="O812" s="527"/>
      <c r="P812" s="527"/>
    </row>
    <row r="813" spans="1:16" ht="21.75" customHeight="1" x14ac:dyDescent="0.2">
      <c r="A813" s="521"/>
      <c r="B813" s="521"/>
      <c r="C813" s="521"/>
      <c r="D813" s="521"/>
      <c r="E813" s="524"/>
      <c r="F813" s="524"/>
      <c r="G813" s="524"/>
      <c r="H813" s="524"/>
      <c r="I813" s="524"/>
      <c r="J813" s="524"/>
      <c r="K813" s="525"/>
      <c r="L813" s="526"/>
      <c r="M813" s="526"/>
      <c r="N813" s="526"/>
      <c r="O813" s="527"/>
      <c r="P813" s="527"/>
    </row>
    <row r="814" spans="1:16" ht="21.75" customHeight="1" x14ac:dyDescent="0.2">
      <c r="A814" s="521"/>
      <c r="B814" s="521"/>
      <c r="C814" s="521"/>
      <c r="D814" s="521"/>
      <c r="E814" s="524"/>
      <c r="F814" s="524"/>
      <c r="G814" s="524"/>
      <c r="H814" s="524"/>
      <c r="I814" s="524"/>
      <c r="J814" s="524"/>
      <c r="K814" s="525"/>
      <c r="L814" s="526"/>
      <c r="M814" s="526"/>
      <c r="N814" s="526"/>
      <c r="O814" s="527"/>
      <c r="P814" s="527"/>
    </row>
    <row r="815" spans="1:16" ht="21.75" customHeight="1" x14ac:dyDescent="0.2">
      <c r="A815" s="521"/>
      <c r="B815" s="521"/>
      <c r="C815" s="521"/>
      <c r="D815" s="521"/>
      <c r="E815" s="524"/>
      <c r="F815" s="524"/>
      <c r="G815" s="524"/>
      <c r="H815" s="524"/>
      <c r="I815" s="524"/>
      <c r="J815" s="524"/>
      <c r="K815" s="525"/>
      <c r="L815" s="526"/>
      <c r="M815" s="526"/>
      <c r="N815" s="526"/>
      <c r="O815" s="527"/>
      <c r="P815" s="527"/>
    </row>
    <row r="816" spans="1:16" ht="21.75" customHeight="1" x14ac:dyDescent="0.2">
      <c r="A816" s="521"/>
      <c r="B816" s="521"/>
      <c r="C816" s="521"/>
      <c r="D816" s="521"/>
      <c r="E816" s="524"/>
      <c r="F816" s="524"/>
      <c r="G816" s="524"/>
      <c r="H816" s="524"/>
      <c r="I816" s="524"/>
      <c r="J816" s="524"/>
      <c r="K816" s="525"/>
      <c r="L816" s="526"/>
      <c r="M816" s="526"/>
      <c r="N816" s="526"/>
      <c r="O816" s="527"/>
      <c r="P816" s="527"/>
    </row>
    <row r="817" spans="1:16" ht="21.75" customHeight="1" x14ac:dyDescent="0.2">
      <c r="A817" s="521"/>
      <c r="B817" s="521"/>
      <c r="C817" s="521"/>
      <c r="D817" s="521"/>
      <c r="E817" s="524"/>
      <c r="F817" s="524"/>
      <c r="G817" s="524"/>
      <c r="H817" s="524"/>
      <c r="I817" s="524"/>
      <c r="J817" s="524"/>
      <c r="K817" s="525"/>
      <c r="L817" s="526"/>
      <c r="M817" s="526"/>
      <c r="N817" s="526"/>
      <c r="O817" s="527"/>
      <c r="P817" s="527"/>
    </row>
    <row r="818" spans="1:16" ht="21.75" customHeight="1" x14ac:dyDescent="0.2">
      <c r="A818" s="521"/>
      <c r="B818" s="521"/>
      <c r="C818" s="521"/>
      <c r="D818" s="521"/>
      <c r="E818" s="524"/>
      <c r="F818" s="524"/>
      <c r="G818" s="524"/>
      <c r="H818" s="524"/>
      <c r="I818" s="524"/>
      <c r="J818" s="524"/>
      <c r="K818" s="525"/>
      <c r="L818" s="526"/>
      <c r="M818" s="526"/>
      <c r="N818" s="526"/>
      <c r="O818" s="527"/>
      <c r="P818" s="527"/>
    </row>
    <row r="819" spans="1:16" ht="21.75" customHeight="1" x14ac:dyDescent="0.2">
      <c r="A819" s="521"/>
      <c r="B819" s="521"/>
      <c r="C819" s="521"/>
      <c r="D819" s="521"/>
      <c r="E819" s="524"/>
      <c r="F819" s="524"/>
      <c r="G819" s="524"/>
      <c r="H819" s="524"/>
      <c r="I819" s="524"/>
      <c r="J819" s="524"/>
      <c r="K819" s="525"/>
      <c r="L819" s="526"/>
      <c r="M819" s="526"/>
      <c r="N819" s="526"/>
      <c r="O819" s="527"/>
      <c r="P819" s="527"/>
    </row>
    <row r="820" spans="1:16" ht="21.75" customHeight="1" x14ac:dyDescent="0.2">
      <c r="A820" s="521"/>
      <c r="B820" s="521"/>
      <c r="C820" s="521"/>
      <c r="D820" s="521"/>
      <c r="E820" s="524"/>
      <c r="F820" s="524"/>
      <c r="G820" s="524"/>
      <c r="H820" s="524"/>
      <c r="I820" s="524"/>
      <c r="J820" s="524"/>
      <c r="K820" s="525"/>
      <c r="L820" s="526"/>
      <c r="M820" s="526"/>
      <c r="N820" s="526"/>
      <c r="O820" s="527"/>
      <c r="P820" s="527"/>
    </row>
    <row r="821" spans="1:16" ht="21.75" customHeight="1" x14ac:dyDescent="0.2">
      <c r="A821" s="521"/>
      <c r="B821" s="521"/>
      <c r="C821" s="521"/>
      <c r="D821" s="521"/>
      <c r="E821" s="524"/>
      <c r="F821" s="524"/>
      <c r="G821" s="524"/>
      <c r="H821" s="524"/>
      <c r="I821" s="524"/>
      <c r="J821" s="524"/>
      <c r="K821" s="525"/>
      <c r="L821" s="526"/>
      <c r="M821" s="526"/>
      <c r="N821" s="526"/>
      <c r="O821" s="527"/>
      <c r="P821" s="527"/>
    </row>
    <row r="822" spans="1:16" ht="21.75" customHeight="1" x14ac:dyDescent="0.2">
      <c r="A822" s="521"/>
      <c r="B822" s="521"/>
      <c r="C822" s="521"/>
      <c r="D822" s="521"/>
      <c r="E822" s="524"/>
      <c r="F822" s="524"/>
      <c r="G822" s="524"/>
      <c r="H822" s="524"/>
      <c r="I822" s="524"/>
      <c r="J822" s="524"/>
      <c r="K822" s="525"/>
      <c r="L822" s="526"/>
      <c r="M822" s="526"/>
      <c r="N822" s="526"/>
      <c r="O822" s="527"/>
      <c r="P822" s="527"/>
    </row>
    <row r="823" spans="1:16" ht="21.75" customHeight="1" x14ac:dyDescent="0.2">
      <c r="A823" s="521"/>
      <c r="B823" s="521"/>
      <c r="C823" s="521"/>
      <c r="D823" s="521"/>
      <c r="E823" s="524"/>
      <c r="F823" s="524"/>
      <c r="G823" s="524"/>
      <c r="H823" s="524"/>
      <c r="I823" s="524"/>
      <c r="J823" s="524"/>
      <c r="K823" s="525"/>
      <c r="L823" s="526"/>
      <c r="M823" s="526"/>
      <c r="N823" s="526"/>
      <c r="O823" s="527"/>
      <c r="P823" s="527"/>
    </row>
    <row r="824" spans="1:16" ht="21.75" customHeight="1" x14ac:dyDescent="0.2">
      <c r="A824" s="521"/>
      <c r="B824" s="521"/>
      <c r="C824" s="521"/>
      <c r="D824" s="521"/>
      <c r="E824" s="524"/>
      <c r="F824" s="524"/>
      <c r="G824" s="524"/>
      <c r="H824" s="524"/>
      <c r="I824" s="524"/>
      <c r="J824" s="524"/>
      <c r="K824" s="525"/>
      <c r="L824" s="526"/>
      <c r="M824" s="526"/>
      <c r="N824" s="526"/>
      <c r="O824" s="527"/>
      <c r="P824" s="527"/>
    </row>
    <row r="825" spans="1:16" ht="21.75" customHeight="1" x14ac:dyDescent="0.2">
      <c r="A825" s="521"/>
      <c r="B825" s="521"/>
      <c r="C825" s="521"/>
      <c r="D825" s="521"/>
      <c r="E825" s="524"/>
      <c r="F825" s="524"/>
      <c r="G825" s="524"/>
      <c r="H825" s="524"/>
      <c r="I825" s="524"/>
      <c r="J825" s="524"/>
      <c r="K825" s="525"/>
      <c r="L825" s="526"/>
      <c r="M825" s="526"/>
      <c r="N825" s="526"/>
      <c r="O825" s="527"/>
      <c r="P825" s="527"/>
    </row>
    <row r="826" spans="1:16" ht="21.75" customHeight="1" x14ac:dyDescent="0.2">
      <c r="A826" s="521"/>
      <c r="B826" s="521"/>
      <c r="C826" s="521"/>
      <c r="D826" s="521"/>
      <c r="E826" s="524"/>
      <c r="F826" s="524"/>
      <c r="G826" s="524"/>
      <c r="H826" s="524"/>
      <c r="I826" s="524"/>
      <c r="J826" s="524"/>
      <c r="K826" s="525"/>
      <c r="L826" s="526"/>
      <c r="M826" s="526"/>
      <c r="N826" s="526"/>
      <c r="O826" s="527"/>
      <c r="P826" s="527"/>
    </row>
    <row r="827" spans="1:16" ht="21.75" customHeight="1" x14ac:dyDescent="0.2">
      <c r="A827" s="521"/>
      <c r="B827" s="521"/>
      <c r="C827" s="521"/>
      <c r="D827" s="521"/>
      <c r="E827" s="524"/>
      <c r="F827" s="524"/>
      <c r="G827" s="524"/>
      <c r="H827" s="524"/>
      <c r="I827" s="524"/>
      <c r="J827" s="524"/>
      <c r="K827" s="525"/>
      <c r="L827" s="526"/>
      <c r="M827" s="526"/>
      <c r="N827" s="526"/>
      <c r="O827" s="527"/>
      <c r="P827" s="527"/>
    </row>
    <row r="828" spans="1:16" ht="21.75" customHeight="1" x14ac:dyDescent="0.2">
      <c r="A828" s="521"/>
      <c r="B828" s="521"/>
      <c r="C828" s="521"/>
      <c r="D828" s="521"/>
      <c r="E828" s="524"/>
      <c r="F828" s="524"/>
      <c r="G828" s="524"/>
      <c r="H828" s="524"/>
      <c r="I828" s="524"/>
      <c r="J828" s="524"/>
      <c r="K828" s="525"/>
      <c r="L828" s="526"/>
      <c r="M828" s="526"/>
      <c r="N828" s="526"/>
      <c r="O828" s="527"/>
      <c r="P828" s="527"/>
    </row>
    <row r="829" spans="1:16" ht="21.75" customHeight="1" x14ac:dyDescent="0.2">
      <c r="A829" s="521"/>
      <c r="B829" s="521"/>
      <c r="C829" s="521"/>
      <c r="D829" s="521"/>
      <c r="E829" s="524"/>
      <c r="F829" s="524"/>
      <c r="G829" s="524"/>
      <c r="H829" s="524"/>
      <c r="I829" s="524"/>
      <c r="J829" s="524"/>
      <c r="K829" s="525"/>
      <c r="L829" s="526"/>
      <c r="M829" s="526"/>
      <c r="N829" s="526"/>
      <c r="O829" s="527"/>
      <c r="P829" s="527"/>
    </row>
    <row r="830" spans="1:16" ht="21.75" customHeight="1" x14ac:dyDescent="0.2">
      <c r="A830" s="521"/>
      <c r="B830" s="521"/>
      <c r="C830" s="521"/>
      <c r="D830" s="521"/>
      <c r="E830" s="524"/>
      <c r="F830" s="524"/>
      <c r="G830" s="524"/>
      <c r="H830" s="524"/>
      <c r="I830" s="524"/>
      <c r="J830" s="524"/>
      <c r="K830" s="525"/>
      <c r="L830" s="526"/>
      <c r="M830" s="526"/>
      <c r="N830" s="526"/>
      <c r="O830" s="527"/>
      <c r="P830" s="527"/>
    </row>
    <row r="831" spans="1:16" ht="21.75" customHeight="1" x14ac:dyDescent="0.2">
      <c r="A831" s="521"/>
      <c r="B831" s="521"/>
      <c r="C831" s="521"/>
      <c r="D831" s="521"/>
      <c r="E831" s="524"/>
      <c r="F831" s="524"/>
      <c r="G831" s="524"/>
      <c r="H831" s="524"/>
      <c r="I831" s="524"/>
      <c r="J831" s="524"/>
      <c r="K831" s="525"/>
      <c r="L831" s="526"/>
      <c r="M831" s="526"/>
      <c r="N831" s="526"/>
      <c r="O831" s="527"/>
      <c r="P831" s="527"/>
    </row>
    <row r="832" spans="1:16" ht="21.75" customHeight="1" x14ac:dyDescent="0.2">
      <c r="A832" s="521"/>
      <c r="B832" s="521"/>
      <c r="C832" s="521"/>
      <c r="D832" s="521"/>
      <c r="E832" s="524"/>
      <c r="F832" s="524"/>
      <c r="G832" s="524"/>
      <c r="H832" s="524"/>
      <c r="I832" s="524"/>
      <c r="J832" s="524"/>
      <c r="K832" s="525"/>
      <c r="L832" s="526"/>
      <c r="M832" s="526"/>
      <c r="N832" s="526"/>
      <c r="O832" s="527"/>
      <c r="P832" s="527"/>
    </row>
    <row r="833" spans="1:16" ht="21.75" customHeight="1" x14ac:dyDescent="0.2">
      <c r="A833" s="521"/>
      <c r="B833" s="521"/>
      <c r="C833" s="521"/>
      <c r="D833" s="521"/>
      <c r="E833" s="524"/>
      <c r="F833" s="524"/>
      <c r="G833" s="524"/>
      <c r="H833" s="524"/>
      <c r="I833" s="524"/>
      <c r="J833" s="524"/>
      <c r="K833" s="525"/>
      <c r="L833" s="526"/>
      <c r="M833" s="526"/>
      <c r="N833" s="526"/>
      <c r="O833" s="527"/>
      <c r="P833" s="527"/>
    </row>
    <row r="834" spans="1:16" ht="21.75" customHeight="1" x14ac:dyDescent="0.2">
      <c r="A834" s="521"/>
      <c r="B834" s="521"/>
      <c r="C834" s="521"/>
      <c r="D834" s="521"/>
      <c r="E834" s="524"/>
      <c r="F834" s="524"/>
      <c r="G834" s="524"/>
      <c r="H834" s="524"/>
      <c r="I834" s="524"/>
      <c r="J834" s="524"/>
      <c r="K834" s="525"/>
      <c r="L834" s="526"/>
      <c r="M834" s="526"/>
      <c r="N834" s="526"/>
      <c r="O834" s="527"/>
      <c r="P834" s="527"/>
    </row>
    <row r="835" spans="1:16" ht="21.75" customHeight="1" x14ac:dyDescent="0.2">
      <c r="A835" s="521"/>
      <c r="B835" s="521"/>
      <c r="C835" s="521"/>
      <c r="D835" s="521"/>
      <c r="E835" s="524"/>
      <c r="F835" s="524"/>
      <c r="G835" s="524"/>
      <c r="H835" s="524"/>
      <c r="I835" s="524"/>
      <c r="J835" s="524"/>
      <c r="K835" s="525"/>
      <c r="L835" s="526"/>
      <c r="M835" s="526"/>
      <c r="N835" s="526"/>
      <c r="O835" s="527"/>
      <c r="P835" s="527"/>
    </row>
    <row r="836" spans="1:16" ht="21.75" customHeight="1" x14ac:dyDescent="0.2">
      <c r="A836" s="521"/>
      <c r="B836" s="521"/>
      <c r="C836" s="521"/>
      <c r="D836" s="521"/>
      <c r="E836" s="524"/>
      <c r="F836" s="524"/>
      <c r="G836" s="524"/>
      <c r="H836" s="524"/>
      <c r="I836" s="524"/>
      <c r="J836" s="524"/>
      <c r="K836" s="525"/>
      <c r="L836" s="526"/>
      <c r="M836" s="526"/>
      <c r="N836" s="526"/>
      <c r="O836" s="527"/>
      <c r="P836" s="527"/>
    </row>
    <row r="837" spans="1:16" ht="21.75" customHeight="1" x14ac:dyDescent="0.2">
      <c r="A837" s="521"/>
      <c r="B837" s="521"/>
      <c r="C837" s="521"/>
      <c r="D837" s="521"/>
      <c r="E837" s="524"/>
      <c r="F837" s="524"/>
      <c r="G837" s="524"/>
      <c r="H837" s="524"/>
      <c r="I837" s="524"/>
      <c r="J837" s="524"/>
      <c r="K837" s="525"/>
      <c r="L837" s="526"/>
      <c r="M837" s="526"/>
      <c r="N837" s="526"/>
      <c r="O837" s="527"/>
      <c r="P837" s="527"/>
    </row>
    <row r="838" spans="1:16" ht="21.75" customHeight="1" x14ac:dyDescent="0.2">
      <c r="A838" s="521"/>
      <c r="B838" s="521"/>
      <c r="C838" s="521"/>
      <c r="D838" s="521"/>
      <c r="E838" s="524"/>
      <c r="F838" s="524"/>
      <c r="G838" s="524"/>
      <c r="H838" s="524"/>
      <c r="I838" s="524"/>
      <c r="J838" s="524"/>
      <c r="K838" s="525"/>
      <c r="L838" s="526"/>
      <c r="M838" s="526"/>
      <c r="N838" s="526"/>
      <c r="O838" s="527"/>
      <c r="P838" s="527"/>
    </row>
    <row r="839" spans="1:16" ht="21.75" customHeight="1" x14ac:dyDescent="0.2">
      <c r="A839" s="521"/>
      <c r="B839" s="521"/>
      <c r="C839" s="521"/>
      <c r="D839" s="521"/>
      <c r="E839" s="524"/>
      <c r="F839" s="524"/>
      <c r="G839" s="524"/>
      <c r="H839" s="524"/>
      <c r="I839" s="524"/>
      <c r="J839" s="524"/>
      <c r="K839" s="525"/>
      <c r="L839" s="526"/>
      <c r="M839" s="526"/>
      <c r="N839" s="526"/>
      <c r="O839" s="527"/>
      <c r="P839" s="527"/>
    </row>
    <row r="840" spans="1:16" ht="21.75" customHeight="1" x14ac:dyDescent="0.2">
      <c r="A840" s="521"/>
      <c r="B840" s="521"/>
      <c r="C840" s="521"/>
      <c r="D840" s="521"/>
      <c r="E840" s="524"/>
      <c r="F840" s="524"/>
      <c r="G840" s="524"/>
      <c r="H840" s="524"/>
      <c r="I840" s="524"/>
      <c r="J840" s="524"/>
      <c r="K840" s="525"/>
      <c r="L840" s="526"/>
      <c r="M840" s="526"/>
      <c r="N840" s="526"/>
      <c r="O840" s="527"/>
      <c r="P840" s="527"/>
    </row>
    <row r="841" spans="1:16" ht="21.75" customHeight="1" x14ac:dyDescent="0.2">
      <c r="A841" s="521"/>
      <c r="B841" s="521"/>
      <c r="C841" s="521"/>
      <c r="D841" s="521"/>
      <c r="E841" s="524"/>
      <c r="F841" s="524"/>
      <c r="G841" s="524"/>
      <c r="H841" s="524"/>
      <c r="I841" s="524"/>
      <c r="J841" s="524"/>
      <c r="K841" s="525"/>
      <c r="L841" s="526"/>
      <c r="M841" s="526"/>
      <c r="N841" s="526"/>
      <c r="O841" s="527"/>
      <c r="P841" s="527"/>
    </row>
    <row r="842" spans="1:16" ht="21.75" customHeight="1" x14ac:dyDescent="0.2">
      <c r="A842" s="521"/>
      <c r="B842" s="521"/>
      <c r="C842" s="521"/>
      <c r="D842" s="521"/>
      <c r="E842" s="524"/>
      <c r="F842" s="524"/>
      <c r="G842" s="524"/>
      <c r="H842" s="524"/>
      <c r="I842" s="524"/>
      <c r="J842" s="524"/>
      <c r="K842" s="525"/>
      <c r="L842" s="526"/>
      <c r="M842" s="526"/>
      <c r="N842" s="526"/>
      <c r="O842" s="527"/>
      <c r="P842" s="527"/>
    </row>
    <row r="843" spans="1:16" ht="21.75" customHeight="1" x14ac:dyDescent="0.2">
      <c r="A843" s="521"/>
      <c r="B843" s="521"/>
      <c r="C843" s="521"/>
      <c r="D843" s="521"/>
      <c r="E843" s="524"/>
      <c r="F843" s="524"/>
      <c r="G843" s="524"/>
      <c r="H843" s="524"/>
      <c r="I843" s="524"/>
      <c r="J843" s="524"/>
      <c r="K843" s="525"/>
      <c r="L843" s="526"/>
      <c r="M843" s="526"/>
      <c r="N843" s="526"/>
      <c r="O843" s="527"/>
      <c r="P843" s="527"/>
    </row>
    <row r="844" spans="1:16" ht="21.75" customHeight="1" x14ac:dyDescent="0.2">
      <c r="A844" s="521"/>
      <c r="B844" s="521"/>
      <c r="C844" s="521"/>
      <c r="D844" s="521"/>
      <c r="E844" s="524"/>
      <c r="F844" s="524"/>
      <c r="G844" s="524"/>
      <c r="H844" s="524"/>
      <c r="I844" s="524"/>
      <c r="J844" s="524"/>
      <c r="K844" s="525"/>
      <c r="L844" s="526"/>
      <c r="M844" s="526"/>
      <c r="N844" s="526"/>
      <c r="O844" s="527"/>
      <c r="P844" s="527"/>
    </row>
    <row r="845" spans="1:16" ht="21.75" customHeight="1" x14ac:dyDescent="0.2">
      <c r="A845" s="521"/>
      <c r="B845" s="521"/>
      <c r="C845" s="521"/>
      <c r="D845" s="521"/>
      <c r="E845" s="524"/>
      <c r="F845" s="524"/>
      <c r="G845" s="524"/>
      <c r="H845" s="524"/>
      <c r="I845" s="524"/>
      <c r="J845" s="524"/>
      <c r="K845" s="525"/>
      <c r="L845" s="526"/>
      <c r="M845" s="526"/>
      <c r="N845" s="526"/>
      <c r="O845" s="527"/>
      <c r="P845" s="527"/>
    </row>
    <row r="846" spans="1:16" ht="21.75" customHeight="1" x14ac:dyDescent="0.2">
      <c r="A846" s="521"/>
      <c r="B846" s="521"/>
      <c r="C846" s="521"/>
      <c r="D846" s="521"/>
      <c r="E846" s="524"/>
      <c r="F846" s="524"/>
      <c r="G846" s="524"/>
      <c r="H846" s="524"/>
      <c r="I846" s="524"/>
      <c r="J846" s="524"/>
      <c r="K846" s="525"/>
      <c r="L846" s="526"/>
      <c r="M846" s="526"/>
      <c r="N846" s="526"/>
      <c r="O846" s="527"/>
      <c r="P846" s="527"/>
    </row>
    <row r="847" spans="1:16" ht="21.75" customHeight="1" x14ac:dyDescent="0.2">
      <c r="A847" s="521"/>
      <c r="B847" s="521"/>
      <c r="C847" s="521"/>
      <c r="D847" s="521"/>
      <c r="E847" s="524"/>
      <c r="F847" s="524"/>
      <c r="G847" s="524"/>
      <c r="H847" s="524"/>
      <c r="I847" s="524"/>
      <c r="J847" s="524"/>
      <c r="K847" s="525"/>
      <c r="L847" s="526"/>
      <c r="M847" s="526"/>
      <c r="N847" s="526"/>
      <c r="O847" s="527"/>
      <c r="P847" s="527"/>
    </row>
    <row r="848" spans="1:16" ht="21.75" customHeight="1" x14ac:dyDescent="0.2">
      <c r="A848" s="521"/>
      <c r="B848" s="521"/>
      <c r="C848" s="521"/>
      <c r="D848" s="521"/>
      <c r="E848" s="524"/>
      <c r="F848" s="524"/>
      <c r="G848" s="524"/>
      <c r="H848" s="524"/>
      <c r="I848" s="524"/>
      <c r="J848" s="524"/>
      <c r="K848" s="525"/>
      <c r="L848" s="526"/>
      <c r="M848" s="526"/>
      <c r="N848" s="526"/>
      <c r="O848" s="527"/>
      <c r="P848" s="527"/>
    </row>
    <row r="849" spans="1:16" ht="21.75" customHeight="1" x14ac:dyDescent="0.2">
      <c r="A849" s="521"/>
      <c r="B849" s="521"/>
      <c r="C849" s="521"/>
      <c r="D849" s="521"/>
      <c r="E849" s="524"/>
      <c r="F849" s="524"/>
      <c r="G849" s="524"/>
      <c r="H849" s="524"/>
      <c r="I849" s="524"/>
      <c r="J849" s="524"/>
      <c r="K849" s="525"/>
      <c r="L849" s="526"/>
      <c r="M849" s="526"/>
      <c r="N849" s="526"/>
      <c r="O849" s="527"/>
      <c r="P849" s="527"/>
    </row>
    <row r="850" spans="1:16" ht="21.75" customHeight="1" x14ac:dyDescent="0.2">
      <c r="A850" s="521"/>
      <c r="B850" s="521"/>
      <c r="C850" s="521"/>
      <c r="D850" s="521"/>
      <c r="E850" s="524"/>
      <c r="F850" s="524"/>
      <c r="G850" s="524"/>
      <c r="H850" s="524"/>
      <c r="I850" s="524"/>
      <c r="J850" s="524"/>
      <c r="K850" s="525"/>
      <c r="L850" s="526"/>
      <c r="M850" s="526"/>
      <c r="N850" s="526"/>
      <c r="O850" s="527"/>
      <c r="P850" s="527"/>
    </row>
    <row r="851" spans="1:16" ht="21.75" customHeight="1" x14ac:dyDescent="0.2">
      <c r="A851" s="521"/>
      <c r="B851" s="521"/>
      <c r="C851" s="521"/>
      <c r="D851" s="521"/>
      <c r="E851" s="524"/>
      <c r="F851" s="524"/>
      <c r="G851" s="524"/>
      <c r="H851" s="524"/>
      <c r="I851" s="524"/>
      <c r="J851" s="524"/>
      <c r="K851" s="525"/>
      <c r="L851" s="526"/>
      <c r="M851" s="526"/>
      <c r="N851" s="526"/>
      <c r="O851" s="527"/>
      <c r="P851" s="527"/>
    </row>
    <row r="852" spans="1:16" ht="21.75" customHeight="1" x14ac:dyDescent="0.2">
      <c r="A852" s="521"/>
      <c r="B852" s="521"/>
      <c r="C852" s="521"/>
      <c r="D852" s="521"/>
      <c r="E852" s="524"/>
      <c r="F852" s="524"/>
      <c r="G852" s="524"/>
      <c r="H852" s="524"/>
      <c r="I852" s="524"/>
      <c r="J852" s="524"/>
      <c r="K852" s="525"/>
      <c r="L852" s="526"/>
      <c r="M852" s="526"/>
      <c r="N852" s="526"/>
      <c r="O852" s="527"/>
      <c r="P852" s="527"/>
    </row>
    <row r="853" spans="1:16" ht="21.75" customHeight="1" x14ac:dyDescent="0.2">
      <c r="A853" s="521"/>
      <c r="B853" s="521"/>
      <c r="C853" s="521"/>
      <c r="D853" s="521"/>
      <c r="E853" s="524"/>
      <c r="F853" s="524"/>
      <c r="G853" s="524"/>
      <c r="H853" s="524"/>
      <c r="I853" s="524"/>
      <c r="J853" s="524"/>
      <c r="K853" s="525"/>
      <c r="L853" s="526"/>
      <c r="M853" s="526"/>
      <c r="N853" s="526"/>
      <c r="O853" s="527"/>
      <c r="P853" s="527"/>
    </row>
    <row r="854" spans="1:16" ht="21.75" customHeight="1" x14ac:dyDescent="0.2">
      <c r="A854" s="521"/>
      <c r="B854" s="521"/>
      <c r="C854" s="521"/>
      <c r="D854" s="521"/>
      <c r="E854" s="524"/>
      <c r="F854" s="524"/>
      <c r="G854" s="524"/>
      <c r="H854" s="524"/>
      <c r="I854" s="524"/>
      <c r="J854" s="524"/>
      <c r="K854" s="525"/>
      <c r="L854" s="526"/>
      <c r="M854" s="526"/>
      <c r="N854" s="526"/>
      <c r="O854" s="527"/>
      <c r="P854" s="527"/>
    </row>
    <row r="855" spans="1:16" ht="21.75" customHeight="1" x14ac:dyDescent="0.2">
      <c r="A855" s="521"/>
      <c r="B855" s="521"/>
      <c r="C855" s="521"/>
      <c r="D855" s="521"/>
      <c r="E855" s="524"/>
      <c r="F855" s="524"/>
      <c r="G855" s="524"/>
      <c r="H855" s="524"/>
      <c r="I855" s="524"/>
      <c r="J855" s="524"/>
      <c r="K855" s="525"/>
      <c r="L855" s="526"/>
      <c r="M855" s="526"/>
      <c r="N855" s="526"/>
      <c r="O855" s="527"/>
      <c r="P855" s="527"/>
    </row>
    <row r="856" spans="1:16" ht="21.75" customHeight="1" x14ac:dyDescent="0.2">
      <c r="A856" s="521"/>
      <c r="B856" s="521"/>
      <c r="C856" s="521"/>
      <c r="D856" s="521"/>
      <c r="E856" s="524"/>
      <c r="F856" s="524"/>
      <c r="G856" s="524"/>
      <c r="H856" s="524"/>
      <c r="I856" s="524"/>
      <c r="J856" s="524"/>
      <c r="K856" s="525"/>
      <c r="L856" s="526"/>
      <c r="M856" s="526"/>
      <c r="N856" s="526"/>
      <c r="O856" s="527"/>
      <c r="P856" s="527"/>
    </row>
    <row r="857" spans="1:16" ht="21.75" customHeight="1" x14ac:dyDescent="0.2">
      <c r="A857" s="521"/>
      <c r="B857" s="521"/>
      <c r="C857" s="521"/>
      <c r="D857" s="521"/>
      <c r="E857" s="524"/>
      <c r="F857" s="524"/>
      <c r="G857" s="524"/>
      <c r="H857" s="524"/>
      <c r="I857" s="524"/>
      <c r="J857" s="524"/>
      <c r="K857" s="525"/>
      <c r="L857" s="526"/>
      <c r="M857" s="526"/>
      <c r="N857" s="526"/>
      <c r="O857" s="527"/>
      <c r="P857" s="527"/>
    </row>
    <row r="858" spans="1:16" ht="21.75" customHeight="1" x14ac:dyDescent="0.2">
      <c r="A858" s="521"/>
      <c r="B858" s="521"/>
      <c r="C858" s="521"/>
      <c r="D858" s="521"/>
      <c r="E858" s="524"/>
      <c r="F858" s="524"/>
      <c r="G858" s="524"/>
      <c r="H858" s="524"/>
      <c r="I858" s="524"/>
      <c r="J858" s="524"/>
      <c r="K858" s="525"/>
      <c r="L858" s="526"/>
      <c r="M858" s="526"/>
      <c r="N858" s="526"/>
      <c r="O858" s="527"/>
      <c r="P858" s="527"/>
    </row>
    <row r="859" spans="1:16" ht="21.75" customHeight="1" x14ac:dyDescent="0.2">
      <c r="A859" s="521"/>
      <c r="B859" s="521"/>
      <c r="C859" s="521"/>
      <c r="D859" s="521"/>
      <c r="E859" s="524"/>
      <c r="F859" s="524"/>
      <c r="G859" s="524"/>
      <c r="H859" s="524"/>
      <c r="I859" s="524"/>
      <c r="J859" s="524"/>
      <c r="K859" s="525"/>
      <c r="L859" s="526"/>
      <c r="M859" s="526"/>
      <c r="N859" s="526"/>
      <c r="O859" s="527"/>
      <c r="P859" s="527"/>
    </row>
    <row r="860" spans="1:16" ht="21.75" customHeight="1" x14ac:dyDescent="0.2">
      <c r="A860" s="521"/>
      <c r="B860" s="521"/>
      <c r="C860" s="521"/>
      <c r="D860" s="521"/>
      <c r="E860" s="524"/>
      <c r="F860" s="524"/>
      <c r="G860" s="524"/>
      <c r="H860" s="524"/>
      <c r="I860" s="524"/>
      <c r="J860" s="524"/>
      <c r="K860" s="525"/>
      <c r="L860" s="526"/>
      <c r="M860" s="526"/>
      <c r="N860" s="526"/>
      <c r="O860" s="527"/>
      <c r="P860" s="527"/>
    </row>
    <row r="861" spans="1:16" ht="21.75" customHeight="1" x14ac:dyDescent="0.2">
      <c r="A861" s="521"/>
      <c r="B861" s="521"/>
      <c r="C861" s="521"/>
      <c r="D861" s="521"/>
      <c r="E861" s="524"/>
      <c r="F861" s="524"/>
      <c r="G861" s="524"/>
      <c r="H861" s="524"/>
      <c r="I861" s="524"/>
      <c r="J861" s="524"/>
      <c r="K861" s="525"/>
      <c r="L861" s="526"/>
      <c r="M861" s="526"/>
      <c r="N861" s="526"/>
      <c r="O861" s="527"/>
      <c r="P861" s="527"/>
    </row>
    <row r="862" spans="1:16" ht="21.75" customHeight="1" x14ac:dyDescent="0.2">
      <c r="A862" s="521"/>
      <c r="B862" s="521"/>
      <c r="C862" s="521"/>
      <c r="D862" s="521"/>
      <c r="E862" s="524"/>
      <c r="F862" s="524"/>
      <c r="G862" s="524"/>
      <c r="H862" s="524"/>
      <c r="I862" s="524"/>
      <c r="J862" s="524"/>
      <c r="K862" s="525"/>
      <c r="L862" s="526"/>
      <c r="M862" s="526"/>
      <c r="N862" s="526"/>
      <c r="O862" s="527"/>
      <c r="P862" s="527"/>
    </row>
    <row r="863" spans="1:16" ht="21.75" customHeight="1" x14ac:dyDescent="0.2">
      <c r="A863" s="521"/>
      <c r="B863" s="521"/>
      <c r="C863" s="521"/>
      <c r="D863" s="521"/>
      <c r="E863" s="524"/>
      <c r="F863" s="524"/>
      <c r="G863" s="524"/>
      <c r="H863" s="524"/>
      <c r="I863" s="524"/>
      <c r="J863" s="524"/>
      <c r="K863" s="525"/>
      <c r="L863" s="526"/>
      <c r="M863" s="526"/>
      <c r="N863" s="526"/>
      <c r="O863" s="527"/>
      <c r="P863" s="527"/>
    </row>
    <row r="864" spans="1:16" ht="21.75" customHeight="1" x14ac:dyDescent="0.2">
      <c r="A864" s="521"/>
      <c r="B864" s="521"/>
      <c r="C864" s="521"/>
      <c r="D864" s="521"/>
      <c r="E864" s="524"/>
      <c r="F864" s="524"/>
      <c r="G864" s="524"/>
      <c r="H864" s="524"/>
      <c r="I864" s="524"/>
      <c r="J864" s="524"/>
      <c r="K864" s="525"/>
      <c r="L864" s="526"/>
      <c r="M864" s="526"/>
      <c r="N864" s="526"/>
      <c r="O864" s="527"/>
      <c r="P864" s="527"/>
    </row>
    <row r="865" spans="1:16" ht="21.75" customHeight="1" x14ac:dyDescent="0.2">
      <c r="A865" s="521"/>
      <c r="B865" s="521"/>
      <c r="C865" s="521"/>
      <c r="D865" s="521"/>
      <c r="E865" s="524"/>
      <c r="F865" s="524"/>
      <c r="G865" s="524"/>
      <c r="H865" s="524"/>
      <c r="I865" s="524"/>
      <c r="J865" s="524"/>
      <c r="K865" s="525"/>
      <c r="L865" s="526"/>
      <c r="M865" s="526"/>
      <c r="N865" s="526"/>
      <c r="O865" s="527"/>
      <c r="P865" s="527"/>
    </row>
    <row r="866" spans="1:16" ht="21.75" customHeight="1" x14ac:dyDescent="0.2">
      <c r="A866" s="521"/>
      <c r="B866" s="521"/>
      <c r="C866" s="521"/>
      <c r="D866" s="521"/>
      <c r="E866" s="524"/>
      <c r="F866" s="524"/>
      <c r="G866" s="524"/>
      <c r="H866" s="524"/>
      <c r="I866" s="524"/>
      <c r="J866" s="524"/>
      <c r="K866" s="525"/>
      <c r="L866" s="526"/>
      <c r="M866" s="526"/>
      <c r="N866" s="526"/>
      <c r="O866" s="527"/>
      <c r="P866" s="527"/>
    </row>
    <row r="867" spans="1:16" ht="21.75" customHeight="1" x14ac:dyDescent="0.2">
      <c r="A867" s="521"/>
      <c r="B867" s="521"/>
      <c r="C867" s="521"/>
      <c r="D867" s="521"/>
      <c r="E867" s="524"/>
      <c r="F867" s="524"/>
      <c r="G867" s="524"/>
      <c r="H867" s="524"/>
      <c r="I867" s="524"/>
      <c r="J867" s="524"/>
      <c r="K867" s="525"/>
      <c r="L867" s="526"/>
      <c r="M867" s="526"/>
      <c r="N867" s="526"/>
      <c r="O867" s="527"/>
      <c r="P867" s="527"/>
    </row>
    <row r="868" spans="1:16" ht="21.75" customHeight="1" x14ac:dyDescent="0.2">
      <c r="A868" s="521"/>
      <c r="B868" s="521"/>
      <c r="C868" s="521"/>
      <c r="D868" s="521"/>
      <c r="E868" s="524"/>
      <c r="F868" s="524"/>
      <c r="G868" s="524"/>
      <c r="H868" s="524"/>
      <c r="I868" s="524"/>
      <c r="J868" s="524"/>
      <c r="K868" s="525"/>
      <c r="L868" s="526"/>
      <c r="M868" s="526"/>
      <c r="N868" s="526"/>
      <c r="O868" s="527"/>
      <c r="P868" s="527"/>
    </row>
    <row r="869" spans="1:16" ht="21.75" customHeight="1" x14ac:dyDescent="0.2">
      <c r="A869" s="521"/>
      <c r="B869" s="521"/>
      <c r="C869" s="521"/>
      <c r="D869" s="521"/>
      <c r="E869" s="524"/>
      <c r="F869" s="524"/>
      <c r="G869" s="524"/>
      <c r="H869" s="524"/>
      <c r="I869" s="524"/>
      <c r="J869" s="524"/>
      <c r="K869" s="525"/>
      <c r="L869" s="526"/>
      <c r="M869" s="526"/>
      <c r="N869" s="526"/>
      <c r="O869" s="527"/>
      <c r="P869" s="527"/>
    </row>
    <row r="870" spans="1:16" ht="21.75" customHeight="1" x14ac:dyDescent="0.2">
      <c r="A870" s="521"/>
      <c r="B870" s="521"/>
      <c r="C870" s="521"/>
      <c r="D870" s="521"/>
      <c r="E870" s="524"/>
      <c r="F870" s="524"/>
      <c r="G870" s="524"/>
      <c r="H870" s="524"/>
      <c r="I870" s="524"/>
      <c r="J870" s="524"/>
      <c r="K870" s="525"/>
      <c r="L870" s="526"/>
      <c r="M870" s="526"/>
      <c r="N870" s="526"/>
      <c r="O870" s="527"/>
      <c r="P870" s="527"/>
    </row>
    <row r="871" spans="1:16" ht="21.75" customHeight="1" x14ac:dyDescent="0.2">
      <c r="A871" s="521"/>
      <c r="B871" s="521"/>
      <c r="C871" s="521"/>
      <c r="D871" s="521"/>
      <c r="E871" s="524"/>
      <c r="F871" s="524"/>
      <c r="G871" s="524"/>
      <c r="H871" s="524"/>
      <c r="I871" s="524"/>
      <c r="J871" s="524"/>
      <c r="K871" s="525"/>
      <c r="L871" s="526"/>
      <c r="M871" s="526"/>
      <c r="N871" s="526"/>
      <c r="O871" s="527"/>
      <c r="P871" s="527"/>
    </row>
    <row r="872" spans="1:16" ht="21.75" customHeight="1" x14ac:dyDescent="0.2">
      <c r="A872" s="521"/>
      <c r="B872" s="521"/>
      <c r="C872" s="521"/>
      <c r="D872" s="521"/>
      <c r="E872" s="524"/>
      <c r="F872" s="524"/>
      <c r="G872" s="524"/>
      <c r="H872" s="524"/>
      <c r="I872" s="524"/>
      <c r="J872" s="524"/>
      <c r="K872" s="525"/>
      <c r="L872" s="526"/>
      <c r="M872" s="526"/>
      <c r="N872" s="526"/>
      <c r="O872" s="527"/>
      <c r="P872" s="527"/>
    </row>
    <row r="873" spans="1:16" ht="21.75" customHeight="1" x14ac:dyDescent="0.2">
      <c r="A873" s="521"/>
      <c r="B873" s="521"/>
      <c r="C873" s="521"/>
      <c r="D873" s="521"/>
      <c r="E873" s="524"/>
      <c r="F873" s="524"/>
      <c r="G873" s="524"/>
      <c r="H873" s="524"/>
      <c r="I873" s="524"/>
      <c r="J873" s="524"/>
      <c r="K873" s="525"/>
      <c r="L873" s="526"/>
      <c r="M873" s="526"/>
      <c r="N873" s="526"/>
      <c r="O873" s="527"/>
      <c r="P873" s="527"/>
    </row>
    <row r="874" spans="1:16" ht="21.75" customHeight="1" x14ac:dyDescent="0.2">
      <c r="A874" s="521"/>
      <c r="B874" s="521"/>
      <c r="C874" s="521"/>
      <c r="D874" s="521"/>
      <c r="E874" s="524"/>
      <c r="F874" s="524"/>
      <c r="G874" s="524"/>
      <c r="H874" s="524"/>
      <c r="I874" s="524"/>
      <c r="J874" s="524"/>
      <c r="K874" s="525"/>
      <c r="L874" s="526"/>
      <c r="M874" s="526"/>
      <c r="N874" s="526"/>
      <c r="O874" s="527"/>
      <c r="P874" s="527"/>
    </row>
    <row r="875" spans="1:16" ht="21.75" customHeight="1" x14ac:dyDescent="0.2">
      <c r="A875" s="521"/>
      <c r="B875" s="521"/>
      <c r="C875" s="521"/>
      <c r="D875" s="521"/>
      <c r="E875" s="524"/>
      <c r="F875" s="524"/>
      <c r="G875" s="524"/>
      <c r="H875" s="524"/>
      <c r="I875" s="524"/>
      <c r="J875" s="524"/>
      <c r="K875" s="525"/>
      <c r="L875" s="526"/>
      <c r="M875" s="526"/>
      <c r="N875" s="526"/>
      <c r="O875" s="527"/>
      <c r="P875" s="527"/>
    </row>
    <row r="876" spans="1:16" ht="21.75" customHeight="1" x14ac:dyDescent="0.2">
      <c r="A876" s="521"/>
      <c r="B876" s="521"/>
      <c r="C876" s="521"/>
      <c r="D876" s="521"/>
      <c r="E876" s="524"/>
      <c r="F876" s="524"/>
      <c r="G876" s="524"/>
      <c r="H876" s="524"/>
      <c r="I876" s="524"/>
      <c r="J876" s="524"/>
      <c r="K876" s="525"/>
      <c r="L876" s="526"/>
      <c r="M876" s="526"/>
      <c r="N876" s="526"/>
      <c r="O876" s="527"/>
      <c r="P876" s="527"/>
    </row>
    <row r="877" spans="1:16" ht="21.75" customHeight="1" x14ac:dyDescent="0.2">
      <c r="A877" s="521"/>
      <c r="B877" s="521"/>
      <c r="C877" s="521"/>
      <c r="D877" s="521"/>
      <c r="E877" s="524"/>
      <c r="F877" s="524"/>
      <c r="G877" s="524"/>
      <c r="H877" s="524"/>
      <c r="I877" s="524"/>
      <c r="J877" s="524"/>
      <c r="K877" s="525"/>
      <c r="L877" s="526"/>
      <c r="M877" s="526"/>
      <c r="N877" s="526"/>
      <c r="O877" s="527"/>
      <c r="P877" s="527"/>
    </row>
    <row r="878" spans="1:16" ht="21.75" customHeight="1" x14ac:dyDescent="0.2">
      <c r="A878" s="521"/>
      <c r="B878" s="521"/>
      <c r="C878" s="521"/>
      <c r="D878" s="521"/>
      <c r="E878" s="524"/>
      <c r="F878" s="524"/>
      <c r="G878" s="524"/>
      <c r="H878" s="524"/>
      <c r="I878" s="524"/>
      <c r="J878" s="524"/>
      <c r="K878" s="525"/>
      <c r="L878" s="526"/>
      <c r="M878" s="526"/>
      <c r="N878" s="526"/>
      <c r="O878" s="527"/>
      <c r="P878" s="527"/>
    </row>
    <row r="879" spans="1:16" ht="21.75" customHeight="1" x14ac:dyDescent="0.2">
      <c r="A879" s="521"/>
      <c r="B879" s="521"/>
      <c r="C879" s="521"/>
      <c r="D879" s="521"/>
      <c r="E879" s="524"/>
      <c r="F879" s="524"/>
      <c r="G879" s="524"/>
      <c r="H879" s="524"/>
      <c r="I879" s="524"/>
      <c r="J879" s="524"/>
      <c r="K879" s="525"/>
      <c r="L879" s="526"/>
      <c r="M879" s="526"/>
      <c r="N879" s="526"/>
      <c r="O879" s="527"/>
      <c r="P879" s="527"/>
    </row>
    <row r="880" spans="1:16" ht="21.75" customHeight="1" x14ac:dyDescent="0.2">
      <c r="A880" s="521"/>
      <c r="B880" s="521"/>
      <c r="C880" s="521"/>
      <c r="D880" s="521"/>
      <c r="E880" s="524"/>
      <c r="F880" s="524"/>
      <c r="G880" s="524"/>
      <c r="H880" s="524"/>
      <c r="I880" s="524"/>
      <c r="J880" s="524"/>
      <c r="K880" s="525"/>
      <c r="L880" s="526"/>
      <c r="M880" s="526"/>
      <c r="N880" s="526"/>
      <c r="O880" s="527"/>
      <c r="P880" s="527"/>
    </row>
    <row r="881" spans="1:16" ht="21.75" customHeight="1" x14ac:dyDescent="0.2">
      <c r="A881" s="521"/>
      <c r="B881" s="521"/>
      <c r="C881" s="521"/>
      <c r="D881" s="521"/>
      <c r="E881" s="524"/>
      <c r="F881" s="524"/>
      <c r="G881" s="524"/>
      <c r="H881" s="524"/>
      <c r="I881" s="524"/>
      <c r="J881" s="524"/>
      <c r="K881" s="525"/>
      <c r="L881" s="526"/>
      <c r="M881" s="526"/>
      <c r="N881" s="526"/>
      <c r="O881" s="527"/>
      <c r="P881" s="527"/>
    </row>
    <row r="882" spans="1:16" ht="21.75" customHeight="1" x14ac:dyDescent="0.2">
      <c r="A882" s="521"/>
      <c r="B882" s="521"/>
      <c r="C882" s="521"/>
      <c r="D882" s="521"/>
      <c r="E882" s="524"/>
      <c r="F882" s="524"/>
      <c r="G882" s="524"/>
      <c r="H882" s="524"/>
      <c r="I882" s="524"/>
      <c r="J882" s="524"/>
      <c r="K882" s="525"/>
      <c r="L882" s="526"/>
      <c r="M882" s="526"/>
      <c r="N882" s="526"/>
      <c r="O882" s="527"/>
      <c r="P882" s="527"/>
    </row>
    <row r="883" spans="1:16" ht="21.75" customHeight="1" x14ac:dyDescent="0.2">
      <c r="A883" s="521"/>
      <c r="B883" s="521"/>
      <c r="C883" s="521"/>
      <c r="D883" s="521"/>
      <c r="E883" s="524"/>
      <c r="F883" s="524"/>
      <c r="G883" s="524"/>
      <c r="H883" s="524"/>
      <c r="I883" s="524"/>
      <c r="J883" s="524"/>
      <c r="K883" s="525"/>
      <c r="L883" s="526"/>
      <c r="M883" s="526"/>
      <c r="N883" s="526"/>
      <c r="O883" s="527"/>
      <c r="P883" s="527"/>
    </row>
    <row r="884" spans="1:16" ht="21.75" customHeight="1" x14ac:dyDescent="0.2">
      <c r="A884" s="521"/>
      <c r="B884" s="521"/>
      <c r="C884" s="521"/>
      <c r="D884" s="521"/>
      <c r="E884" s="524"/>
      <c r="F884" s="524"/>
      <c r="G884" s="524"/>
      <c r="H884" s="524"/>
      <c r="I884" s="524"/>
      <c r="J884" s="524"/>
      <c r="K884" s="525"/>
      <c r="L884" s="526"/>
      <c r="M884" s="526"/>
      <c r="N884" s="526"/>
      <c r="O884" s="527"/>
      <c r="P884" s="527"/>
    </row>
    <row r="885" spans="1:16" ht="21.75" customHeight="1" x14ac:dyDescent="0.2">
      <c r="A885" s="521"/>
      <c r="B885" s="521"/>
      <c r="C885" s="521"/>
      <c r="D885" s="521"/>
      <c r="E885" s="524"/>
      <c r="F885" s="524"/>
      <c r="G885" s="524"/>
      <c r="H885" s="524"/>
      <c r="I885" s="524"/>
      <c r="J885" s="524"/>
      <c r="K885" s="525"/>
      <c r="L885" s="526"/>
      <c r="M885" s="526"/>
      <c r="N885" s="526"/>
      <c r="O885" s="527"/>
      <c r="P885" s="527"/>
    </row>
    <row r="886" spans="1:16" ht="21.75" customHeight="1" x14ac:dyDescent="0.2">
      <c r="A886" s="521"/>
      <c r="B886" s="521"/>
      <c r="C886" s="521"/>
      <c r="D886" s="521"/>
      <c r="E886" s="524"/>
      <c r="F886" s="524"/>
      <c r="G886" s="524"/>
      <c r="H886" s="524"/>
      <c r="I886" s="524"/>
      <c r="J886" s="524"/>
      <c r="K886" s="525"/>
      <c r="L886" s="526"/>
      <c r="M886" s="526"/>
      <c r="N886" s="526"/>
      <c r="O886" s="527"/>
      <c r="P886" s="527"/>
    </row>
    <row r="887" spans="1:16" ht="21.75" customHeight="1" x14ac:dyDescent="0.2">
      <c r="A887" s="521"/>
      <c r="B887" s="521"/>
      <c r="C887" s="521"/>
      <c r="D887" s="521"/>
      <c r="E887" s="524"/>
      <c r="F887" s="524"/>
      <c r="G887" s="524"/>
      <c r="H887" s="524"/>
      <c r="I887" s="524"/>
      <c r="J887" s="524"/>
      <c r="K887" s="525"/>
      <c r="L887" s="526"/>
      <c r="M887" s="526"/>
      <c r="N887" s="526"/>
      <c r="O887" s="527"/>
      <c r="P887" s="527"/>
    </row>
    <row r="888" spans="1:16" ht="21.75" customHeight="1" x14ac:dyDescent="0.2">
      <c r="A888" s="521"/>
      <c r="B888" s="521"/>
      <c r="C888" s="521"/>
      <c r="D888" s="521"/>
      <c r="E888" s="524"/>
      <c r="F888" s="524"/>
      <c r="G888" s="524"/>
      <c r="H888" s="524"/>
      <c r="I888" s="524"/>
      <c r="J888" s="524"/>
      <c r="K888" s="525"/>
      <c r="L888" s="526"/>
      <c r="M888" s="526"/>
      <c r="N888" s="526"/>
      <c r="O888" s="527"/>
      <c r="P888" s="527"/>
    </row>
    <row r="889" spans="1:16" ht="21.75" customHeight="1" x14ac:dyDescent="0.2">
      <c r="A889" s="521"/>
      <c r="B889" s="521"/>
      <c r="C889" s="521"/>
      <c r="D889" s="521"/>
      <c r="E889" s="524"/>
      <c r="F889" s="524"/>
      <c r="G889" s="524"/>
      <c r="H889" s="524"/>
      <c r="I889" s="524"/>
      <c r="J889" s="524"/>
      <c r="K889" s="525"/>
      <c r="L889" s="526"/>
      <c r="M889" s="526"/>
      <c r="N889" s="526"/>
      <c r="O889" s="527"/>
      <c r="P889" s="527"/>
    </row>
    <row r="890" spans="1:16" ht="21.75" customHeight="1" x14ac:dyDescent="0.2">
      <c r="A890" s="521"/>
      <c r="B890" s="521"/>
      <c r="C890" s="521"/>
      <c r="D890" s="521"/>
      <c r="E890" s="524"/>
      <c r="F890" s="524"/>
      <c r="G890" s="524"/>
      <c r="H890" s="524"/>
      <c r="I890" s="524"/>
      <c r="J890" s="524"/>
      <c r="K890" s="525"/>
      <c r="L890" s="526"/>
      <c r="M890" s="526"/>
      <c r="N890" s="526"/>
      <c r="O890" s="527"/>
      <c r="P890" s="527"/>
    </row>
    <row r="891" spans="1:16" ht="21.75" customHeight="1" x14ac:dyDescent="0.2">
      <c r="A891" s="521"/>
      <c r="B891" s="521"/>
      <c r="C891" s="521"/>
      <c r="D891" s="521"/>
      <c r="E891" s="524"/>
      <c r="F891" s="524"/>
      <c r="G891" s="524"/>
      <c r="H891" s="524"/>
      <c r="I891" s="524"/>
      <c r="J891" s="524"/>
      <c r="K891" s="525"/>
      <c r="L891" s="526"/>
      <c r="M891" s="526"/>
      <c r="N891" s="526"/>
      <c r="O891" s="527"/>
      <c r="P891" s="527"/>
    </row>
    <row r="892" spans="1:16" ht="21.75" customHeight="1" x14ac:dyDescent="0.2">
      <c r="A892" s="521"/>
      <c r="B892" s="521"/>
      <c r="C892" s="521"/>
      <c r="D892" s="521"/>
      <c r="E892" s="524"/>
      <c r="F892" s="524"/>
      <c r="G892" s="524"/>
      <c r="H892" s="524"/>
      <c r="I892" s="524"/>
      <c r="J892" s="524"/>
      <c r="K892" s="525"/>
      <c r="L892" s="526"/>
      <c r="M892" s="526"/>
      <c r="N892" s="526"/>
      <c r="O892" s="527"/>
      <c r="P892" s="527"/>
    </row>
    <row r="893" spans="1:16" ht="21.75" customHeight="1" x14ac:dyDescent="0.2">
      <c r="A893" s="521"/>
      <c r="B893" s="521"/>
      <c r="C893" s="521"/>
      <c r="D893" s="521"/>
      <c r="E893" s="524"/>
      <c r="F893" s="524"/>
      <c r="G893" s="524"/>
      <c r="H893" s="524"/>
      <c r="I893" s="524"/>
      <c r="J893" s="524"/>
      <c r="K893" s="525"/>
      <c r="L893" s="526"/>
      <c r="M893" s="526"/>
      <c r="N893" s="526"/>
      <c r="O893" s="527"/>
      <c r="P893" s="527"/>
    </row>
    <row r="894" spans="1:16" ht="21.75" customHeight="1" x14ac:dyDescent="0.2">
      <c r="A894" s="521"/>
      <c r="B894" s="521"/>
      <c r="C894" s="521"/>
      <c r="D894" s="521"/>
      <c r="E894" s="524"/>
      <c r="F894" s="524"/>
      <c r="G894" s="524"/>
      <c r="H894" s="524"/>
      <c r="I894" s="524"/>
      <c r="J894" s="524"/>
      <c r="K894" s="525"/>
      <c r="L894" s="526"/>
      <c r="M894" s="526"/>
      <c r="N894" s="526"/>
      <c r="O894" s="527"/>
      <c r="P894" s="527"/>
    </row>
    <row r="895" spans="1:16" ht="21.75" customHeight="1" x14ac:dyDescent="0.2">
      <c r="A895" s="521"/>
      <c r="B895" s="521"/>
      <c r="C895" s="521"/>
      <c r="D895" s="521"/>
      <c r="E895" s="524"/>
      <c r="F895" s="524"/>
      <c r="G895" s="524"/>
      <c r="H895" s="524"/>
      <c r="I895" s="524"/>
      <c r="J895" s="524"/>
      <c r="K895" s="525"/>
      <c r="L895" s="526"/>
      <c r="M895" s="526"/>
      <c r="N895" s="526"/>
      <c r="O895" s="527"/>
      <c r="P895" s="527"/>
    </row>
    <row r="896" spans="1:16" ht="21.75" customHeight="1" x14ac:dyDescent="0.2">
      <c r="A896" s="521"/>
      <c r="B896" s="521"/>
      <c r="C896" s="521"/>
      <c r="D896" s="521"/>
      <c r="E896" s="524"/>
      <c r="F896" s="524"/>
      <c r="G896" s="524"/>
      <c r="H896" s="524"/>
      <c r="I896" s="524"/>
      <c r="J896" s="524"/>
      <c r="K896" s="525"/>
      <c r="L896" s="526"/>
      <c r="M896" s="526"/>
      <c r="N896" s="526"/>
      <c r="O896" s="527"/>
      <c r="P896" s="527"/>
    </row>
    <row r="897" spans="1:16" ht="21.75" customHeight="1" x14ac:dyDescent="0.2">
      <c r="A897" s="521"/>
      <c r="B897" s="521"/>
      <c r="C897" s="521"/>
      <c r="D897" s="521"/>
      <c r="E897" s="524"/>
      <c r="F897" s="524"/>
      <c r="G897" s="524"/>
      <c r="H897" s="524"/>
      <c r="I897" s="524"/>
      <c r="J897" s="524"/>
      <c r="K897" s="525"/>
      <c r="L897" s="526"/>
      <c r="M897" s="526"/>
      <c r="N897" s="526"/>
      <c r="O897" s="527"/>
      <c r="P897" s="527"/>
    </row>
    <row r="898" spans="1:16" ht="21.75" customHeight="1" x14ac:dyDescent="0.2">
      <c r="A898" s="521"/>
      <c r="B898" s="521"/>
      <c r="C898" s="521"/>
      <c r="D898" s="521"/>
      <c r="E898" s="524"/>
      <c r="F898" s="524"/>
      <c r="G898" s="524"/>
      <c r="H898" s="524"/>
      <c r="I898" s="524"/>
      <c r="J898" s="524"/>
      <c r="K898" s="525"/>
      <c r="L898" s="526"/>
      <c r="M898" s="526"/>
      <c r="N898" s="526"/>
      <c r="O898" s="527"/>
      <c r="P898" s="527"/>
    </row>
    <row r="899" spans="1:16" ht="21.75" customHeight="1" x14ac:dyDescent="0.2">
      <c r="A899" s="521"/>
      <c r="B899" s="521"/>
      <c r="C899" s="521"/>
      <c r="D899" s="521"/>
      <c r="E899" s="524"/>
      <c r="F899" s="524"/>
      <c r="G899" s="524"/>
      <c r="H899" s="524"/>
      <c r="I899" s="524"/>
      <c r="J899" s="524"/>
      <c r="K899" s="525"/>
      <c r="L899" s="526"/>
      <c r="M899" s="526"/>
      <c r="N899" s="526"/>
      <c r="O899" s="527"/>
      <c r="P899" s="527"/>
    </row>
    <row r="900" spans="1:16" ht="21.75" customHeight="1" x14ac:dyDescent="0.2">
      <c r="A900" s="521"/>
      <c r="B900" s="521"/>
      <c r="C900" s="521"/>
      <c r="D900" s="521"/>
      <c r="E900" s="524"/>
      <c r="F900" s="524"/>
      <c r="G900" s="524"/>
      <c r="H900" s="524"/>
      <c r="I900" s="524"/>
      <c r="J900" s="524"/>
      <c r="K900" s="525"/>
      <c r="L900" s="526"/>
      <c r="M900" s="526"/>
      <c r="N900" s="526"/>
      <c r="O900" s="527"/>
      <c r="P900" s="527"/>
    </row>
    <row r="901" spans="1:16" ht="21.75" customHeight="1" x14ac:dyDescent="0.2">
      <c r="A901" s="521"/>
      <c r="B901" s="521"/>
      <c r="C901" s="521"/>
      <c r="D901" s="521"/>
      <c r="E901" s="524"/>
      <c r="F901" s="524"/>
      <c r="G901" s="524"/>
      <c r="H901" s="524"/>
      <c r="I901" s="524"/>
      <c r="J901" s="524"/>
      <c r="K901" s="525"/>
      <c r="L901" s="526"/>
      <c r="M901" s="526"/>
      <c r="N901" s="526"/>
      <c r="O901" s="527"/>
      <c r="P901" s="527"/>
    </row>
    <row r="902" spans="1:16" ht="21.75" customHeight="1" x14ac:dyDescent="0.2">
      <c r="A902" s="521"/>
      <c r="B902" s="521"/>
      <c r="C902" s="521"/>
      <c r="D902" s="521"/>
      <c r="E902" s="524"/>
      <c r="F902" s="524"/>
      <c r="G902" s="524"/>
      <c r="H902" s="524"/>
      <c r="I902" s="524"/>
      <c r="J902" s="524"/>
      <c r="K902" s="525"/>
      <c r="L902" s="526"/>
      <c r="M902" s="526"/>
      <c r="N902" s="526"/>
      <c r="O902" s="527"/>
      <c r="P902" s="527"/>
    </row>
    <row r="903" spans="1:16" ht="21.75" customHeight="1" x14ac:dyDescent="0.2">
      <c r="A903" s="521"/>
      <c r="B903" s="521"/>
      <c r="C903" s="521"/>
      <c r="D903" s="521"/>
      <c r="E903" s="524"/>
      <c r="F903" s="524"/>
      <c r="G903" s="524"/>
      <c r="H903" s="524"/>
      <c r="I903" s="524"/>
      <c r="J903" s="524"/>
      <c r="K903" s="525"/>
      <c r="L903" s="526"/>
      <c r="M903" s="526"/>
      <c r="N903" s="526"/>
      <c r="O903" s="527"/>
      <c r="P903" s="527"/>
    </row>
    <row r="904" spans="1:16" ht="21.75" customHeight="1" x14ac:dyDescent="0.2">
      <c r="A904" s="521"/>
      <c r="B904" s="521"/>
      <c r="C904" s="521"/>
      <c r="D904" s="521"/>
      <c r="E904" s="524"/>
      <c r="F904" s="524"/>
      <c r="G904" s="524"/>
      <c r="H904" s="524"/>
      <c r="I904" s="524"/>
      <c r="J904" s="524"/>
      <c r="K904" s="525"/>
      <c r="L904" s="526"/>
      <c r="M904" s="526"/>
      <c r="N904" s="526"/>
      <c r="O904" s="527"/>
      <c r="P904" s="527"/>
    </row>
    <row r="905" spans="1:16" ht="21.75" customHeight="1" x14ac:dyDescent="0.2">
      <c r="A905" s="521"/>
      <c r="B905" s="521"/>
      <c r="C905" s="521"/>
      <c r="D905" s="521"/>
      <c r="E905" s="524"/>
      <c r="F905" s="524"/>
      <c r="G905" s="524"/>
      <c r="H905" s="524"/>
      <c r="I905" s="524"/>
      <c r="J905" s="524"/>
      <c r="K905" s="525"/>
      <c r="L905" s="526"/>
      <c r="M905" s="526"/>
      <c r="N905" s="526"/>
      <c r="O905" s="527"/>
      <c r="P905" s="527"/>
    </row>
    <row r="906" spans="1:16" ht="21.75" customHeight="1" x14ac:dyDescent="0.2">
      <c r="A906" s="521"/>
      <c r="B906" s="521"/>
      <c r="C906" s="521"/>
      <c r="D906" s="521"/>
      <c r="E906" s="524"/>
      <c r="F906" s="524"/>
      <c r="G906" s="524"/>
      <c r="H906" s="524"/>
      <c r="I906" s="524"/>
      <c r="J906" s="524"/>
      <c r="K906" s="525"/>
      <c r="L906" s="526"/>
      <c r="M906" s="526"/>
      <c r="N906" s="526"/>
      <c r="O906" s="527"/>
      <c r="P906" s="527"/>
    </row>
    <row r="907" spans="1:16" ht="21.75" customHeight="1" x14ac:dyDescent="0.2">
      <c r="A907" s="521"/>
      <c r="B907" s="521"/>
      <c r="C907" s="521"/>
      <c r="D907" s="521"/>
      <c r="E907" s="524"/>
      <c r="F907" s="524"/>
      <c r="G907" s="524"/>
      <c r="H907" s="524"/>
      <c r="I907" s="524"/>
      <c r="J907" s="524"/>
      <c r="K907" s="525"/>
      <c r="L907" s="526"/>
      <c r="M907" s="526"/>
      <c r="N907" s="526"/>
      <c r="O907" s="527"/>
      <c r="P907" s="527"/>
    </row>
    <row r="908" spans="1:16" ht="21.75" customHeight="1" x14ac:dyDescent="0.2">
      <c r="A908" s="521"/>
      <c r="B908" s="521"/>
      <c r="C908" s="521"/>
      <c r="D908" s="521"/>
      <c r="E908" s="524"/>
      <c r="F908" s="524"/>
      <c r="G908" s="524"/>
      <c r="H908" s="524"/>
      <c r="I908" s="524"/>
      <c r="J908" s="524"/>
      <c r="K908" s="525"/>
      <c r="L908" s="526"/>
      <c r="M908" s="526"/>
      <c r="N908" s="526"/>
      <c r="O908" s="527"/>
      <c r="P908" s="527"/>
    </row>
    <row r="909" spans="1:16" ht="21.75" customHeight="1" x14ac:dyDescent="0.2">
      <c r="A909" s="521"/>
      <c r="B909" s="521"/>
      <c r="C909" s="521"/>
      <c r="D909" s="521"/>
      <c r="E909" s="524"/>
      <c r="F909" s="524"/>
      <c r="G909" s="524"/>
      <c r="H909" s="524"/>
      <c r="I909" s="524"/>
      <c r="J909" s="524"/>
      <c r="K909" s="525"/>
      <c r="L909" s="526"/>
      <c r="M909" s="526"/>
      <c r="N909" s="526"/>
      <c r="O909" s="527"/>
      <c r="P909" s="527"/>
    </row>
    <row r="910" spans="1:16" ht="21.75" customHeight="1" x14ac:dyDescent="0.2">
      <c r="A910" s="521"/>
      <c r="B910" s="521"/>
      <c r="C910" s="521"/>
      <c r="D910" s="521"/>
      <c r="E910" s="524"/>
      <c r="F910" s="524"/>
      <c r="G910" s="524"/>
      <c r="H910" s="524"/>
      <c r="I910" s="524"/>
      <c r="J910" s="524"/>
      <c r="K910" s="525"/>
      <c r="L910" s="526"/>
      <c r="M910" s="526"/>
      <c r="N910" s="526"/>
      <c r="O910" s="527"/>
      <c r="P910" s="527"/>
    </row>
    <row r="911" spans="1:16" ht="21.75" customHeight="1" x14ac:dyDescent="0.2">
      <c r="A911" s="521"/>
      <c r="B911" s="521"/>
      <c r="C911" s="521"/>
      <c r="D911" s="521"/>
      <c r="E911" s="524"/>
      <c r="F911" s="524"/>
      <c r="G911" s="524"/>
      <c r="H911" s="524"/>
      <c r="I911" s="524"/>
      <c r="J911" s="524"/>
      <c r="K911" s="525"/>
      <c r="L911" s="526"/>
      <c r="M911" s="526"/>
      <c r="N911" s="526"/>
      <c r="O911" s="527"/>
      <c r="P911" s="527"/>
    </row>
    <row r="912" spans="1:16" ht="21.75" customHeight="1" x14ac:dyDescent="0.2">
      <c r="A912" s="521"/>
      <c r="B912" s="521"/>
      <c r="C912" s="521"/>
      <c r="D912" s="521"/>
      <c r="E912" s="524"/>
      <c r="F912" s="524"/>
      <c r="G912" s="524"/>
      <c r="H912" s="524"/>
      <c r="I912" s="524"/>
      <c r="J912" s="524"/>
      <c r="K912" s="525"/>
      <c r="L912" s="526"/>
      <c r="M912" s="526"/>
      <c r="N912" s="526"/>
      <c r="O912" s="527"/>
      <c r="P912" s="527"/>
    </row>
    <row r="913" spans="1:16" ht="21.75" customHeight="1" x14ac:dyDescent="0.2">
      <c r="A913" s="521"/>
      <c r="B913" s="521"/>
      <c r="C913" s="521"/>
      <c r="D913" s="521"/>
      <c r="E913" s="524"/>
      <c r="F913" s="524"/>
      <c r="G913" s="524"/>
      <c r="H913" s="524"/>
      <c r="I913" s="524"/>
      <c r="J913" s="524"/>
      <c r="K913" s="525"/>
      <c r="L913" s="526"/>
      <c r="M913" s="526"/>
      <c r="N913" s="526"/>
      <c r="O913" s="527"/>
      <c r="P913" s="527"/>
    </row>
    <row r="914" spans="1:16" ht="21.75" customHeight="1" x14ac:dyDescent="0.2">
      <c r="A914" s="521"/>
      <c r="B914" s="521"/>
      <c r="C914" s="521"/>
      <c r="D914" s="521"/>
      <c r="E914" s="524"/>
      <c r="F914" s="524"/>
      <c r="G914" s="524"/>
      <c r="H914" s="524"/>
      <c r="I914" s="524"/>
      <c r="J914" s="524"/>
      <c r="K914" s="525"/>
      <c r="L914" s="526"/>
      <c r="M914" s="526"/>
      <c r="N914" s="526"/>
      <c r="O914" s="527"/>
      <c r="P914" s="527"/>
    </row>
    <row r="915" spans="1:16" ht="21.75" customHeight="1" x14ac:dyDescent="0.2">
      <c r="A915" s="521"/>
      <c r="B915" s="521"/>
      <c r="C915" s="521"/>
      <c r="D915" s="521"/>
      <c r="E915" s="524"/>
      <c r="F915" s="524"/>
      <c r="G915" s="524"/>
      <c r="H915" s="524"/>
      <c r="I915" s="524"/>
      <c r="J915" s="524"/>
      <c r="K915" s="525"/>
      <c r="L915" s="526"/>
      <c r="M915" s="526"/>
      <c r="N915" s="526"/>
      <c r="O915" s="527"/>
      <c r="P915" s="527"/>
    </row>
    <row r="916" spans="1:16" ht="21.75" customHeight="1" x14ac:dyDescent="0.2">
      <c r="A916" s="521"/>
      <c r="B916" s="521"/>
      <c r="C916" s="521"/>
      <c r="D916" s="521"/>
      <c r="E916" s="524"/>
      <c r="F916" s="524"/>
      <c r="G916" s="524"/>
      <c r="H916" s="524"/>
      <c r="I916" s="524"/>
      <c r="J916" s="524"/>
      <c r="K916" s="525"/>
      <c r="L916" s="526"/>
      <c r="M916" s="526"/>
      <c r="N916" s="526"/>
      <c r="O916" s="527"/>
      <c r="P916" s="527"/>
    </row>
    <row r="917" spans="1:16" ht="21.75" customHeight="1" x14ac:dyDescent="0.2">
      <c r="A917" s="521"/>
      <c r="B917" s="521"/>
      <c r="C917" s="521"/>
      <c r="D917" s="521"/>
      <c r="E917" s="524"/>
      <c r="F917" s="524"/>
      <c r="G917" s="524"/>
      <c r="H917" s="524"/>
      <c r="I917" s="524"/>
      <c r="J917" s="524"/>
      <c r="K917" s="525"/>
      <c r="L917" s="526"/>
      <c r="M917" s="526"/>
      <c r="N917" s="526"/>
      <c r="O917" s="527"/>
      <c r="P917" s="527"/>
    </row>
    <row r="918" spans="1:16" ht="21.75" customHeight="1" x14ac:dyDescent="0.2">
      <c r="A918" s="521"/>
      <c r="B918" s="521"/>
      <c r="C918" s="521"/>
      <c r="D918" s="521"/>
      <c r="E918" s="524"/>
      <c r="F918" s="524"/>
      <c r="G918" s="524"/>
      <c r="H918" s="524"/>
      <c r="I918" s="524"/>
      <c r="J918" s="524"/>
      <c r="K918" s="525"/>
      <c r="L918" s="526"/>
      <c r="M918" s="526"/>
      <c r="N918" s="526"/>
      <c r="O918" s="527"/>
      <c r="P918" s="527"/>
    </row>
    <row r="919" spans="1:16" ht="21.75" customHeight="1" x14ac:dyDescent="0.2">
      <c r="A919" s="521"/>
      <c r="B919" s="521"/>
      <c r="C919" s="521"/>
      <c r="D919" s="521"/>
      <c r="E919" s="524"/>
      <c r="F919" s="524"/>
      <c r="G919" s="524"/>
      <c r="H919" s="524"/>
      <c r="I919" s="524"/>
      <c r="J919" s="524"/>
      <c r="K919" s="525"/>
      <c r="L919" s="526"/>
      <c r="M919" s="526"/>
      <c r="N919" s="526"/>
      <c r="O919" s="527"/>
      <c r="P919" s="527"/>
    </row>
    <row r="920" spans="1:16" ht="21.75" customHeight="1" x14ac:dyDescent="0.2">
      <c r="A920" s="521"/>
      <c r="B920" s="521"/>
      <c r="C920" s="521"/>
      <c r="D920" s="521"/>
      <c r="E920" s="524"/>
      <c r="F920" s="524"/>
      <c r="G920" s="524"/>
      <c r="H920" s="524"/>
      <c r="I920" s="524"/>
      <c r="J920" s="524"/>
      <c r="K920" s="525"/>
      <c r="L920" s="526"/>
      <c r="M920" s="526"/>
      <c r="N920" s="526"/>
      <c r="O920" s="527"/>
      <c r="P920" s="527"/>
    </row>
    <row r="921" spans="1:16" ht="21.75" customHeight="1" x14ac:dyDescent="0.2">
      <c r="A921" s="521"/>
      <c r="B921" s="521"/>
      <c r="C921" s="521"/>
      <c r="D921" s="521"/>
      <c r="E921" s="524"/>
      <c r="F921" s="524"/>
      <c r="G921" s="524"/>
      <c r="H921" s="524"/>
      <c r="I921" s="524"/>
      <c r="J921" s="524"/>
      <c r="K921" s="525"/>
      <c r="L921" s="526"/>
      <c r="M921" s="526"/>
      <c r="N921" s="526"/>
      <c r="O921" s="527"/>
      <c r="P921" s="527"/>
    </row>
    <row r="922" spans="1:16" ht="21.75" customHeight="1" x14ac:dyDescent="0.2">
      <c r="A922" s="521"/>
      <c r="B922" s="521"/>
      <c r="C922" s="521"/>
      <c r="D922" s="521"/>
      <c r="E922" s="524"/>
      <c r="F922" s="524"/>
      <c r="G922" s="524"/>
      <c r="H922" s="524"/>
      <c r="I922" s="524"/>
      <c r="J922" s="524"/>
      <c r="K922" s="525"/>
      <c r="L922" s="526"/>
      <c r="M922" s="526"/>
      <c r="N922" s="526"/>
      <c r="O922" s="527"/>
      <c r="P922" s="527"/>
    </row>
    <row r="923" spans="1:16" ht="21.75" customHeight="1" x14ac:dyDescent="0.2">
      <c r="A923" s="521"/>
      <c r="B923" s="521"/>
      <c r="C923" s="521"/>
      <c r="D923" s="521"/>
      <c r="E923" s="524"/>
      <c r="F923" s="524"/>
      <c r="G923" s="524"/>
      <c r="H923" s="524"/>
      <c r="I923" s="524"/>
      <c r="J923" s="524"/>
      <c r="K923" s="525"/>
      <c r="L923" s="526"/>
      <c r="M923" s="526"/>
      <c r="N923" s="526"/>
      <c r="O923" s="527"/>
      <c r="P923" s="527"/>
    </row>
    <row r="924" spans="1:16" ht="21.75" customHeight="1" x14ac:dyDescent="0.2">
      <c r="A924" s="521"/>
      <c r="B924" s="521"/>
      <c r="C924" s="521"/>
      <c r="D924" s="521"/>
      <c r="E924" s="524"/>
      <c r="F924" s="524"/>
      <c r="G924" s="524"/>
      <c r="H924" s="524"/>
      <c r="I924" s="524"/>
      <c r="J924" s="524"/>
      <c r="K924" s="525"/>
      <c r="L924" s="526"/>
      <c r="M924" s="526"/>
      <c r="N924" s="526"/>
      <c r="O924" s="527"/>
      <c r="P924" s="527"/>
    </row>
    <row r="925" spans="1:16" ht="21.75" customHeight="1" x14ac:dyDescent="0.2">
      <c r="A925" s="521"/>
      <c r="B925" s="521"/>
      <c r="C925" s="521"/>
      <c r="D925" s="521"/>
      <c r="E925" s="524"/>
      <c r="F925" s="524"/>
      <c r="G925" s="524"/>
      <c r="H925" s="524"/>
      <c r="I925" s="524"/>
      <c r="J925" s="524"/>
      <c r="K925" s="525"/>
      <c r="L925" s="526"/>
      <c r="M925" s="526"/>
      <c r="N925" s="526"/>
      <c r="O925" s="527"/>
      <c r="P925" s="527"/>
    </row>
    <row r="926" spans="1:16" ht="21.75" customHeight="1" x14ac:dyDescent="0.2">
      <c r="A926" s="521"/>
      <c r="B926" s="521"/>
      <c r="C926" s="521"/>
      <c r="D926" s="521"/>
      <c r="E926" s="524"/>
      <c r="F926" s="524"/>
      <c r="G926" s="524"/>
      <c r="H926" s="524"/>
      <c r="I926" s="524"/>
      <c r="J926" s="524"/>
      <c r="K926" s="525"/>
      <c r="L926" s="526"/>
      <c r="M926" s="526"/>
      <c r="N926" s="526"/>
      <c r="O926" s="527"/>
      <c r="P926" s="527"/>
    </row>
    <row r="927" spans="1:16" ht="21.75" customHeight="1" x14ac:dyDescent="0.2">
      <c r="A927" s="521"/>
      <c r="B927" s="521"/>
      <c r="C927" s="521"/>
      <c r="D927" s="521"/>
      <c r="E927" s="524"/>
      <c r="F927" s="524"/>
      <c r="G927" s="524"/>
      <c r="H927" s="524"/>
      <c r="I927" s="524"/>
      <c r="J927" s="524"/>
      <c r="K927" s="525"/>
      <c r="L927" s="526"/>
      <c r="M927" s="526"/>
      <c r="N927" s="526"/>
      <c r="O927" s="527"/>
      <c r="P927" s="527"/>
    </row>
    <row r="928" spans="1:16" ht="21.75" customHeight="1" x14ac:dyDescent="0.2">
      <c r="A928" s="521"/>
      <c r="B928" s="521"/>
      <c r="C928" s="521"/>
      <c r="D928" s="521"/>
      <c r="E928" s="524"/>
      <c r="F928" s="524"/>
      <c r="G928" s="524"/>
      <c r="H928" s="524"/>
      <c r="I928" s="524"/>
      <c r="J928" s="524"/>
      <c r="K928" s="525"/>
      <c r="L928" s="526"/>
      <c r="M928" s="526"/>
      <c r="N928" s="526"/>
      <c r="O928" s="527"/>
      <c r="P928" s="527"/>
    </row>
    <row r="929" spans="1:16" ht="21.75" customHeight="1" x14ac:dyDescent="0.2">
      <c r="A929" s="521"/>
      <c r="B929" s="521"/>
      <c r="C929" s="521"/>
      <c r="D929" s="521"/>
      <c r="E929" s="524"/>
      <c r="F929" s="524"/>
      <c r="G929" s="524"/>
      <c r="H929" s="524"/>
      <c r="I929" s="524"/>
      <c r="J929" s="524"/>
      <c r="K929" s="525"/>
      <c r="L929" s="526"/>
      <c r="M929" s="526"/>
      <c r="N929" s="526"/>
      <c r="O929" s="527"/>
      <c r="P929" s="527"/>
    </row>
    <row r="930" spans="1:16" ht="21.75" customHeight="1" x14ac:dyDescent="0.2">
      <c r="A930" s="521"/>
      <c r="B930" s="521"/>
      <c r="C930" s="521"/>
      <c r="D930" s="521"/>
      <c r="E930" s="524"/>
      <c r="F930" s="524"/>
      <c r="G930" s="524"/>
      <c r="H930" s="524"/>
      <c r="I930" s="524"/>
      <c r="J930" s="524"/>
      <c r="K930" s="525"/>
      <c r="L930" s="526"/>
      <c r="M930" s="526"/>
      <c r="N930" s="526"/>
      <c r="O930" s="527"/>
      <c r="P930" s="527"/>
    </row>
    <row r="931" spans="1:16" ht="21.75" customHeight="1" x14ac:dyDescent="0.2">
      <c r="A931" s="521"/>
      <c r="B931" s="521"/>
      <c r="C931" s="521"/>
      <c r="D931" s="521"/>
      <c r="E931" s="524"/>
      <c r="F931" s="524"/>
      <c r="G931" s="524"/>
      <c r="H931" s="524"/>
      <c r="I931" s="524"/>
      <c r="J931" s="524"/>
      <c r="K931" s="525"/>
      <c r="L931" s="526"/>
      <c r="M931" s="526"/>
      <c r="N931" s="526"/>
      <c r="O931" s="527"/>
      <c r="P931" s="527"/>
    </row>
    <row r="932" spans="1:16" ht="21.75" customHeight="1" x14ac:dyDescent="0.2">
      <c r="A932" s="521"/>
      <c r="B932" s="521"/>
      <c r="C932" s="521"/>
      <c r="D932" s="521"/>
      <c r="E932" s="524"/>
      <c r="F932" s="524"/>
      <c r="G932" s="524"/>
      <c r="H932" s="524"/>
      <c r="I932" s="524"/>
      <c r="J932" s="524"/>
      <c r="K932" s="525"/>
      <c r="L932" s="526"/>
      <c r="M932" s="526"/>
      <c r="N932" s="526"/>
      <c r="O932" s="527"/>
      <c r="P932" s="527"/>
    </row>
    <row r="933" spans="1:16" ht="21.75" customHeight="1" x14ac:dyDescent="0.2">
      <c r="A933" s="521"/>
      <c r="B933" s="521"/>
      <c r="C933" s="521"/>
      <c r="D933" s="521"/>
      <c r="E933" s="524"/>
      <c r="F933" s="524"/>
      <c r="G933" s="524"/>
      <c r="H933" s="524"/>
      <c r="I933" s="524"/>
      <c r="J933" s="524"/>
      <c r="K933" s="525"/>
      <c r="L933" s="526"/>
      <c r="M933" s="526"/>
      <c r="N933" s="526"/>
      <c r="O933" s="527"/>
      <c r="P933" s="527"/>
    </row>
    <row r="934" spans="1:16" ht="21.75" customHeight="1" x14ac:dyDescent="0.2">
      <c r="A934" s="521"/>
      <c r="B934" s="521"/>
      <c r="C934" s="521"/>
      <c r="D934" s="521"/>
      <c r="E934" s="524"/>
      <c r="F934" s="524"/>
      <c r="G934" s="524"/>
      <c r="H934" s="524"/>
      <c r="I934" s="524"/>
      <c r="J934" s="524"/>
      <c r="K934" s="525"/>
      <c r="L934" s="526"/>
      <c r="M934" s="526"/>
      <c r="N934" s="526"/>
      <c r="O934" s="527"/>
      <c r="P934" s="527"/>
    </row>
    <row r="935" spans="1:16" ht="21.75" customHeight="1" x14ac:dyDescent="0.2">
      <c r="A935" s="521"/>
      <c r="B935" s="521"/>
      <c r="C935" s="521"/>
      <c r="D935" s="521"/>
      <c r="E935" s="524"/>
      <c r="F935" s="524"/>
      <c r="G935" s="524"/>
      <c r="H935" s="524"/>
      <c r="I935" s="524"/>
      <c r="J935" s="524"/>
      <c r="K935" s="525"/>
      <c r="L935" s="526"/>
      <c r="M935" s="526"/>
      <c r="N935" s="526"/>
      <c r="O935" s="527"/>
      <c r="P935" s="527"/>
    </row>
    <row r="936" spans="1:16" ht="21.75" customHeight="1" x14ac:dyDescent="0.2">
      <c r="A936" s="521"/>
      <c r="B936" s="521"/>
      <c r="C936" s="521"/>
      <c r="D936" s="521"/>
      <c r="E936" s="524"/>
      <c r="F936" s="524"/>
      <c r="G936" s="524"/>
      <c r="H936" s="524"/>
      <c r="I936" s="524"/>
      <c r="J936" s="524"/>
      <c r="K936" s="525"/>
      <c r="L936" s="526"/>
      <c r="M936" s="526"/>
      <c r="N936" s="526"/>
      <c r="O936" s="527"/>
      <c r="P936" s="527"/>
    </row>
    <row r="937" spans="1:16" ht="21.75" customHeight="1" x14ac:dyDescent="0.2">
      <c r="A937" s="521"/>
      <c r="B937" s="521"/>
      <c r="C937" s="521"/>
      <c r="D937" s="521"/>
      <c r="E937" s="524"/>
      <c r="F937" s="524"/>
      <c r="G937" s="524"/>
      <c r="H937" s="524"/>
      <c r="I937" s="524"/>
      <c r="J937" s="524"/>
      <c r="K937" s="525"/>
      <c r="L937" s="526"/>
      <c r="M937" s="526"/>
      <c r="N937" s="526"/>
      <c r="O937" s="527"/>
      <c r="P937" s="527"/>
    </row>
    <row r="938" spans="1:16" ht="21.75" customHeight="1" x14ac:dyDescent="0.2">
      <c r="A938" s="521"/>
      <c r="B938" s="521"/>
      <c r="C938" s="521"/>
      <c r="D938" s="521"/>
      <c r="E938" s="524"/>
      <c r="F938" s="524"/>
      <c r="G938" s="524"/>
      <c r="H938" s="524"/>
      <c r="I938" s="524"/>
      <c r="J938" s="524"/>
      <c r="K938" s="525"/>
      <c r="L938" s="526"/>
      <c r="M938" s="526"/>
      <c r="N938" s="526"/>
      <c r="O938" s="527"/>
      <c r="P938" s="527"/>
    </row>
    <row r="939" spans="1:16" ht="21.75" customHeight="1" x14ac:dyDescent="0.2">
      <c r="A939" s="521"/>
      <c r="B939" s="521"/>
      <c r="C939" s="521"/>
      <c r="D939" s="521"/>
      <c r="E939" s="524"/>
      <c r="F939" s="524"/>
      <c r="G939" s="524"/>
      <c r="H939" s="524"/>
      <c r="I939" s="524"/>
      <c r="J939" s="524"/>
      <c r="K939" s="525"/>
      <c r="L939" s="526"/>
      <c r="M939" s="526"/>
      <c r="N939" s="526"/>
      <c r="O939" s="527"/>
      <c r="P939" s="527"/>
    </row>
    <row r="940" spans="1:16" ht="21.75" customHeight="1" x14ac:dyDescent="0.2">
      <c r="A940" s="521"/>
      <c r="B940" s="521"/>
      <c r="C940" s="521"/>
      <c r="D940" s="521"/>
      <c r="E940" s="524"/>
      <c r="F940" s="524"/>
      <c r="G940" s="524"/>
      <c r="H940" s="524"/>
      <c r="I940" s="524"/>
      <c r="J940" s="524"/>
      <c r="K940" s="525"/>
      <c r="L940" s="526"/>
      <c r="M940" s="526"/>
      <c r="N940" s="526"/>
      <c r="O940" s="527"/>
      <c r="P940" s="527"/>
    </row>
    <row r="941" spans="1:16" ht="21.75" customHeight="1" x14ac:dyDescent="0.2">
      <c r="A941" s="521"/>
      <c r="B941" s="521"/>
      <c r="C941" s="521"/>
      <c r="D941" s="521"/>
      <c r="E941" s="524"/>
      <c r="F941" s="524"/>
      <c r="G941" s="524"/>
      <c r="H941" s="524"/>
      <c r="I941" s="524"/>
      <c r="J941" s="524"/>
      <c r="K941" s="525"/>
      <c r="L941" s="526"/>
      <c r="M941" s="526"/>
      <c r="N941" s="526"/>
      <c r="O941" s="527"/>
      <c r="P941" s="527"/>
    </row>
    <row r="942" spans="1:16" ht="21.75" customHeight="1" x14ac:dyDescent="0.2">
      <c r="A942" s="521"/>
      <c r="B942" s="521"/>
      <c r="C942" s="521"/>
      <c r="D942" s="521"/>
      <c r="E942" s="524"/>
      <c r="F942" s="524"/>
      <c r="G942" s="524"/>
      <c r="H942" s="524"/>
      <c r="I942" s="524"/>
      <c r="J942" s="524"/>
      <c r="K942" s="525"/>
      <c r="L942" s="526"/>
      <c r="M942" s="526"/>
      <c r="N942" s="526"/>
      <c r="O942" s="527"/>
      <c r="P942" s="527"/>
    </row>
    <row r="943" spans="1:16" ht="21.75" customHeight="1" x14ac:dyDescent="0.2">
      <c r="A943" s="521"/>
      <c r="B943" s="521"/>
      <c r="C943" s="521"/>
      <c r="D943" s="521"/>
      <c r="E943" s="524"/>
      <c r="F943" s="524"/>
      <c r="G943" s="524"/>
      <c r="H943" s="524"/>
      <c r="I943" s="524"/>
      <c r="J943" s="524"/>
      <c r="K943" s="525"/>
      <c r="L943" s="526"/>
      <c r="M943" s="526"/>
      <c r="N943" s="526"/>
      <c r="O943" s="527"/>
      <c r="P943" s="527"/>
    </row>
    <row r="944" spans="1:16" ht="21.75" customHeight="1" x14ac:dyDescent="0.2">
      <c r="A944" s="521"/>
      <c r="B944" s="521"/>
      <c r="C944" s="521"/>
      <c r="D944" s="521"/>
      <c r="E944" s="524"/>
      <c r="F944" s="524"/>
      <c r="G944" s="524"/>
      <c r="H944" s="524"/>
      <c r="I944" s="524"/>
      <c r="J944" s="524"/>
      <c r="K944" s="525"/>
      <c r="L944" s="526"/>
      <c r="M944" s="526"/>
      <c r="N944" s="526"/>
      <c r="O944" s="527"/>
      <c r="P944" s="527"/>
    </row>
    <row r="945" spans="1:16" ht="21.75" customHeight="1" x14ac:dyDescent="0.2">
      <c r="A945" s="521"/>
      <c r="B945" s="521"/>
      <c r="C945" s="521"/>
      <c r="D945" s="521"/>
      <c r="E945" s="524"/>
      <c r="F945" s="524"/>
      <c r="G945" s="524"/>
      <c r="H945" s="524"/>
      <c r="I945" s="524"/>
      <c r="J945" s="524"/>
      <c r="K945" s="525"/>
      <c r="L945" s="526"/>
      <c r="M945" s="526"/>
      <c r="N945" s="526"/>
      <c r="O945" s="527"/>
      <c r="P945" s="527"/>
    </row>
    <row r="946" spans="1:16" ht="21.75" customHeight="1" x14ac:dyDescent="0.2">
      <c r="A946" s="521"/>
      <c r="B946" s="521"/>
      <c r="C946" s="521"/>
      <c r="D946" s="521"/>
      <c r="E946" s="524"/>
      <c r="F946" s="524"/>
      <c r="G946" s="524"/>
      <c r="H946" s="524"/>
      <c r="I946" s="524"/>
      <c r="J946" s="524"/>
      <c r="K946" s="525"/>
      <c r="L946" s="526"/>
      <c r="M946" s="526"/>
      <c r="N946" s="526"/>
      <c r="O946" s="527"/>
      <c r="P946" s="527"/>
    </row>
    <row r="947" spans="1:16" ht="21.75" customHeight="1" x14ac:dyDescent="0.2">
      <c r="A947" s="521"/>
      <c r="B947" s="521"/>
      <c r="C947" s="521"/>
      <c r="D947" s="521"/>
      <c r="E947" s="524"/>
      <c r="F947" s="524"/>
      <c r="G947" s="524"/>
      <c r="H947" s="524"/>
      <c r="I947" s="524"/>
      <c r="J947" s="524"/>
      <c r="K947" s="525"/>
      <c r="L947" s="526"/>
      <c r="M947" s="526"/>
      <c r="N947" s="526"/>
      <c r="O947" s="527"/>
      <c r="P947" s="527"/>
    </row>
    <row r="948" spans="1:16" ht="21.75" customHeight="1" x14ac:dyDescent="0.2">
      <c r="A948" s="521"/>
      <c r="B948" s="521"/>
      <c r="C948" s="521"/>
      <c r="D948" s="521"/>
      <c r="E948" s="524"/>
      <c r="F948" s="524"/>
      <c r="G948" s="524"/>
      <c r="H948" s="524"/>
      <c r="I948" s="524"/>
      <c r="J948" s="524"/>
      <c r="K948" s="525"/>
      <c r="L948" s="526"/>
      <c r="M948" s="526"/>
      <c r="N948" s="526"/>
      <c r="O948" s="527"/>
      <c r="P948" s="527"/>
    </row>
    <row r="949" spans="1:16" ht="21.75" customHeight="1" x14ac:dyDescent="0.2">
      <c r="A949" s="521"/>
      <c r="B949" s="521"/>
      <c r="C949" s="521"/>
      <c r="D949" s="521"/>
      <c r="E949" s="524"/>
      <c r="F949" s="524"/>
      <c r="G949" s="524"/>
      <c r="H949" s="524"/>
      <c r="I949" s="524"/>
      <c r="J949" s="524"/>
      <c r="K949" s="525"/>
      <c r="L949" s="526"/>
      <c r="M949" s="526"/>
      <c r="N949" s="526"/>
      <c r="O949" s="527"/>
      <c r="P949" s="527"/>
    </row>
    <row r="950" spans="1:16" ht="21.75" customHeight="1" x14ac:dyDescent="0.2">
      <c r="A950" s="521"/>
      <c r="B950" s="521"/>
      <c r="C950" s="521"/>
      <c r="D950" s="521"/>
      <c r="E950" s="524"/>
      <c r="F950" s="524"/>
      <c r="G950" s="524"/>
      <c r="H950" s="524"/>
      <c r="I950" s="524"/>
      <c r="J950" s="524"/>
      <c r="K950" s="525"/>
      <c r="L950" s="526"/>
      <c r="M950" s="526"/>
      <c r="N950" s="526"/>
      <c r="O950" s="527"/>
      <c r="P950" s="527"/>
    </row>
    <row r="951" spans="1:16" ht="21.75" customHeight="1" x14ac:dyDescent="0.2">
      <c r="A951" s="521"/>
      <c r="B951" s="521"/>
      <c r="C951" s="521"/>
      <c r="D951" s="521"/>
      <c r="E951" s="524"/>
      <c r="F951" s="524"/>
      <c r="G951" s="524"/>
      <c r="H951" s="524"/>
      <c r="I951" s="524"/>
      <c r="J951" s="524"/>
      <c r="K951" s="525"/>
      <c r="L951" s="526"/>
      <c r="M951" s="526"/>
      <c r="N951" s="526"/>
      <c r="O951" s="527"/>
      <c r="P951" s="527"/>
    </row>
    <row r="952" spans="1:16" ht="21.75" customHeight="1" x14ac:dyDescent="0.2">
      <c r="A952" s="521"/>
      <c r="B952" s="521"/>
      <c r="C952" s="521"/>
      <c r="D952" s="521"/>
      <c r="E952" s="524"/>
      <c r="F952" s="524"/>
      <c r="G952" s="524"/>
      <c r="H952" s="524"/>
      <c r="I952" s="524"/>
      <c r="J952" s="524"/>
      <c r="K952" s="525"/>
      <c r="L952" s="526"/>
      <c r="M952" s="526"/>
      <c r="N952" s="526"/>
      <c r="O952" s="527"/>
      <c r="P952" s="527"/>
    </row>
    <row r="953" spans="1:16" ht="21.75" customHeight="1" x14ac:dyDescent="0.2">
      <c r="A953" s="521"/>
      <c r="B953" s="521"/>
      <c r="C953" s="521"/>
      <c r="D953" s="521"/>
      <c r="E953" s="524"/>
      <c r="F953" s="524"/>
      <c r="G953" s="524"/>
      <c r="H953" s="524"/>
      <c r="I953" s="524"/>
      <c r="J953" s="524"/>
      <c r="K953" s="525"/>
      <c r="L953" s="526"/>
      <c r="M953" s="526"/>
      <c r="N953" s="526"/>
      <c r="O953" s="527"/>
      <c r="P953" s="527"/>
    </row>
    <row r="954" spans="1:16" ht="21.75" customHeight="1" x14ac:dyDescent="0.2">
      <c r="A954" s="521"/>
      <c r="B954" s="521"/>
      <c r="C954" s="521"/>
      <c r="D954" s="521"/>
      <c r="E954" s="524"/>
      <c r="F954" s="524"/>
      <c r="G954" s="524"/>
      <c r="H954" s="524"/>
      <c r="I954" s="524"/>
      <c r="J954" s="524"/>
      <c r="K954" s="525"/>
      <c r="L954" s="526"/>
      <c r="M954" s="526"/>
      <c r="N954" s="526"/>
      <c r="O954" s="527"/>
      <c r="P954" s="527"/>
    </row>
    <row r="955" spans="1:16" ht="21.75" customHeight="1" x14ac:dyDescent="0.2">
      <c r="A955" s="521"/>
      <c r="B955" s="521"/>
      <c r="C955" s="521"/>
      <c r="D955" s="521"/>
      <c r="E955" s="524"/>
      <c r="F955" s="524"/>
      <c r="G955" s="524"/>
      <c r="H955" s="524"/>
      <c r="I955" s="524"/>
      <c r="J955" s="524"/>
      <c r="K955" s="525"/>
      <c r="L955" s="526"/>
      <c r="M955" s="526"/>
      <c r="N955" s="526"/>
      <c r="O955" s="527"/>
      <c r="P955" s="527"/>
    </row>
    <row r="956" spans="1:16" ht="21.75" customHeight="1" x14ac:dyDescent="0.2">
      <c r="A956" s="521"/>
      <c r="B956" s="521"/>
      <c r="C956" s="521"/>
      <c r="D956" s="521"/>
      <c r="E956" s="524"/>
      <c r="F956" s="524"/>
      <c r="G956" s="524"/>
      <c r="H956" s="524"/>
      <c r="I956" s="524"/>
      <c r="J956" s="524"/>
      <c r="K956" s="525"/>
      <c r="L956" s="526"/>
      <c r="M956" s="526"/>
      <c r="N956" s="526"/>
      <c r="O956" s="527"/>
      <c r="P956" s="527"/>
    </row>
    <row r="957" spans="1:16" ht="21.75" customHeight="1" x14ac:dyDescent="0.2">
      <c r="A957" s="521"/>
      <c r="B957" s="521"/>
      <c r="C957" s="521"/>
      <c r="D957" s="521"/>
      <c r="E957" s="524"/>
      <c r="F957" s="524"/>
      <c r="G957" s="524"/>
      <c r="H957" s="524"/>
      <c r="I957" s="524"/>
      <c r="J957" s="524"/>
      <c r="K957" s="525"/>
      <c r="L957" s="526"/>
      <c r="M957" s="526"/>
      <c r="N957" s="526"/>
      <c r="O957" s="527"/>
      <c r="P957" s="527"/>
    </row>
    <row r="958" spans="1:16" ht="21.75" customHeight="1" x14ac:dyDescent="0.2">
      <c r="A958" s="521"/>
      <c r="B958" s="521"/>
      <c r="C958" s="521"/>
      <c r="D958" s="521"/>
      <c r="E958" s="524"/>
      <c r="F958" s="524"/>
      <c r="G958" s="524"/>
      <c r="H958" s="524"/>
      <c r="I958" s="524"/>
      <c r="J958" s="524"/>
      <c r="K958" s="525"/>
      <c r="L958" s="526"/>
      <c r="M958" s="526"/>
      <c r="N958" s="526"/>
      <c r="O958" s="527"/>
      <c r="P958" s="527"/>
    </row>
    <row r="959" spans="1:16" ht="21.75" customHeight="1" x14ac:dyDescent="0.2">
      <c r="A959" s="521"/>
      <c r="B959" s="521"/>
      <c r="C959" s="521"/>
      <c r="D959" s="521"/>
      <c r="E959" s="524"/>
      <c r="F959" s="524"/>
      <c r="G959" s="524"/>
      <c r="H959" s="524"/>
      <c r="I959" s="524"/>
      <c r="J959" s="524"/>
      <c r="K959" s="525"/>
      <c r="L959" s="526"/>
      <c r="M959" s="526"/>
      <c r="N959" s="526"/>
      <c r="O959" s="527"/>
      <c r="P959" s="527"/>
    </row>
    <row r="960" spans="1:16" ht="21.75" customHeight="1" x14ac:dyDescent="0.2">
      <c r="A960" s="521"/>
      <c r="B960" s="521"/>
      <c r="C960" s="521"/>
      <c r="D960" s="521"/>
      <c r="E960" s="524"/>
      <c r="F960" s="524"/>
      <c r="G960" s="524"/>
      <c r="H960" s="524"/>
      <c r="I960" s="524"/>
      <c r="J960" s="524"/>
      <c r="K960" s="525"/>
      <c r="L960" s="526"/>
      <c r="M960" s="526"/>
      <c r="N960" s="526"/>
      <c r="O960" s="527"/>
      <c r="P960" s="527"/>
    </row>
    <row r="961" spans="1:16" ht="21.75" customHeight="1" x14ac:dyDescent="0.2">
      <c r="A961" s="521"/>
      <c r="B961" s="521"/>
      <c r="C961" s="521"/>
      <c r="D961" s="521"/>
      <c r="E961" s="524"/>
      <c r="F961" s="524"/>
      <c r="G961" s="524"/>
      <c r="H961" s="524"/>
      <c r="I961" s="524"/>
      <c r="J961" s="524"/>
      <c r="K961" s="525"/>
      <c r="L961" s="526"/>
      <c r="M961" s="526"/>
      <c r="N961" s="526"/>
      <c r="O961" s="527"/>
      <c r="P961" s="527"/>
    </row>
    <row r="962" spans="1:16" ht="21.75" customHeight="1" x14ac:dyDescent="0.2">
      <c r="A962" s="521"/>
      <c r="B962" s="521"/>
      <c r="C962" s="521"/>
      <c r="D962" s="521"/>
      <c r="E962" s="524"/>
      <c r="F962" s="524"/>
      <c r="G962" s="524"/>
      <c r="H962" s="524"/>
      <c r="I962" s="524"/>
      <c r="J962" s="524"/>
      <c r="K962" s="525"/>
      <c r="L962" s="526"/>
      <c r="M962" s="526"/>
      <c r="N962" s="526"/>
      <c r="O962" s="527"/>
      <c r="P962" s="527"/>
    </row>
    <row r="963" spans="1:16" ht="21.75" customHeight="1" x14ac:dyDescent="0.2">
      <c r="A963" s="521"/>
      <c r="B963" s="521"/>
      <c r="C963" s="521"/>
      <c r="D963" s="521"/>
      <c r="E963" s="524"/>
      <c r="F963" s="524"/>
      <c r="G963" s="524"/>
      <c r="H963" s="524"/>
      <c r="I963" s="524"/>
      <c r="J963" s="524"/>
      <c r="K963" s="525"/>
      <c r="L963" s="526"/>
      <c r="M963" s="526"/>
      <c r="N963" s="526"/>
      <c r="O963" s="527"/>
      <c r="P963" s="527"/>
    </row>
    <row r="964" spans="1:16" ht="21.75" customHeight="1" x14ac:dyDescent="0.2">
      <c r="A964" s="521"/>
      <c r="B964" s="521"/>
      <c r="C964" s="521"/>
      <c r="D964" s="521"/>
      <c r="E964" s="524"/>
      <c r="F964" s="524"/>
      <c r="G964" s="524"/>
      <c r="H964" s="524"/>
      <c r="I964" s="524"/>
      <c r="J964" s="524"/>
      <c r="K964" s="525"/>
      <c r="L964" s="526"/>
      <c r="M964" s="526"/>
      <c r="N964" s="526"/>
      <c r="O964" s="527"/>
      <c r="P964" s="527"/>
    </row>
    <row r="965" spans="1:16" ht="21.75" customHeight="1" x14ac:dyDescent="0.2">
      <c r="A965" s="521"/>
      <c r="B965" s="521"/>
      <c r="C965" s="521"/>
      <c r="D965" s="521"/>
      <c r="E965" s="524"/>
      <c r="F965" s="524"/>
      <c r="G965" s="524"/>
      <c r="H965" s="524"/>
      <c r="I965" s="524"/>
      <c r="J965" s="524"/>
      <c r="K965" s="525"/>
      <c r="L965" s="526"/>
      <c r="M965" s="526"/>
      <c r="N965" s="526"/>
      <c r="O965" s="527"/>
      <c r="P965" s="527"/>
    </row>
    <row r="966" spans="1:16" ht="21.75" customHeight="1" x14ac:dyDescent="0.2">
      <c r="A966" s="521"/>
      <c r="B966" s="521"/>
      <c r="C966" s="521"/>
      <c r="D966" s="521"/>
      <c r="E966" s="524"/>
      <c r="F966" s="524"/>
      <c r="G966" s="524"/>
      <c r="H966" s="524"/>
      <c r="I966" s="524"/>
      <c r="J966" s="524"/>
      <c r="K966" s="525"/>
      <c r="L966" s="526"/>
      <c r="M966" s="526"/>
      <c r="N966" s="526"/>
      <c r="O966" s="527"/>
      <c r="P966" s="527"/>
    </row>
    <row r="967" spans="1:16" ht="21.75" customHeight="1" x14ac:dyDescent="0.2">
      <c r="A967" s="521"/>
      <c r="B967" s="521"/>
      <c r="C967" s="521"/>
      <c r="D967" s="521"/>
      <c r="E967" s="524"/>
      <c r="F967" s="524"/>
      <c r="G967" s="524"/>
      <c r="H967" s="524"/>
      <c r="I967" s="524"/>
      <c r="J967" s="524"/>
      <c r="K967" s="525"/>
      <c r="L967" s="526"/>
      <c r="M967" s="526"/>
      <c r="N967" s="526"/>
      <c r="O967" s="527"/>
      <c r="P967" s="527"/>
    </row>
    <row r="968" spans="1:16" ht="21.75" customHeight="1" x14ac:dyDescent="0.2">
      <c r="A968" s="521"/>
      <c r="B968" s="521"/>
      <c r="C968" s="521"/>
      <c r="D968" s="521"/>
      <c r="E968" s="524"/>
      <c r="F968" s="524"/>
      <c r="G968" s="524"/>
      <c r="H968" s="524"/>
      <c r="I968" s="524"/>
      <c r="J968" s="524"/>
      <c r="K968" s="525"/>
      <c r="L968" s="526"/>
      <c r="M968" s="526"/>
      <c r="N968" s="526"/>
      <c r="O968" s="527"/>
      <c r="P968" s="527"/>
    </row>
    <row r="969" spans="1:16" ht="21.75" customHeight="1" x14ac:dyDescent="0.2">
      <c r="A969" s="521"/>
      <c r="B969" s="521"/>
      <c r="C969" s="521"/>
      <c r="D969" s="521"/>
      <c r="E969" s="524"/>
      <c r="F969" s="524"/>
      <c r="G969" s="524"/>
      <c r="H969" s="524"/>
      <c r="I969" s="524"/>
      <c r="J969" s="524"/>
      <c r="K969" s="525"/>
      <c r="L969" s="526"/>
      <c r="M969" s="526"/>
      <c r="N969" s="526"/>
      <c r="O969" s="527"/>
      <c r="P969" s="527"/>
    </row>
    <row r="970" spans="1:16" ht="21.75" customHeight="1" x14ac:dyDescent="0.2">
      <c r="A970" s="521"/>
      <c r="B970" s="521"/>
      <c r="C970" s="521"/>
      <c r="D970" s="521"/>
      <c r="E970" s="524"/>
      <c r="F970" s="524"/>
      <c r="G970" s="524"/>
      <c r="H970" s="524"/>
      <c r="I970" s="524"/>
      <c r="J970" s="524"/>
      <c r="K970" s="525"/>
      <c r="L970" s="526"/>
      <c r="M970" s="526"/>
      <c r="N970" s="526"/>
      <c r="O970" s="527"/>
      <c r="P970" s="527"/>
    </row>
    <row r="971" spans="1:16" ht="21.75" customHeight="1" x14ac:dyDescent="0.2">
      <c r="A971" s="521"/>
      <c r="B971" s="521"/>
      <c r="C971" s="521"/>
      <c r="D971" s="521"/>
      <c r="E971" s="524"/>
      <c r="F971" s="524"/>
      <c r="G971" s="524"/>
      <c r="H971" s="524"/>
      <c r="I971" s="524"/>
      <c r="J971" s="524"/>
      <c r="K971" s="525"/>
      <c r="L971" s="526"/>
      <c r="M971" s="526"/>
      <c r="N971" s="526"/>
      <c r="O971" s="527"/>
      <c r="P971" s="527"/>
    </row>
    <row r="972" spans="1:16" ht="21.75" customHeight="1" x14ac:dyDescent="0.2">
      <c r="A972" s="521"/>
      <c r="B972" s="521"/>
      <c r="C972" s="521"/>
      <c r="D972" s="521"/>
      <c r="E972" s="524"/>
      <c r="F972" s="524"/>
      <c r="G972" s="524"/>
      <c r="H972" s="524"/>
      <c r="I972" s="524"/>
      <c r="J972" s="524"/>
      <c r="K972" s="525"/>
      <c r="L972" s="526"/>
      <c r="M972" s="526"/>
      <c r="N972" s="526"/>
      <c r="O972" s="527"/>
      <c r="P972" s="527"/>
    </row>
    <row r="973" spans="1:16" ht="21.75" customHeight="1" x14ac:dyDescent="0.2">
      <c r="A973" s="521"/>
      <c r="B973" s="521"/>
      <c r="C973" s="521"/>
      <c r="D973" s="521"/>
      <c r="E973" s="524"/>
      <c r="F973" s="524"/>
      <c r="G973" s="524"/>
      <c r="H973" s="524"/>
      <c r="I973" s="524"/>
      <c r="J973" s="524"/>
      <c r="K973" s="525"/>
      <c r="L973" s="526"/>
      <c r="M973" s="526"/>
      <c r="N973" s="526"/>
      <c r="O973" s="527"/>
      <c r="P973" s="527"/>
    </row>
    <row r="974" spans="1:16" ht="21.75" customHeight="1" x14ac:dyDescent="0.2">
      <c r="A974" s="521"/>
      <c r="B974" s="521"/>
      <c r="C974" s="521"/>
      <c r="D974" s="521"/>
      <c r="E974" s="524"/>
      <c r="F974" s="524"/>
      <c r="G974" s="524"/>
      <c r="H974" s="524"/>
      <c r="I974" s="524"/>
      <c r="J974" s="524"/>
      <c r="K974" s="525"/>
      <c r="L974" s="526"/>
      <c r="M974" s="526"/>
      <c r="N974" s="526"/>
      <c r="O974" s="527"/>
      <c r="P974" s="527"/>
    </row>
    <row r="975" spans="1:16" ht="21.75" customHeight="1" x14ac:dyDescent="0.2">
      <c r="A975" s="521"/>
      <c r="B975" s="521"/>
      <c r="C975" s="521"/>
      <c r="D975" s="521"/>
      <c r="E975" s="524"/>
      <c r="F975" s="524"/>
      <c r="G975" s="524"/>
      <c r="H975" s="524"/>
      <c r="I975" s="524"/>
      <c r="J975" s="524"/>
      <c r="K975" s="525"/>
      <c r="L975" s="526"/>
      <c r="M975" s="526"/>
      <c r="N975" s="526"/>
      <c r="O975" s="527"/>
      <c r="P975" s="527"/>
    </row>
    <row r="976" spans="1:16" ht="21.75" customHeight="1" x14ac:dyDescent="0.2">
      <c r="A976" s="521"/>
      <c r="B976" s="521"/>
      <c r="C976" s="521"/>
      <c r="D976" s="521"/>
      <c r="E976" s="524"/>
      <c r="F976" s="524"/>
      <c r="G976" s="524"/>
      <c r="H976" s="524"/>
      <c r="I976" s="524"/>
      <c r="J976" s="524"/>
      <c r="K976" s="525"/>
      <c r="L976" s="526"/>
      <c r="M976" s="526"/>
      <c r="N976" s="526"/>
      <c r="O976" s="527"/>
      <c r="P976" s="527"/>
    </row>
    <row r="977" spans="1:16" ht="21.75" customHeight="1" x14ac:dyDescent="0.2">
      <c r="A977" s="521"/>
      <c r="B977" s="521"/>
      <c r="C977" s="521"/>
      <c r="D977" s="521"/>
      <c r="E977" s="524"/>
      <c r="F977" s="524"/>
      <c r="G977" s="524"/>
      <c r="H977" s="524"/>
      <c r="I977" s="524"/>
      <c r="J977" s="524"/>
      <c r="K977" s="525"/>
      <c r="L977" s="526"/>
      <c r="M977" s="526"/>
      <c r="N977" s="526"/>
      <c r="O977" s="527"/>
      <c r="P977" s="527"/>
    </row>
    <row r="978" spans="1:16" ht="21.75" customHeight="1" x14ac:dyDescent="0.2">
      <c r="A978" s="521"/>
      <c r="B978" s="521"/>
      <c r="C978" s="521"/>
      <c r="D978" s="521"/>
      <c r="E978" s="524"/>
      <c r="F978" s="524"/>
      <c r="G978" s="524"/>
      <c r="H978" s="524"/>
      <c r="I978" s="524"/>
      <c r="J978" s="524"/>
      <c r="K978" s="525"/>
      <c r="L978" s="526"/>
      <c r="M978" s="526"/>
      <c r="N978" s="526"/>
      <c r="O978" s="527"/>
      <c r="P978" s="527"/>
    </row>
    <row r="979" spans="1:16" ht="21.75" customHeight="1" x14ac:dyDescent="0.2">
      <c r="A979" s="521"/>
      <c r="B979" s="521"/>
      <c r="C979" s="521"/>
      <c r="D979" s="521"/>
      <c r="E979" s="524"/>
      <c r="F979" s="524"/>
      <c r="G979" s="524"/>
      <c r="H979" s="524"/>
      <c r="I979" s="524"/>
      <c r="J979" s="524"/>
      <c r="K979" s="525"/>
      <c r="L979" s="526"/>
      <c r="M979" s="526"/>
      <c r="N979" s="526"/>
      <c r="O979" s="527"/>
      <c r="P979" s="527"/>
    </row>
    <row r="980" spans="1:16" ht="21.75" customHeight="1" x14ac:dyDescent="0.2">
      <c r="A980" s="521"/>
      <c r="B980" s="521"/>
      <c r="C980" s="521"/>
      <c r="D980" s="521"/>
      <c r="E980" s="524"/>
      <c r="F980" s="524"/>
      <c r="G980" s="524"/>
      <c r="H980" s="524"/>
      <c r="I980" s="524"/>
      <c r="J980" s="524"/>
      <c r="K980" s="525"/>
      <c r="L980" s="526"/>
      <c r="M980" s="526"/>
      <c r="N980" s="526"/>
      <c r="O980" s="527"/>
      <c r="P980" s="527"/>
    </row>
    <row r="981" spans="1:16" ht="21.75" customHeight="1" x14ac:dyDescent="0.2">
      <c r="A981" s="521"/>
      <c r="B981" s="521"/>
      <c r="C981" s="521"/>
      <c r="D981" s="521"/>
      <c r="E981" s="524"/>
      <c r="F981" s="524"/>
      <c r="G981" s="524"/>
      <c r="H981" s="524"/>
      <c r="I981" s="524"/>
      <c r="J981" s="524"/>
      <c r="K981" s="525"/>
      <c r="L981" s="526"/>
      <c r="M981" s="526"/>
      <c r="N981" s="526"/>
      <c r="O981" s="527"/>
      <c r="P981" s="527"/>
    </row>
    <row r="982" spans="1:16" ht="21.75" customHeight="1" x14ac:dyDescent="0.2">
      <c r="A982" s="521"/>
      <c r="B982" s="521"/>
      <c r="C982" s="521"/>
      <c r="D982" s="521"/>
      <c r="E982" s="524"/>
      <c r="F982" s="524"/>
      <c r="G982" s="524"/>
      <c r="H982" s="524"/>
      <c r="I982" s="524"/>
      <c r="J982" s="524"/>
      <c r="K982" s="525"/>
      <c r="L982" s="526"/>
      <c r="M982" s="526"/>
      <c r="N982" s="526"/>
      <c r="O982" s="527"/>
      <c r="P982" s="527"/>
    </row>
    <row r="983" spans="1:16" ht="21.75" customHeight="1" x14ac:dyDescent="0.2">
      <c r="A983" s="521"/>
      <c r="B983" s="521"/>
      <c r="C983" s="521"/>
      <c r="D983" s="521"/>
      <c r="E983" s="524"/>
      <c r="F983" s="524"/>
      <c r="G983" s="524"/>
      <c r="H983" s="524"/>
      <c r="I983" s="524"/>
      <c r="J983" s="524"/>
      <c r="K983" s="525"/>
      <c r="L983" s="526"/>
      <c r="M983" s="526"/>
      <c r="N983" s="526"/>
      <c r="O983" s="527"/>
      <c r="P983" s="527"/>
    </row>
    <row r="984" spans="1:16" ht="21.75" customHeight="1" x14ac:dyDescent="0.2">
      <c r="A984" s="521"/>
      <c r="B984" s="521"/>
      <c r="C984" s="521"/>
      <c r="D984" s="521"/>
      <c r="E984" s="524"/>
      <c r="F984" s="524"/>
      <c r="G984" s="524"/>
      <c r="H984" s="524"/>
      <c r="I984" s="524"/>
      <c r="J984" s="524"/>
      <c r="K984" s="525"/>
      <c r="L984" s="526"/>
      <c r="M984" s="526"/>
      <c r="N984" s="526"/>
      <c r="O984" s="527"/>
      <c r="P984" s="527"/>
    </row>
    <row r="985" spans="1:16" ht="21.75" customHeight="1" x14ac:dyDescent="0.2">
      <c r="A985" s="521"/>
      <c r="B985" s="521"/>
      <c r="C985" s="521"/>
      <c r="D985" s="521"/>
      <c r="E985" s="524"/>
      <c r="F985" s="524"/>
      <c r="G985" s="524"/>
      <c r="H985" s="524"/>
      <c r="I985" s="524"/>
      <c r="J985" s="524"/>
      <c r="K985" s="525"/>
      <c r="L985" s="526"/>
      <c r="M985" s="526"/>
      <c r="N985" s="526"/>
      <c r="O985" s="527"/>
      <c r="P985" s="527"/>
    </row>
    <row r="986" spans="1:16" ht="21.75" customHeight="1" x14ac:dyDescent="0.2">
      <c r="A986" s="521"/>
      <c r="B986" s="521"/>
      <c r="C986" s="521"/>
      <c r="D986" s="521"/>
      <c r="E986" s="524"/>
      <c r="F986" s="524"/>
      <c r="G986" s="524"/>
      <c r="H986" s="524"/>
      <c r="I986" s="524"/>
      <c r="J986" s="524"/>
      <c r="K986" s="525"/>
      <c r="L986" s="526"/>
      <c r="M986" s="526"/>
      <c r="N986" s="526"/>
      <c r="O986" s="527"/>
      <c r="P986" s="527"/>
    </row>
    <row r="987" spans="1:16" ht="21.75" customHeight="1" x14ac:dyDescent="0.2">
      <c r="A987" s="521"/>
      <c r="B987" s="521"/>
      <c r="C987" s="521"/>
      <c r="D987" s="521"/>
      <c r="E987" s="524"/>
      <c r="F987" s="524"/>
      <c r="G987" s="524"/>
      <c r="H987" s="524"/>
      <c r="I987" s="524"/>
      <c r="J987" s="524"/>
      <c r="K987" s="525"/>
      <c r="L987" s="526"/>
      <c r="M987" s="526"/>
      <c r="N987" s="526"/>
      <c r="O987" s="527"/>
      <c r="P987" s="527"/>
    </row>
    <row r="988" spans="1:16" ht="21.75" customHeight="1" x14ac:dyDescent="0.2">
      <c r="A988" s="521"/>
      <c r="B988" s="521"/>
      <c r="C988" s="521"/>
      <c r="D988" s="521"/>
      <c r="E988" s="524"/>
      <c r="F988" s="524"/>
      <c r="G988" s="524"/>
      <c r="H988" s="524"/>
      <c r="I988" s="524"/>
      <c r="J988" s="524"/>
      <c r="K988" s="525"/>
      <c r="L988" s="526"/>
      <c r="M988" s="526"/>
      <c r="N988" s="526"/>
      <c r="O988" s="527"/>
      <c r="P988" s="527"/>
    </row>
    <row r="989" spans="1:16" ht="21.75" customHeight="1" x14ac:dyDescent="0.2">
      <c r="A989" s="521"/>
      <c r="B989" s="521"/>
      <c r="C989" s="521"/>
      <c r="D989" s="521"/>
      <c r="E989" s="524"/>
      <c r="F989" s="524"/>
      <c r="G989" s="524"/>
      <c r="H989" s="524"/>
      <c r="I989" s="524"/>
      <c r="J989" s="524"/>
      <c r="K989" s="525"/>
      <c r="L989" s="526"/>
      <c r="M989" s="526"/>
      <c r="N989" s="526"/>
      <c r="O989" s="527"/>
      <c r="P989" s="527"/>
    </row>
    <row r="990" spans="1:16" ht="21.75" customHeight="1" x14ac:dyDescent="0.2">
      <c r="A990" s="521"/>
      <c r="B990" s="521"/>
      <c r="C990" s="521"/>
      <c r="D990" s="521"/>
      <c r="E990" s="524"/>
      <c r="F990" s="524"/>
      <c r="G990" s="524"/>
      <c r="H990" s="524"/>
      <c r="I990" s="524"/>
      <c r="J990" s="524"/>
      <c r="K990" s="525"/>
      <c r="L990" s="526"/>
      <c r="M990" s="526"/>
      <c r="N990" s="526"/>
      <c r="O990" s="527"/>
      <c r="P990" s="527"/>
    </row>
    <row r="991" spans="1:16" ht="21.75" customHeight="1" x14ac:dyDescent="0.2">
      <c r="A991" s="521"/>
      <c r="B991" s="521"/>
      <c r="C991" s="521"/>
      <c r="D991" s="521"/>
      <c r="E991" s="524"/>
      <c r="F991" s="524"/>
      <c r="G991" s="524"/>
      <c r="H991" s="524"/>
      <c r="I991" s="524"/>
      <c r="J991" s="524"/>
      <c r="K991" s="525"/>
      <c r="L991" s="526"/>
      <c r="M991" s="526"/>
      <c r="N991" s="526"/>
      <c r="O991" s="527"/>
      <c r="P991" s="527"/>
    </row>
    <row r="992" spans="1:16" ht="21.75" customHeight="1" x14ac:dyDescent="0.2">
      <c r="A992" s="521"/>
      <c r="B992" s="521"/>
      <c r="C992" s="521"/>
      <c r="D992" s="521"/>
      <c r="E992" s="524"/>
      <c r="F992" s="524"/>
      <c r="G992" s="524"/>
      <c r="H992" s="524"/>
      <c r="I992" s="524"/>
      <c r="J992" s="524"/>
      <c r="K992" s="525"/>
      <c r="L992" s="526"/>
      <c r="M992" s="526"/>
      <c r="N992" s="526"/>
      <c r="O992" s="527"/>
      <c r="P992" s="527"/>
    </row>
    <row r="993" spans="1:16" ht="21.75" customHeight="1" x14ac:dyDescent="0.2">
      <c r="A993" s="521"/>
      <c r="B993" s="521"/>
      <c r="C993" s="521"/>
      <c r="D993" s="521"/>
      <c r="E993" s="524"/>
      <c r="F993" s="524"/>
      <c r="G993" s="524"/>
      <c r="H993" s="524"/>
      <c r="I993" s="524"/>
      <c r="J993" s="524"/>
      <c r="K993" s="525"/>
      <c r="L993" s="526"/>
      <c r="M993" s="526"/>
      <c r="N993" s="526"/>
      <c r="O993" s="527"/>
      <c r="P993" s="527"/>
    </row>
    <row r="994" spans="1:16" ht="21.75" customHeight="1" x14ac:dyDescent="0.2">
      <c r="A994" s="521"/>
      <c r="B994" s="521"/>
      <c r="C994" s="521"/>
      <c r="D994" s="521"/>
      <c r="E994" s="524"/>
      <c r="F994" s="524"/>
      <c r="G994" s="524"/>
      <c r="H994" s="524"/>
      <c r="I994" s="524"/>
      <c r="J994" s="524"/>
      <c r="K994" s="525"/>
      <c r="L994" s="526"/>
      <c r="M994" s="526"/>
      <c r="N994" s="526"/>
      <c r="O994" s="527"/>
      <c r="P994" s="527"/>
    </row>
    <row r="995" spans="1:16" ht="21.75" customHeight="1" x14ac:dyDescent="0.2">
      <c r="A995" s="521"/>
      <c r="B995" s="521"/>
      <c r="C995" s="521"/>
      <c r="D995" s="521"/>
      <c r="E995" s="524"/>
      <c r="F995" s="524"/>
      <c r="G995" s="524"/>
      <c r="H995" s="524"/>
      <c r="I995" s="524"/>
      <c r="J995" s="524"/>
      <c r="K995" s="525"/>
      <c r="L995" s="526"/>
      <c r="M995" s="526"/>
      <c r="N995" s="526"/>
      <c r="O995" s="527"/>
      <c r="P995" s="527"/>
    </row>
    <row r="996" spans="1:16" ht="21.75" customHeight="1" x14ac:dyDescent="0.2">
      <c r="A996" s="521"/>
      <c r="B996" s="521"/>
      <c r="C996" s="521"/>
      <c r="D996" s="521"/>
      <c r="E996" s="524"/>
      <c r="F996" s="524"/>
      <c r="G996" s="524"/>
      <c r="H996" s="524"/>
      <c r="I996" s="524"/>
      <c r="J996" s="524"/>
      <c r="K996" s="525"/>
      <c r="L996" s="526"/>
      <c r="M996" s="526"/>
      <c r="N996" s="526"/>
      <c r="O996" s="527"/>
      <c r="P996" s="527"/>
    </row>
    <row r="997" spans="1:16" ht="21.75" customHeight="1" x14ac:dyDescent="0.2">
      <c r="A997" s="521"/>
      <c r="B997" s="521"/>
      <c r="C997" s="521"/>
      <c r="D997" s="521"/>
      <c r="E997" s="524"/>
      <c r="F997" s="524"/>
      <c r="G997" s="524"/>
      <c r="H997" s="524"/>
      <c r="I997" s="524"/>
      <c r="J997" s="524"/>
      <c r="K997" s="525"/>
      <c r="L997" s="526"/>
      <c r="M997" s="526"/>
      <c r="N997" s="526"/>
      <c r="O997" s="527"/>
      <c r="P997" s="527"/>
    </row>
    <row r="998" spans="1:16" ht="21.75" customHeight="1" x14ac:dyDescent="0.2">
      <c r="A998" s="521"/>
      <c r="B998" s="521"/>
      <c r="C998" s="521"/>
      <c r="D998" s="521"/>
      <c r="E998" s="524"/>
      <c r="F998" s="524"/>
      <c r="G998" s="524"/>
      <c r="H998" s="524"/>
      <c r="I998" s="524"/>
      <c r="J998" s="524"/>
      <c r="K998" s="525"/>
      <c r="L998" s="526"/>
      <c r="M998" s="526"/>
      <c r="N998" s="526"/>
      <c r="O998" s="527"/>
      <c r="P998" s="527"/>
    </row>
    <row r="999" spans="1:16" ht="21.75" customHeight="1" x14ac:dyDescent="0.2">
      <c r="A999" s="521"/>
      <c r="B999" s="521"/>
      <c r="C999" s="521"/>
      <c r="D999" s="521"/>
      <c r="E999" s="524"/>
      <c r="F999" s="524"/>
      <c r="G999" s="524"/>
      <c r="H999" s="524"/>
      <c r="I999" s="524"/>
      <c r="J999" s="524"/>
      <c r="K999" s="525"/>
      <c r="L999" s="526"/>
      <c r="M999" s="526"/>
      <c r="N999" s="526"/>
      <c r="O999" s="527"/>
      <c r="P999" s="527"/>
    </row>
    <row r="1000" spans="1:16" ht="21.75" customHeight="1" x14ac:dyDescent="0.2">
      <c r="A1000" s="521"/>
      <c r="B1000" s="521"/>
      <c r="C1000" s="521"/>
      <c r="D1000" s="521"/>
      <c r="E1000" s="524"/>
      <c r="F1000" s="524"/>
      <c r="G1000" s="524"/>
      <c r="H1000" s="524"/>
      <c r="I1000" s="524"/>
      <c r="J1000" s="524"/>
      <c r="K1000" s="525"/>
      <c r="L1000" s="526"/>
      <c r="M1000" s="526"/>
      <c r="N1000" s="526"/>
      <c r="O1000" s="527"/>
      <c r="P1000" s="527"/>
    </row>
    <row r="1001" spans="1:16" ht="21.75" customHeight="1" x14ac:dyDescent="0.2">
      <c r="A1001" s="521"/>
      <c r="B1001" s="521"/>
      <c r="C1001" s="521"/>
      <c r="D1001" s="521"/>
      <c r="E1001" s="524"/>
      <c r="F1001" s="524"/>
      <c r="G1001" s="524"/>
      <c r="H1001" s="524"/>
      <c r="I1001" s="524"/>
      <c r="J1001" s="524"/>
      <c r="K1001" s="525"/>
      <c r="L1001" s="526"/>
      <c r="M1001" s="526"/>
      <c r="N1001" s="526"/>
      <c r="O1001" s="527"/>
      <c r="P1001" s="527"/>
    </row>
    <row r="1002" spans="1:16" ht="21.75" customHeight="1" x14ac:dyDescent="0.2">
      <c r="A1002" s="521"/>
      <c r="B1002" s="521"/>
      <c r="C1002" s="521"/>
      <c r="D1002" s="521"/>
      <c r="E1002" s="524"/>
      <c r="F1002" s="524"/>
      <c r="G1002" s="524"/>
      <c r="H1002" s="524"/>
      <c r="I1002" s="524"/>
      <c r="J1002" s="524"/>
      <c r="K1002" s="525"/>
      <c r="L1002" s="526"/>
      <c r="M1002" s="526"/>
      <c r="N1002" s="526"/>
      <c r="O1002" s="527"/>
      <c r="P1002" s="527"/>
    </row>
    <row r="1003" spans="1:16" ht="21.75" customHeight="1" x14ac:dyDescent="0.2">
      <c r="A1003" s="521"/>
      <c r="B1003" s="521"/>
      <c r="C1003" s="521"/>
      <c r="D1003" s="521"/>
      <c r="E1003" s="524"/>
      <c r="F1003" s="524"/>
      <c r="G1003" s="524"/>
      <c r="H1003" s="524"/>
      <c r="I1003" s="524"/>
      <c r="J1003" s="524"/>
      <c r="K1003" s="525"/>
      <c r="L1003" s="526"/>
      <c r="M1003" s="526"/>
      <c r="N1003" s="526"/>
      <c r="O1003" s="527"/>
      <c r="P1003" s="527"/>
    </row>
    <row r="1004" spans="1:16" ht="21.75" customHeight="1" x14ac:dyDescent="0.2">
      <c r="A1004" s="521"/>
      <c r="B1004" s="521"/>
      <c r="C1004" s="521"/>
      <c r="D1004" s="521"/>
      <c r="E1004" s="524"/>
      <c r="F1004" s="524"/>
      <c r="G1004" s="524"/>
      <c r="H1004" s="524"/>
      <c r="I1004" s="524"/>
      <c r="J1004" s="524"/>
      <c r="K1004" s="525"/>
      <c r="L1004" s="526"/>
      <c r="M1004" s="526"/>
      <c r="N1004" s="526"/>
      <c r="O1004" s="527"/>
      <c r="P1004" s="527"/>
    </row>
    <row r="1005" spans="1:16" ht="21.75" customHeight="1" x14ac:dyDescent="0.2">
      <c r="A1005" s="521"/>
      <c r="B1005" s="521"/>
      <c r="C1005" s="521"/>
      <c r="D1005" s="521"/>
      <c r="E1005" s="524"/>
      <c r="F1005" s="524"/>
      <c r="G1005" s="524"/>
      <c r="H1005" s="524"/>
      <c r="I1005" s="524"/>
      <c r="J1005" s="524"/>
      <c r="K1005" s="525"/>
      <c r="L1005" s="526"/>
      <c r="M1005" s="526"/>
      <c r="N1005" s="526"/>
      <c r="O1005" s="527"/>
      <c r="P1005" s="527"/>
    </row>
    <row r="1006" spans="1:16" ht="21.75" customHeight="1" x14ac:dyDescent="0.2">
      <c r="A1006" s="521"/>
      <c r="B1006" s="521"/>
      <c r="C1006" s="521"/>
      <c r="D1006" s="521"/>
      <c r="E1006" s="524"/>
      <c r="F1006" s="524"/>
      <c r="G1006" s="524"/>
      <c r="H1006" s="524"/>
      <c r="I1006" s="524"/>
      <c r="J1006" s="524"/>
      <c r="K1006" s="525"/>
      <c r="L1006" s="526"/>
      <c r="M1006" s="526"/>
      <c r="N1006" s="526"/>
      <c r="O1006" s="527"/>
      <c r="P1006" s="527"/>
    </row>
    <row r="1007" spans="1:16" ht="21.75" customHeight="1" x14ac:dyDescent="0.2">
      <c r="A1007" s="521"/>
      <c r="B1007" s="521"/>
      <c r="C1007" s="521"/>
      <c r="D1007" s="521"/>
      <c r="E1007" s="524"/>
      <c r="F1007" s="524"/>
      <c r="G1007" s="524"/>
      <c r="H1007" s="524"/>
      <c r="I1007" s="524"/>
      <c r="J1007" s="524"/>
      <c r="K1007" s="525"/>
      <c r="L1007" s="526"/>
      <c r="M1007" s="526"/>
      <c r="N1007" s="526"/>
      <c r="O1007" s="527"/>
      <c r="P1007" s="527"/>
    </row>
    <row r="1008" spans="1:16" ht="21.75" customHeight="1" x14ac:dyDescent="0.2">
      <c r="A1008" s="521"/>
      <c r="B1008" s="521"/>
      <c r="C1008" s="521"/>
      <c r="D1008" s="521"/>
      <c r="E1008" s="524"/>
      <c r="F1008" s="524"/>
      <c r="G1008" s="524"/>
      <c r="H1008" s="524"/>
      <c r="I1008" s="524"/>
      <c r="J1008" s="524"/>
      <c r="K1008" s="525"/>
      <c r="L1008" s="526"/>
      <c r="M1008" s="526"/>
      <c r="N1008" s="526"/>
      <c r="O1008" s="527"/>
      <c r="P1008" s="527"/>
    </row>
    <row r="1009" spans="1:16" ht="21.75" customHeight="1" x14ac:dyDescent="0.2">
      <c r="A1009" s="521"/>
      <c r="B1009" s="521"/>
      <c r="C1009" s="521"/>
      <c r="D1009" s="521"/>
      <c r="E1009" s="524"/>
      <c r="F1009" s="524"/>
      <c r="G1009" s="524"/>
      <c r="H1009" s="524"/>
      <c r="I1009" s="524"/>
      <c r="J1009" s="524"/>
      <c r="K1009" s="525"/>
      <c r="L1009" s="526"/>
      <c r="M1009" s="526"/>
      <c r="N1009" s="526"/>
      <c r="O1009" s="527"/>
      <c r="P1009" s="527"/>
    </row>
    <row r="1010" spans="1:16" ht="21.75" customHeight="1" x14ac:dyDescent="0.2">
      <c r="A1010" s="521"/>
      <c r="B1010" s="521"/>
      <c r="C1010" s="521"/>
      <c r="D1010" s="521"/>
      <c r="E1010" s="524"/>
      <c r="F1010" s="524"/>
      <c r="G1010" s="524"/>
      <c r="H1010" s="524"/>
      <c r="I1010" s="524"/>
      <c r="J1010" s="524"/>
      <c r="K1010" s="525"/>
      <c r="L1010" s="526"/>
      <c r="M1010" s="526"/>
      <c r="N1010" s="526"/>
      <c r="O1010" s="527"/>
      <c r="P1010" s="527"/>
    </row>
    <row r="1011" spans="1:16" ht="21.75" customHeight="1" x14ac:dyDescent="0.2">
      <c r="A1011" s="521"/>
      <c r="B1011" s="521"/>
      <c r="C1011" s="521"/>
      <c r="D1011" s="521"/>
      <c r="E1011" s="524"/>
      <c r="F1011" s="524"/>
      <c r="G1011" s="524"/>
      <c r="H1011" s="524"/>
      <c r="I1011" s="524"/>
      <c r="J1011" s="524"/>
      <c r="K1011" s="525"/>
      <c r="L1011" s="526"/>
      <c r="M1011" s="526"/>
      <c r="N1011" s="526"/>
      <c r="O1011" s="527"/>
      <c r="P1011" s="527"/>
    </row>
    <row r="1012" spans="1:16" ht="21.75" customHeight="1" x14ac:dyDescent="0.2">
      <c r="A1012" s="521"/>
      <c r="B1012" s="521"/>
      <c r="C1012" s="521"/>
      <c r="D1012" s="521"/>
      <c r="E1012" s="524"/>
      <c r="F1012" s="524"/>
      <c r="G1012" s="524"/>
      <c r="H1012" s="524"/>
      <c r="I1012" s="524"/>
      <c r="J1012" s="524"/>
      <c r="K1012" s="525"/>
      <c r="L1012" s="526"/>
      <c r="M1012" s="526"/>
      <c r="N1012" s="526"/>
      <c r="O1012" s="527"/>
      <c r="P1012" s="527"/>
    </row>
    <row r="1013" spans="1:16" ht="21.75" customHeight="1" x14ac:dyDescent="0.2">
      <c r="A1013" s="521"/>
      <c r="B1013" s="521"/>
      <c r="C1013" s="521"/>
      <c r="D1013" s="521"/>
      <c r="E1013" s="524"/>
      <c r="F1013" s="524"/>
      <c r="G1013" s="524"/>
      <c r="H1013" s="524"/>
      <c r="I1013" s="524"/>
      <c r="J1013" s="524"/>
      <c r="K1013" s="525"/>
      <c r="L1013" s="526"/>
      <c r="M1013" s="526"/>
      <c r="N1013" s="526"/>
      <c r="O1013" s="527"/>
      <c r="P1013" s="527"/>
    </row>
    <row r="1014" spans="1:16" ht="21.75" customHeight="1" x14ac:dyDescent="0.2">
      <c r="A1014" s="521"/>
      <c r="B1014" s="521"/>
      <c r="C1014" s="521"/>
      <c r="D1014" s="521"/>
      <c r="E1014" s="524"/>
      <c r="F1014" s="524"/>
      <c r="G1014" s="524"/>
      <c r="H1014" s="524"/>
      <c r="I1014" s="524"/>
      <c r="J1014" s="524"/>
      <c r="K1014" s="525"/>
      <c r="L1014" s="526"/>
      <c r="M1014" s="526"/>
      <c r="N1014" s="526"/>
      <c r="O1014" s="527"/>
      <c r="P1014" s="527"/>
    </row>
    <row r="1015" spans="1:16" ht="21.75" customHeight="1" x14ac:dyDescent="0.2">
      <c r="A1015" s="521"/>
      <c r="B1015" s="521"/>
      <c r="C1015" s="521"/>
      <c r="D1015" s="521"/>
      <c r="E1015" s="524"/>
      <c r="F1015" s="524"/>
      <c r="G1015" s="524"/>
      <c r="H1015" s="524"/>
      <c r="I1015" s="524"/>
      <c r="J1015" s="524"/>
      <c r="K1015" s="525"/>
      <c r="L1015" s="526"/>
      <c r="M1015" s="526"/>
      <c r="N1015" s="526"/>
      <c r="O1015" s="527"/>
      <c r="P1015" s="527"/>
    </row>
    <row r="1016" spans="1:16" ht="21.75" customHeight="1" x14ac:dyDescent="0.2">
      <c r="A1016" s="521"/>
      <c r="B1016" s="521"/>
      <c r="C1016" s="521"/>
      <c r="D1016" s="521"/>
      <c r="E1016" s="524"/>
      <c r="F1016" s="524"/>
      <c r="G1016" s="524"/>
      <c r="H1016" s="524"/>
      <c r="I1016" s="524"/>
      <c r="J1016" s="524"/>
      <c r="K1016" s="525"/>
      <c r="L1016" s="526"/>
      <c r="M1016" s="526"/>
      <c r="N1016" s="526"/>
      <c r="O1016" s="527"/>
      <c r="P1016" s="527"/>
    </row>
    <row r="1017" spans="1:16" ht="21.75" customHeight="1" x14ac:dyDescent="0.2">
      <c r="A1017" s="521"/>
      <c r="B1017" s="521"/>
      <c r="C1017" s="521"/>
      <c r="D1017" s="521"/>
      <c r="E1017" s="524"/>
      <c r="F1017" s="524"/>
      <c r="G1017" s="524"/>
      <c r="H1017" s="524"/>
      <c r="I1017" s="524"/>
      <c r="J1017" s="524"/>
      <c r="K1017" s="525"/>
      <c r="L1017" s="526"/>
      <c r="M1017" s="526"/>
      <c r="N1017" s="526"/>
      <c r="O1017" s="527"/>
      <c r="P1017" s="527"/>
    </row>
    <row r="1018" spans="1:16" ht="21.75" customHeight="1" x14ac:dyDescent="0.2">
      <c r="A1018" s="521"/>
      <c r="B1018" s="521"/>
      <c r="C1018" s="521"/>
      <c r="D1018" s="521"/>
      <c r="E1018" s="524"/>
      <c r="F1018" s="524"/>
      <c r="G1018" s="524"/>
      <c r="H1018" s="524"/>
      <c r="I1018" s="524"/>
      <c r="J1018" s="524"/>
      <c r="K1018" s="525"/>
      <c r="L1018" s="526"/>
      <c r="M1018" s="526"/>
      <c r="N1018" s="526"/>
      <c r="O1018" s="527"/>
      <c r="P1018" s="527"/>
    </row>
    <row r="1019" spans="1:16" ht="21.75" customHeight="1" x14ac:dyDescent="0.2">
      <c r="A1019" s="521"/>
      <c r="B1019" s="521"/>
      <c r="C1019" s="521"/>
      <c r="D1019" s="521"/>
      <c r="E1019" s="524"/>
      <c r="F1019" s="524"/>
      <c r="G1019" s="524"/>
      <c r="H1019" s="524"/>
      <c r="I1019" s="524"/>
      <c r="J1019" s="524"/>
      <c r="K1019" s="525"/>
      <c r="L1019" s="526"/>
      <c r="M1019" s="526"/>
      <c r="N1019" s="526"/>
      <c r="O1019" s="527"/>
      <c r="P1019" s="527"/>
    </row>
    <row r="1020" spans="1:16" ht="21.75" customHeight="1" x14ac:dyDescent="0.2">
      <c r="A1020" s="521"/>
      <c r="B1020" s="521"/>
      <c r="C1020" s="521"/>
      <c r="D1020" s="521"/>
      <c r="E1020" s="524"/>
      <c r="F1020" s="524"/>
      <c r="G1020" s="524"/>
      <c r="H1020" s="524"/>
      <c r="I1020" s="524"/>
      <c r="J1020" s="524"/>
      <c r="K1020" s="525"/>
      <c r="L1020" s="526"/>
      <c r="M1020" s="526"/>
      <c r="N1020" s="526"/>
      <c r="O1020" s="527"/>
      <c r="P1020" s="527"/>
    </row>
    <row r="1021" spans="1:16" ht="21.75" customHeight="1" x14ac:dyDescent="0.2">
      <c r="A1021" s="521"/>
      <c r="B1021" s="521"/>
      <c r="C1021" s="521"/>
      <c r="D1021" s="521"/>
      <c r="E1021" s="524"/>
      <c r="F1021" s="524"/>
      <c r="G1021" s="524"/>
      <c r="H1021" s="524"/>
      <c r="I1021" s="524"/>
      <c r="J1021" s="524"/>
      <c r="K1021" s="525"/>
      <c r="L1021" s="526"/>
      <c r="M1021" s="526"/>
      <c r="N1021" s="526"/>
      <c r="O1021" s="527"/>
      <c r="P1021" s="527"/>
    </row>
    <row r="1022" spans="1:16" ht="21.75" customHeight="1" x14ac:dyDescent="0.2">
      <c r="A1022" s="521"/>
      <c r="B1022" s="521"/>
      <c r="C1022" s="521"/>
      <c r="D1022" s="521"/>
      <c r="E1022" s="524"/>
      <c r="F1022" s="524"/>
      <c r="G1022" s="524"/>
      <c r="H1022" s="524"/>
      <c r="I1022" s="524"/>
      <c r="J1022" s="524"/>
      <c r="K1022" s="525"/>
      <c r="L1022" s="526"/>
      <c r="M1022" s="526"/>
      <c r="N1022" s="526"/>
      <c r="O1022" s="527"/>
      <c r="P1022" s="527"/>
    </row>
    <row r="1023" spans="1:16" ht="21.75" customHeight="1" x14ac:dyDescent="0.2">
      <c r="A1023" s="521"/>
      <c r="B1023" s="521"/>
      <c r="C1023" s="521"/>
      <c r="D1023" s="521"/>
      <c r="E1023" s="524"/>
      <c r="F1023" s="524"/>
      <c r="G1023" s="524"/>
      <c r="H1023" s="524"/>
      <c r="I1023" s="524"/>
      <c r="J1023" s="524"/>
      <c r="K1023" s="525"/>
      <c r="L1023" s="526"/>
      <c r="M1023" s="526"/>
      <c r="N1023" s="526"/>
      <c r="O1023" s="527"/>
      <c r="P1023" s="527"/>
    </row>
    <row r="1024" spans="1:16" ht="21.75" customHeight="1" x14ac:dyDescent="0.2">
      <c r="A1024" s="521"/>
      <c r="B1024" s="521"/>
      <c r="C1024" s="521"/>
      <c r="D1024" s="521"/>
      <c r="E1024" s="524"/>
      <c r="F1024" s="524"/>
      <c r="G1024" s="524"/>
      <c r="H1024" s="524"/>
      <c r="I1024" s="524"/>
      <c r="J1024" s="524"/>
      <c r="K1024" s="525"/>
      <c r="L1024" s="526"/>
      <c r="M1024" s="526"/>
      <c r="N1024" s="526"/>
      <c r="O1024" s="527"/>
      <c r="P1024" s="527"/>
    </row>
    <row r="1025" spans="1:16" ht="21.75" customHeight="1" x14ac:dyDescent="0.2">
      <c r="A1025" s="521"/>
      <c r="B1025" s="521"/>
      <c r="C1025" s="521"/>
      <c r="D1025" s="521"/>
      <c r="E1025" s="524"/>
      <c r="F1025" s="524"/>
      <c r="G1025" s="524"/>
      <c r="H1025" s="524"/>
      <c r="I1025" s="524"/>
      <c r="J1025" s="524"/>
      <c r="K1025" s="525"/>
      <c r="L1025" s="526"/>
      <c r="M1025" s="526"/>
      <c r="N1025" s="526"/>
      <c r="O1025" s="527"/>
      <c r="P1025" s="527"/>
    </row>
    <row r="1026" spans="1:16" ht="21.75" customHeight="1" x14ac:dyDescent="0.2">
      <c r="A1026" s="521"/>
      <c r="B1026" s="521"/>
      <c r="C1026" s="521"/>
      <c r="D1026" s="521"/>
      <c r="E1026" s="524"/>
      <c r="F1026" s="524"/>
      <c r="G1026" s="524"/>
      <c r="H1026" s="524"/>
      <c r="I1026" s="524"/>
      <c r="J1026" s="524"/>
      <c r="K1026" s="525"/>
      <c r="L1026" s="526"/>
      <c r="M1026" s="526"/>
      <c r="N1026" s="526"/>
      <c r="O1026" s="527"/>
      <c r="P1026" s="527"/>
    </row>
    <row r="1027" spans="1:16" ht="21.75" customHeight="1" x14ac:dyDescent="0.2">
      <c r="A1027" s="521"/>
      <c r="B1027" s="521"/>
      <c r="C1027" s="521"/>
      <c r="D1027" s="521"/>
      <c r="E1027" s="524"/>
      <c r="F1027" s="524"/>
      <c r="G1027" s="524"/>
      <c r="H1027" s="524"/>
      <c r="I1027" s="524"/>
      <c r="J1027" s="524"/>
      <c r="K1027" s="525"/>
      <c r="L1027" s="526"/>
      <c r="M1027" s="526"/>
      <c r="N1027" s="526"/>
      <c r="O1027" s="527"/>
      <c r="P1027" s="527"/>
    </row>
    <row r="1028" spans="1:16" ht="21.75" customHeight="1" x14ac:dyDescent="0.2">
      <c r="A1028" s="521"/>
      <c r="B1028" s="521"/>
      <c r="C1028" s="521"/>
      <c r="D1028" s="521"/>
      <c r="E1028" s="524"/>
      <c r="F1028" s="524"/>
      <c r="G1028" s="524"/>
      <c r="H1028" s="524"/>
      <c r="I1028" s="524"/>
      <c r="J1028" s="524"/>
      <c r="K1028" s="525"/>
      <c r="L1028" s="526"/>
      <c r="M1028" s="526"/>
      <c r="N1028" s="526"/>
      <c r="O1028" s="527"/>
      <c r="P1028" s="527"/>
    </row>
    <row r="1029" spans="1:16" ht="21.75" customHeight="1" x14ac:dyDescent="0.2">
      <c r="A1029" s="521"/>
      <c r="B1029" s="521"/>
      <c r="C1029" s="521"/>
      <c r="D1029" s="521"/>
      <c r="E1029" s="524"/>
      <c r="F1029" s="524"/>
      <c r="G1029" s="524"/>
      <c r="H1029" s="524"/>
      <c r="I1029" s="524"/>
      <c r="J1029" s="524"/>
      <c r="K1029" s="525"/>
      <c r="L1029" s="526"/>
      <c r="M1029" s="526"/>
      <c r="N1029" s="526"/>
      <c r="O1029" s="527"/>
      <c r="P1029" s="527"/>
    </row>
    <row r="1030" spans="1:16" ht="21.75" customHeight="1" x14ac:dyDescent="0.2">
      <c r="A1030" s="521"/>
      <c r="B1030" s="521"/>
      <c r="C1030" s="521"/>
      <c r="D1030" s="521"/>
      <c r="E1030" s="524"/>
      <c r="F1030" s="524"/>
      <c r="G1030" s="524"/>
      <c r="H1030" s="524"/>
      <c r="I1030" s="524"/>
      <c r="J1030" s="524"/>
      <c r="K1030" s="525"/>
      <c r="L1030" s="526"/>
      <c r="M1030" s="526"/>
      <c r="N1030" s="526"/>
      <c r="O1030" s="527"/>
      <c r="P1030" s="527"/>
    </row>
    <row r="1031" spans="1:16" ht="21.75" customHeight="1" x14ac:dyDescent="0.2">
      <c r="A1031" s="521"/>
      <c r="B1031" s="521"/>
      <c r="C1031" s="521"/>
      <c r="D1031" s="521"/>
      <c r="E1031" s="524"/>
      <c r="F1031" s="524"/>
      <c r="G1031" s="524"/>
      <c r="H1031" s="524"/>
      <c r="I1031" s="524"/>
      <c r="J1031" s="524"/>
      <c r="K1031" s="525"/>
      <c r="L1031" s="526"/>
      <c r="M1031" s="526"/>
      <c r="N1031" s="526"/>
      <c r="O1031" s="527"/>
      <c r="P1031" s="527"/>
    </row>
    <row r="1032" spans="1:16" ht="21.75" customHeight="1" x14ac:dyDescent="0.2">
      <c r="A1032" s="521"/>
      <c r="B1032" s="521"/>
      <c r="C1032" s="521"/>
      <c r="D1032" s="521"/>
      <c r="E1032" s="524"/>
      <c r="F1032" s="524"/>
      <c r="G1032" s="524"/>
      <c r="H1032" s="524"/>
      <c r="I1032" s="524"/>
      <c r="J1032" s="524"/>
      <c r="K1032" s="525"/>
      <c r="L1032" s="526"/>
      <c r="M1032" s="526"/>
      <c r="N1032" s="526"/>
      <c r="O1032" s="527"/>
      <c r="P1032" s="527"/>
    </row>
    <row r="1033" spans="1:16" ht="21.75" customHeight="1" x14ac:dyDescent="0.2">
      <c r="A1033" s="521"/>
      <c r="B1033" s="521"/>
      <c r="C1033" s="521"/>
      <c r="D1033" s="521"/>
      <c r="E1033" s="524"/>
      <c r="F1033" s="524"/>
      <c r="G1033" s="524"/>
      <c r="H1033" s="524"/>
      <c r="I1033" s="524"/>
      <c r="J1033" s="524"/>
      <c r="K1033" s="525"/>
      <c r="L1033" s="526"/>
      <c r="M1033" s="526"/>
      <c r="N1033" s="526"/>
      <c r="O1033" s="527"/>
      <c r="P1033" s="527"/>
    </row>
    <row r="1034" spans="1:16" ht="21.75" customHeight="1" x14ac:dyDescent="0.2">
      <c r="A1034" s="521"/>
      <c r="B1034" s="521"/>
      <c r="C1034" s="521"/>
      <c r="D1034" s="521"/>
      <c r="E1034" s="524"/>
      <c r="F1034" s="524"/>
      <c r="G1034" s="524"/>
      <c r="H1034" s="524"/>
      <c r="I1034" s="524"/>
      <c r="J1034" s="524"/>
      <c r="K1034" s="525"/>
      <c r="L1034" s="526"/>
      <c r="M1034" s="526"/>
      <c r="N1034" s="526"/>
      <c r="O1034" s="527"/>
      <c r="P1034" s="527"/>
    </row>
    <row r="1035" spans="1:16" ht="21.75" customHeight="1" x14ac:dyDescent="0.2">
      <c r="A1035" s="521"/>
      <c r="B1035" s="521"/>
      <c r="C1035" s="521"/>
      <c r="D1035" s="521"/>
      <c r="E1035" s="524"/>
      <c r="F1035" s="524"/>
      <c r="G1035" s="524"/>
      <c r="H1035" s="524"/>
      <c r="I1035" s="524"/>
      <c r="J1035" s="524"/>
      <c r="K1035" s="525"/>
      <c r="L1035" s="526"/>
      <c r="M1035" s="526"/>
      <c r="N1035" s="526"/>
      <c r="O1035" s="527"/>
      <c r="P1035" s="527"/>
    </row>
    <row r="1036" spans="1:16" ht="21.75" customHeight="1" x14ac:dyDescent="0.2">
      <c r="A1036" s="521"/>
      <c r="B1036" s="521"/>
      <c r="C1036" s="521"/>
      <c r="D1036" s="521"/>
      <c r="E1036" s="524"/>
      <c r="F1036" s="524"/>
      <c r="G1036" s="524"/>
      <c r="H1036" s="524"/>
      <c r="I1036" s="524"/>
      <c r="J1036" s="524"/>
      <c r="K1036" s="525"/>
      <c r="L1036" s="526"/>
      <c r="M1036" s="526"/>
      <c r="N1036" s="526"/>
      <c r="O1036" s="527"/>
      <c r="P1036" s="527"/>
    </row>
    <row r="1037" spans="1:16" ht="21.75" customHeight="1" x14ac:dyDescent="0.2">
      <c r="A1037" s="521"/>
      <c r="B1037" s="521"/>
      <c r="C1037" s="521"/>
      <c r="D1037" s="521"/>
      <c r="E1037" s="524"/>
      <c r="F1037" s="524"/>
      <c r="G1037" s="524"/>
      <c r="H1037" s="524"/>
      <c r="I1037" s="524"/>
      <c r="J1037" s="524"/>
      <c r="K1037" s="525"/>
      <c r="L1037" s="526"/>
      <c r="M1037" s="526"/>
      <c r="N1037" s="526"/>
      <c r="O1037" s="527"/>
      <c r="P1037" s="527"/>
    </row>
    <row r="1038" spans="1:16" ht="21.75" customHeight="1" x14ac:dyDescent="0.2">
      <c r="A1038" s="521"/>
      <c r="B1038" s="521"/>
      <c r="C1038" s="521"/>
      <c r="D1038" s="521"/>
      <c r="E1038" s="524"/>
      <c r="F1038" s="524"/>
      <c r="G1038" s="524"/>
      <c r="H1038" s="524"/>
      <c r="I1038" s="524"/>
      <c r="J1038" s="524"/>
      <c r="K1038" s="525"/>
      <c r="L1038" s="526"/>
      <c r="M1038" s="526"/>
      <c r="N1038" s="526"/>
      <c r="O1038" s="527"/>
      <c r="P1038" s="527"/>
    </row>
    <row r="1039" spans="1:16" ht="21.75" customHeight="1" x14ac:dyDescent="0.2">
      <c r="A1039" s="521"/>
      <c r="B1039" s="521"/>
      <c r="C1039" s="521"/>
      <c r="D1039" s="521"/>
      <c r="E1039" s="524"/>
      <c r="F1039" s="524"/>
      <c r="G1039" s="524"/>
      <c r="H1039" s="524"/>
      <c r="I1039" s="524"/>
      <c r="J1039" s="524"/>
      <c r="K1039" s="525"/>
      <c r="L1039" s="526"/>
      <c r="M1039" s="526"/>
      <c r="N1039" s="526"/>
      <c r="O1039" s="527"/>
      <c r="P1039" s="527"/>
    </row>
    <row r="1040" spans="1:16" ht="21.75" customHeight="1" x14ac:dyDescent="0.2">
      <c r="A1040" s="521"/>
      <c r="B1040" s="521"/>
      <c r="C1040" s="521"/>
      <c r="D1040" s="521"/>
      <c r="E1040" s="524"/>
      <c r="F1040" s="524"/>
      <c r="G1040" s="524"/>
      <c r="H1040" s="524"/>
      <c r="I1040" s="524"/>
      <c r="J1040" s="524"/>
      <c r="K1040" s="525"/>
      <c r="L1040" s="526"/>
      <c r="M1040" s="526"/>
      <c r="N1040" s="526"/>
      <c r="O1040" s="527"/>
      <c r="P1040" s="527"/>
    </row>
    <row r="1041" spans="1:16" ht="21.75" customHeight="1" x14ac:dyDescent="0.2">
      <c r="A1041" s="521"/>
      <c r="B1041" s="521"/>
      <c r="C1041" s="521"/>
      <c r="D1041" s="521"/>
      <c r="E1041" s="524"/>
      <c r="F1041" s="524"/>
      <c r="G1041" s="524"/>
      <c r="H1041" s="524"/>
      <c r="I1041" s="524"/>
      <c r="J1041" s="524"/>
      <c r="K1041" s="525"/>
      <c r="L1041" s="526"/>
      <c r="M1041" s="526"/>
      <c r="N1041" s="526"/>
      <c r="O1041" s="527"/>
      <c r="P1041" s="527"/>
    </row>
    <row r="1042" spans="1:16" ht="21.75" customHeight="1" x14ac:dyDescent="0.2">
      <c r="A1042" s="521"/>
      <c r="B1042" s="521"/>
      <c r="C1042" s="521"/>
      <c r="D1042" s="521"/>
      <c r="E1042" s="524"/>
      <c r="F1042" s="524"/>
      <c r="G1042" s="524"/>
      <c r="H1042" s="524"/>
      <c r="I1042" s="524"/>
      <c r="J1042" s="524"/>
      <c r="K1042" s="525"/>
      <c r="L1042" s="526"/>
      <c r="M1042" s="526"/>
      <c r="N1042" s="526"/>
      <c r="O1042" s="527"/>
      <c r="P1042" s="527"/>
    </row>
    <row r="1043" spans="1:16" ht="21.75" customHeight="1" x14ac:dyDescent="0.2">
      <c r="A1043" s="521"/>
      <c r="B1043" s="521"/>
      <c r="C1043" s="521"/>
      <c r="D1043" s="521"/>
      <c r="E1043" s="524"/>
      <c r="F1043" s="524"/>
      <c r="G1043" s="524"/>
      <c r="H1043" s="524"/>
      <c r="I1043" s="524"/>
      <c r="J1043" s="524"/>
      <c r="K1043" s="525"/>
      <c r="L1043" s="526"/>
      <c r="M1043" s="526"/>
      <c r="N1043" s="526"/>
      <c r="O1043" s="527"/>
      <c r="P1043" s="527"/>
    </row>
    <row r="1044" spans="1:16" ht="21.75" customHeight="1" x14ac:dyDescent="0.2">
      <c r="A1044" s="521"/>
      <c r="B1044" s="521"/>
      <c r="C1044" s="521"/>
      <c r="D1044" s="521"/>
      <c r="E1044" s="524"/>
      <c r="F1044" s="524"/>
      <c r="G1044" s="524"/>
      <c r="H1044" s="524"/>
      <c r="I1044" s="524"/>
      <c r="J1044" s="524"/>
      <c r="K1044" s="525"/>
      <c r="L1044" s="526"/>
      <c r="M1044" s="526"/>
      <c r="N1044" s="526"/>
      <c r="O1044" s="527"/>
      <c r="P1044" s="527"/>
    </row>
    <row r="1045" spans="1:16" ht="21.75" customHeight="1" x14ac:dyDescent="0.2">
      <c r="A1045" s="521"/>
      <c r="B1045" s="521"/>
      <c r="C1045" s="521"/>
      <c r="D1045" s="521"/>
      <c r="E1045" s="524"/>
      <c r="F1045" s="524"/>
      <c r="G1045" s="524"/>
      <c r="H1045" s="524"/>
      <c r="I1045" s="524"/>
      <c r="J1045" s="524"/>
      <c r="K1045" s="525"/>
      <c r="L1045" s="526"/>
      <c r="M1045" s="526"/>
      <c r="N1045" s="526"/>
      <c r="O1045" s="527"/>
      <c r="P1045" s="527"/>
    </row>
    <row r="1046" spans="1:16" ht="21.75" customHeight="1" x14ac:dyDescent="0.2">
      <c r="A1046" s="521"/>
      <c r="B1046" s="521"/>
      <c r="C1046" s="521"/>
      <c r="D1046" s="521"/>
      <c r="E1046" s="524"/>
      <c r="F1046" s="524"/>
      <c r="G1046" s="524"/>
      <c r="H1046" s="524"/>
      <c r="I1046" s="524"/>
      <c r="J1046" s="524"/>
      <c r="K1046" s="525"/>
      <c r="L1046" s="526"/>
      <c r="M1046" s="526"/>
      <c r="N1046" s="526"/>
      <c r="O1046" s="527"/>
      <c r="P1046" s="527"/>
    </row>
    <row r="1047" spans="1:16" ht="21.75" customHeight="1" x14ac:dyDescent="0.2">
      <c r="A1047" s="521"/>
      <c r="B1047" s="521"/>
      <c r="C1047" s="521"/>
      <c r="D1047" s="521"/>
      <c r="E1047" s="524"/>
      <c r="F1047" s="524"/>
      <c r="G1047" s="524"/>
      <c r="H1047" s="524"/>
      <c r="I1047" s="524"/>
      <c r="J1047" s="524"/>
      <c r="K1047" s="525"/>
      <c r="L1047" s="526"/>
      <c r="M1047" s="526"/>
      <c r="N1047" s="526"/>
      <c r="O1047" s="527"/>
      <c r="P1047" s="527"/>
    </row>
    <row r="1048" spans="1:16" ht="21.75" customHeight="1" x14ac:dyDescent="0.2">
      <c r="A1048" s="521"/>
      <c r="B1048" s="521"/>
      <c r="C1048" s="521"/>
      <c r="D1048" s="521"/>
      <c r="E1048" s="524"/>
      <c r="F1048" s="524"/>
      <c r="G1048" s="524"/>
      <c r="H1048" s="524"/>
      <c r="I1048" s="524"/>
      <c r="J1048" s="524"/>
      <c r="K1048" s="525"/>
      <c r="L1048" s="526"/>
      <c r="M1048" s="526"/>
      <c r="N1048" s="526"/>
      <c r="O1048" s="527"/>
      <c r="P1048" s="527"/>
    </row>
    <row r="1049" spans="1:16" ht="21.75" customHeight="1" x14ac:dyDescent="0.2">
      <c r="A1049" s="521"/>
      <c r="B1049" s="521"/>
      <c r="C1049" s="521"/>
      <c r="D1049" s="521"/>
      <c r="E1049" s="524"/>
      <c r="F1049" s="524"/>
      <c r="G1049" s="524"/>
      <c r="H1049" s="524"/>
      <c r="I1049" s="524"/>
      <c r="J1049" s="524"/>
      <c r="K1049" s="525"/>
      <c r="L1049" s="526"/>
      <c r="M1049" s="526"/>
      <c r="N1049" s="526"/>
      <c r="O1049" s="527"/>
      <c r="P1049" s="527"/>
    </row>
    <row r="1050" spans="1:16" ht="21.75" customHeight="1" x14ac:dyDescent="0.2">
      <c r="A1050" s="521"/>
      <c r="B1050" s="521"/>
      <c r="C1050" s="521"/>
      <c r="D1050" s="521"/>
      <c r="E1050" s="524"/>
      <c r="F1050" s="524"/>
      <c r="G1050" s="524"/>
      <c r="H1050" s="524"/>
      <c r="I1050" s="524"/>
      <c r="J1050" s="524"/>
      <c r="K1050" s="525"/>
      <c r="L1050" s="526"/>
      <c r="M1050" s="526"/>
      <c r="N1050" s="526"/>
      <c r="O1050" s="527"/>
      <c r="P1050" s="527"/>
    </row>
    <row r="1051" spans="1:16" ht="21.75" customHeight="1" x14ac:dyDescent="0.2">
      <c r="A1051" s="521"/>
      <c r="B1051" s="521"/>
      <c r="C1051" s="521"/>
      <c r="D1051" s="521"/>
      <c r="E1051" s="524"/>
      <c r="F1051" s="524"/>
      <c r="G1051" s="524"/>
      <c r="H1051" s="524"/>
      <c r="I1051" s="524"/>
      <c r="J1051" s="524"/>
      <c r="K1051" s="525"/>
      <c r="L1051" s="526"/>
      <c r="M1051" s="526"/>
      <c r="N1051" s="526"/>
      <c r="O1051" s="527"/>
      <c r="P1051" s="527"/>
    </row>
    <row r="1052" spans="1:16" ht="21.75" customHeight="1" x14ac:dyDescent="0.2">
      <c r="A1052" s="521"/>
      <c r="B1052" s="521"/>
      <c r="C1052" s="521"/>
      <c r="D1052" s="521"/>
      <c r="E1052" s="524"/>
      <c r="F1052" s="524"/>
      <c r="G1052" s="524"/>
      <c r="H1052" s="524"/>
      <c r="I1052" s="524"/>
      <c r="J1052" s="524"/>
      <c r="K1052" s="525"/>
      <c r="L1052" s="526"/>
      <c r="M1052" s="526"/>
      <c r="N1052" s="526"/>
      <c r="O1052" s="527"/>
      <c r="P1052" s="527"/>
    </row>
    <row r="1053" spans="1:16" ht="21.75" customHeight="1" x14ac:dyDescent="0.2">
      <c r="A1053" s="521"/>
      <c r="B1053" s="521"/>
      <c r="C1053" s="521"/>
      <c r="D1053" s="521"/>
      <c r="E1053" s="524"/>
      <c r="F1053" s="524"/>
      <c r="G1053" s="524"/>
      <c r="H1053" s="524"/>
      <c r="I1053" s="524"/>
      <c r="J1053" s="524"/>
      <c r="K1053" s="525"/>
      <c r="L1053" s="526"/>
      <c r="M1053" s="526"/>
      <c r="N1053" s="526"/>
      <c r="O1053" s="527"/>
      <c r="P1053" s="527"/>
    </row>
    <row r="1054" spans="1:16" ht="21.75" customHeight="1" x14ac:dyDescent="0.2">
      <c r="A1054" s="521"/>
      <c r="B1054" s="521"/>
      <c r="C1054" s="521"/>
      <c r="D1054" s="521"/>
      <c r="E1054" s="524"/>
      <c r="F1054" s="524"/>
      <c r="G1054" s="524"/>
      <c r="H1054" s="524"/>
      <c r="I1054" s="524"/>
      <c r="J1054" s="524"/>
      <c r="K1054" s="525"/>
      <c r="L1054" s="526"/>
      <c r="M1054" s="526"/>
      <c r="N1054" s="526"/>
      <c r="O1054" s="527"/>
      <c r="P1054" s="527"/>
    </row>
    <row r="1055" spans="1:16" ht="21.75" customHeight="1" x14ac:dyDescent="0.2">
      <c r="A1055" s="521"/>
      <c r="B1055" s="521"/>
      <c r="C1055" s="521"/>
      <c r="D1055" s="521"/>
      <c r="E1055" s="524"/>
      <c r="F1055" s="524"/>
      <c r="G1055" s="524"/>
      <c r="H1055" s="524"/>
      <c r="I1055" s="524"/>
      <c r="J1055" s="524"/>
      <c r="K1055" s="525"/>
      <c r="L1055" s="526"/>
      <c r="M1055" s="526"/>
      <c r="N1055" s="526"/>
      <c r="O1055" s="527"/>
      <c r="P1055" s="527"/>
    </row>
    <row r="1056" spans="1:16" ht="21.75" customHeight="1" x14ac:dyDescent="0.2">
      <c r="A1056" s="521"/>
      <c r="B1056" s="521"/>
      <c r="C1056" s="521"/>
      <c r="D1056" s="521"/>
      <c r="E1056" s="524"/>
      <c r="F1056" s="524"/>
      <c r="G1056" s="524"/>
      <c r="H1056" s="524"/>
      <c r="I1056" s="524"/>
      <c r="J1056" s="524"/>
      <c r="K1056" s="525"/>
      <c r="L1056" s="526"/>
      <c r="M1056" s="526"/>
      <c r="N1056" s="526"/>
      <c r="O1056" s="527"/>
      <c r="P1056" s="527"/>
    </row>
    <row r="1057" spans="1:16" ht="21.75" customHeight="1" x14ac:dyDescent="0.2">
      <c r="A1057" s="521"/>
      <c r="B1057" s="521"/>
      <c r="C1057" s="521"/>
      <c r="D1057" s="521"/>
      <c r="E1057" s="524"/>
      <c r="F1057" s="524"/>
      <c r="G1057" s="524"/>
      <c r="H1057" s="524"/>
      <c r="I1057" s="524"/>
      <c r="J1057" s="524"/>
      <c r="K1057" s="525"/>
      <c r="L1057" s="526"/>
      <c r="M1057" s="526"/>
      <c r="N1057" s="526"/>
      <c r="O1057" s="527"/>
      <c r="P1057" s="527"/>
    </row>
    <row r="1058" spans="1:16" ht="21.75" customHeight="1" x14ac:dyDescent="0.2">
      <c r="A1058" s="521"/>
      <c r="B1058" s="521"/>
      <c r="C1058" s="521"/>
      <c r="D1058" s="521"/>
      <c r="E1058" s="524"/>
      <c r="F1058" s="524"/>
      <c r="G1058" s="524"/>
      <c r="H1058" s="524"/>
      <c r="I1058" s="524"/>
      <c r="J1058" s="524"/>
      <c r="K1058" s="525"/>
      <c r="L1058" s="526"/>
      <c r="M1058" s="526"/>
      <c r="N1058" s="526"/>
      <c r="O1058" s="527"/>
      <c r="P1058" s="527"/>
    </row>
    <row r="1059" spans="1:16" ht="21.75" customHeight="1" x14ac:dyDescent="0.2">
      <c r="A1059" s="521"/>
      <c r="B1059" s="521"/>
      <c r="C1059" s="521"/>
      <c r="D1059" s="521"/>
      <c r="E1059" s="524"/>
      <c r="F1059" s="524"/>
      <c r="G1059" s="524"/>
      <c r="H1059" s="524"/>
      <c r="I1059" s="524"/>
      <c r="J1059" s="524"/>
      <c r="K1059" s="525"/>
      <c r="L1059" s="526"/>
      <c r="M1059" s="526"/>
      <c r="N1059" s="526"/>
      <c r="O1059" s="527"/>
      <c r="P1059" s="527"/>
    </row>
    <row r="1060" spans="1:16" ht="21.75" customHeight="1" x14ac:dyDescent="0.2">
      <c r="A1060" s="521"/>
      <c r="B1060" s="521"/>
      <c r="C1060" s="521"/>
      <c r="D1060" s="521"/>
      <c r="E1060" s="524"/>
      <c r="F1060" s="524"/>
      <c r="G1060" s="524"/>
      <c r="H1060" s="524"/>
      <c r="I1060" s="524"/>
      <c r="J1060" s="524"/>
      <c r="K1060" s="525"/>
      <c r="L1060" s="526"/>
      <c r="M1060" s="526"/>
      <c r="N1060" s="526"/>
      <c r="O1060" s="527"/>
      <c r="P1060" s="527"/>
    </row>
    <row r="1061" spans="1:16" ht="21.75" customHeight="1" x14ac:dyDescent="0.2">
      <c r="A1061" s="521"/>
      <c r="B1061" s="521"/>
      <c r="C1061" s="521"/>
      <c r="D1061" s="521"/>
      <c r="E1061" s="524"/>
      <c r="F1061" s="524"/>
      <c r="G1061" s="524"/>
      <c r="H1061" s="524"/>
      <c r="I1061" s="524"/>
      <c r="J1061" s="524"/>
      <c r="K1061" s="525"/>
      <c r="L1061" s="526"/>
      <c r="M1061" s="526"/>
      <c r="N1061" s="526"/>
      <c r="O1061" s="527"/>
      <c r="P1061" s="527"/>
    </row>
    <row r="1062" spans="1:16" ht="21.75" customHeight="1" x14ac:dyDescent="0.2">
      <c r="A1062" s="521"/>
      <c r="B1062" s="521"/>
      <c r="C1062" s="521"/>
      <c r="D1062" s="521"/>
      <c r="E1062" s="524"/>
      <c r="F1062" s="524"/>
      <c r="G1062" s="524"/>
      <c r="H1062" s="524"/>
      <c r="I1062" s="524"/>
      <c r="J1062" s="524"/>
      <c r="K1062" s="525"/>
      <c r="L1062" s="526"/>
      <c r="M1062" s="526"/>
      <c r="N1062" s="526"/>
      <c r="O1062" s="527"/>
      <c r="P1062" s="527"/>
    </row>
    <row r="1063" spans="1:16" ht="21.75" customHeight="1" x14ac:dyDescent="0.2">
      <c r="A1063" s="521"/>
      <c r="B1063" s="521"/>
      <c r="C1063" s="521"/>
      <c r="D1063" s="521"/>
      <c r="E1063" s="524"/>
      <c r="F1063" s="524"/>
      <c r="G1063" s="524"/>
      <c r="H1063" s="524"/>
      <c r="I1063" s="524"/>
      <c r="J1063" s="524"/>
      <c r="K1063" s="525"/>
      <c r="L1063" s="526"/>
      <c r="M1063" s="526"/>
      <c r="N1063" s="526"/>
      <c r="O1063" s="527"/>
      <c r="P1063" s="527"/>
    </row>
    <row r="1064" spans="1:16" ht="21.75" customHeight="1" x14ac:dyDescent="0.2">
      <c r="A1064" s="521"/>
      <c r="B1064" s="521"/>
      <c r="C1064" s="521"/>
      <c r="D1064" s="521"/>
      <c r="E1064" s="524"/>
      <c r="F1064" s="524"/>
      <c r="G1064" s="524"/>
      <c r="H1064" s="524"/>
      <c r="I1064" s="524"/>
      <c r="J1064" s="524"/>
      <c r="K1064" s="525"/>
      <c r="L1064" s="526"/>
      <c r="M1064" s="526"/>
      <c r="N1064" s="526"/>
      <c r="O1064" s="527"/>
      <c r="P1064" s="527"/>
    </row>
    <row r="1065" spans="1:16" ht="21.75" customHeight="1" x14ac:dyDescent="0.2">
      <c r="A1065" s="521"/>
      <c r="B1065" s="521"/>
      <c r="C1065" s="521"/>
      <c r="D1065" s="521"/>
      <c r="E1065" s="524"/>
      <c r="F1065" s="524"/>
      <c r="G1065" s="524"/>
      <c r="H1065" s="524"/>
      <c r="I1065" s="524"/>
      <c r="J1065" s="524"/>
      <c r="K1065" s="525"/>
      <c r="L1065" s="526"/>
      <c r="M1065" s="526"/>
      <c r="N1065" s="526"/>
      <c r="O1065" s="527"/>
      <c r="P1065" s="527"/>
    </row>
    <row r="1066" spans="1:16" ht="21.75" customHeight="1" x14ac:dyDescent="0.2">
      <c r="A1066" s="521"/>
      <c r="B1066" s="521"/>
      <c r="C1066" s="521"/>
      <c r="D1066" s="521"/>
      <c r="E1066" s="524"/>
      <c r="F1066" s="524"/>
      <c r="G1066" s="524"/>
      <c r="H1066" s="524"/>
      <c r="I1066" s="524"/>
      <c r="J1066" s="524"/>
      <c r="K1066" s="525"/>
      <c r="L1066" s="526"/>
      <c r="M1066" s="526"/>
      <c r="N1066" s="526"/>
      <c r="O1066" s="527"/>
      <c r="P1066" s="527"/>
    </row>
    <row r="1067" spans="1:16" ht="21.75" customHeight="1" x14ac:dyDescent="0.2">
      <c r="A1067" s="521"/>
      <c r="B1067" s="521"/>
      <c r="C1067" s="521"/>
      <c r="D1067" s="521"/>
      <c r="E1067" s="524"/>
      <c r="F1067" s="524"/>
      <c r="G1067" s="524"/>
      <c r="H1067" s="524"/>
      <c r="I1067" s="524"/>
      <c r="J1067" s="524"/>
      <c r="K1067" s="525"/>
      <c r="L1067" s="526"/>
      <c r="M1067" s="526"/>
      <c r="N1067" s="526"/>
      <c r="O1067" s="527"/>
      <c r="P1067" s="527"/>
    </row>
    <row r="1068" spans="1:16" ht="21.75" customHeight="1" x14ac:dyDescent="0.2">
      <c r="A1068" s="521"/>
      <c r="B1068" s="521"/>
      <c r="C1068" s="521"/>
      <c r="D1068" s="521"/>
      <c r="E1068" s="524"/>
      <c r="F1068" s="524"/>
      <c r="G1068" s="524"/>
      <c r="H1068" s="524"/>
      <c r="I1068" s="524"/>
      <c r="J1068" s="524"/>
      <c r="K1068" s="525"/>
      <c r="L1068" s="526"/>
      <c r="M1068" s="526"/>
      <c r="N1068" s="526"/>
      <c r="O1068" s="527"/>
      <c r="P1068" s="527"/>
    </row>
    <row r="1069" spans="1:16" ht="21.75" customHeight="1" x14ac:dyDescent="0.2">
      <c r="A1069" s="521"/>
      <c r="B1069" s="521"/>
      <c r="C1069" s="521"/>
      <c r="D1069" s="521"/>
      <c r="E1069" s="524"/>
      <c r="F1069" s="524"/>
      <c r="G1069" s="524"/>
      <c r="H1069" s="524"/>
      <c r="I1069" s="524"/>
      <c r="J1069" s="524"/>
      <c r="K1069" s="525"/>
      <c r="L1069" s="526"/>
      <c r="M1069" s="526"/>
      <c r="N1069" s="526"/>
      <c r="O1069" s="527"/>
      <c r="P1069" s="527"/>
    </row>
    <row r="1070" spans="1:16" ht="21.75" customHeight="1" x14ac:dyDescent="0.2">
      <c r="A1070" s="521"/>
      <c r="B1070" s="521"/>
      <c r="C1070" s="521"/>
      <c r="D1070" s="521"/>
      <c r="E1070" s="524"/>
      <c r="F1070" s="524"/>
      <c r="G1070" s="524"/>
      <c r="H1070" s="524"/>
      <c r="I1070" s="524"/>
      <c r="J1070" s="524"/>
      <c r="K1070" s="525"/>
      <c r="L1070" s="526"/>
      <c r="M1070" s="526"/>
      <c r="N1070" s="526"/>
      <c r="O1070" s="527"/>
      <c r="P1070" s="527"/>
    </row>
    <row r="1071" spans="1:16" ht="21.75" customHeight="1" x14ac:dyDescent="0.2">
      <c r="A1071" s="521"/>
      <c r="B1071" s="521"/>
      <c r="C1071" s="521"/>
      <c r="D1071" s="521"/>
      <c r="E1071" s="524"/>
      <c r="F1071" s="524"/>
      <c r="G1071" s="524"/>
      <c r="H1071" s="524"/>
      <c r="I1071" s="524"/>
      <c r="J1071" s="524"/>
      <c r="K1071" s="525"/>
      <c r="L1071" s="526"/>
      <c r="M1071" s="526"/>
      <c r="N1071" s="526"/>
      <c r="O1071" s="527"/>
      <c r="P1071" s="527"/>
    </row>
    <row r="1072" spans="1:16" ht="21.75" customHeight="1" x14ac:dyDescent="0.2">
      <c r="A1072" s="521"/>
      <c r="B1072" s="521"/>
      <c r="C1072" s="521"/>
      <c r="D1072" s="521"/>
      <c r="E1072" s="524"/>
      <c r="F1072" s="524"/>
      <c r="G1072" s="524"/>
      <c r="H1072" s="524"/>
      <c r="I1072" s="524"/>
      <c r="J1072" s="524"/>
      <c r="K1072" s="525"/>
      <c r="L1072" s="526"/>
      <c r="M1072" s="526"/>
      <c r="N1072" s="526"/>
      <c r="O1072" s="527"/>
      <c r="P1072" s="527"/>
    </row>
    <row r="1073" spans="1:16" ht="21.75" customHeight="1" x14ac:dyDescent="0.2">
      <c r="A1073" s="521"/>
      <c r="B1073" s="521"/>
      <c r="C1073" s="521"/>
      <c r="D1073" s="521"/>
      <c r="E1073" s="524"/>
      <c r="F1073" s="524"/>
      <c r="G1073" s="524"/>
      <c r="H1073" s="524"/>
      <c r="I1073" s="524"/>
      <c r="J1073" s="524"/>
      <c r="K1073" s="525"/>
      <c r="L1073" s="526"/>
      <c r="M1073" s="526"/>
      <c r="N1073" s="526"/>
      <c r="O1073" s="527"/>
      <c r="P1073" s="527"/>
    </row>
    <row r="1074" spans="1:16" ht="21.75" customHeight="1" x14ac:dyDescent="0.2">
      <c r="A1074" s="521"/>
      <c r="B1074" s="521"/>
      <c r="C1074" s="521"/>
      <c r="D1074" s="521"/>
      <c r="E1074" s="524"/>
      <c r="F1074" s="524"/>
      <c r="G1074" s="524"/>
      <c r="H1074" s="524"/>
      <c r="I1074" s="524"/>
      <c r="J1074" s="524"/>
      <c r="K1074" s="525"/>
      <c r="L1074" s="526"/>
      <c r="M1074" s="526"/>
      <c r="N1074" s="526"/>
      <c r="O1074" s="527"/>
      <c r="P1074" s="527"/>
    </row>
    <row r="1075" spans="1:16" ht="21.75" customHeight="1" x14ac:dyDescent="0.2">
      <c r="A1075" s="521"/>
      <c r="B1075" s="521"/>
      <c r="C1075" s="521"/>
      <c r="D1075" s="521"/>
      <c r="E1075" s="524"/>
      <c r="F1075" s="524"/>
      <c r="G1075" s="524"/>
      <c r="H1075" s="524"/>
      <c r="I1075" s="524"/>
      <c r="J1075" s="524"/>
      <c r="K1075" s="525"/>
      <c r="L1075" s="526"/>
      <c r="M1075" s="526"/>
      <c r="N1075" s="526"/>
      <c r="O1075" s="527"/>
      <c r="P1075" s="527"/>
    </row>
    <row r="1076" spans="1:16" ht="21.75" customHeight="1" x14ac:dyDescent="0.2">
      <c r="A1076" s="521"/>
      <c r="B1076" s="521"/>
      <c r="C1076" s="521"/>
      <c r="D1076" s="521"/>
      <c r="E1076" s="524"/>
      <c r="F1076" s="524"/>
      <c r="G1076" s="524"/>
      <c r="H1076" s="524"/>
      <c r="I1076" s="524"/>
      <c r="J1076" s="524"/>
      <c r="K1076" s="525"/>
      <c r="L1076" s="526"/>
      <c r="M1076" s="526"/>
      <c r="N1076" s="526"/>
      <c r="O1076" s="527"/>
      <c r="P1076" s="527"/>
    </row>
    <row r="1077" spans="1:16" ht="21.75" customHeight="1" x14ac:dyDescent="0.2">
      <c r="A1077" s="521"/>
      <c r="B1077" s="521"/>
      <c r="C1077" s="521"/>
      <c r="D1077" s="521"/>
      <c r="E1077" s="524"/>
      <c r="F1077" s="524"/>
      <c r="G1077" s="524"/>
      <c r="H1077" s="524"/>
      <c r="I1077" s="524"/>
      <c r="J1077" s="524"/>
      <c r="K1077" s="525"/>
      <c r="L1077" s="526"/>
      <c r="M1077" s="526"/>
      <c r="N1077" s="526"/>
      <c r="O1077" s="527"/>
      <c r="P1077" s="527"/>
    </row>
    <row r="1078" spans="1:16" ht="21.75" customHeight="1" x14ac:dyDescent="0.2">
      <c r="A1078" s="521"/>
      <c r="B1078" s="521"/>
      <c r="C1078" s="521"/>
      <c r="D1078" s="521"/>
      <c r="E1078" s="524"/>
      <c r="F1078" s="524"/>
      <c r="G1078" s="524"/>
      <c r="H1078" s="524"/>
      <c r="I1078" s="524"/>
      <c r="J1078" s="524"/>
      <c r="K1078" s="525"/>
      <c r="L1078" s="526"/>
      <c r="M1078" s="526"/>
      <c r="N1078" s="526"/>
      <c r="O1078" s="527"/>
      <c r="P1078" s="527"/>
    </row>
    <row r="1079" spans="1:16" ht="21.75" customHeight="1" x14ac:dyDescent="0.2">
      <c r="A1079" s="521"/>
      <c r="B1079" s="521"/>
      <c r="C1079" s="521"/>
      <c r="D1079" s="521"/>
      <c r="E1079" s="524"/>
      <c r="F1079" s="524"/>
      <c r="G1079" s="524"/>
      <c r="H1079" s="524"/>
      <c r="I1079" s="524"/>
      <c r="J1079" s="524"/>
      <c r="K1079" s="525"/>
      <c r="L1079" s="526"/>
      <c r="M1079" s="526"/>
      <c r="N1079" s="526"/>
      <c r="O1079" s="527"/>
      <c r="P1079" s="527"/>
    </row>
    <row r="1080" spans="1:16" ht="21.75" customHeight="1" x14ac:dyDescent="0.2">
      <c r="A1080" s="521"/>
      <c r="B1080" s="521"/>
      <c r="C1080" s="521"/>
      <c r="D1080" s="521"/>
      <c r="E1080" s="524"/>
      <c r="F1080" s="524"/>
      <c r="G1080" s="524"/>
      <c r="H1080" s="524"/>
      <c r="I1080" s="524"/>
      <c r="J1080" s="524"/>
      <c r="K1080" s="525"/>
      <c r="L1080" s="526"/>
      <c r="M1080" s="526"/>
      <c r="N1080" s="526"/>
      <c r="O1080" s="527"/>
      <c r="P1080" s="527"/>
    </row>
    <row r="1081" spans="1:16" ht="21.75" customHeight="1" x14ac:dyDescent="0.2">
      <c r="A1081" s="521"/>
      <c r="B1081" s="521"/>
      <c r="C1081" s="521"/>
      <c r="D1081" s="521"/>
      <c r="E1081" s="524"/>
      <c r="F1081" s="524"/>
      <c r="G1081" s="524"/>
      <c r="H1081" s="524"/>
      <c r="I1081" s="524"/>
      <c r="J1081" s="524"/>
      <c r="K1081" s="525"/>
      <c r="L1081" s="526"/>
      <c r="M1081" s="526"/>
      <c r="N1081" s="526"/>
      <c r="O1081" s="527"/>
      <c r="P1081" s="527"/>
    </row>
    <row r="1082" spans="1:16" ht="21.75" customHeight="1" x14ac:dyDescent="0.2">
      <c r="A1082" s="521"/>
      <c r="B1082" s="521"/>
      <c r="C1082" s="521"/>
      <c r="D1082" s="521"/>
      <c r="E1082" s="524"/>
      <c r="F1082" s="524"/>
      <c r="G1082" s="524"/>
      <c r="H1082" s="524"/>
      <c r="I1082" s="524"/>
      <c r="J1082" s="524"/>
      <c r="K1082" s="525"/>
      <c r="L1082" s="526"/>
      <c r="M1082" s="526"/>
      <c r="N1082" s="526"/>
      <c r="O1082" s="527"/>
      <c r="P1082" s="527"/>
    </row>
    <row r="1083" spans="1:16" ht="21.75" customHeight="1" x14ac:dyDescent="0.2">
      <c r="A1083" s="521"/>
      <c r="B1083" s="521"/>
      <c r="C1083" s="521"/>
      <c r="D1083" s="521"/>
      <c r="E1083" s="524"/>
      <c r="F1083" s="524"/>
      <c r="G1083" s="524"/>
      <c r="H1083" s="524"/>
      <c r="I1083" s="524"/>
      <c r="J1083" s="524"/>
      <c r="K1083" s="525"/>
      <c r="L1083" s="526"/>
      <c r="M1083" s="526"/>
      <c r="N1083" s="526"/>
      <c r="O1083" s="527"/>
      <c r="P1083" s="527"/>
    </row>
    <row r="1084" spans="1:16" ht="21.75" customHeight="1" x14ac:dyDescent="0.2">
      <c r="A1084" s="521"/>
      <c r="B1084" s="521"/>
      <c r="C1084" s="521"/>
      <c r="D1084" s="521"/>
      <c r="E1084" s="524"/>
      <c r="F1084" s="524"/>
      <c r="G1084" s="524"/>
      <c r="H1084" s="524"/>
      <c r="I1084" s="524"/>
      <c r="J1084" s="524"/>
      <c r="K1084" s="525"/>
      <c r="L1084" s="526"/>
      <c r="M1084" s="526"/>
      <c r="N1084" s="526"/>
      <c r="O1084" s="527"/>
      <c r="P1084" s="527"/>
    </row>
    <row r="1085" spans="1:16" ht="21.75" customHeight="1" x14ac:dyDescent="0.2">
      <c r="A1085" s="521"/>
      <c r="B1085" s="521"/>
      <c r="C1085" s="521"/>
      <c r="D1085" s="521"/>
      <c r="E1085" s="524"/>
      <c r="F1085" s="524"/>
      <c r="G1085" s="524"/>
      <c r="H1085" s="524"/>
      <c r="I1085" s="524"/>
      <c r="J1085" s="524"/>
      <c r="K1085" s="525"/>
      <c r="L1085" s="526"/>
      <c r="M1085" s="526"/>
      <c r="N1085" s="526"/>
      <c r="O1085" s="527"/>
      <c r="P1085" s="527"/>
    </row>
    <row r="1086" spans="1:16" ht="21.75" customHeight="1" x14ac:dyDescent="0.2">
      <c r="A1086" s="521"/>
      <c r="B1086" s="521"/>
      <c r="C1086" s="521"/>
      <c r="D1086" s="521"/>
      <c r="E1086" s="524"/>
      <c r="F1086" s="524"/>
      <c r="G1086" s="524"/>
      <c r="H1086" s="524"/>
      <c r="I1086" s="524"/>
      <c r="J1086" s="524"/>
      <c r="K1086" s="525"/>
      <c r="L1086" s="526"/>
      <c r="M1086" s="526"/>
      <c r="N1086" s="526"/>
      <c r="O1086" s="527"/>
      <c r="P1086" s="527"/>
    </row>
    <row r="1087" spans="1:16" ht="21.75" customHeight="1" x14ac:dyDescent="0.2">
      <c r="A1087" s="521"/>
      <c r="B1087" s="521"/>
      <c r="C1087" s="521"/>
      <c r="D1087" s="521"/>
      <c r="E1087" s="524"/>
      <c r="F1087" s="524"/>
      <c r="G1087" s="524"/>
      <c r="H1087" s="524"/>
      <c r="I1087" s="524"/>
      <c r="J1087" s="524"/>
      <c r="K1087" s="525"/>
      <c r="L1087" s="526"/>
      <c r="M1087" s="526"/>
      <c r="N1087" s="526"/>
      <c r="O1087" s="527"/>
      <c r="P1087" s="527"/>
    </row>
    <row r="1088" spans="1:16" ht="21.75" customHeight="1" x14ac:dyDescent="0.2">
      <c r="A1088" s="521"/>
      <c r="B1088" s="521"/>
      <c r="C1088" s="521"/>
      <c r="D1088" s="521"/>
      <c r="E1088" s="524"/>
      <c r="F1088" s="524"/>
      <c r="G1088" s="524"/>
      <c r="H1088" s="524"/>
      <c r="I1088" s="524"/>
      <c r="J1088" s="524"/>
      <c r="K1088" s="525"/>
      <c r="L1088" s="526"/>
      <c r="M1088" s="526"/>
      <c r="N1088" s="526"/>
      <c r="O1088" s="527"/>
      <c r="P1088" s="527"/>
    </row>
    <row r="1089" spans="1:16" ht="21.75" customHeight="1" x14ac:dyDescent="0.2">
      <c r="A1089" s="521"/>
      <c r="B1089" s="521"/>
      <c r="C1089" s="521"/>
      <c r="D1089" s="521"/>
      <c r="E1089" s="524"/>
      <c r="F1089" s="524"/>
      <c r="G1089" s="524"/>
      <c r="H1089" s="524"/>
      <c r="I1089" s="524"/>
      <c r="J1089" s="524"/>
      <c r="K1089" s="525"/>
      <c r="L1089" s="526"/>
      <c r="M1089" s="526"/>
      <c r="N1089" s="526"/>
      <c r="O1089" s="527"/>
      <c r="P1089" s="527"/>
    </row>
    <row r="1090" spans="1:16" ht="21.75" customHeight="1" x14ac:dyDescent="0.2">
      <c r="A1090" s="521"/>
      <c r="B1090" s="521"/>
      <c r="C1090" s="521"/>
      <c r="D1090" s="521"/>
      <c r="E1090" s="524"/>
      <c r="F1090" s="524"/>
      <c r="G1090" s="524"/>
      <c r="H1090" s="524"/>
      <c r="I1090" s="524"/>
      <c r="J1090" s="524"/>
      <c r="K1090" s="525"/>
      <c r="L1090" s="526"/>
      <c r="M1090" s="526"/>
      <c r="N1090" s="526"/>
      <c r="O1090" s="527"/>
      <c r="P1090" s="527"/>
    </row>
    <row r="1091" spans="1:16" ht="21.75" customHeight="1" x14ac:dyDescent="0.2">
      <c r="A1091" s="521"/>
      <c r="B1091" s="521"/>
      <c r="C1091" s="521"/>
      <c r="D1091" s="521"/>
      <c r="E1091" s="524"/>
      <c r="F1091" s="524"/>
      <c r="G1091" s="524"/>
      <c r="H1091" s="524"/>
      <c r="I1091" s="524"/>
      <c r="J1091" s="524"/>
      <c r="K1091" s="525"/>
      <c r="L1091" s="526"/>
      <c r="M1091" s="526"/>
      <c r="N1091" s="526"/>
      <c r="O1091" s="527"/>
      <c r="P1091" s="527"/>
    </row>
    <row r="1092" spans="1:16" ht="21.75" customHeight="1" x14ac:dyDescent="0.2">
      <c r="A1092" s="521"/>
      <c r="B1092" s="521"/>
      <c r="C1092" s="521"/>
      <c r="D1092" s="521"/>
      <c r="E1092" s="524"/>
      <c r="F1092" s="524"/>
      <c r="G1092" s="524"/>
      <c r="H1092" s="524"/>
      <c r="I1092" s="524"/>
      <c r="J1092" s="524"/>
      <c r="K1092" s="525"/>
      <c r="L1092" s="526"/>
      <c r="M1092" s="526"/>
      <c r="N1092" s="526"/>
      <c r="O1092" s="527"/>
      <c r="P1092" s="527"/>
    </row>
    <row r="1093" spans="1:16" ht="21.75" customHeight="1" x14ac:dyDescent="0.2">
      <c r="A1093" s="521"/>
      <c r="B1093" s="521"/>
      <c r="C1093" s="521"/>
      <c r="D1093" s="521"/>
      <c r="E1093" s="524"/>
      <c r="F1093" s="524"/>
      <c r="G1093" s="524"/>
      <c r="H1093" s="524"/>
      <c r="I1093" s="524"/>
      <c r="J1093" s="524"/>
      <c r="K1093" s="525"/>
      <c r="L1093" s="526"/>
      <c r="M1093" s="526"/>
      <c r="N1093" s="526"/>
      <c r="O1093" s="527"/>
      <c r="P1093" s="527"/>
    </row>
    <row r="1094" spans="1:16" ht="21.75" customHeight="1" x14ac:dyDescent="0.2">
      <c r="A1094" s="521"/>
      <c r="B1094" s="521"/>
      <c r="C1094" s="521"/>
      <c r="D1094" s="521"/>
      <c r="E1094" s="524"/>
      <c r="F1094" s="524"/>
      <c r="G1094" s="524"/>
      <c r="H1094" s="524"/>
      <c r="I1094" s="524"/>
      <c r="J1094" s="524"/>
      <c r="K1094" s="525"/>
      <c r="L1094" s="526"/>
      <c r="M1094" s="526"/>
      <c r="N1094" s="526"/>
      <c r="O1094" s="527"/>
      <c r="P1094" s="527"/>
    </row>
    <row r="1095" spans="1:16" ht="21.75" customHeight="1" x14ac:dyDescent="0.2">
      <c r="A1095" s="521"/>
      <c r="B1095" s="521"/>
      <c r="C1095" s="521"/>
      <c r="D1095" s="521"/>
      <c r="E1095" s="524"/>
      <c r="F1095" s="524"/>
      <c r="G1095" s="524"/>
      <c r="H1095" s="524"/>
      <c r="I1095" s="524"/>
      <c r="J1095" s="524"/>
      <c r="K1095" s="525"/>
      <c r="L1095" s="526"/>
      <c r="M1095" s="526"/>
      <c r="N1095" s="526"/>
      <c r="O1095" s="527"/>
      <c r="P1095" s="527"/>
    </row>
    <row r="1096" spans="1:16" ht="21.75" customHeight="1" x14ac:dyDescent="0.2">
      <c r="A1096" s="521"/>
      <c r="B1096" s="521"/>
      <c r="C1096" s="521"/>
      <c r="D1096" s="521"/>
      <c r="E1096" s="524"/>
      <c r="F1096" s="524"/>
      <c r="G1096" s="524"/>
      <c r="H1096" s="524"/>
      <c r="I1096" s="524"/>
      <c r="J1096" s="524"/>
      <c r="K1096" s="525"/>
      <c r="L1096" s="526"/>
      <c r="M1096" s="526"/>
      <c r="N1096" s="526"/>
      <c r="O1096" s="527"/>
      <c r="P1096" s="527"/>
    </row>
    <row r="1097" spans="1:16" ht="21.75" customHeight="1" x14ac:dyDescent="0.2">
      <c r="A1097" s="521"/>
      <c r="B1097" s="521"/>
      <c r="C1097" s="521"/>
      <c r="D1097" s="521"/>
      <c r="E1097" s="524"/>
      <c r="F1097" s="524"/>
      <c r="G1097" s="524"/>
      <c r="H1097" s="524"/>
      <c r="I1097" s="524"/>
      <c r="J1097" s="524"/>
      <c r="K1097" s="525"/>
      <c r="L1097" s="526"/>
      <c r="M1097" s="526"/>
      <c r="N1097" s="526"/>
      <c r="O1097" s="527"/>
      <c r="P1097" s="527"/>
    </row>
    <row r="1098" spans="1:16" ht="21.75" customHeight="1" x14ac:dyDescent="0.2">
      <c r="A1098" s="521"/>
      <c r="B1098" s="521"/>
      <c r="C1098" s="521"/>
      <c r="D1098" s="521"/>
      <c r="E1098" s="524"/>
      <c r="F1098" s="524"/>
      <c r="G1098" s="524"/>
      <c r="H1098" s="524"/>
      <c r="I1098" s="524"/>
      <c r="J1098" s="524"/>
      <c r="K1098" s="525"/>
      <c r="L1098" s="526"/>
      <c r="M1098" s="526"/>
      <c r="N1098" s="526"/>
      <c r="O1098" s="527"/>
      <c r="P1098" s="527"/>
    </row>
    <row r="1099" spans="1:16" ht="21.75" customHeight="1" x14ac:dyDescent="0.2">
      <c r="A1099" s="521"/>
      <c r="B1099" s="521"/>
      <c r="C1099" s="521"/>
      <c r="D1099" s="521"/>
      <c r="E1099" s="524"/>
      <c r="F1099" s="524"/>
      <c r="G1099" s="524"/>
      <c r="H1099" s="524"/>
      <c r="I1099" s="524"/>
      <c r="J1099" s="524"/>
      <c r="K1099" s="525"/>
      <c r="L1099" s="526"/>
      <c r="M1099" s="526"/>
      <c r="N1099" s="526"/>
      <c r="O1099" s="527"/>
      <c r="P1099" s="527"/>
    </row>
    <row r="1100" spans="1:16" ht="21.75" customHeight="1" x14ac:dyDescent="0.2">
      <c r="A1100" s="521"/>
      <c r="B1100" s="521"/>
      <c r="C1100" s="521"/>
      <c r="D1100" s="521"/>
      <c r="E1100" s="524"/>
      <c r="F1100" s="524"/>
      <c r="G1100" s="524"/>
      <c r="H1100" s="524"/>
      <c r="I1100" s="524"/>
      <c r="J1100" s="524"/>
      <c r="K1100" s="525"/>
      <c r="L1100" s="526"/>
      <c r="M1100" s="526"/>
      <c r="N1100" s="526"/>
      <c r="O1100" s="527"/>
      <c r="P1100" s="527"/>
    </row>
    <row r="1101" spans="1:16" ht="21.75" customHeight="1" x14ac:dyDescent="0.2">
      <c r="A1101" s="521"/>
      <c r="B1101" s="521"/>
      <c r="C1101" s="521"/>
      <c r="D1101" s="521"/>
      <c r="E1101" s="524"/>
      <c r="F1101" s="524"/>
      <c r="G1101" s="524"/>
      <c r="H1101" s="524"/>
      <c r="I1101" s="524"/>
      <c r="J1101" s="524"/>
      <c r="K1101" s="525"/>
      <c r="L1101" s="526"/>
      <c r="M1101" s="526"/>
      <c r="N1101" s="526"/>
      <c r="O1101" s="527"/>
      <c r="P1101" s="527"/>
    </row>
    <row r="1102" spans="1:16" ht="21.75" customHeight="1" x14ac:dyDescent="0.2">
      <c r="A1102" s="521"/>
      <c r="B1102" s="521"/>
      <c r="C1102" s="521"/>
      <c r="D1102" s="521"/>
      <c r="E1102" s="524"/>
      <c r="F1102" s="524"/>
      <c r="G1102" s="524"/>
      <c r="H1102" s="524"/>
      <c r="I1102" s="524"/>
      <c r="J1102" s="524"/>
      <c r="K1102" s="525"/>
      <c r="L1102" s="526"/>
      <c r="M1102" s="526"/>
      <c r="N1102" s="526"/>
      <c r="O1102" s="527"/>
      <c r="P1102" s="527"/>
    </row>
    <row r="1103" spans="1:16" ht="21.75" customHeight="1" x14ac:dyDescent="0.2">
      <c r="A1103" s="521"/>
      <c r="B1103" s="521"/>
      <c r="C1103" s="521"/>
      <c r="D1103" s="521"/>
      <c r="E1103" s="524"/>
      <c r="F1103" s="524"/>
      <c r="G1103" s="524"/>
      <c r="H1103" s="524"/>
      <c r="I1103" s="524"/>
      <c r="J1103" s="524"/>
      <c r="K1103" s="525"/>
      <c r="L1103" s="526"/>
      <c r="M1103" s="526"/>
      <c r="N1103" s="526"/>
      <c r="O1103" s="527"/>
      <c r="P1103" s="527"/>
    </row>
    <row r="1104" spans="1:16" ht="21.75" customHeight="1" x14ac:dyDescent="0.2">
      <c r="A1104" s="521"/>
      <c r="B1104" s="521"/>
      <c r="C1104" s="521"/>
      <c r="D1104" s="521"/>
      <c r="E1104" s="524"/>
      <c r="F1104" s="524"/>
      <c r="G1104" s="524"/>
      <c r="H1104" s="524"/>
      <c r="I1104" s="524"/>
      <c r="J1104" s="524"/>
      <c r="K1104" s="525"/>
      <c r="L1104" s="526"/>
      <c r="M1104" s="526"/>
      <c r="N1104" s="526"/>
      <c r="O1104" s="527"/>
      <c r="P1104" s="527"/>
    </row>
    <row r="1105" spans="1:16" ht="21.75" customHeight="1" x14ac:dyDescent="0.2">
      <c r="A1105" s="521"/>
      <c r="B1105" s="521"/>
      <c r="C1105" s="521"/>
      <c r="D1105" s="521"/>
      <c r="E1105" s="524"/>
      <c r="F1105" s="524"/>
      <c r="G1105" s="524"/>
      <c r="H1105" s="524"/>
      <c r="I1105" s="524"/>
      <c r="J1105" s="524"/>
      <c r="K1105" s="525"/>
      <c r="L1105" s="526"/>
      <c r="M1105" s="526"/>
      <c r="N1105" s="526"/>
      <c r="O1105" s="527"/>
      <c r="P1105" s="527"/>
    </row>
    <row r="1106" spans="1:16" ht="21.75" customHeight="1" x14ac:dyDescent="0.2">
      <c r="A1106" s="521"/>
      <c r="B1106" s="521"/>
      <c r="C1106" s="521"/>
      <c r="D1106" s="521"/>
      <c r="E1106" s="524"/>
      <c r="F1106" s="524"/>
      <c r="G1106" s="524"/>
      <c r="H1106" s="524"/>
      <c r="I1106" s="524"/>
      <c r="J1106" s="524"/>
      <c r="K1106" s="525"/>
      <c r="L1106" s="526"/>
      <c r="M1106" s="526"/>
      <c r="N1106" s="526"/>
      <c r="O1106" s="527"/>
      <c r="P1106" s="527"/>
    </row>
    <row r="1107" spans="1:16" ht="21.75" customHeight="1" x14ac:dyDescent="0.2">
      <c r="A1107" s="521"/>
      <c r="B1107" s="521"/>
      <c r="C1107" s="521"/>
      <c r="D1107" s="521"/>
      <c r="E1107" s="524"/>
      <c r="F1107" s="524"/>
      <c r="G1107" s="524"/>
      <c r="H1107" s="524"/>
      <c r="I1107" s="524"/>
      <c r="J1107" s="524"/>
      <c r="K1107" s="525"/>
      <c r="L1107" s="526"/>
      <c r="M1107" s="526"/>
      <c r="N1107" s="526"/>
      <c r="O1107" s="527"/>
      <c r="P1107" s="527"/>
    </row>
    <row r="1108" spans="1:16" ht="21.75" customHeight="1" x14ac:dyDescent="0.2">
      <c r="A1108" s="521"/>
      <c r="B1108" s="521"/>
      <c r="C1108" s="521"/>
      <c r="D1108" s="521"/>
      <c r="E1108" s="524"/>
      <c r="F1108" s="524"/>
      <c r="G1108" s="524"/>
      <c r="H1108" s="524"/>
      <c r="I1108" s="524"/>
      <c r="J1108" s="524"/>
      <c r="K1108" s="525"/>
      <c r="L1108" s="526"/>
      <c r="M1108" s="526"/>
      <c r="N1108" s="526"/>
      <c r="O1108" s="527"/>
      <c r="P1108" s="527"/>
    </row>
    <row r="1109" spans="1:16" ht="21.75" customHeight="1" x14ac:dyDescent="0.2">
      <c r="A1109" s="521"/>
      <c r="B1109" s="521"/>
      <c r="C1109" s="521"/>
      <c r="D1109" s="521"/>
      <c r="E1109" s="524"/>
      <c r="F1109" s="524"/>
      <c r="G1109" s="524"/>
      <c r="H1109" s="524"/>
      <c r="I1109" s="524"/>
      <c r="J1109" s="524"/>
      <c r="K1109" s="525"/>
      <c r="L1109" s="526"/>
      <c r="M1109" s="526"/>
      <c r="N1109" s="526"/>
      <c r="O1109" s="527"/>
      <c r="P1109" s="527"/>
    </row>
    <row r="1110" spans="1:16" ht="21.75" customHeight="1" x14ac:dyDescent="0.2">
      <c r="A1110" s="521"/>
      <c r="B1110" s="521"/>
      <c r="C1110" s="521"/>
      <c r="D1110" s="521"/>
      <c r="E1110" s="524"/>
      <c r="F1110" s="524"/>
      <c r="G1110" s="524"/>
      <c r="H1110" s="524"/>
      <c r="I1110" s="524"/>
      <c r="J1110" s="524"/>
      <c r="K1110" s="525"/>
      <c r="L1110" s="526"/>
      <c r="M1110" s="526"/>
      <c r="N1110" s="526"/>
      <c r="O1110" s="527"/>
      <c r="P1110" s="527"/>
    </row>
    <row r="1111" spans="1:16" ht="21.75" customHeight="1" x14ac:dyDescent="0.2">
      <c r="A1111" s="521"/>
      <c r="B1111" s="521"/>
      <c r="C1111" s="521"/>
      <c r="D1111" s="521"/>
      <c r="E1111" s="524"/>
      <c r="F1111" s="524"/>
      <c r="G1111" s="524"/>
      <c r="H1111" s="524"/>
      <c r="I1111" s="524"/>
      <c r="J1111" s="524"/>
      <c r="K1111" s="525"/>
      <c r="L1111" s="526"/>
      <c r="M1111" s="526"/>
      <c r="N1111" s="526"/>
      <c r="O1111" s="527"/>
      <c r="P1111" s="527"/>
    </row>
    <row r="1112" spans="1:16" ht="21.75" customHeight="1" x14ac:dyDescent="0.2">
      <c r="A1112" s="521"/>
      <c r="B1112" s="521"/>
      <c r="C1112" s="521"/>
      <c r="D1112" s="521"/>
      <c r="E1112" s="524"/>
      <c r="F1112" s="524"/>
      <c r="G1112" s="524"/>
      <c r="H1112" s="524"/>
      <c r="I1112" s="524"/>
      <c r="J1112" s="524"/>
      <c r="K1112" s="525"/>
      <c r="L1112" s="526"/>
      <c r="M1112" s="526"/>
      <c r="N1112" s="526"/>
      <c r="O1112" s="527"/>
      <c r="P1112" s="527"/>
    </row>
    <row r="1113" spans="1:16" ht="21.75" customHeight="1" x14ac:dyDescent="0.2">
      <c r="A1113" s="521"/>
      <c r="B1113" s="521"/>
      <c r="C1113" s="521"/>
      <c r="D1113" s="521"/>
      <c r="E1113" s="524"/>
      <c r="F1113" s="524"/>
      <c r="G1113" s="524"/>
      <c r="H1113" s="524"/>
      <c r="I1113" s="524"/>
      <c r="J1113" s="524"/>
      <c r="K1113" s="525"/>
      <c r="L1113" s="526"/>
      <c r="M1113" s="526"/>
      <c r="N1113" s="526"/>
      <c r="O1113" s="527"/>
      <c r="P1113" s="527"/>
    </row>
    <row r="1114" spans="1:16" ht="21.75" customHeight="1" x14ac:dyDescent="0.2">
      <c r="A1114" s="521"/>
      <c r="B1114" s="521"/>
      <c r="C1114" s="521"/>
      <c r="D1114" s="521"/>
      <c r="E1114" s="524"/>
      <c r="F1114" s="524"/>
      <c r="G1114" s="524"/>
      <c r="H1114" s="524"/>
      <c r="I1114" s="524"/>
      <c r="J1114" s="524"/>
      <c r="K1114" s="525"/>
      <c r="L1114" s="526"/>
      <c r="M1114" s="526"/>
      <c r="N1114" s="526"/>
      <c r="O1114" s="527"/>
      <c r="P1114" s="527"/>
    </row>
    <row r="1115" spans="1:16" ht="21.75" customHeight="1" x14ac:dyDescent="0.2">
      <c r="A1115" s="521"/>
      <c r="B1115" s="521"/>
      <c r="C1115" s="521"/>
      <c r="D1115" s="521"/>
      <c r="E1115" s="524"/>
      <c r="F1115" s="524"/>
      <c r="G1115" s="524"/>
      <c r="H1115" s="524"/>
      <c r="I1115" s="524"/>
      <c r="J1115" s="524"/>
      <c r="K1115" s="525"/>
      <c r="L1115" s="526"/>
      <c r="M1115" s="526"/>
      <c r="N1115" s="526"/>
      <c r="O1115" s="527"/>
      <c r="P1115" s="527"/>
    </row>
    <row r="1116" spans="1:16" ht="21.75" customHeight="1" x14ac:dyDescent="0.2">
      <c r="A1116" s="521"/>
      <c r="B1116" s="521"/>
      <c r="C1116" s="521"/>
      <c r="D1116" s="521"/>
      <c r="E1116" s="524"/>
      <c r="F1116" s="524"/>
      <c r="G1116" s="524"/>
      <c r="H1116" s="524"/>
      <c r="I1116" s="524"/>
      <c r="J1116" s="524"/>
      <c r="K1116" s="525"/>
      <c r="L1116" s="526"/>
      <c r="M1116" s="526"/>
      <c r="N1116" s="526"/>
      <c r="O1116" s="527"/>
      <c r="P1116" s="527"/>
    </row>
    <row r="1117" spans="1:16" ht="21.75" customHeight="1" x14ac:dyDescent="0.2">
      <c r="A1117" s="521"/>
      <c r="B1117" s="521"/>
      <c r="C1117" s="521"/>
      <c r="D1117" s="521"/>
      <c r="E1117" s="524"/>
      <c r="F1117" s="524"/>
      <c r="G1117" s="524"/>
      <c r="H1117" s="524"/>
      <c r="I1117" s="524"/>
      <c r="J1117" s="524"/>
      <c r="K1117" s="525"/>
      <c r="L1117" s="526"/>
      <c r="M1117" s="526"/>
      <c r="N1117" s="526"/>
      <c r="O1117" s="527"/>
      <c r="P1117" s="527"/>
    </row>
    <row r="1118" spans="1:16" ht="21.75" customHeight="1" x14ac:dyDescent="0.2">
      <c r="A1118" s="521"/>
      <c r="B1118" s="521"/>
      <c r="C1118" s="521"/>
      <c r="D1118" s="521"/>
      <c r="E1118" s="524"/>
      <c r="F1118" s="524"/>
      <c r="G1118" s="524"/>
      <c r="H1118" s="524"/>
      <c r="I1118" s="524"/>
      <c r="J1118" s="524"/>
      <c r="K1118" s="525"/>
      <c r="L1118" s="526"/>
      <c r="M1118" s="526"/>
      <c r="N1118" s="526"/>
      <c r="O1118" s="527"/>
      <c r="P1118" s="527"/>
    </row>
    <row r="1119" spans="1:16" ht="21.75" customHeight="1" x14ac:dyDescent="0.2">
      <c r="A1119" s="521"/>
      <c r="B1119" s="521"/>
      <c r="C1119" s="521"/>
      <c r="D1119" s="521"/>
      <c r="E1119" s="524"/>
      <c r="F1119" s="524"/>
      <c r="G1119" s="524"/>
      <c r="H1119" s="524"/>
      <c r="I1119" s="524"/>
      <c r="J1119" s="524"/>
      <c r="K1119" s="525"/>
      <c r="L1119" s="526"/>
      <c r="M1119" s="526"/>
      <c r="N1119" s="526"/>
      <c r="O1119" s="527"/>
      <c r="P1119" s="527"/>
    </row>
    <row r="1120" spans="1:16" ht="21.75" customHeight="1" x14ac:dyDescent="0.2">
      <c r="A1120" s="521"/>
      <c r="B1120" s="521"/>
      <c r="C1120" s="521"/>
      <c r="D1120" s="521"/>
      <c r="E1120" s="524"/>
      <c r="F1120" s="524"/>
      <c r="G1120" s="524"/>
      <c r="H1120" s="524"/>
      <c r="I1120" s="524"/>
      <c r="J1120" s="524"/>
      <c r="K1120" s="525"/>
      <c r="L1120" s="526"/>
      <c r="M1120" s="526"/>
      <c r="N1120" s="526"/>
      <c r="O1120" s="527"/>
      <c r="P1120" s="527"/>
    </row>
    <row r="1121" spans="1:16" ht="21.75" customHeight="1" x14ac:dyDescent="0.2">
      <c r="A1121" s="521"/>
      <c r="B1121" s="521"/>
      <c r="C1121" s="521"/>
      <c r="D1121" s="521"/>
      <c r="E1121" s="524"/>
      <c r="F1121" s="524"/>
      <c r="G1121" s="524"/>
      <c r="H1121" s="524"/>
      <c r="I1121" s="524"/>
      <c r="J1121" s="524"/>
      <c r="K1121" s="525"/>
      <c r="L1121" s="526"/>
      <c r="M1121" s="526"/>
      <c r="N1121" s="526"/>
      <c r="O1121" s="527"/>
      <c r="P1121" s="527"/>
    </row>
    <row r="1122" spans="1:16" ht="21.75" customHeight="1" x14ac:dyDescent="0.2">
      <c r="A1122" s="521"/>
      <c r="B1122" s="521"/>
      <c r="C1122" s="521"/>
      <c r="D1122" s="521"/>
      <c r="E1122" s="524"/>
      <c r="F1122" s="524"/>
      <c r="G1122" s="524"/>
      <c r="H1122" s="524"/>
      <c r="I1122" s="524"/>
      <c r="J1122" s="524"/>
      <c r="K1122" s="525"/>
      <c r="L1122" s="526"/>
      <c r="M1122" s="526"/>
      <c r="N1122" s="526"/>
      <c r="O1122" s="527"/>
      <c r="P1122" s="527"/>
    </row>
    <row r="1123" spans="1:16" ht="21.75" customHeight="1" x14ac:dyDescent="0.2">
      <c r="A1123" s="521"/>
      <c r="B1123" s="521"/>
      <c r="C1123" s="521"/>
      <c r="D1123" s="521"/>
      <c r="E1123" s="524"/>
      <c r="F1123" s="524"/>
      <c r="G1123" s="524"/>
      <c r="H1123" s="524"/>
      <c r="I1123" s="524"/>
      <c r="J1123" s="524"/>
      <c r="K1123" s="525"/>
      <c r="L1123" s="526"/>
      <c r="M1123" s="526"/>
      <c r="N1123" s="526"/>
      <c r="O1123" s="527"/>
      <c r="P1123" s="527"/>
    </row>
    <row r="1124" spans="1:16" ht="21.75" customHeight="1" x14ac:dyDescent="0.2">
      <c r="A1124" s="521"/>
      <c r="B1124" s="521"/>
      <c r="C1124" s="521"/>
      <c r="D1124" s="521"/>
      <c r="E1124" s="524"/>
      <c r="F1124" s="524"/>
      <c r="G1124" s="524"/>
      <c r="H1124" s="524"/>
      <c r="I1124" s="524"/>
      <c r="J1124" s="524"/>
      <c r="K1124" s="525"/>
      <c r="L1124" s="526"/>
      <c r="M1124" s="526"/>
      <c r="N1124" s="526"/>
      <c r="O1124" s="527"/>
      <c r="P1124" s="527"/>
    </row>
    <row r="1125" spans="1:16" ht="21.75" customHeight="1" x14ac:dyDescent="0.2">
      <c r="A1125" s="521"/>
      <c r="B1125" s="521"/>
      <c r="C1125" s="521"/>
      <c r="D1125" s="521"/>
      <c r="E1125" s="524"/>
      <c r="F1125" s="524"/>
      <c r="G1125" s="524"/>
      <c r="H1125" s="524"/>
      <c r="I1125" s="524"/>
      <c r="J1125" s="524"/>
      <c r="K1125" s="525"/>
      <c r="L1125" s="526"/>
      <c r="M1125" s="526"/>
      <c r="N1125" s="526"/>
      <c r="O1125" s="527"/>
      <c r="P1125" s="527"/>
    </row>
    <row r="1126" spans="1:16" ht="21.75" customHeight="1" x14ac:dyDescent="0.2">
      <c r="A1126" s="521"/>
      <c r="B1126" s="521"/>
      <c r="C1126" s="521"/>
      <c r="D1126" s="521"/>
      <c r="E1126" s="524"/>
      <c r="F1126" s="524"/>
      <c r="G1126" s="524"/>
      <c r="H1126" s="524"/>
      <c r="I1126" s="524"/>
      <c r="J1126" s="524"/>
      <c r="K1126" s="525"/>
      <c r="L1126" s="526"/>
      <c r="M1126" s="526"/>
      <c r="N1126" s="526"/>
      <c r="O1126" s="527"/>
      <c r="P1126" s="527"/>
    </row>
    <row r="1127" spans="1:16" ht="21.75" customHeight="1" x14ac:dyDescent="0.2">
      <c r="A1127" s="521"/>
      <c r="B1127" s="521"/>
      <c r="C1127" s="521"/>
      <c r="D1127" s="521"/>
      <c r="E1127" s="524"/>
      <c r="F1127" s="524"/>
      <c r="G1127" s="524"/>
      <c r="H1127" s="524"/>
      <c r="I1127" s="524"/>
      <c r="J1127" s="524"/>
      <c r="K1127" s="525"/>
      <c r="L1127" s="526"/>
      <c r="M1127" s="526"/>
      <c r="N1127" s="526"/>
      <c r="O1127" s="527"/>
      <c r="P1127" s="527"/>
    </row>
    <row r="1128" spans="1:16" ht="21.75" customHeight="1" x14ac:dyDescent="0.2">
      <c r="A1128" s="521"/>
      <c r="B1128" s="521"/>
      <c r="C1128" s="521"/>
      <c r="D1128" s="521"/>
      <c r="E1128" s="524"/>
      <c r="F1128" s="524"/>
      <c r="G1128" s="524"/>
      <c r="H1128" s="524"/>
      <c r="I1128" s="524"/>
      <c r="J1128" s="524"/>
      <c r="K1128" s="525"/>
      <c r="L1128" s="526"/>
      <c r="M1128" s="526"/>
      <c r="N1128" s="526"/>
      <c r="O1128" s="527"/>
      <c r="P1128" s="527"/>
    </row>
    <row r="1129" spans="1:16" ht="21.75" customHeight="1" x14ac:dyDescent="0.2">
      <c r="A1129" s="521"/>
      <c r="B1129" s="521"/>
      <c r="C1129" s="521"/>
      <c r="D1129" s="521"/>
      <c r="E1129" s="524"/>
      <c r="F1129" s="524"/>
      <c r="G1129" s="524"/>
      <c r="H1129" s="524"/>
      <c r="I1129" s="524"/>
      <c r="J1129" s="524"/>
      <c r="K1129" s="525"/>
      <c r="L1129" s="526"/>
      <c r="M1129" s="526"/>
      <c r="N1129" s="526"/>
      <c r="O1129" s="527"/>
      <c r="P1129" s="527"/>
    </row>
    <row r="1130" spans="1:16" ht="21.75" customHeight="1" x14ac:dyDescent="0.2">
      <c r="A1130" s="521"/>
      <c r="B1130" s="521"/>
      <c r="C1130" s="521"/>
      <c r="D1130" s="521"/>
      <c r="E1130" s="524"/>
      <c r="F1130" s="524"/>
      <c r="G1130" s="524"/>
      <c r="H1130" s="524"/>
      <c r="I1130" s="524"/>
      <c r="J1130" s="524"/>
      <c r="K1130" s="525"/>
      <c r="L1130" s="526"/>
      <c r="M1130" s="526"/>
      <c r="N1130" s="526"/>
      <c r="O1130" s="527"/>
      <c r="P1130" s="527"/>
    </row>
    <row r="1131" spans="1:16" ht="21.75" customHeight="1" x14ac:dyDescent="0.2">
      <c r="A1131" s="521"/>
      <c r="B1131" s="521"/>
      <c r="C1131" s="521"/>
      <c r="D1131" s="521"/>
      <c r="E1131" s="524"/>
      <c r="F1131" s="524"/>
      <c r="G1131" s="524"/>
      <c r="H1131" s="524"/>
      <c r="I1131" s="524"/>
      <c r="J1131" s="524"/>
      <c r="K1131" s="525"/>
      <c r="L1131" s="526"/>
      <c r="M1131" s="526"/>
      <c r="N1131" s="526"/>
      <c r="O1131" s="527"/>
      <c r="P1131" s="527"/>
    </row>
    <row r="1132" spans="1:16" ht="21.75" customHeight="1" x14ac:dyDescent="0.2">
      <c r="A1132" s="521"/>
      <c r="B1132" s="521"/>
      <c r="C1132" s="521"/>
      <c r="D1132" s="521"/>
      <c r="E1132" s="524"/>
      <c r="F1132" s="524"/>
      <c r="G1132" s="524"/>
      <c r="H1132" s="524"/>
      <c r="I1132" s="524"/>
      <c r="J1132" s="524"/>
      <c r="K1132" s="525"/>
      <c r="L1132" s="526"/>
      <c r="M1132" s="526"/>
      <c r="N1132" s="526"/>
      <c r="O1132" s="527"/>
      <c r="P1132" s="527"/>
    </row>
    <row r="1133" spans="1:16" ht="21.75" customHeight="1" x14ac:dyDescent="0.2">
      <c r="A1133" s="521"/>
      <c r="B1133" s="521"/>
      <c r="C1133" s="521"/>
      <c r="D1133" s="521"/>
      <c r="E1133" s="524"/>
      <c r="F1133" s="524"/>
      <c r="G1133" s="524"/>
      <c r="H1133" s="524"/>
      <c r="I1133" s="524"/>
      <c r="J1133" s="524"/>
      <c r="K1133" s="525"/>
      <c r="L1133" s="526"/>
      <c r="M1133" s="526"/>
      <c r="N1133" s="526"/>
      <c r="O1133" s="527"/>
      <c r="P1133" s="527"/>
    </row>
    <row r="1134" spans="1:16" ht="21.75" customHeight="1" x14ac:dyDescent="0.2">
      <c r="A1134" s="521"/>
      <c r="B1134" s="521"/>
      <c r="C1134" s="521"/>
      <c r="D1134" s="521"/>
      <c r="E1134" s="524"/>
      <c r="F1134" s="524"/>
      <c r="G1134" s="524"/>
      <c r="H1134" s="524"/>
      <c r="I1134" s="524"/>
      <c r="J1134" s="524"/>
      <c r="K1134" s="525"/>
      <c r="L1134" s="526"/>
      <c r="M1134" s="526"/>
      <c r="N1134" s="526"/>
      <c r="O1134" s="527"/>
      <c r="P1134" s="527"/>
    </row>
    <row r="1135" spans="1:16" ht="21.75" customHeight="1" x14ac:dyDescent="0.2">
      <c r="A1135" s="521"/>
      <c r="B1135" s="521"/>
      <c r="C1135" s="521"/>
      <c r="D1135" s="521"/>
      <c r="E1135" s="524"/>
      <c r="F1135" s="524"/>
      <c r="G1135" s="524"/>
      <c r="H1135" s="524"/>
      <c r="I1135" s="524"/>
      <c r="J1135" s="524"/>
      <c r="K1135" s="525"/>
      <c r="L1135" s="526"/>
      <c r="M1135" s="526"/>
      <c r="N1135" s="526"/>
      <c r="O1135" s="527"/>
      <c r="P1135" s="527"/>
    </row>
    <row r="1136" spans="1:16" ht="21.75" customHeight="1" x14ac:dyDescent="0.2">
      <c r="A1136" s="521"/>
      <c r="B1136" s="521"/>
      <c r="C1136" s="521"/>
      <c r="D1136" s="521"/>
      <c r="E1136" s="524"/>
      <c r="F1136" s="524"/>
      <c r="G1136" s="524"/>
      <c r="H1136" s="524"/>
      <c r="I1136" s="524"/>
      <c r="J1136" s="524"/>
      <c r="K1136" s="525"/>
      <c r="L1136" s="526"/>
      <c r="M1136" s="526"/>
      <c r="N1136" s="526"/>
      <c r="O1136" s="527"/>
      <c r="P1136" s="527"/>
    </row>
    <row r="1137" spans="1:16" ht="21.75" customHeight="1" x14ac:dyDescent="0.2">
      <c r="A1137" s="521"/>
      <c r="B1137" s="521"/>
      <c r="C1137" s="521"/>
      <c r="D1137" s="521"/>
      <c r="E1137" s="524"/>
      <c r="F1137" s="524"/>
      <c r="G1137" s="524"/>
      <c r="H1137" s="524"/>
      <c r="I1137" s="524"/>
      <c r="J1137" s="524"/>
      <c r="K1137" s="525"/>
      <c r="L1137" s="526"/>
      <c r="M1137" s="526"/>
      <c r="N1137" s="526"/>
      <c r="O1137" s="527"/>
      <c r="P1137" s="527"/>
    </row>
    <row r="1138" spans="1:16" ht="21.75" customHeight="1" x14ac:dyDescent="0.2">
      <c r="A1138" s="521"/>
      <c r="B1138" s="521"/>
      <c r="C1138" s="521"/>
      <c r="D1138" s="521"/>
      <c r="E1138" s="524"/>
      <c r="F1138" s="524"/>
      <c r="G1138" s="524"/>
      <c r="H1138" s="524"/>
      <c r="I1138" s="524"/>
      <c r="J1138" s="524"/>
      <c r="K1138" s="525"/>
      <c r="L1138" s="526"/>
      <c r="M1138" s="526"/>
      <c r="N1138" s="526"/>
      <c r="O1138" s="527"/>
      <c r="P1138" s="527"/>
    </row>
    <row r="1139" spans="1:16" ht="21.75" customHeight="1" x14ac:dyDescent="0.2">
      <c r="A1139" s="521"/>
      <c r="B1139" s="521"/>
      <c r="C1139" s="521"/>
      <c r="D1139" s="521"/>
      <c r="E1139" s="524"/>
      <c r="F1139" s="524"/>
      <c r="G1139" s="524"/>
      <c r="H1139" s="524"/>
      <c r="I1139" s="524"/>
      <c r="J1139" s="524"/>
      <c r="K1139" s="525"/>
      <c r="L1139" s="526"/>
      <c r="M1139" s="526"/>
      <c r="N1139" s="526"/>
      <c r="O1139" s="527"/>
      <c r="P1139" s="527"/>
    </row>
    <row r="1140" spans="1:16" ht="21.75" customHeight="1" x14ac:dyDescent="0.2">
      <c r="A1140" s="521"/>
      <c r="B1140" s="521"/>
      <c r="C1140" s="521"/>
      <c r="D1140" s="521"/>
      <c r="E1140" s="524"/>
      <c r="F1140" s="524"/>
      <c r="G1140" s="524"/>
      <c r="H1140" s="524"/>
      <c r="I1140" s="524"/>
      <c r="J1140" s="524"/>
      <c r="K1140" s="525"/>
      <c r="L1140" s="526"/>
      <c r="M1140" s="526"/>
      <c r="N1140" s="526"/>
      <c r="O1140" s="527"/>
      <c r="P1140" s="527"/>
    </row>
    <row r="1141" spans="1:16" ht="21.75" customHeight="1" x14ac:dyDescent="0.2">
      <c r="A1141" s="521"/>
      <c r="B1141" s="521"/>
      <c r="C1141" s="521"/>
      <c r="D1141" s="521"/>
      <c r="E1141" s="524"/>
      <c r="F1141" s="524"/>
      <c r="G1141" s="524"/>
      <c r="H1141" s="524"/>
      <c r="I1141" s="524"/>
      <c r="J1141" s="524"/>
      <c r="K1141" s="525"/>
      <c r="L1141" s="526"/>
      <c r="M1141" s="526"/>
      <c r="N1141" s="526"/>
      <c r="O1141" s="527"/>
      <c r="P1141" s="527"/>
    </row>
    <row r="1142" spans="1:16" ht="21.75" customHeight="1" x14ac:dyDescent="0.2">
      <c r="A1142" s="521"/>
      <c r="B1142" s="521"/>
      <c r="C1142" s="521"/>
      <c r="D1142" s="521"/>
      <c r="E1142" s="524"/>
      <c r="F1142" s="524"/>
      <c r="G1142" s="524"/>
      <c r="H1142" s="524"/>
      <c r="I1142" s="524"/>
      <c r="J1142" s="524"/>
      <c r="K1142" s="525"/>
      <c r="L1142" s="526"/>
      <c r="M1142" s="526"/>
      <c r="N1142" s="526"/>
      <c r="O1142" s="527"/>
      <c r="P1142" s="527"/>
    </row>
    <row r="1143" spans="1:16" ht="21.75" customHeight="1" x14ac:dyDescent="0.2">
      <c r="A1143" s="521"/>
      <c r="B1143" s="521"/>
      <c r="C1143" s="521"/>
      <c r="D1143" s="521"/>
      <c r="E1143" s="524"/>
      <c r="F1143" s="524"/>
      <c r="G1143" s="524"/>
      <c r="H1143" s="524"/>
      <c r="I1143" s="524"/>
      <c r="J1143" s="524"/>
      <c r="K1143" s="525"/>
      <c r="L1143" s="526"/>
      <c r="M1143" s="526"/>
      <c r="N1143" s="526"/>
      <c r="O1143" s="527"/>
      <c r="P1143" s="527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A1:O1"/>
    <mergeCell ref="A2:O2"/>
    <mergeCell ref="A3:O3"/>
    <mergeCell ref="H5:H6"/>
    <mergeCell ref="I5:K5"/>
    <mergeCell ref="L5:M5"/>
    <mergeCell ref="N5:P5"/>
    <mergeCell ref="A5:G6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2022-02-08T10:04:10Z</dcterms:modified>
</cp:coreProperties>
</file>