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รวมตะวันออกเฉียงเหนือ" sheetId="1" r:id="rId4"/>
    <sheet state="visible" name="กาฬสินธุ์" sheetId="2" r:id="rId5"/>
    <sheet state="visible" name="ขอนแก่น" sheetId="3" r:id="rId6"/>
    <sheet state="visible" name="ชัยภูมิ" sheetId="4" r:id="rId7"/>
    <sheet state="visible" name="นครพนม" sheetId="5" r:id="rId8"/>
    <sheet state="visible" name="นครราชสีมา" sheetId="6" r:id="rId9"/>
    <sheet state="visible" name="บึงกาฬ" sheetId="7" r:id="rId10"/>
    <sheet state="visible" name="บุรีรัมย์" sheetId="8" r:id="rId11"/>
    <sheet state="visible" name="มหาสารคาม" sheetId="9" r:id="rId12"/>
    <sheet state="visible" name="มุกดาหาร" sheetId="10" r:id="rId13"/>
    <sheet state="visible" name="ยโสธร" sheetId="11" r:id="rId14"/>
    <sheet state="visible" name="ร้อยเอ็ด" sheetId="12" r:id="rId15"/>
    <sheet state="visible" name="เลย" sheetId="13" r:id="rId16"/>
    <sheet state="visible" name="ศรีสะเกษ" sheetId="14" r:id="rId17"/>
    <sheet state="visible" name="สกลนคร" sheetId="15" r:id="rId18"/>
    <sheet state="visible" name="สุรินทร์" sheetId="16" r:id="rId19"/>
    <sheet state="visible" name="หนองคาย" sheetId="17" r:id="rId20"/>
    <sheet state="visible" name="หนองบัวลำภู" sheetId="18" r:id="rId21"/>
    <sheet state="visible" name="อำนาจเจริญ" sheetId="19" r:id="rId22"/>
    <sheet state="visible" name="อุดรธานี" sheetId="20" r:id="rId23"/>
    <sheet state="visible" name="อุบลราชธานี" sheetId="21" r:id="rId24"/>
  </sheets>
  <definedNames/>
  <calcPr/>
</workbook>
</file>

<file path=xl/sharedStrings.xml><?xml version="1.0" encoding="utf-8"?>
<sst xmlns="http://schemas.openxmlformats.org/spreadsheetml/2006/main" count="26250" uniqueCount="279">
  <si>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</si>
  <si>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</si>
  <si>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ข้อมูล ณ วันที่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</si>
  <si>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</si>
  <si>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</si>
  <si>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</si>
  <si>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</si>
  <si>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</si>
  <si>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</si>
  <si>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</si>
  <si>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</si>
  <si>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</si>
  <si>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</si>
  <si>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</si>
  <si>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</si>
  <si>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</si>
  <si>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</si>
  <si>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</si>
  <si>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</si>
  <si>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</si>
  <si>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</si>
  <si>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</si>
  <si>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</si>
  <si>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</si>
  <si>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</si>
  <si>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</si>
  <si>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</si>
  <si>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</si>
  <si>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</si>
  <si>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</si>
  <si>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</si>
  <si>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</si>
  <si>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</si>
  <si>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</si>
  <si>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</si>
  <si>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</si>
  <si>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</si>
  <si>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</si>
  <si>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</si>
  <si>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</si>
  <si>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</si>
  <si>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</si>
  <si>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</si>
  <si>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</si>
  <si>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</si>
  <si>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</si>
  <si>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</si>
  <si>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</si>
  <si>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</si>
  <si>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</si>
  <si>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</si>
  <si>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</si>
  <si>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</si>
  <si>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</si>
  <si>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</si>
  <si>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</si>
  <si>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</si>
  <si>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</si>
  <si>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</si>
  <si>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</si>
  <si>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</si>
  <si>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</si>
  <si>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</si>
  <si>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</si>
  <si>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</si>
  <si>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</si>
  <si>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</si>
  <si>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</si>
  <si>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</si>
  <si>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</si>
  <si>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</si>
  <si>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</si>
  <si>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</si>
  <si>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</si>
  <si>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</si>
  <si>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</si>
  <si>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</si>
  <si>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</si>
  <si>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</si>
  <si>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</si>
  <si>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</si>
  <si>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</si>
  <si>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</si>
  <si>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</si>
  <si>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</si>
  <si>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</si>
  <si>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</si>
  <si>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</si>
  <si>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</si>
  <si>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</si>
  <si>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</si>
  <si>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</si>
  <si>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</si>
  <si>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</si>
  <si>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</si>
  <si>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</si>
  <si>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</si>
  <si>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</si>
  <si>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</si>
  <si>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</si>
  <si>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</si>
  <si>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</si>
  <si>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</si>
  <si>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</si>
  <si>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</si>
  <si>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</si>
  <si>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</si>
  <si>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</si>
  <si>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</si>
  <si>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</si>
  <si>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</si>
  <si>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</si>
  <si>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</si>
  <si>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</si>
  <si>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</si>
  <si>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</si>
  <si>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</si>
  <si>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</si>
  <si>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</si>
  <si>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</si>
  <si>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</si>
  <si>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</si>
  <si>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</si>
  <si>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</si>
  <si>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</si>
  <si>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</si>
  <si>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</si>
  <si>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</si>
  <si>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</si>
  <si>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</si>
  <si>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</si>
  <si>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</si>
  <si>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</si>
  <si>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</si>
  <si>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</si>
  <si>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</si>
  <si>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</si>
  <si>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</si>
  <si>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</si>
  <si>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</si>
  <si>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</si>
  <si>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</si>
  <si>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</si>
  <si>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</si>
  <si>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</si>
  <si>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</si>
  <si>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</si>
  <si>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</si>
  <si>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</si>
  <si>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</si>
  <si>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</si>
  <si>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</si>
  <si>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</si>
  <si>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</si>
  <si>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</si>
  <si>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</si>
  <si>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</si>
  <si>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</si>
  <si>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</si>
  <si>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</si>
  <si>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</si>
  <si>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</si>
  <si>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</si>
  <si>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</si>
  <si>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</si>
  <si>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</si>
  <si>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</si>
  <si>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</si>
  <si>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</si>
  <si>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</si>
  <si>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</si>
  <si>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</si>
  <si>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</si>
  <si>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</si>
  <si>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</si>
  <si>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</si>
  <si>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</si>
  <si>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</si>
  <si>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</si>
  <si>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</si>
  <si>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</si>
  <si>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</si>
  <si>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</si>
  <si>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</si>
  <si>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</si>
  <si>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</si>
  <si>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</si>
  <si>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</si>
  <si>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</si>
  <si>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</si>
  <si>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</si>
  <si>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</si>
  <si>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</si>
  <si>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</si>
  <si>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</si>
  <si>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</si>
  <si>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</si>
  <si>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</si>
  <si>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</si>
  <si>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</si>
  <si>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</si>
  <si>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</si>
  <si>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</si>
  <si>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</si>
  <si>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</si>
  <si>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</si>
  <si>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</si>
  <si>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</si>
  <si>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</si>
  <si>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</si>
  <si>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</si>
  <si>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</si>
  <si>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</si>
  <si>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</si>
  <si>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</si>
  <si>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</si>
  <si>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</si>
  <si>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</si>
  <si>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</si>
  <si>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</si>
  <si>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</si>
  <si>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</si>
  <si>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</si>
  <si>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</si>
  <si>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</si>
  <si>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</si>
  <si>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</si>
  <si>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</si>
  <si>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</si>
  <si>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</si>
  <si>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</si>
  <si>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</si>
  <si>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</si>
  <si>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</si>
  <si>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</si>
  <si>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</si>
  <si>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</si>
  <si>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</si>
  <si>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</si>
  <si>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กาฬสินธุ์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</si>
  <si>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</si>
  <si>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ขอนแก่น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</si>
  <si>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</si>
  <si>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ชัยภูมิ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</si>
  <si>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</si>
  <si>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นครพนม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</si>
  <si>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</si>
  <si>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นครราชสีมา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</si>
  <si>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</si>
  <si>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บึงกาฬ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</si>
  <si>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</si>
  <si>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บุรีรัมย์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</si>
  <si>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</si>
  <si>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มหาสารคาม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</si>
  <si>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</si>
  <si>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มุกดาหาร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</si>
  <si>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</si>
  <si>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ยโสธร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</si>
  <si>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</si>
  <si>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ร้อยเอ็ด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</si>
  <si>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</si>
  <si>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เลย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</si>
  <si>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</si>
  <si>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ศรีสะเกษ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</si>
  <si>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</si>
  <si>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สกลนคร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</si>
  <si>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</si>
  <si>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สุรินทร์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</si>
  <si>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</si>
  <si>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หนองคาย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</si>
  <si>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</si>
  <si>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หนองบัวลำภู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</si>
  <si>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</si>
  <si>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อำนาจเจริญ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</si>
  <si>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</si>
  <si>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อุดรธานี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</si>
  <si>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</si>
  <si>
    <t>สำนักงานการปฏิรูปที่ดินจังหวัด อุบลราชธานี</t>
  </si>
  <si>
    <r>
      <rPr>
        <rFont val="Calibri"/>
        <b/>
        <color theme="1"/>
        <sz val="15.0"/>
        <u/>
      </rPr>
      <t>ขั้นตอนการดำเนินงาน (ระบุ 1 ในช่อง 1 2  หรือ 3 เพียงข้อเดียว เ</t>
    </r>
    <r>
      <rPr>
        <rFont val="Calibri"/>
        <b/>
        <color rgb="FFCC4125"/>
        <sz val="15.0"/>
        <u/>
      </rPr>
      <t>ท่านั้น</t>
    </r>
    <r>
      <rPr>
        <rFont val="Calibri"/>
        <b/>
        <color theme="1"/>
        <sz val="15.0"/>
        <u/>
      </rPr>
      <t>)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</si>
</sst>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????_-;_-@"/>
  </numFmts>
  <fonts count="20">
    <font>
      <sz val="11.0"/>
      <color theme="1"/>
      <name val="Arial"/>
    </font>
    <font>
      <b/>
      <sz val="15.0"/>
      <color theme="1"/>
      <name val="Calibri"/>
    </font>
    <font>
      <sz val="15.0"/>
      <color theme="1"/>
      <name val="Calibri"/>
    </font>
    <font>
      <b/>
      <sz val="15.0"/>
      <color theme="0"/>
      <name val="Calibri"/>
    </font>
    <font/>
    <font>
      <b/>
      <sz val="15.0"/>
      <color rgb="FF000000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sz val="15.0"/>
      <color rgb="FF000000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sz val="15.0"/>
      <color rgb="FFFF0000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b/>
      <u/>
      <sz val="15.0"/>
      <color theme="1"/>
      <name val="Calibri"/>
    </font>
    <font>
      <sz val="15.0"/>
      <color theme="0"/>
      <name val="Calibri"/>
    </font>
  </fonts>
  <fills count="32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hair">
        <color rgb="FF000000"/>
      </bottom>
    </border>
    <border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right style="thin">
        <color rgb="FF000000"/>
      </right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</border>
    <border>
      <top style="hair">
        <color rgb="FF000000"/>
      </top>
    </border>
    <border>
      <right style="thin">
        <color rgb="FF000000"/>
      </right>
      <top style="hair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/>
      <right/>
      <top style="hair">
        <color rgb="FF000000"/>
      </top>
      <bottom style="hair">
        <color rgb="FF000000"/>
      </bottom>
    </border>
    <border>
      <left/>
      <right style="thin">
        <color rgb="FF000000"/>
      </right>
      <top style="hair">
        <color rgb="FF000000"/>
      </top>
      <bottom style="hair">
        <color rgb="FF000000"/>
      </bottom>
    </border>
    <border>
      <left/>
      <right/>
      <top style="hair">
        <color rgb="FF000000"/>
      </top>
    </border>
    <border>
      <left/>
      <right style="thin">
        <color rgb="FF000000"/>
      </right>
      <top style="hair">
        <color rgb="FF000000"/>
      </top>
    </border>
    <border>
      <left style="thin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/>
      <top style="medium">
        <color rgb="FF000000"/>
      </top>
      <bottom style="hair">
        <color rgb="FF000000"/>
      </bottom>
    </border>
    <border>
      <left/>
      <right/>
      <top style="medium">
        <color rgb="FF000000"/>
      </top>
      <bottom style="hair">
        <color rgb="FF000000"/>
      </bottom>
    </border>
    <border>
      <left/>
      <right style="thin">
        <color rgb="FF000000"/>
      </right>
      <top style="medium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</border>
    <border>
      <left style="thin">
        <color rgb="FF000000"/>
      </left>
      <right/>
      <top/>
      <bottom style="hair">
        <color rgb="FF000000"/>
      </bottom>
    </border>
    <border>
      <left/>
      <right/>
      <top/>
      <bottom style="hair">
        <color rgb="FF000000"/>
      </bottom>
    </border>
    <border>
      <left/>
      <right style="thin">
        <color rgb="FF000000"/>
      </right>
      <top/>
      <bottom style="hair">
        <color rgb="FF000000"/>
      </bottom>
    </border>
    <border>
      <left style="thin">
        <color rgb="FF000000"/>
      </left>
      <right style="thin">
        <color rgb="FF000000"/>
      </right>
      <top/>
      <bottom style="hair">
        <color rgb="FF000000"/>
      </bottom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/>
      <right/>
      <top style="hair">
        <color rgb="FF000000"/>
      </top>
      <bottom style="thin">
        <color rgb="FF000000"/>
      </bottom>
    </border>
    <border>
      <left/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/>
      <top style="hair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5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 readingOrder="0" vertical="center"/>
    </xf>
    <xf borderId="0" fillId="2" fontId="1" numFmtId="0" xfId="0" applyAlignment="1" applyFill="1" applyFont="1">
      <alignment horizontal="center" vertical="center"/>
    </xf>
    <xf borderId="0" fillId="2" fontId="2" numFmtId="164" xfId="0" applyAlignment="1" applyFont="1" applyNumberFormat="1">
      <alignment horizontal="center" shrinkToFit="0" vertical="center" wrapText="1"/>
    </xf>
    <xf borderId="0" fillId="2" fontId="2" numFmtId="165" xfId="0" applyAlignment="1" applyFont="1" applyNumberFormat="1">
      <alignment shrinkToFit="0" vertical="center" wrapText="1"/>
    </xf>
    <xf borderId="0" fillId="2" fontId="2" numFmtId="164" xfId="0" applyAlignment="1" applyFont="1" applyNumberFormat="1">
      <alignment shrinkToFit="0" vertical="center" wrapText="1"/>
    </xf>
    <xf borderId="1" fillId="3" fontId="3" numFmtId="0" xfId="0" applyAlignment="1" applyBorder="1" applyFill="1" applyFont="1">
      <alignment horizontal="center" vertical="center"/>
    </xf>
    <xf borderId="2" fillId="0" fontId="4" numFmtId="0" xfId="0" applyBorder="1" applyFont="1"/>
    <xf borderId="3" fillId="0" fontId="4" numFmtId="0" xfId="0" applyBorder="1" applyFont="1"/>
    <xf borderId="4" fillId="3" fontId="3" numFmtId="0" xfId="0" applyAlignment="1" applyBorder="1" applyFont="1">
      <alignment horizontal="center" vertical="center"/>
    </xf>
    <xf borderId="5" fillId="4" fontId="1" numFmtId="0" xfId="0" applyAlignment="1" applyBorder="1" applyFill="1" applyFont="1">
      <alignment horizontal="center" readingOrder="0" vertical="center"/>
    </xf>
    <xf borderId="6" fillId="0" fontId="4" numFmtId="0" xfId="0" applyBorder="1" applyFont="1"/>
    <xf borderId="7" fillId="0" fontId="4" numFmtId="0" xfId="0" applyBorder="1" applyFont="1"/>
    <xf borderId="5" fillId="5" fontId="1" numFmtId="165" xfId="0" applyAlignment="1" applyBorder="1" applyFill="1" applyFont="1" applyNumberFormat="1">
      <alignment horizontal="center" readingOrder="0" shrinkToFit="0" vertical="center" wrapText="1"/>
    </xf>
    <xf borderId="5" fillId="6" fontId="1" numFmtId="165" xfId="0" applyAlignment="1" applyBorder="1" applyFill="1" applyFont="1" applyNumberFormat="1">
      <alignment horizontal="center" readingOrder="0" vertical="center"/>
    </xf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12" fillId="4" fontId="1" numFmtId="165" xfId="0" applyAlignment="1" applyBorder="1" applyFont="1" applyNumberFormat="1">
      <alignment horizontal="center" vertical="center"/>
    </xf>
    <xf borderId="12" fillId="4" fontId="1" numFmtId="164" xfId="0" applyAlignment="1" applyBorder="1" applyFont="1" applyNumberFormat="1">
      <alignment horizontal="center" shrinkToFit="0" vertical="center" wrapText="1"/>
    </xf>
    <xf borderId="12" fillId="5" fontId="1" numFmtId="165" xfId="0" applyAlignment="1" applyBorder="1" applyFont="1" applyNumberFormat="1">
      <alignment horizontal="center" readingOrder="0" shrinkToFit="0" vertical="center" wrapText="1"/>
    </xf>
    <xf borderId="12" fillId="7" fontId="1" numFmtId="165" xfId="0" applyAlignment="1" applyBorder="1" applyFill="1" applyFont="1" applyNumberFormat="1">
      <alignment horizontal="center" readingOrder="0" shrinkToFit="0" vertical="center" wrapText="1"/>
    </xf>
    <xf borderId="12" fillId="6" fontId="1" numFmtId="165" xfId="0" applyAlignment="1" applyBorder="1" applyFont="1" applyNumberFormat="1">
      <alignment horizontal="center" readingOrder="0" vertical="center"/>
    </xf>
    <xf borderId="12" fillId="5" fontId="1" numFmtId="165" xfId="0" applyAlignment="1" applyBorder="1" applyFont="1" applyNumberFormat="1">
      <alignment horizontal="center" readingOrder="0" vertical="center"/>
    </xf>
    <xf borderId="12" fillId="7" fontId="1" numFmtId="165" xfId="0" applyAlignment="1" applyBorder="1" applyFont="1" applyNumberFormat="1">
      <alignment horizontal="center" readingOrder="0" vertical="center"/>
    </xf>
    <xf borderId="5" fillId="8" fontId="5" numFmtId="0" xfId="0" applyAlignment="1" applyBorder="1" applyFill="1" applyFont="1">
      <alignment horizontal="left" readingOrder="0" shrinkToFit="0" wrapText="0"/>
    </xf>
    <xf borderId="12" fillId="8" fontId="5" numFmtId="0" xfId="0" applyAlignment="1" applyBorder="1" applyFont="1">
      <alignment shrinkToFit="0" wrapText="0"/>
    </xf>
    <xf borderId="12" fillId="8" fontId="5" numFmtId="166" xfId="0" applyAlignment="1" applyBorder="1" applyFont="1" applyNumberFormat="1">
      <alignment shrinkToFit="0" wrapText="0"/>
    </xf>
    <xf borderId="12" fillId="8" fontId="5" numFmtId="165" xfId="0" applyAlignment="1" applyBorder="1" applyFont="1" applyNumberFormat="1">
      <alignment shrinkToFit="0" wrapText="0"/>
    </xf>
    <xf borderId="12" fillId="8" fontId="5" numFmtId="165" xfId="0" applyAlignment="1" applyBorder="1" applyFont="1" applyNumberFormat="1">
      <alignment horizontal="center" readingOrder="0" shrinkToFit="0" wrapText="0"/>
    </xf>
    <xf borderId="12" fillId="8" fontId="5" numFmtId="165" xfId="0" applyAlignment="1" applyBorder="1" applyFont="1" applyNumberFormat="1">
      <alignment horizontal="right" readingOrder="0"/>
    </xf>
    <xf borderId="13" fillId="9" fontId="1" numFmtId="0" xfId="0" applyAlignment="1" applyBorder="1" applyFill="1" applyFont="1">
      <alignment shrinkToFit="0" wrapText="0"/>
    </xf>
    <xf borderId="14" fillId="9" fontId="1" numFmtId="0" xfId="0" applyAlignment="1" applyBorder="1" applyFont="1">
      <alignment shrinkToFit="0" wrapText="0"/>
    </xf>
    <xf borderId="14" fillId="9" fontId="1" numFmtId="0" xfId="0" applyAlignment="1" applyBorder="1" applyFont="1">
      <alignment horizontal="left" readingOrder="0" shrinkToFit="0" wrapText="0"/>
    </xf>
    <xf borderId="14" fillId="9" fontId="6" numFmtId="0" xfId="0" applyAlignment="1" applyBorder="1" applyFont="1">
      <alignment horizontal="left" readingOrder="0" shrinkToFit="0" wrapText="0"/>
    </xf>
    <xf borderId="14" fillId="0" fontId="4" numFmtId="0" xfId="0" applyBorder="1" applyFont="1"/>
    <xf borderId="15" fillId="9" fontId="1" numFmtId="0" xfId="0" applyAlignment="1" applyBorder="1" applyFont="1">
      <alignment horizontal="center" readingOrder="0"/>
    </xf>
    <xf borderId="16" fillId="9" fontId="1" numFmtId="166" xfId="0" applyAlignment="1" applyBorder="1" applyFont="1" applyNumberFormat="1">
      <alignment horizontal="right"/>
    </xf>
    <xf borderId="16" fillId="9" fontId="1" numFmtId="165" xfId="0" applyAlignment="1" applyBorder="1" applyFont="1" applyNumberFormat="1">
      <alignment horizontal="right"/>
    </xf>
    <xf borderId="16" fillId="9" fontId="1" numFmtId="165" xfId="0" applyAlignment="1" applyBorder="1" applyFont="1" applyNumberFormat="1">
      <alignment shrinkToFit="0" wrapText="0"/>
    </xf>
    <xf borderId="17" fillId="9" fontId="1" numFmtId="0" xfId="0" applyAlignment="1" applyBorder="1" applyFont="1">
      <alignment shrinkToFit="0" wrapText="0"/>
    </xf>
    <xf borderId="18" fillId="9" fontId="1" numFmtId="0" xfId="0" applyAlignment="1" applyBorder="1" applyFont="1">
      <alignment shrinkToFit="0" wrapText="0"/>
    </xf>
    <xf borderId="18" fillId="9" fontId="1" numFmtId="0" xfId="0" applyAlignment="1" applyBorder="1" applyFont="1">
      <alignment horizontal="left" readingOrder="0" shrinkToFit="0" wrapText="0"/>
    </xf>
    <xf borderId="19" fillId="9" fontId="1" numFmtId="0" xfId="0" applyAlignment="1" applyBorder="1" applyFont="1">
      <alignment horizontal="center" readingOrder="0"/>
    </xf>
    <xf borderId="20" fillId="9" fontId="1" numFmtId="166" xfId="0" applyAlignment="1" applyBorder="1" applyFont="1" applyNumberFormat="1">
      <alignment horizontal="right"/>
    </xf>
    <xf borderId="20" fillId="9" fontId="1" numFmtId="165" xfId="0" applyAlignment="1" applyBorder="1" applyFont="1" applyNumberFormat="1">
      <alignment horizontal="right"/>
    </xf>
    <xf borderId="20" fillId="9" fontId="1" numFmtId="165" xfId="0" applyAlignment="1" applyBorder="1" applyFont="1" applyNumberFormat="1">
      <alignment shrinkToFit="0" wrapText="0"/>
    </xf>
    <xf borderId="17" fillId="2" fontId="1" numFmtId="0" xfId="0" applyAlignment="1" applyBorder="1" applyFont="1">
      <alignment shrinkToFit="0" wrapText="0"/>
    </xf>
    <xf borderId="18" fillId="2" fontId="1" numFmtId="0" xfId="0" applyAlignment="1" applyBorder="1" applyFont="1">
      <alignment shrinkToFit="0" wrapText="0"/>
    </xf>
    <xf borderId="18" fillId="2" fontId="1" numFmtId="0" xfId="0" applyAlignment="1" applyBorder="1" applyFont="1">
      <alignment horizontal="left" readingOrder="0" shrinkToFit="0" wrapText="0"/>
    </xf>
    <xf borderId="18" fillId="2" fontId="7" numFmtId="0" xfId="0" applyAlignment="1" applyBorder="1" applyFont="1">
      <alignment horizontal="left" readingOrder="0" shrinkToFit="0" wrapText="0"/>
    </xf>
    <xf borderId="18" fillId="0" fontId="4" numFmtId="0" xfId="0" applyBorder="1" applyFont="1"/>
    <xf borderId="20" fillId="2" fontId="2" numFmtId="0" xfId="0" applyAlignment="1" applyBorder="1" applyFont="1">
      <alignment horizontal="left" readingOrder="0" shrinkToFit="0" wrapText="0"/>
    </xf>
    <xf borderId="20" fillId="2" fontId="2" numFmtId="0" xfId="0" applyAlignment="1" applyBorder="1" applyFont="1">
      <alignment horizontal="center" readingOrder="0"/>
    </xf>
    <xf borderId="20" fillId="2" fontId="2" numFmtId="166" xfId="0" applyAlignment="1" applyBorder="1" applyFont="1" applyNumberFormat="1">
      <alignment horizontal="right"/>
    </xf>
    <xf borderId="20" fillId="2" fontId="2" numFmtId="165" xfId="0" applyAlignment="1" applyBorder="1" applyFont="1" applyNumberFormat="1">
      <alignment horizontal="right"/>
    </xf>
    <xf borderId="20" fillId="2" fontId="1" numFmtId="165" xfId="0" applyAlignment="1" applyBorder="1" applyFont="1" applyNumberFormat="1">
      <alignment horizontal="left" readingOrder="0" shrinkToFit="0" wrapText="0"/>
    </xf>
    <xf borderId="18" fillId="2" fontId="2" numFmtId="0" xfId="0" applyAlignment="1" applyBorder="1" applyFont="1">
      <alignment shrinkToFit="0" wrapText="0"/>
    </xf>
    <xf borderId="18" fillId="2" fontId="2" numFmtId="0" xfId="0" applyAlignment="1" applyBorder="1" applyFont="1">
      <alignment horizontal="left" shrinkToFit="0" wrapText="0"/>
    </xf>
    <xf borderId="20" fillId="2" fontId="2" numFmtId="165" xfId="0" applyAlignment="1" applyBorder="1" applyFont="1" applyNumberFormat="1">
      <alignment horizontal="left" readingOrder="0" shrinkToFit="0" wrapText="0"/>
    </xf>
    <xf borderId="20" fillId="2" fontId="2" numFmtId="165" xfId="0" applyAlignment="1" applyBorder="1" applyFont="1" applyNumberFormat="1">
      <alignment shrinkToFit="0" wrapText="0"/>
    </xf>
    <xf borderId="21" fillId="2" fontId="1" numFmtId="0" xfId="0" applyAlignment="1" applyBorder="1" applyFont="1">
      <alignment shrinkToFit="0" wrapText="0"/>
    </xf>
    <xf borderId="22" fillId="2" fontId="1" numFmtId="0" xfId="0" applyAlignment="1" applyBorder="1" applyFont="1">
      <alignment shrinkToFit="0" wrapText="0"/>
    </xf>
    <xf borderId="22" fillId="2" fontId="2" numFmtId="0" xfId="0" applyAlignment="1" applyBorder="1" applyFont="1">
      <alignment shrinkToFit="0" wrapText="0"/>
    </xf>
    <xf borderId="23" fillId="2" fontId="2" numFmtId="0" xfId="0" applyAlignment="1" applyBorder="1" applyFont="1">
      <alignment horizontal="left" readingOrder="0" shrinkToFit="0" wrapText="0"/>
    </xf>
    <xf borderId="23" fillId="2" fontId="2" numFmtId="0" xfId="0" applyAlignment="1" applyBorder="1" applyFont="1">
      <alignment horizontal="center" readingOrder="0"/>
    </xf>
    <xf borderId="23" fillId="2" fontId="2" numFmtId="166" xfId="0" applyAlignment="1" applyBorder="1" applyFont="1" applyNumberFormat="1">
      <alignment horizontal="right"/>
    </xf>
    <xf borderId="23" fillId="2" fontId="2" numFmtId="165" xfId="0" applyAlignment="1" applyBorder="1" applyFont="1" applyNumberFormat="1">
      <alignment horizontal="right"/>
    </xf>
    <xf borderId="23" fillId="2" fontId="2" numFmtId="165" xfId="0" applyAlignment="1" applyBorder="1" applyFont="1" applyNumberFormat="1">
      <alignment shrinkToFit="0" wrapText="0"/>
    </xf>
    <xf borderId="20" fillId="2" fontId="2" numFmtId="165" xfId="0" applyAlignment="1" applyBorder="1" applyFont="1" applyNumberFormat="1">
      <alignment readingOrder="0" shrinkToFit="0" wrapText="0"/>
    </xf>
    <xf borderId="23" fillId="2" fontId="2" numFmtId="165" xfId="0" applyAlignment="1" applyBorder="1" applyFont="1" applyNumberFormat="1">
      <alignment readingOrder="0" shrinkToFit="0" wrapText="0"/>
    </xf>
    <xf borderId="12" fillId="10" fontId="1" numFmtId="0" xfId="0" applyAlignment="1" applyBorder="1" applyFill="1" applyFont="1">
      <alignment vertical="center"/>
    </xf>
    <xf borderId="12" fillId="10" fontId="1" numFmtId="166" xfId="0" applyAlignment="1" applyBorder="1" applyFont="1" applyNumberFormat="1">
      <alignment vertical="center"/>
    </xf>
    <xf borderId="12" fillId="10" fontId="1" numFmtId="165" xfId="0" applyAlignment="1" applyBorder="1" applyFont="1" applyNumberFormat="1">
      <alignment vertical="center"/>
    </xf>
    <xf borderId="12" fillId="10" fontId="1" numFmtId="165" xfId="0" applyAlignment="1" applyBorder="1" applyFont="1" applyNumberFormat="1">
      <alignment horizontal="right" shrinkToFit="0" vertical="center" wrapText="1"/>
    </xf>
    <xf borderId="5" fillId="11" fontId="5" numFmtId="0" xfId="0" applyAlignment="1" applyBorder="1" applyFill="1" applyFont="1">
      <alignment horizontal="left" readingOrder="0" shrinkToFit="0" wrapText="0"/>
    </xf>
    <xf borderId="12" fillId="11" fontId="8" numFmtId="0" xfId="0" applyAlignment="1" applyBorder="1" applyFont="1">
      <alignment horizontal="left" shrinkToFit="0" wrapText="0"/>
    </xf>
    <xf borderId="12" fillId="11" fontId="8" numFmtId="166" xfId="0" applyAlignment="1" applyBorder="1" applyFont="1" applyNumberFormat="1">
      <alignment horizontal="left" shrinkToFit="0" wrapText="0"/>
    </xf>
    <xf borderId="12" fillId="11" fontId="8" numFmtId="165" xfId="0" applyAlignment="1" applyBorder="1" applyFont="1" applyNumberFormat="1">
      <alignment horizontal="left" shrinkToFit="0" wrapText="0"/>
    </xf>
    <xf borderId="12" fillId="11" fontId="8" numFmtId="165" xfId="0" applyAlignment="1" applyBorder="1" applyFont="1" applyNumberFormat="1">
      <alignment shrinkToFit="0" wrapText="0"/>
    </xf>
    <xf borderId="13" fillId="12" fontId="5" numFmtId="0" xfId="0" applyAlignment="1" applyBorder="1" applyFill="1" applyFont="1">
      <alignment shrinkToFit="0" wrapText="0"/>
    </xf>
    <xf borderId="14" fillId="12" fontId="5" numFmtId="0" xfId="0" applyAlignment="1" applyBorder="1" applyFont="1">
      <alignment horizontal="left" readingOrder="0" shrinkToFit="0" wrapText="0"/>
    </xf>
    <xf borderId="15" fillId="12" fontId="5" numFmtId="0" xfId="0" applyAlignment="1" applyBorder="1" applyFont="1">
      <alignment horizontal="center"/>
    </xf>
    <xf borderId="16" fillId="12" fontId="5" numFmtId="166" xfId="0" applyAlignment="1" applyBorder="1" applyFont="1" applyNumberFormat="1">
      <alignment horizontal="right"/>
    </xf>
    <xf borderId="16" fillId="12" fontId="5" numFmtId="165" xfId="0" applyAlignment="1" applyBorder="1" applyFont="1" applyNumberFormat="1">
      <alignment horizontal="right"/>
    </xf>
    <xf borderId="16" fillId="12" fontId="5" numFmtId="165" xfId="0" applyAlignment="1" applyBorder="1" applyFont="1" applyNumberFormat="1">
      <alignment shrinkToFit="0" wrapText="0"/>
    </xf>
    <xf borderId="17" fillId="13" fontId="5" numFmtId="0" xfId="0" applyAlignment="1" applyBorder="1" applyFill="1" applyFont="1">
      <alignment shrinkToFit="0" wrapText="0"/>
    </xf>
    <xf borderId="18" fillId="13" fontId="5" numFmtId="0" xfId="0" applyAlignment="1" applyBorder="1" applyFont="1">
      <alignment horizontal="left" readingOrder="0" shrinkToFit="0" wrapText="0"/>
    </xf>
    <xf borderId="18" fillId="13" fontId="5" numFmtId="0" xfId="0" applyAlignment="1" applyBorder="1" applyFont="1">
      <alignment shrinkToFit="0" wrapText="0"/>
    </xf>
    <xf borderId="19" fillId="13" fontId="5" numFmtId="0" xfId="0" applyAlignment="1" applyBorder="1" applyFont="1">
      <alignment horizontal="center"/>
    </xf>
    <xf borderId="20" fillId="13" fontId="5" numFmtId="166" xfId="0" applyAlignment="1" applyBorder="1" applyFont="1" applyNumberFormat="1">
      <alignment horizontal="right"/>
    </xf>
    <xf borderId="20" fillId="13" fontId="5" numFmtId="165" xfId="0" applyAlignment="1" applyBorder="1" applyFont="1" applyNumberFormat="1">
      <alignment horizontal="right"/>
    </xf>
    <xf borderId="20" fillId="13" fontId="5" numFmtId="165" xfId="0" applyAlignment="1" applyBorder="1" applyFont="1" applyNumberFormat="1">
      <alignment shrinkToFit="0" wrapText="0"/>
    </xf>
    <xf borderId="17" fillId="14" fontId="1" numFmtId="0" xfId="0" applyAlignment="1" applyBorder="1" applyFill="1" applyFont="1">
      <alignment shrinkToFit="0" wrapText="0"/>
    </xf>
    <xf borderId="18" fillId="14" fontId="1" numFmtId="0" xfId="0" applyAlignment="1" applyBorder="1" applyFont="1">
      <alignment shrinkToFit="0" wrapText="0"/>
    </xf>
    <xf borderId="18" fillId="14" fontId="1" numFmtId="0" xfId="0" applyAlignment="1" applyBorder="1" applyFont="1">
      <alignment horizontal="left" readingOrder="0" shrinkToFit="0" wrapText="0"/>
    </xf>
    <xf borderId="18" fillId="14" fontId="9" numFmtId="0" xfId="0" applyAlignment="1" applyBorder="1" applyFont="1">
      <alignment horizontal="left" readingOrder="0" shrinkToFit="0" wrapText="0"/>
    </xf>
    <xf borderId="19" fillId="14" fontId="1" numFmtId="0" xfId="0" applyAlignment="1" applyBorder="1" applyFont="1">
      <alignment horizontal="center" readingOrder="0"/>
    </xf>
    <xf borderId="20" fillId="14" fontId="1" numFmtId="166" xfId="0" applyAlignment="1" applyBorder="1" applyFont="1" applyNumberFormat="1">
      <alignment horizontal="right"/>
    </xf>
    <xf borderId="20" fillId="14" fontId="1" numFmtId="165" xfId="0" applyAlignment="1" applyBorder="1" applyFont="1" applyNumberFormat="1">
      <alignment horizontal="right"/>
    </xf>
    <xf borderId="20" fillId="14" fontId="1" numFmtId="165" xfId="0" applyAlignment="1" applyBorder="1" applyFont="1" applyNumberFormat="1">
      <alignment shrinkToFit="0" wrapText="0"/>
    </xf>
    <xf borderId="17" fillId="15" fontId="1" numFmtId="0" xfId="0" applyAlignment="1" applyBorder="1" applyFill="1" applyFont="1">
      <alignment shrinkToFit="0" wrapText="0"/>
    </xf>
    <xf borderId="18" fillId="15" fontId="1" numFmtId="0" xfId="0" applyAlignment="1" applyBorder="1" applyFont="1">
      <alignment shrinkToFit="0" wrapText="0"/>
    </xf>
    <xf borderId="18" fillId="15" fontId="1" numFmtId="0" xfId="0" applyAlignment="1" applyBorder="1" applyFont="1">
      <alignment horizontal="left" readingOrder="0" shrinkToFit="0" wrapText="0"/>
    </xf>
    <xf borderId="18" fillId="15" fontId="10" numFmtId="0" xfId="0" applyAlignment="1" applyBorder="1" applyFont="1">
      <alignment horizontal="left" readingOrder="0" shrinkToFit="0" wrapText="0"/>
    </xf>
    <xf borderId="20" fillId="15" fontId="2" numFmtId="0" xfId="0" applyAlignment="1" applyBorder="1" applyFont="1">
      <alignment horizontal="left" readingOrder="0" shrinkToFit="0" wrapText="0"/>
    </xf>
    <xf borderId="20" fillId="0" fontId="2" numFmtId="0" xfId="0" applyAlignment="1" applyBorder="1" applyFont="1">
      <alignment horizontal="center" readingOrder="0"/>
    </xf>
    <xf borderId="20" fillId="0" fontId="2" numFmtId="166" xfId="0" applyAlignment="1" applyBorder="1" applyFont="1" applyNumberFormat="1">
      <alignment horizontal="right"/>
    </xf>
    <xf borderId="20" fillId="0" fontId="2" numFmtId="165" xfId="0" applyAlignment="1" applyBorder="1" applyFont="1" applyNumberFormat="1">
      <alignment horizontal="right"/>
    </xf>
    <xf borderId="20" fillId="15" fontId="1" numFmtId="165" xfId="0" applyAlignment="1" applyBorder="1" applyFont="1" applyNumberFormat="1">
      <alignment shrinkToFit="0" wrapText="0"/>
    </xf>
    <xf borderId="20" fillId="15" fontId="1" numFmtId="165" xfId="0" applyAlignment="1" applyBorder="1" applyFont="1" applyNumberFormat="1">
      <alignment horizontal="left" readingOrder="0" shrinkToFit="0" wrapText="0"/>
    </xf>
    <xf borderId="18" fillId="15" fontId="2" numFmtId="0" xfId="0" applyAlignment="1" applyBorder="1" applyFont="1">
      <alignment shrinkToFit="0" wrapText="0"/>
    </xf>
    <xf borderId="18" fillId="15" fontId="2" numFmtId="0" xfId="0" applyAlignment="1" applyBorder="1" applyFont="1">
      <alignment horizontal="left" shrinkToFit="0" wrapText="0"/>
    </xf>
    <xf borderId="23" fillId="10" fontId="11" numFmtId="165" xfId="0" applyAlignment="1" applyBorder="1" applyFont="1" applyNumberFormat="1">
      <alignment shrinkToFit="0" wrapText="0"/>
    </xf>
    <xf borderId="20" fillId="15" fontId="2" numFmtId="165" xfId="0" applyAlignment="1" applyBorder="1" applyFont="1" applyNumberFormat="1">
      <alignment horizontal="left" readingOrder="0" shrinkToFit="0" wrapText="0"/>
    </xf>
    <xf borderId="20" fillId="15" fontId="2" numFmtId="165" xfId="0" applyAlignment="1" applyBorder="1" applyFont="1" applyNumberFormat="1">
      <alignment shrinkToFit="0" wrapText="0"/>
    </xf>
    <xf borderId="21" fillId="15" fontId="1" numFmtId="0" xfId="0" applyAlignment="1" applyBorder="1" applyFont="1">
      <alignment shrinkToFit="0" wrapText="0"/>
    </xf>
    <xf borderId="22" fillId="15" fontId="1" numFmtId="0" xfId="0" applyAlignment="1" applyBorder="1" applyFont="1">
      <alignment shrinkToFit="0" wrapText="0"/>
    </xf>
    <xf borderId="22" fillId="15" fontId="2" numFmtId="0" xfId="0" applyAlignment="1" applyBorder="1" applyFont="1">
      <alignment shrinkToFit="0" wrapText="0"/>
    </xf>
    <xf borderId="23" fillId="15" fontId="2" numFmtId="0" xfId="0" applyAlignment="1" applyBorder="1" applyFont="1">
      <alignment horizontal="left" readingOrder="0" shrinkToFit="0" wrapText="0"/>
    </xf>
    <xf borderId="23" fillId="0" fontId="2" numFmtId="0" xfId="0" applyAlignment="1" applyBorder="1" applyFont="1">
      <alignment horizontal="center" readingOrder="0"/>
    </xf>
    <xf borderId="23" fillId="0" fontId="2" numFmtId="166" xfId="0" applyAlignment="1" applyBorder="1" applyFont="1" applyNumberFormat="1">
      <alignment horizontal="right"/>
    </xf>
    <xf borderId="23" fillId="0" fontId="2" numFmtId="165" xfId="0" applyAlignment="1" applyBorder="1" applyFont="1" applyNumberFormat="1">
      <alignment horizontal="right"/>
    </xf>
    <xf borderId="23" fillId="15" fontId="2" numFmtId="165" xfId="0" applyAlignment="1" applyBorder="1" applyFont="1" applyNumberFormat="1">
      <alignment shrinkToFit="0" wrapText="0"/>
    </xf>
    <xf borderId="12" fillId="16" fontId="1" numFmtId="0" xfId="0" applyAlignment="1" applyBorder="1" applyFill="1" applyFont="1">
      <alignment readingOrder="0" shrinkToFit="0" wrapText="0"/>
    </xf>
    <xf borderId="12" fillId="16" fontId="1" numFmtId="0" xfId="0" applyAlignment="1" applyBorder="1" applyFont="1">
      <alignment horizontal="left" readingOrder="0" shrinkToFit="0" wrapText="0"/>
    </xf>
    <xf borderId="12" fillId="16" fontId="1" numFmtId="0" xfId="0" applyAlignment="1" applyBorder="1" applyFont="1">
      <alignment horizontal="center"/>
    </xf>
    <xf borderId="12" fillId="16" fontId="1" numFmtId="166" xfId="0" applyAlignment="1" applyBorder="1" applyFont="1" applyNumberFormat="1">
      <alignment horizontal="right"/>
    </xf>
    <xf borderId="12" fillId="16" fontId="1" numFmtId="165" xfId="0" applyAlignment="1" applyBorder="1" applyFont="1" applyNumberFormat="1">
      <alignment horizontal="right"/>
    </xf>
    <xf borderId="12" fillId="16" fontId="1" numFmtId="165" xfId="0" applyAlignment="1" applyBorder="1" applyFont="1" applyNumberFormat="1">
      <alignment shrinkToFit="0" wrapText="0"/>
    </xf>
    <xf borderId="13" fillId="17" fontId="1" numFmtId="0" xfId="0" applyAlignment="1" applyBorder="1" applyFill="1" applyFont="1">
      <alignment shrinkToFit="0" wrapText="0"/>
    </xf>
    <xf borderId="14" fillId="17" fontId="1" numFmtId="0" xfId="0" applyAlignment="1" applyBorder="1" applyFont="1">
      <alignment horizontal="left" readingOrder="0" shrinkToFit="0" wrapText="0"/>
    </xf>
    <xf borderId="15" fillId="17" fontId="1" numFmtId="0" xfId="0" applyAlignment="1" applyBorder="1" applyFont="1">
      <alignment horizontal="center"/>
    </xf>
    <xf borderId="16" fillId="17" fontId="1" numFmtId="166" xfId="0" applyAlignment="1" applyBorder="1" applyFont="1" applyNumberFormat="1">
      <alignment horizontal="right"/>
    </xf>
    <xf borderId="16" fillId="17" fontId="1" numFmtId="165" xfId="0" applyAlignment="1" applyBorder="1" applyFont="1" applyNumberFormat="1">
      <alignment horizontal="right"/>
    </xf>
    <xf borderId="16" fillId="17" fontId="1" numFmtId="165" xfId="0" applyAlignment="1" applyBorder="1" applyFont="1" applyNumberFormat="1">
      <alignment shrinkToFit="0" wrapText="0"/>
    </xf>
    <xf borderId="17" fillId="18" fontId="1" numFmtId="0" xfId="0" applyAlignment="1" applyBorder="1" applyFill="1" applyFont="1">
      <alignment shrinkToFit="0" wrapText="0"/>
    </xf>
    <xf borderId="18" fillId="18" fontId="1" numFmtId="0" xfId="0" applyAlignment="1" applyBorder="1" applyFont="1">
      <alignment horizontal="left" readingOrder="0" shrinkToFit="0" wrapText="0"/>
    </xf>
    <xf borderId="19" fillId="18" fontId="1" numFmtId="0" xfId="0" applyAlignment="1" applyBorder="1" applyFont="1">
      <alignment horizontal="center"/>
    </xf>
    <xf borderId="20" fillId="18" fontId="1" numFmtId="166" xfId="0" applyAlignment="1" applyBorder="1" applyFont="1" applyNumberFormat="1">
      <alignment horizontal="right"/>
    </xf>
    <xf borderId="20" fillId="18" fontId="1" numFmtId="165" xfId="0" applyAlignment="1" applyBorder="1" applyFont="1" applyNumberFormat="1">
      <alignment horizontal="right"/>
    </xf>
    <xf borderId="20" fillId="18" fontId="1" numFmtId="165" xfId="0" applyAlignment="1" applyBorder="1" applyFont="1" applyNumberFormat="1">
      <alignment shrinkToFit="0" wrapText="0"/>
    </xf>
    <xf borderId="17" fillId="19" fontId="1" numFmtId="0" xfId="0" applyAlignment="1" applyBorder="1" applyFill="1" applyFont="1">
      <alignment shrinkToFit="0" wrapText="0"/>
    </xf>
    <xf borderId="18" fillId="19" fontId="1" numFmtId="0" xfId="0" applyAlignment="1" applyBorder="1" applyFont="1">
      <alignment shrinkToFit="0" wrapText="0"/>
    </xf>
    <xf borderId="18" fillId="19" fontId="1" numFmtId="0" xfId="0" applyAlignment="1" applyBorder="1" applyFont="1">
      <alignment horizontal="left" readingOrder="0" shrinkToFit="0" wrapText="0"/>
    </xf>
    <xf borderId="18" fillId="19" fontId="12" numFmtId="0" xfId="0" applyAlignment="1" applyBorder="1" applyFont="1">
      <alignment horizontal="left" readingOrder="0" shrinkToFit="0" wrapText="0"/>
    </xf>
    <xf borderId="19" fillId="19" fontId="1" numFmtId="0" xfId="0" applyAlignment="1" applyBorder="1" applyFont="1">
      <alignment horizontal="center" readingOrder="0"/>
    </xf>
    <xf borderId="20" fillId="19" fontId="1" numFmtId="166" xfId="0" applyAlignment="1" applyBorder="1" applyFont="1" applyNumberFormat="1">
      <alignment horizontal="right"/>
    </xf>
    <xf borderId="20" fillId="19" fontId="1" numFmtId="165" xfId="0" applyAlignment="1" applyBorder="1" applyFont="1" applyNumberFormat="1">
      <alignment horizontal="right"/>
    </xf>
    <xf borderId="20" fillId="19" fontId="1" numFmtId="165" xfId="0" applyAlignment="1" applyBorder="1" applyFont="1" applyNumberFormat="1">
      <alignment shrinkToFit="0" wrapText="0"/>
    </xf>
    <xf borderId="24" fillId="20" fontId="1" numFmtId="164" xfId="0" applyAlignment="1" applyBorder="1" applyFill="1" applyFont="1" applyNumberFormat="1">
      <alignment vertical="center"/>
    </xf>
    <xf borderId="25" fillId="20" fontId="1" numFmtId="164" xfId="0" applyAlignment="1" applyBorder="1" applyFont="1" applyNumberFormat="1">
      <alignment vertical="center"/>
    </xf>
    <xf borderId="26" fillId="20" fontId="2" numFmtId="0" xfId="0" applyAlignment="1" applyBorder="1" applyFont="1">
      <alignment vertical="center"/>
    </xf>
    <xf borderId="27" fillId="20" fontId="2" numFmtId="0" xfId="0" applyAlignment="1" applyBorder="1" applyFont="1">
      <alignment horizontal="left" vertical="center"/>
    </xf>
    <xf borderId="27" fillId="20" fontId="2" numFmtId="166" xfId="0" applyAlignment="1" applyBorder="1" applyFont="1" applyNumberFormat="1">
      <alignment horizontal="left" vertical="center"/>
    </xf>
    <xf borderId="27" fillId="20" fontId="2" numFmtId="165" xfId="0" applyAlignment="1" applyBorder="1" applyFont="1" applyNumberFormat="1">
      <alignment horizontal="left" vertical="center"/>
    </xf>
    <xf borderId="27" fillId="20" fontId="2" numFmtId="165" xfId="0" applyAlignment="1" applyBorder="1" applyFont="1" applyNumberFormat="1">
      <alignment vertical="center"/>
    </xf>
    <xf borderId="24" fillId="21" fontId="1" numFmtId="164" xfId="0" applyAlignment="1" applyBorder="1" applyFill="1" applyFont="1" applyNumberFormat="1">
      <alignment vertical="center"/>
    </xf>
    <xf borderId="25" fillId="21" fontId="1" numFmtId="0" xfId="0" applyAlignment="1" applyBorder="1" applyFont="1">
      <alignment vertical="center"/>
    </xf>
    <xf borderId="25" fillId="21" fontId="1" numFmtId="164" xfId="0" applyAlignment="1" applyBorder="1" applyFont="1" applyNumberFormat="1">
      <alignment vertical="center"/>
    </xf>
    <xf borderId="26" fillId="21" fontId="1" numFmtId="0" xfId="0" applyAlignment="1" applyBorder="1" applyFont="1">
      <alignment vertical="center"/>
    </xf>
    <xf borderId="28" fillId="21" fontId="1" numFmtId="0" xfId="0" applyAlignment="1" applyBorder="1" applyFont="1">
      <alignment horizontal="left" vertical="center"/>
    </xf>
    <xf borderId="28" fillId="21" fontId="1" numFmtId="166" xfId="0" applyAlignment="1" applyBorder="1" applyFont="1" applyNumberFormat="1">
      <alignment horizontal="left" vertical="center"/>
    </xf>
    <xf borderId="28" fillId="21" fontId="1" numFmtId="165" xfId="0" applyAlignment="1" applyBorder="1" applyFont="1" applyNumberFormat="1">
      <alignment horizontal="left" vertical="center"/>
    </xf>
    <xf borderId="28" fillId="21" fontId="1" numFmtId="165" xfId="0" applyAlignment="1" applyBorder="1" applyFont="1" applyNumberFormat="1">
      <alignment horizontal="center" vertical="center"/>
    </xf>
    <xf borderId="28" fillId="21" fontId="2" numFmtId="165" xfId="0" applyAlignment="1" applyBorder="1" applyFont="1" applyNumberFormat="1">
      <alignment vertical="center"/>
    </xf>
    <xf borderId="29" fillId="9" fontId="1" numFmtId="167" xfId="0" applyAlignment="1" applyBorder="1" applyFont="1" applyNumberFormat="1">
      <alignment vertical="center"/>
    </xf>
    <xf borderId="30" fillId="9" fontId="1" numFmtId="0" xfId="0" applyAlignment="1" applyBorder="1" applyFont="1">
      <alignment vertical="center"/>
    </xf>
    <xf borderId="30" fillId="9" fontId="1" numFmtId="164" xfId="0" applyAlignment="1" applyBorder="1" applyFont="1" applyNumberFormat="1">
      <alignment vertical="center"/>
    </xf>
    <xf borderId="19" fillId="9" fontId="1" numFmtId="0" xfId="0" applyAlignment="1" applyBorder="1" applyFont="1">
      <alignment horizontal="center" shrinkToFit="0" vertical="center" wrapText="1"/>
    </xf>
    <xf borderId="19" fillId="9" fontId="1" numFmtId="166" xfId="0" applyAlignment="1" applyBorder="1" applyFont="1" applyNumberFormat="1">
      <alignment horizontal="right" shrinkToFit="0" vertical="center" wrapText="1"/>
    </xf>
    <xf borderId="19" fillId="9" fontId="1" numFmtId="165" xfId="0" applyAlignment="1" applyBorder="1" applyFont="1" applyNumberFormat="1">
      <alignment horizontal="right" shrinkToFit="0" vertical="center" wrapText="1"/>
    </xf>
    <xf borderId="19" fillId="9" fontId="1" numFmtId="165" xfId="0" applyAlignment="1" applyBorder="1" applyFont="1" applyNumberFormat="1">
      <alignment readingOrder="0" vertical="center"/>
    </xf>
    <xf borderId="19" fillId="9" fontId="1" numFmtId="165" xfId="0" applyAlignment="1" applyBorder="1" applyFont="1" applyNumberFormat="1">
      <alignment vertical="center"/>
    </xf>
    <xf borderId="13" fillId="2" fontId="1" numFmtId="167" xfId="0" applyAlignment="1" applyBorder="1" applyFont="1" applyNumberFormat="1">
      <alignment shrinkToFit="0" wrapText="0"/>
    </xf>
    <xf borderId="14" fillId="2" fontId="1" numFmtId="0" xfId="0" applyAlignment="1" applyBorder="1" applyFont="1">
      <alignment shrinkToFit="0" wrapText="0"/>
    </xf>
    <xf borderId="14" fillId="2" fontId="1" numFmtId="0" xfId="0" applyAlignment="1" applyBorder="1" applyFont="1">
      <alignment horizontal="left" readingOrder="0" shrinkToFit="0" wrapText="0"/>
    </xf>
    <xf borderId="14" fillId="2" fontId="13" numFmtId="0" xfId="0" applyAlignment="1" applyBorder="1" applyFont="1">
      <alignment horizontal="left" readingOrder="0" shrinkToFit="0" wrapText="0"/>
    </xf>
    <xf borderId="15" fillId="2" fontId="1" numFmtId="164" xfId="0" applyAlignment="1" applyBorder="1" applyFont="1" applyNumberFormat="1">
      <alignment horizontal="center" readingOrder="0"/>
    </xf>
    <xf borderId="16" fillId="2" fontId="1" numFmtId="166" xfId="0" applyAlignment="1" applyBorder="1" applyFont="1" applyNumberFormat="1">
      <alignment horizontal="right"/>
    </xf>
    <xf borderId="16" fillId="2" fontId="1" numFmtId="165" xfId="0" applyAlignment="1" applyBorder="1" applyFont="1" applyNumberFormat="1">
      <alignment horizontal="right"/>
    </xf>
    <xf borderId="16" fillId="2" fontId="1" numFmtId="165" xfId="0" applyAlignment="1" applyBorder="1" applyFont="1" applyNumberFormat="1">
      <alignment shrinkToFit="0" wrapText="0"/>
    </xf>
    <xf borderId="17" fillId="2" fontId="1" numFmtId="167" xfId="0" applyAlignment="1" applyBorder="1" applyFont="1" applyNumberFormat="1">
      <alignment shrinkToFit="0" wrapText="0"/>
    </xf>
    <xf borderId="19" fillId="2" fontId="1" numFmtId="164" xfId="0" applyAlignment="1" applyBorder="1" applyFont="1" applyNumberFormat="1">
      <alignment horizontal="center" readingOrder="0"/>
    </xf>
    <xf borderId="20" fillId="2" fontId="1" numFmtId="166" xfId="0" applyAlignment="1" applyBorder="1" applyFont="1" applyNumberFormat="1">
      <alignment horizontal="right"/>
    </xf>
    <xf borderId="20" fillId="2" fontId="1" numFmtId="165" xfId="0" applyAlignment="1" applyBorder="1" applyFont="1" applyNumberFormat="1">
      <alignment horizontal="right"/>
    </xf>
    <xf borderId="20" fillId="2" fontId="1" numFmtId="165" xfId="0" applyAlignment="1" applyBorder="1" applyFont="1" applyNumberFormat="1">
      <alignment shrinkToFit="0" wrapText="0"/>
    </xf>
    <xf borderId="29" fillId="2" fontId="1" numFmtId="167" xfId="0" applyAlignment="1" applyBorder="1" applyFont="1" applyNumberFormat="1">
      <alignment vertical="center"/>
    </xf>
    <xf borderId="30" fillId="2" fontId="1" numFmtId="0" xfId="0" applyAlignment="1" applyBorder="1" applyFont="1">
      <alignment vertical="center"/>
    </xf>
    <xf quotePrefix="1" borderId="30" fillId="2" fontId="14" numFmtId="0" xfId="0" applyAlignment="1" applyBorder="1" applyFont="1">
      <alignment vertical="center"/>
    </xf>
    <xf borderId="30" fillId="2" fontId="2" numFmtId="0" xfId="0" applyAlignment="1" applyBorder="1" applyFont="1">
      <alignment vertical="center"/>
    </xf>
    <xf borderId="31" fillId="2" fontId="2" numFmtId="0" xfId="0" applyAlignment="1" applyBorder="1" applyFont="1">
      <alignment vertical="center"/>
    </xf>
    <xf borderId="19" fillId="0" fontId="2" numFmtId="164" xfId="0" applyAlignment="1" applyBorder="1" applyFont="1" applyNumberFormat="1">
      <alignment horizontal="center" shrinkToFit="0" vertical="center" wrapText="1"/>
    </xf>
    <xf borderId="19" fillId="0" fontId="2" numFmtId="166" xfId="0" applyAlignment="1" applyBorder="1" applyFont="1" applyNumberFormat="1">
      <alignment horizontal="right" shrinkToFit="0" vertical="center" wrapText="1"/>
    </xf>
    <xf borderId="19" fillId="0" fontId="2" numFmtId="165" xfId="0" applyAlignment="1" applyBorder="1" applyFont="1" applyNumberFormat="1">
      <alignment horizontal="right" shrinkToFit="0" vertical="center" wrapText="1"/>
    </xf>
    <xf borderId="19" fillId="2" fontId="1" numFmtId="165" xfId="0" applyAlignment="1" applyBorder="1" applyFont="1" applyNumberFormat="1">
      <alignment readingOrder="0" vertical="center"/>
    </xf>
    <xf borderId="19" fillId="2" fontId="1" numFmtId="165" xfId="0" applyAlignment="1" applyBorder="1" applyFont="1" applyNumberFormat="1">
      <alignment vertical="center"/>
    </xf>
    <xf borderId="30" fillId="2" fontId="1" numFmtId="164" xfId="0" applyAlignment="1" applyBorder="1" applyFont="1" applyNumberFormat="1">
      <alignment vertical="center"/>
    </xf>
    <xf borderId="19" fillId="2" fontId="2" numFmtId="165" xfId="0" applyAlignment="1" applyBorder="1" applyFont="1" applyNumberFormat="1">
      <alignment readingOrder="0" vertical="center"/>
    </xf>
    <xf borderId="19" fillId="10" fontId="11" numFmtId="165" xfId="0" applyAlignment="1" applyBorder="1" applyFont="1" applyNumberFormat="1">
      <alignment readingOrder="0" vertical="center"/>
    </xf>
    <xf borderId="19" fillId="10" fontId="11" numFmtId="165" xfId="0" applyAlignment="1" applyBorder="1" applyFont="1" applyNumberFormat="1">
      <alignment vertical="center"/>
    </xf>
    <xf borderId="19" fillId="2" fontId="2" numFmtId="165" xfId="0" applyAlignment="1" applyBorder="1" applyFont="1" applyNumberFormat="1">
      <alignment vertical="center"/>
    </xf>
    <xf borderId="31" fillId="2" fontId="2" numFmtId="0" xfId="0" applyAlignment="1" applyBorder="1" applyFont="1">
      <alignment horizontal="left" vertical="center"/>
    </xf>
    <xf borderId="17" fillId="15" fontId="1" numFmtId="167" xfId="0" applyAlignment="1" applyBorder="1" applyFont="1" applyNumberFormat="1">
      <alignment shrinkToFit="0" wrapText="0"/>
    </xf>
    <xf borderId="20" fillId="0" fontId="2" numFmtId="164" xfId="0" applyAlignment="1" applyBorder="1" applyFont="1" applyNumberFormat="1">
      <alignment horizontal="center" readingOrder="0"/>
    </xf>
    <xf borderId="21" fillId="15" fontId="1" numFmtId="167" xfId="0" applyAlignment="1" applyBorder="1" applyFont="1" applyNumberFormat="1">
      <alignment shrinkToFit="0" wrapText="0"/>
    </xf>
    <xf borderId="22" fillId="15" fontId="1" numFmtId="164" xfId="0" applyAlignment="1" applyBorder="1" applyFont="1" applyNumberFormat="1">
      <alignment shrinkToFit="0" wrapText="0"/>
    </xf>
    <xf borderId="23" fillId="0" fontId="2" numFmtId="164" xfId="0" applyAlignment="1" applyBorder="1" applyFont="1" applyNumberFormat="1">
      <alignment horizontal="center" readingOrder="0"/>
    </xf>
    <xf borderId="17" fillId="0" fontId="1" numFmtId="164" xfId="0" applyAlignment="1" applyBorder="1" applyFont="1" applyNumberFormat="1">
      <alignment vertical="center"/>
    </xf>
    <xf borderId="18" fillId="0" fontId="1" numFmtId="164" xfId="0" applyAlignment="1" applyBorder="1" applyFont="1" applyNumberFormat="1">
      <alignment vertical="center"/>
    </xf>
    <xf quotePrefix="1" borderId="30" fillId="22" fontId="15" numFmtId="0" xfId="0" applyAlignment="1" applyBorder="1" applyFill="1" applyFont="1">
      <alignment vertical="center"/>
    </xf>
    <xf borderId="30" fillId="22" fontId="2" numFmtId="0" xfId="0" applyAlignment="1" applyBorder="1" applyFont="1">
      <alignment vertical="center"/>
    </xf>
    <xf borderId="31" fillId="22" fontId="2" numFmtId="0" xfId="0" applyAlignment="1" applyBorder="1" applyFont="1">
      <alignment vertical="center"/>
    </xf>
    <xf borderId="19" fillId="0" fontId="2" numFmtId="0" xfId="0" applyAlignment="1" applyBorder="1" applyFont="1">
      <alignment horizontal="center" shrinkToFit="0" vertical="center" wrapText="1"/>
    </xf>
    <xf borderId="19" fillId="0" fontId="2" numFmtId="165" xfId="0" applyAlignment="1" applyBorder="1" applyFont="1" applyNumberFormat="1">
      <alignment vertical="center"/>
    </xf>
    <xf borderId="30" fillId="23" fontId="2" numFmtId="0" xfId="0" applyAlignment="1" applyBorder="1" applyFill="1" applyFont="1">
      <alignment horizontal="right" vertical="center"/>
    </xf>
    <xf quotePrefix="1" borderId="30" fillId="23" fontId="2" numFmtId="0" xfId="0" applyAlignment="1" applyBorder="1" applyFont="1">
      <alignment vertical="center"/>
    </xf>
    <xf borderId="30" fillId="23" fontId="2" numFmtId="0" xfId="0" applyAlignment="1" applyBorder="1" applyFont="1">
      <alignment vertical="center"/>
    </xf>
    <xf borderId="31" fillId="23" fontId="2" numFmtId="0" xfId="0" applyAlignment="1" applyBorder="1" applyFont="1">
      <alignment vertical="center"/>
    </xf>
    <xf borderId="19" fillId="2" fontId="2" numFmtId="0" xfId="0" applyAlignment="1" applyBorder="1" applyFont="1">
      <alignment horizontal="center" shrinkToFit="0" vertical="center" wrapText="1"/>
    </xf>
    <xf borderId="19" fillId="2" fontId="2" numFmtId="166" xfId="0" applyAlignment="1" applyBorder="1" applyFont="1" applyNumberFormat="1">
      <alignment horizontal="right" shrinkToFit="0" vertical="center" wrapText="1"/>
    </xf>
    <xf borderId="19" fillId="4" fontId="2" numFmtId="166" xfId="0" applyAlignment="1" applyBorder="1" applyFont="1" applyNumberFormat="1">
      <alignment horizontal="right" readingOrder="0" shrinkToFit="0" vertical="center" wrapText="1"/>
    </xf>
    <xf borderId="30" fillId="10" fontId="2" numFmtId="0" xfId="0" applyAlignment="1" applyBorder="1" applyFont="1">
      <alignment horizontal="right" vertical="center"/>
    </xf>
    <xf quotePrefix="1" borderId="30" fillId="10" fontId="2" numFmtId="0" xfId="0" applyAlignment="1" applyBorder="1" applyFont="1">
      <alignment vertical="center"/>
    </xf>
    <xf borderId="30" fillId="10" fontId="2" numFmtId="0" xfId="0" applyAlignment="1" applyBorder="1" applyFont="1">
      <alignment vertical="center"/>
    </xf>
    <xf borderId="31" fillId="10" fontId="2" numFmtId="0" xfId="0" applyAlignment="1" applyBorder="1" applyFont="1">
      <alignment vertical="center"/>
    </xf>
    <xf borderId="18" fillId="0" fontId="1" numFmtId="164" xfId="0" applyAlignment="1" applyBorder="1" applyFont="1" applyNumberFormat="1">
      <alignment horizontal="left" vertical="center"/>
    </xf>
    <xf quotePrefix="1" borderId="18" fillId="0" fontId="2" numFmtId="0" xfId="0" applyAlignment="1" applyBorder="1" applyFont="1">
      <alignment vertical="center"/>
    </xf>
    <xf borderId="18" fillId="0" fontId="2" numFmtId="0" xfId="0" applyAlignment="1" applyBorder="1" applyFont="1">
      <alignment vertical="center"/>
    </xf>
    <xf borderId="20" fillId="0" fontId="2" numFmtId="0" xfId="0" applyAlignment="1" applyBorder="1" applyFont="1">
      <alignment vertical="center"/>
    </xf>
    <xf borderId="19" fillId="4" fontId="2" numFmtId="166" xfId="0" applyAlignment="1" applyBorder="1" applyFont="1" applyNumberFormat="1">
      <alignment horizontal="right" shrinkToFit="0" vertical="center" wrapText="1"/>
    </xf>
    <xf borderId="18" fillId="0" fontId="2" numFmtId="0" xfId="0" applyAlignment="1" applyBorder="1" applyFont="1">
      <alignment horizontal="right" vertical="center"/>
    </xf>
    <xf borderId="19" fillId="0" fontId="1" numFmtId="0" xfId="0" applyAlignment="1" applyBorder="1" applyFont="1">
      <alignment horizontal="center" shrinkToFit="0" vertical="center" wrapText="1"/>
    </xf>
    <xf borderId="19" fillId="2" fontId="1" numFmtId="166" xfId="0" applyAlignment="1" applyBorder="1" applyFont="1" applyNumberFormat="1">
      <alignment horizontal="right" shrinkToFit="0" vertical="center" wrapText="1"/>
    </xf>
    <xf borderId="19" fillId="0" fontId="1" numFmtId="165" xfId="0" applyAlignment="1" applyBorder="1" applyFont="1" applyNumberFormat="1">
      <alignment horizontal="right" shrinkToFit="0" vertical="center" wrapText="1"/>
    </xf>
    <xf borderId="19" fillId="0" fontId="2" numFmtId="166" xfId="0" applyAlignment="1" applyBorder="1" applyFont="1" applyNumberFormat="1">
      <alignment horizontal="right" readingOrder="0" shrinkToFit="0" vertical="center" wrapText="1"/>
    </xf>
    <xf borderId="19" fillId="2" fontId="2" numFmtId="166" xfId="0" applyAlignment="1" applyBorder="1" applyFont="1" applyNumberFormat="1">
      <alignment horizontal="right" readingOrder="0" shrinkToFit="0" vertical="center" wrapText="1"/>
    </xf>
    <xf quotePrefix="1" borderId="18" fillId="0" fontId="2" numFmtId="0" xfId="0" applyAlignment="1" applyBorder="1" applyFont="1">
      <alignment readingOrder="0" vertical="center"/>
    </xf>
    <xf borderId="30" fillId="7" fontId="2" numFmtId="0" xfId="0" applyAlignment="1" applyBorder="1" applyFont="1">
      <alignment horizontal="right" vertical="center"/>
    </xf>
    <xf quotePrefix="1" borderId="30" fillId="7" fontId="2" numFmtId="0" xfId="0" applyAlignment="1" applyBorder="1" applyFont="1">
      <alignment vertical="center"/>
    </xf>
    <xf borderId="30" fillId="7" fontId="2" numFmtId="0" xfId="0" applyAlignment="1" applyBorder="1" applyFont="1">
      <alignment vertical="center"/>
    </xf>
    <xf borderId="31" fillId="7" fontId="2" numFmtId="0" xfId="0" applyAlignment="1" applyBorder="1" applyFont="1">
      <alignment vertical="center"/>
    </xf>
    <xf borderId="30" fillId="4" fontId="2" numFmtId="166" xfId="0" applyAlignment="1" applyBorder="1" applyFont="1" applyNumberFormat="1">
      <alignment horizontal="right" vertical="center"/>
    </xf>
    <xf borderId="29" fillId="21" fontId="1" numFmtId="164" xfId="0" applyAlignment="1" applyBorder="1" applyFont="1" applyNumberFormat="1">
      <alignment vertical="center"/>
    </xf>
    <xf borderId="30" fillId="21" fontId="1" numFmtId="0" xfId="0" applyAlignment="1" applyBorder="1" applyFont="1">
      <alignment shrinkToFit="0" vertical="center" wrapText="1"/>
    </xf>
    <xf borderId="30" fillId="21" fontId="1" numFmtId="164" xfId="0" applyAlignment="1" applyBorder="1" applyFont="1" applyNumberFormat="1">
      <alignment shrinkToFit="0" vertical="center" wrapText="1"/>
    </xf>
    <xf borderId="30" fillId="21" fontId="2" numFmtId="0" xfId="0" applyAlignment="1" applyBorder="1" applyFont="1">
      <alignment shrinkToFit="0" vertical="center" wrapText="1"/>
    </xf>
    <xf borderId="31" fillId="21" fontId="2" numFmtId="0" xfId="0" applyAlignment="1" applyBorder="1" applyFont="1">
      <alignment shrinkToFit="0" vertical="center" wrapText="1"/>
    </xf>
    <xf borderId="19" fillId="21" fontId="2" numFmtId="0" xfId="0" applyAlignment="1" applyBorder="1" applyFont="1">
      <alignment horizontal="center" shrinkToFit="0" vertical="center" wrapText="1"/>
    </xf>
    <xf borderId="19" fillId="21" fontId="2" numFmtId="166" xfId="0" applyAlignment="1" applyBorder="1" applyFont="1" applyNumberFormat="1">
      <alignment horizontal="right" shrinkToFit="0" vertical="center" wrapText="1"/>
    </xf>
    <xf borderId="19" fillId="21" fontId="2" numFmtId="165" xfId="0" applyAlignment="1" applyBorder="1" applyFont="1" applyNumberFormat="1">
      <alignment horizontal="right" shrinkToFit="0" vertical="center" wrapText="1"/>
    </xf>
    <xf borderId="19" fillId="21" fontId="2" numFmtId="165" xfId="0" applyAlignment="1" applyBorder="1" applyFont="1" applyNumberFormat="1">
      <alignment shrinkToFit="0" vertical="center" wrapText="1"/>
    </xf>
    <xf borderId="19" fillId="21" fontId="2" numFmtId="165" xfId="0" applyAlignment="1" applyBorder="1" applyFont="1" applyNumberFormat="1">
      <alignment vertical="center"/>
    </xf>
    <xf borderId="31" fillId="9" fontId="1" numFmtId="0" xfId="0" applyAlignment="1" applyBorder="1" applyFont="1">
      <alignment vertical="center"/>
    </xf>
    <xf borderId="19" fillId="9" fontId="1" numFmtId="165" xfId="0" applyAlignment="1" applyBorder="1" applyFont="1" applyNumberFormat="1">
      <alignment readingOrder="0" shrinkToFit="0" vertical="center" wrapText="1"/>
    </xf>
    <xf borderId="19" fillId="9" fontId="1" numFmtId="165" xfId="0" applyAlignment="1" applyBorder="1" applyFont="1" applyNumberFormat="1">
      <alignment shrinkToFit="0" vertical="center" wrapText="1"/>
    </xf>
    <xf borderId="19" fillId="2" fontId="2" numFmtId="165" xfId="0" applyAlignment="1" applyBorder="1" applyFont="1" applyNumberFormat="1">
      <alignment horizontal="right" shrinkToFit="0" vertical="center" wrapText="1"/>
    </xf>
    <xf quotePrefix="1" borderId="20" fillId="0" fontId="2" numFmtId="0" xfId="0" applyAlignment="1" applyBorder="1" applyFont="1">
      <alignment shrinkToFit="0" vertical="center" wrapText="1"/>
    </xf>
    <xf quotePrefix="1" borderId="20" fillId="0" fontId="2" numFmtId="0" xfId="0" applyAlignment="1" applyBorder="1" applyFont="1">
      <alignment vertical="center"/>
    </xf>
    <xf borderId="30" fillId="2" fontId="2" numFmtId="166" xfId="0" applyAlignment="1" applyBorder="1" applyFont="1" applyNumberFormat="1">
      <alignment horizontal="right" vertical="center"/>
    </xf>
    <xf borderId="30" fillId="21" fontId="1" numFmtId="0" xfId="0" applyAlignment="1" applyBorder="1" applyFont="1">
      <alignment vertical="center"/>
    </xf>
    <xf borderId="30" fillId="21" fontId="1" numFmtId="167" xfId="0" applyAlignment="1" applyBorder="1" applyFont="1" applyNumberFormat="1">
      <alignment vertical="center"/>
    </xf>
    <xf borderId="30" fillId="21" fontId="2" numFmtId="0" xfId="0" applyAlignment="1" applyBorder="1" applyFont="1">
      <alignment vertical="center"/>
    </xf>
    <xf borderId="31" fillId="21" fontId="2" numFmtId="0" xfId="0" applyAlignment="1" applyBorder="1" applyFont="1">
      <alignment vertical="center"/>
    </xf>
    <xf borderId="30" fillId="9" fontId="1" numFmtId="167" xfId="0" applyAlignment="1" applyBorder="1" applyFont="1" applyNumberFormat="1">
      <alignment vertical="center"/>
    </xf>
    <xf quotePrefix="1" borderId="30" fillId="22" fontId="16" numFmtId="0" xfId="0" applyAlignment="1" applyBorder="1" applyFont="1">
      <alignment readingOrder="0" vertical="center"/>
    </xf>
    <xf borderId="21" fillId="0" fontId="1" numFmtId="164" xfId="0" applyAlignment="1" applyBorder="1" applyFont="1" applyNumberFormat="1">
      <alignment vertical="center"/>
    </xf>
    <xf borderId="22" fillId="0" fontId="1" numFmtId="164" xfId="0" applyAlignment="1" applyBorder="1" applyFont="1" applyNumberFormat="1">
      <alignment vertical="center"/>
    </xf>
    <xf borderId="32" fillId="7" fontId="2" numFmtId="0" xfId="0" applyAlignment="1" applyBorder="1" applyFont="1">
      <alignment horizontal="right" vertical="center"/>
    </xf>
    <xf quotePrefix="1" borderId="32" fillId="7" fontId="2" numFmtId="0" xfId="0" applyAlignment="1" applyBorder="1" applyFont="1">
      <alignment vertical="center"/>
    </xf>
    <xf borderId="32" fillId="7" fontId="2" numFmtId="0" xfId="0" applyAlignment="1" applyBorder="1" applyFont="1">
      <alignment vertical="center"/>
    </xf>
    <xf borderId="33" fillId="7" fontId="2" numFmtId="0" xfId="0" applyAlignment="1" applyBorder="1" applyFont="1">
      <alignment vertical="center"/>
    </xf>
    <xf borderId="34" fillId="2" fontId="2" numFmtId="0" xfId="0" applyAlignment="1" applyBorder="1" applyFont="1">
      <alignment horizontal="center" shrinkToFit="0" vertical="center" wrapText="1"/>
    </xf>
    <xf borderId="34" fillId="2" fontId="2" numFmtId="166" xfId="0" applyAlignment="1" applyBorder="1" applyFont="1" applyNumberFormat="1">
      <alignment horizontal="right" shrinkToFit="0" vertical="center" wrapText="1"/>
    </xf>
    <xf borderId="32" fillId="2" fontId="2" numFmtId="166" xfId="0" applyAlignment="1" applyBorder="1" applyFont="1" applyNumberFormat="1">
      <alignment horizontal="right" vertical="center"/>
    </xf>
    <xf borderId="34" fillId="2" fontId="2" numFmtId="165" xfId="0" applyAlignment="1" applyBorder="1" applyFont="1" applyNumberFormat="1">
      <alignment horizontal="right" shrinkToFit="0" vertical="center" wrapText="1"/>
    </xf>
    <xf borderId="34" fillId="2" fontId="2" numFmtId="165" xfId="0" applyAlignment="1" applyBorder="1" applyFont="1" applyNumberFormat="1">
      <alignment vertical="center"/>
    </xf>
    <xf borderId="34" fillId="0" fontId="2" numFmtId="165" xfId="0" applyAlignment="1" applyBorder="1" applyFont="1" applyNumberFormat="1">
      <alignment vertical="center"/>
    </xf>
    <xf borderId="35" fillId="7" fontId="1" numFmtId="164" xfId="0" applyAlignment="1" applyBorder="1" applyFont="1" applyNumberFormat="1">
      <alignment vertical="center"/>
    </xf>
    <xf borderId="36" fillId="7" fontId="1" numFmtId="164" xfId="0" applyAlignment="1" applyBorder="1" applyFont="1" applyNumberFormat="1">
      <alignment vertical="center"/>
    </xf>
    <xf borderId="36" fillId="7" fontId="2" numFmtId="0" xfId="0" applyAlignment="1" applyBorder="1" applyFont="1">
      <alignment vertical="center"/>
    </xf>
    <xf borderId="37" fillId="7" fontId="2" numFmtId="0" xfId="0" applyAlignment="1" applyBorder="1" applyFont="1">
      <alignment vertical="center"/>
    </xf>
    <xf borderId="38" fillId="7" fontId="2" numFmtId="0" xfId="0" applyAlignment="1" applyBorder="1" applyFont="1">
      <alignment horizontal="left" vertical="center"/>
    </xf>
    <xf borderId="38" fillId="7" fontId="2" numFmtId="166" xfId="0" applyAlignment="1" applyBorder="1" applyFont="1" applyNumberFormat="1">
      <alignment horizontal="left" vertical="center"/>
    </xf>
    <xf borderId="38" fillId="7" fontId="2" numFmtId="165" xfId="0" applyAlignment="1" applyBorder="1" applyFont="1" applyNumberFormat="1">
      <alignment horizontal="left" vertical="center"/>
    </xf>
    <xf borderId="38" fillId="7" fontId="2" numFmtId="165" xfId="0" applyAlignment="1" applyBorder="1" applyFont="1" applyNumberFormat="1">
      <alignment vertical="center"/>
    </xf>
    <xf borderId="29" fillId="24" fontId="1" numFmtId="164" xfId="0" applyAlignment="1" applyBorder="1" applyFill="1" applyFont="1" applyNumberFormat="1">
      <alignment vertical="center"/>
    </xf>
    <xf borderId="30" fillId="24" fontId="1" numFmtId="164" xfId="0" applyAlignment="1" applyBorder="1" applyFont="1" applyNumberFormat="1">
      <alignment vertical="center"/>
    </xf>
    <xf borderId="30" fillId="24" fontId="1" numFmtId="0" xfId="0" applyAlignment="1" applyBorder="1" applyFont="1">
      <alignment vertical="center"/>
    </xf>
    <xf borderId="31" fillId="24" fontId="1" numFmtId="0" xfId="0" applyAlignment="1" applyBorder="1" applyFont="1">
      <alignment vertical="center"/>
    </xf>
    <xf borderId="19" fillId="24" fontId="1" numFmtId="0" xfId="0" applyAlignment="1" applyBorder="1" applyFont="1">
      <alignment horizontal="center" vertical="center"/>
    </xf>
    <xf borderId="19" fillId="24" fontId="1" numFmtId="166" xfId="0" applyAlignment="1" applyBorder="1" applyFont="1" applyNumberFormat="1">
      <alignment horizontal="center" vertical="center"/>
    </xf>
    <xf borderId="19" fillId="24" fontId="1" numFmtId="165" xfId="0" applyAlignment="1" applyBorder="1" applyFont="1" applyNumberFormat="1">
      <alignment horizontal="center" vertical="center"/>
    </xf>
    <xf borderId="19" fillId="24" fontId="2" numFmtId="165" xfId="0" applyAlignment="1" applyBorder="1" applyFont="1" applyNumberFormat="1">
      <alignment horizontal="right" shrinkToFit="0" vertical="center" wrapText="1"/>
    </xf>
    <xf borderId="29" fillId="22" fontId="1" numFmtId="164" xfId="0" applyAlignment="1" applyBorder="1" applyFont="1" applyNumberFormat="1">
      <alignment vertical="center"/>
    </xf>
    <xf borderId="30" fillId="22" fontId="1" numFmtId="0" xfId="0" applyAlignment="1" applyBorder="1" applyFont="1">
      <alignment vertical="center"/>
    </xf>
    <xf borderId="30" fillId="22" fontId="1" numFmtId="164" xfId="0" applyAlignment="1" applyBorder="1" applyFont="1" applyNumberFormat="1">
      <alignment vertical="center"/>
    </xf>
    <xf borderId="31" fillId="22" fontId="1" numFmtId="0" xfId="0" applyAlignment="1" applyBorder="1" applyFont="1">
      <alignment vertical="center"/>
    </xf>
    <xf borderId="19" fillId="22" fontId="1" numFmtId="0" xfId="0" applyAlignment="1" applyBorder="1" applyFont="1">
      <alignment horizontal="center" shrinkToFit="0" vertical="center" wrapText="1"/>
    </xf>
    <xf borderId="19" fillId="22" fontId="1" numFmtId="166" xfId="0" applyAlignment="1" applyBorder="1" applyFont="1" applyNumberFormat="1">
      <alignment horizontal="right" shrinkToFit="0" vertical="center" wrapText="1"/>
    </xf>
    <xf borderId="19" fillId="22" fontId="1" numFmtId="165" xfId="0" applyAlignment="1" applyBorder="1" applyFont="1" applyNumberFormat="1">
      <alignment horizontal="right" shrinkToFit="0" vertical="center" wrapText="1"/>
    </xf>
    <xf borderId="19" fillId="22" fontId="1" numFmtId="165" xfId="0" applyAlignment="1" applyBorder="1" applyFont="1" applyNumberFormat="1">
      <alignment vertical="center"/>
    </xf>
    <xf borderId="29" fillId="25" fontId="1" numFmtId="164" xfId="0" applyAlignment="1" applyBorder="1" applyFill="1" applyFont="1" applyNumberFormat="1">
      <alignment vertical="center"/>
    </xf>
    <xf borderId="30" fillId="25" fontId="1" numFmtId="164" xfId="0" applyAlignment="1" applyBorder="1" applyFont="1" applyNumberFormat="1">
      <alignment vertical="center"/>
    </xf>
    <xf borderId="30" fillId="25" fontId="1" numFmtId="0" xfId="0" applyAlignment="1" applyBorder="1" applyFont="1">
      <alignment vertical="center"/>
    </xf>
    <xf borderId="31" fillId="25" fontId="1" numFmtId="0" xfId="0" applyAlignment="1" applyBorder="1" applyFont="1">
      <alignment vertical="center"/>
    </xf>
    <xf borderId="19" fillId="25" fontId="2" numFmtId="0" xfId="0" applyAlignment="1" applyBorder="1" applyFont="1">
      <alignment horizontal="center" shrinkToFit="0" vertical="center" wrapText="1"/>
    </xf>
    <xf borderId="19" fillId="25" fontId="2" numFmtId="166" xfId="0" applyAlignment="1" applyBorder="1" applyFont="1" applyNumberFormat="1">
      <alignment horizontal="right" shrinkToFit="0" vertical="center" wrapText="1"/>
    </xf>
    <xf borderId="19" fillId="25" fontId="2" numFmtId="165" xfId="0" applyAlignment="1" applyBorder="1" applyFont="1" applyNumberFormat="1">
      <alignment horizontal="right" shrinkToFit="0" vertical="center" wrapText="1"/>
    </xf>
    <xf borderId="19" fillId="25" fontId="1" numFmtId="165" xfId="0" applyAlignment="1" applyBorder="1" applyFont="1" applyNumberFormat="1">
      <alignment vertical="center"/>
    </xf>
    <xf borderId="18" fillId="0" fontId="2" numFmtId="0" xfId="0" applyAlignment="1" applyBorder="1" applyFont="1">
      <alignment readingOrder="0" vertical="center"/>
    </xf>
    <xf borderId="19" fillId="2" fontId="2" numFmtId="0" xfId="0" applyAlignment="1" applyBorder="1" applyFont="1">
      <alignment horizontal="center" readingOrder="0" shrinkToFit="0" vertical="center" wrapText="1"/>
    </xf>
    <xf borderId="20" fillId="0" fontId="2" numFmtId="0" xfId="0" applyAlignment="1" applyBorder="1" applyFont="1">
      <alignment readingOrder="0" vertical="center"/>
    </xf>
    <xf borderId="19" fillId="4" fontId="2" numFmtId="166" xfId="0" applyAlignment="1" applyBorder="1" applyFont="1" applyNumberFormat="1">
      <alignment horizontal="right" shrinkToFit="0" wrapText="1"/>
    </xf>
    <xf borderId="19" fillId="25" fontId="1" numFmtId="0" xfId="0" applyAlignment="1" applyBorder="1" applyFont="1">
      <alignment horizontal="center" shrinkToFit="1" vertical="center" wrapText="0"/>
    </xf>
    <xf borderId="19" fillId="25" fontId="1" numFmtId="166" xfId="0" applyAlignment="1" applyBorder="1" applyFont="1" applyNumberFormat="1">
      <alignment horizontal="right" shrinkToFit="0" vertical="center" wrapText="1"/>
    </xf>
    <xf borderId="19" fillId="25" fontId="1" numFmtId="165" xfId="0" applyAlignment="1" applyBorder="1" applyFont="1" applyNumberFormat="1">
      <alignment horizontal="right" shrinkToFit="0" vertical="center" wrapText="1"/>
    </xf>
    <xf borderId="19" fillId="25" fontId="1" numFmtId="0" xfId="0" applyAlignment="1" applyBorder="1" applyFont="1">
      <alignment horizontal="center" shrinkToFit="0" vertical="center" wrapText="1"/>
    </xf>
    <xf borderId="32" fillId="4" fontId="2" numFmtId="166" xfId="0" applyAlignment="1" applyBorder="1" applyFont="1" applyNumberFormat="1">
      <alignment horizontal="right" vertical="center"/>
    </xf>
    <xf borderId="34" fillId="0" fontId="2" numFmtId="165" xfId="0" applyAlignment="1" applyBorder="1" applyFont="1" applyNumberFormat="1">
      <alignment horizontal="right" shrinkToFit="0" vertical="center" wrapText="1"/>
    </xf>
    <xf borderId="30" fillId="25" fontId="1" numFmtId="164" xfId="0" applyAlignment="1" applyBorder="1" applyFont="1" applyNumberFormat="1">
      <alignment horizontal="left" vertical="center"/>
    </xf>
    <xf borderId="19" fillId="2" fontId="1" numFmtId="165" xfId="0" applyAlignment="1" applyBorder="1" applyFont="1" applyNumberFormat="1">
      <alignment horizontal="right" shrinkToFit="0" vertical="center" wrapText="1"/>
    </xf>
    <xf borderId="18" fillId="0" fontId="1" numFmtId="0" xfId="0" applyAlignment="1" applyBorder="1" applyFont="1">
      <alignment vertical="center"/>
    </xf>
    <xf borderId="19" fillId="0" fontId="1" numFmtId="165" xfId="0" applyAlignment="1" applyBorder="1" applyFont="1" applyNumberFormat="1">
      <alignment vertical="center"/>
    </xf>
    <xf quotePrefix="1" borderId="20" fillId="0" fontId="2" numFmtId="0" xfId="0" applyAlignment="1" applyBorder="1" applyFont="1">
      <alignment readingOrder="0" vertical="center"/>
    </xf>
    <xf borderId="30" fillId="22" fontId="1" numFmtId="164" xfId="0" applyAlignment="1" applyBorder="1" applyFont="1" applyNumberFormat="1">
      <alignment horizontal="left" vertical="center"/>
    </xf>
    <xf borderId="35" fillId="26" fontId="1" numFmtId="164" xfId="0" applyAlignment="1" applyBorder="1" applyFill="1" applyFont="1" applyNumberFormat="1">
      <alignment vertical="center"/>
    </xf>
    <xf borderId="36" fillId="26" fontId="1" numFmtId="164" xfId="0" applyAlignment="1" applyBorder="1" applyFont="1" applyNumberFormat="1">
      <alignment vertical="center"/>
    </xf>
    <xf borderId="36" fillId="26" fontId="1" numFmtId="0" xfId="0" applyAlignment="1" applyBorder="1" applyFont="1">
      <alignment vertical="center"/>
    </xf>
    <xf borderId="37" fillId="26" fontId="1" numFmtId="0" xfId="0" applyAlignment="1" applyBorder="1" applyFont="1">
      <alignment vertical="center"/>
    </xf>
    <xf borderId="38" fillId="26" fontId="1" numFmtId="0" xfId="0" applyAlignment="1" applyBorder="1" applyFont="1">
      <alignment horizontal="left" vertical="center"/>
    </xf>
    <xf borderId="38" fillId="26" fontId="1" numFmtId="166" xfId="0" applyAlignment="1" applyBorder="1" applyFont="1" applyNumberFormat="1">
      <alignment horizontal="left" vertical="center"/>
    </xf>
    <xf borderId="38" fillId="26" fontId="1" numFmtId="165" xfId="0" applyAlignment="1" applyBorder="1" applyFont="1" applyNumberFormat="1">
      <alignment horizontal="left" vertical="center"/>
    </xf>
    <xf borderId="38" fillId="26" fontId="1" numFmtId="165" xfId="0" applyAlignment="1" applyBorder="1" applyFont="1" applyNumberFormat="1">
      <alignment vertical="center"/>
    </xf>
    <xf borderId="38" fillId="26" fontId="2" numFmtId="165" xfId="0" applyAlignment="1" applyBorder="1" applyFont="1" applyNumberFormat="1">
      <alignment vertical="center"/>
    </xf>
    <xf borderId="29" fillId="27" fontId="1" numFmtId="164" xfId="0" applyAlignment="1" applyBorder="1" applyFill="1" applyFont="1" applyNumberFormat="1">
      <alignment vertical="center"/>
    </xf>
    <xf borderId="30" fillId="27" fontId="1" numFmtId="164" xfId="0" applyAlignment="1" applyBorder="1" applyFont="1" applyNumberFormat="1">
      <alignment vertical="center"/>
    </xf>
    <xf borderId="30" fillId="27" fontId="1" numFmtId="0" xfId="0" applyAlignment="1" applyBorder="1" applyFont="1">
      <alignment vertical="center"/>
    </xf>
    <xf borderId="31" fillId="27" fontId="1" numFmtId="0" xfId="0" applyAlignment="1" applyBorder="1" applyFont="1">
      <alignment vertical="center"/>
    </xf>
    <xf borderId="19" fillId="27" fontId="1" numFmtId="0" xfId="0" applyAlignment="1" applyBorder="1" applyFont="1">
      <alignment horizontal="center" vertical="center"/>
    </xf>
    <xf borderId="19" fillId="27" fontId="1" numFmtId="166" xfId="0" applyAlignment="1" applyBorder="1" applyFont="1" applyNumberFormat="1">
      <alignment vertical="center"/>
    </xf>
    <xf borderId="19" fillId="27" fontId="1" numFmtId="165" xfId="0" applyAlignment="1" applyBorder="1" applyFont="1" applyNumberFormat="1">
      <alignment vertical="center"/>
    </xf>
    <xf borderId="19" fillId="27" fontId="2" numFmtId="165" xfId="0" applyAlignment="1" applyBorder="1" applyFont="1" applyNumberFormat="1">
      <alignment horizontal="right" shrinkToFit="0" vertical="center" wrapText="1"/>
    </xf>
    <xf borderId="29" fillId="28" fontId="1" numFmtId="164" xfId="0" applyAlignment="1" applyBorder="1" applyFill="1" applyFont="1" applyNumberFormat="1">
      <alignment vertical="center"/>
    </xf>
    <xf borderId="30" fillId="28" fontId="1" numFmtId="0" xfId="0" applyAlignment="1" applyBorder="1" applyFont="1">
      <alignment vertical="center"/>
    </xf>
    <xf borderId="31" fillId="28" fontId="1" numFmtId="0" xfId="0" applyAlignment="1" applyBorder="1" applyFont="1">
      <alignment vertical="center"/>
    </xf>
    <xf borderId="19" fillId="28" fontId="1" numFmtId="0" xfId="0" applyAlignment="1" applyBorder="1" applyFont="1">
      <alignment horizontal="center" shrinkToFit="0" vertical="center" wrapText="1"/>
    </xf>
    <xf borderId="19" fillId="28" fontId="1" numFmtId="166" xfId="0" applyAlignment="1" applyBorder="1" applyFont="1" applyNumberFormat="1">
      <alignment horizontal="right" shrinkToFit="0" vertical="center" wrapText="1"/>
    </xf>
    <xf borderId="19" fillId="28" fontId="1" numFmtId="165" xfId="0" applyAlignment="1" applyBorder="1" applyFont="1" applyNumberFormat="1">
      <alignment horizontal="right" shrinkToFit="0" vertical="center" wrapText="1"/>
    </xf>
    <xf borderId="19" fillId="28" fontId="1" numFmtId="165" xfId="0" applyAlignment="1" applyBorder="1" applyFont="1" applyNumberFormat="1">
      <alignment vertical="center"/>
    </xf>
    <xf borderId="31" fillId="27" fontId="1" numFmtId="164" xfId="0" applyAlignment="1" applyBorder="1" applyFont="1" applyNumberFormat="1">
      <alignment vertical="center"/>
    </xf>
    <xf borderId="19" fillId="27" fontId="1" numFmtId="0" xfId="0" applyAlignment="1" applyBorder="1" applyFont="1">
      <alignment horizontal="left" vertical="center"/>
    </xf>
    <xf borderId="19" fillId="27" fontId="1" numFmtId="166" xfId="0" applyAlignment="1" applyBorder="1" applyFont="1" applyNumberFormat="1">
      <alignment horizontal="right" vertical="center"/>
    </xf>
    <xf borderId="19" fillId="27" fontId="1" numFmtId="165" xfId="0" applyAlignment="1" applyBorder="1" applyFont="1" applyNumberFormat="1">
      <alignment horizontal="right" vertical="center"/>
    </xf>
    <xf borderId="29" fillId="28" fontId="1" numFmtId="167" xfId="0" applyAlignment="1" applyBorder="1" applyFont="1" applyNumberFormat="1">
      <alignment vertical="center"/>
    </xf>
    <xf borderId="30" fillId="28" fontId="1" numFmtId="167" xfId="0" applyAlignment="1" applyBorder="1" applyFont="1" applyNumberFormat="1">
      <alignment vertical="center"/>
    </xf>
    <xf borderId="30" fillId="28" fontId="1" numFmtId="164" xfId="0" applyAlignment="1" applyBorder="1" applyFont="1" applyNumberFormat="1">
      <alignment vertical="center"/>
    </xf>
    <xf borderId="31" fillId="2" fontId="2" numFmtId="166" xfId="0" applyAlignment="1" applyBorder="1" applyFont="1" applyNumberFormat="1">
      <alignment horizontal="right" vertical="center"/>
    </xf>
    <xf borderId="39" fillId="28" fontId="1" numFmtId="167" xfId="0" applyAlignment="1" applyBorder="1" applyFont="1" applyNumberFormat="1">
      <alignment vertical="center"/>
    </xf>
    <xf borderId="40" fillId="28" fontId="1" numFmtId="0" xfId="0" applyAlignment="1" applyBorder="1" applyFont="1">
      <alignment vertical="center"/>
    </xf>
    <xf borderId="40" fillId="28" fontId="1" numFmtId="167" xfId="0" applyAlignment="1" applyBorder="1" applyFont="1" applyNumberFormat="1">
      <alignment vertical="center"/>
    </xf>
    <xf borderId="40" fillId="28" fontId="1" numFmtId="164" xfId="0" applyAlignment="1" applyBorder="1" applyFont="1" applyNumberFormat="1">
      <alignment vertical="center"/>
    </xf>
    <xf borderId="41" fillId="28" fontId="1" numFmtId="0" xfId="0" applyAlignment="1" applyBorder="1" applyFont="1">
      <alignment vertical="center"/>
    </xf>
    <xf borderId="42" fillId="28" fontId="1" numFmtId="0" xfId="0" applyAlignment="1" applyBorder="1" applyFont="1">
      <alignment horizontal="center" shrinkToFit="0" vertical="center" wrapText="1"/>
    </xf>
    <xf borderId="42" fillId="28" fontId="1" numFmtId="166" xfId="0" applyAlignment="1" applyBorder="1" applyFont="1" applyNumberFormat="1">
      <alignment horizontal="right" shrinkToFit="0" vertical="center" wrapText="1"/>
    </xf>
    <xf borderId="42" fillId="28" fontId="1" numFmtId="165" xfId="0" applyAlignment="1" applyBorder="1" applyFont="1" applyNumberFormat="1">
      <alignment horizontal="right" shrinkToFit="0" vertical="center" wrapText="1"/>
    </xf>
    <xf borderId="42" fillId="28" fontId="1" numFmtId="165" xfId="0" applyAlignment="1" applyBorder="1" applyFont="1" applyNumberFormat="1">
      <alignment vertical="center"/>
    </xf>
    <xf borderId="15" fillId="0" fontId="2" numFmtId="166" xfId="0" applyAlignment="1" applyBorder="1" applyFont="1" applyNumberFormat="1">
      <alignment horizontal="right" shrinkToFit="0" vertical="center" wrapText="1"/>
    </xf>
    <xf borderId="15" fillId="0" fontId="2" numFmtId="165" xfId="0" applyAlignment="1" applyBorder="1" applyFont="1" applyNumberFormat="1">
      <alignment horizontal="right" shrinkToFit="0" vertical="center" wrapText="1"/>
    </xf>
    <xf borderId="30" fillId="28" fontId="1" numFmtId="0" xfId="0" applyAlignment="1" applyBorder="1" applyFont="1">
      <alignment readingOrder="0" vertical="center"/>
    </xf>
    <xf borderId="19" fillId="28" fontId="1" numFmtId="166" xfId="0" applyAlignment="1" applyBorder="1" applyFont="1" applyNumberFormat="1">
      <alignment horizontal="center" vertical="center"/>
    </xf>
    <xf borderId="18" fillId="0" fontId="17" numFmtId="0" xfId="0" applyAlignment="1" applyBorder="1" applyFont="1">
      <alignment vertical="center"/>
    </xf>
    <xf borderId="19" fillId="2" fontId="2" numFmtId="166" xfId="0" applyAlignment="1" applyBorder="1" applyFont="1" applyNumberFormat="1">
      <alignment horizontal="center" vertical="center"/>
    </xf>
    <xf borderId="19" fillId="2" fontId="2" numFmtId="165" xfId="0" applyAlignment="1" applyBorder="1" applyFont="1" applyNumberFormat="1">
      <alignment horizontal="center" vertical="center"/>
    </xf>
    <xf borderId="19" fillId="0" fontId="2" numFmtId="165" xfId="0" applyAlignment="1" applyBorder="1" applyFont="1" applyNumberFormat="1">
      <alignment horizontal="left" shrinkToFit="1" vertical="center" wrapText="0"/>
    </xf>
    <xf borderId="19" fillId="0" fontId="2" numFmtId="0" xfId="0" applyAlignment="1" applyBorder="1" applyFont="1">
      <alignment horizontal="center" readingOrder="0" shrinkToFit="0" vertical="center" wrapText="1"/>
    </xf>
    <xf borderId="19" fillId="2" fontId="2" numFmtId="166" xfId="0" applyAlignment="1" applyBorder="1" applyFont="1" applyNumberFormat="1">
      <alignment horizontal="center" readingOrder="0" vertical="center"/>
    </xf>
    <xf borderId="22" fillId="0" fontId="1" numFmtId="0" xfId="0" applyAlignment="1" applyBorder="1" applyFont="1">
      <alignment vertical="center"/>
    </xf>
    <xf borderId="22" fillId="0" fontId="2" numFmtId="0" xfId="0" applyAlignment="1" applyBorder="1" applyFont="1">
      <alignment vertical="center"/>
    </xf>
    <xf borderId="23" fillId="0" fontId="2" numFmtId="0" xfId="0" applyAlignment="1" applyBorder="1" applyFont="1">
      <alignment vertical="center"/>
    </xf>
    <xf borderId="34" fillId="0" fontId="2" numFmtId="0" xfId="0" applyAlignment="1" applyBorder="1" applyFont="1">
      <alignment horizontal="center" shrinkToFit="0" vertical="center" wrapText="1"/>
    </xf>
    <xf borderId="34" fillId="2" fontId="2" numFmtId="166" xfId="0" applyAlignment="1" applyBorder="1" applyFont="1" applyNumberFormat="1">
      <alignment horizontal="center" readingOrder="0" vertical="center"/>
    </xf>
    <xf borderId="34" fillId="2" fontId="2" numFmtId="165" xfId="0" applyAlignment="1" applyBorder="1" applyFont="1" applyNumberFormat="1">
      <alignment horizontal="center" vertical="center"/>
    </xf>
    <xf borderId="34" fillId="0" fontId="2" numFmtId="165" xfId="0" applyAlignment="1" applyBorder="1" applyFont="1" applyNumberFormat="1">
      <alignment horizontal="left" shrinkToFit="1" vertical="center" wrapText="0"/>
    </xf>
    <xf borderId="35" fillId="29" fontId="1" numFmtId="0" xfId="0" applyAlignment="1" applyBorder="1" applyFill="1" applyFont="1">
      <alignment vertical="center"/>
    </xf>
    <xf borderId="36" fillId="29" fontId="1" numFmtId="0" xfId="0" applyAlignment="1" applyBorder="1" applyFont="1">
      <alignment vertical="center"/>
    </xf>
    <xf borderId="37" fillId="29" fontId="1" numFmtId="0" xfId="0" applyAlignment="1" applyBorder="1" applyFont="1">
      <alignment vertical="center"/>
    </xf>
    <xf borderId="38" fillId="29" fontId="1" numFmtId="0" xfId="0" applyAlignment="1" applyBorder="1" applyFont="1">
      <alignment vertical="center"/>
    </xf>
    <xf borderId="38" fillId="29" fontId="1" numFmtId="166" xfId="0" applyAlignment="1" applyBorder="1" applyFont="1" applyNumberFormat="1">
      <alignment vertical="center"/>
    </xf>
    <xf borderId="38" fillId="29" fontId="1" numFmtId="165" xfId="0" applyAlignment="1" applyBorder="1" applyFont="1" applyNumberFormat="1">
      <alignment vertical="center"/>
    </xf>
    <xf borderId="29" fillId="30" fontId="1" numFmtId="0" xfId="0" applyAlignment="1" applyBorder="1" applyFill="1" applyFont="1">
      <alignment vertical="center"/>
    </xf>
    <xf borderId="30" fillId="30" fontId="1" numFmtId="0" xfId="0" applyAlignment="1" applyBorder="1" applyFont="1">
      <alignment vertical="center"/>
    </xf>
    <xf borderId="31" fillId="30" fontId="1" numFmtId="0" xfId="0" applyAlignment="1" applyBorder="1" applyFont="1">
      <alignment vertical="center"/>
    </xf>
    <xf borderId="19" fillId="30" fontId="1" numFmtId="0" xfId="0" applyAlignment="1" applyBorder="1" applyFont="1">
      <alignment horizontal="left" vertical="center"/>
    </xf>
    <xf borderId="19" fillId="30" fontId="1" numFmtId="166" xfId="0" applyAlignment="1" applyBorder="1" applyFont="1" applyNumberFormat="1">
      <alignment horizontal="left" vertical="center"/>
    </xf>
    <xf borderId="19" fillId="30" fontId="1" numFmtId="165" xfId="0" applyAlignment="1" applyBorder="1" applyFont="1" applyNumberFormat="1">
      <alignment horizontal="left" vertical="center"/>
    </xf>
    <xf borderId="19" fillId="30" fontId="1" numFmtId="165" xfId="0" applyAlignment="1" applyBorder="1" applyFont="1" applyNumberFormat="1">
      <alignment vertical="center"/>
    </xf>
    <xf borderId="29" fillId="31" fontId="1" numFmtId="0" xfId="0" applyAlignment="1" applyBorder="1" applyFill="1" applyFont="1">
      <alignment vertical="center"/>
    </xf>
    <xf borderId="30" fillId="31" fontId="1" numFmtId="164" xfId="0" applyAlignment="1" applyBorder="1" applyFont="1" applyNumberFormat="1">
      <alignment vertical="center"/>
    </xf>
    <xf borderId="30" fillId="31" fontId="1" numFmtId="0" xfId="0" applyAlignment="1" applyBorder="1" applyFont="1">
      <alignment vertical="center"/>
    </xf>
    <xf borderId="31" fillId="31" fontId="1" numFmtId="0" xfId="0" applyAlignment="1" applyBorder="1" applyFont="1">
      <alignment vertical="center"/>
    </xf>
    <xf borderId="19" fillId="31" fontId="1" numFmtId="0" xfId="0" applyAlignment="1" applyBorder="1" applyFont="1">
      <alignment horizontal="center" vertical="center"/>
    </xf>
    <xf borderId="19" fillId="31" fontId="1" numFmtId="166" xfId="0" applyAlignment="1" applyBorder="1" applyFont="1" applyNumberFormat="1">
      <alignment horizontal="center" vertical="center"/>
    </xf>
    <xf borderId="19" fillId="31" fontId="1" numFmtId="165" xfId="0" applyAlignment="1" applyBorder="1" applyFont="1" applyNumberFormat="1">
      <alignment horizontal="right" shrinkToFit="0" vertical="center" wrapText="1"/>
    </xf>
    <xf borderId="19" fillId="31" fontId="1" numFmtId="165" xfId="0" applyAlignment="1" applyBorder="1" applyFont="1" applyNumberFormat="1">
      <alignment vertical="center"/>
    </xf>
    <xf borderId="31" fillId="2" fontId="2" numFmtId="0" xfId="0" applyAlignment="1" applyBorder="1" applyFont="1">
      <alignment horizontal="left" readingOrder="0" vertical="center"/>
    </xf>
    <xf borderId="17" fillId="2" fontId="1" numFmtId="164" xfId="0" applyAlignment="1" applyBorder="1" applyFont="1" applyNumberFormat="1">
      <alignment vertical="center"/>
    </xf>
    <xf borderId="18" fillId="2" fontId="1" numFmtId="164" xfId="0" applyAlignment="1" applyBorder="1" applyFont="1" applyNumberFormat="1">
      <alignment vertical="center"/>
    </xf>
    <xf borderId="30" fillId="2" fontId="18" numFmtId="0" xfId="0" applyAlignment="1" applyBorder="1" applyFont="1">
      <alignment vertical="center"/>
    </xf>
    <xf borderId="31" fillId="2" fontId="2" numFmtId="0" xfId="0" applyAlignment="1" applyBorder="1" applyFont="1">
      <alignment readingOrder="0" vertical="center"/>
    </xf>
    <xf borderId="19" fillId="6" fontId="2" numFmtId="165" xfId="0" applyAlignment="1" applyBorder="1" applyFont="1" applyNumberFormat="1">
      <alignment readingOrder="0" vertical="center"/>
    </xf>
    <xf quotePrefix="1" borderId="20" fillId="2" fontId="2" numFmtId="0" xfId="0" applyAlignment="1" applyBorder="1" applyFont="1">
      <alignment readingOrder="0" vertical="center"/>
    </xf>
    <xf borderId="20" fillId="2" fontId="2" numFmtId="0" xfId="0" applyAlignment="1" applyBorder="1" applyFont="1">
      <alignment vertical="center"/>
    </xf>
    <xf borderId="30" fillId="31" fontId="2" numFmtId="0" xfId="0" applyAlignment="1" applyBorder="1" applyFont="1">
      <alignment vertical="center"/>
    </xf>
    <xf borderId="31" fillId="31" fontId="2" numFmtId="0" xfId="0" applyAlignment="1" applyBorder="1" applyFont="1">
      <alignment vertical="center"/>
    </xf>
    <xf borderId="18" fillId="31" fontId="1" numFmtId="0" xfId="0" applyAlignment="1" applyBorder="1" applyFont="1">
      <alignment vertical="center"/>
    </xf>
    <xf borderId="18" fillId="31" fontId="2" numFmtId="0" xfId="0" applyAlignment="1" applyBorder="1" applyFont="1">
      <alignment vertical="center"/>
    </xf>
    <xf borderId="20" fillId="31" fontId="2" numFmtId="0" xfId="0" applyAlignment="1" applyBorder="1" applyFont="1">
      <alignment vertical="center"/>
    </xf>
    <xf borderId="20" fillId="31" fontId="1" numFmtId="0" xfId="0" applyAlignment="1" applyBorder="1" applyFont="1">
      <alignment vertical="center"/>
    </xf>
    <xf borderId="20" fillId="0" fontId="1" numFmtId="0" xfId="0" applyAlignment="1" applyBorder="1" applyFont="1">
      <alignment vertical="center"/>
    </xf>
    <xf borderId="19" fillId="2" fontId="1" numFmtId="0" xfId="0" applyAlignment="1" applyBorder="1" applyFont="1">
      <alignment horizontal="center" readingOrder="0" shrinkToFit="0" vertical="center" wrapText="1"/>
    </xf>
    <xf quotePrefix="1" borderId="18" fillId="0" fontId="2" numFmtId="0" xfId="0" applyAlignment="1" applyBorder="1" applyFont="1">
      <alignment horizontal="left" vertical="center"/>
    </xf>
    <xf borderId="19" fillId="2" fontId="1" numFmtId="166" xfId="0" applyAlignment="1" applyBorder="1" applyFont="1" applyNumberFormat="1">
      <alignment horizontal="center" vertical="center"/>
    </xf>
    <xf borderId="19" fillId="15" fontId="1" numFmtId="166" xfId="0" applyAlignment="1" applyBorder="1" applyFont="1" applyNumberFormat="1">
      <alignment horizontal="right" shrinkToFit="0" wrapText="1"/>
    </xf>
    <xf borderId="19" fillId="4" fontId="1" numFmtId="166" xfId="0" applyAlignment="1" applyBorder="1" applyFont="1" applyNumberFormat="1">
      <alignment horizontal="right" shrinkToFit="0" wrapText="1"/>
    </xf>
    <xf borderId="19" fillId="4" fontId="2" numFmtId="166" xfId="0" applyAlignment="1" applyBorder="1" applyFont="1" applyNumberFormat="1">
      <alignment horizontal="right" readingOrder="0" shrinkToFit="0" wrapText="1"/>
    </xf>
    <xf borderId="22" fillId="0" fontId="1" numFmtId="164" xfId="0" applyAlignment="1" applyBorder="1" applyFont="1" applyNumberFormat="1">
      <alignment horizontal="left" vertical="center"/>
    </xf>
    <xf borderId="22" fillId="0" fontId="2" numFmtId="0" xfId="0" applyAlignment="1" applyBorder="1" applyFont="1">
      <alignment horizontal="right" vertical="center"/>
    </xf>
    <xf quotePrefix="1" borderId="23" fillId="0" fontId="2" numFmtId="0" xfId="0" applyAlignment="1" applyBorder="1" applyFont="1">
      <alignment vertical="center"/>
    </xf>
    <xf borderId="34" fillId="2" fontId="2" numFmtId="166" xfId="0" applyAlignment="1" applyBorder="1" applyFont="1" applyNumberFormat="1">
      <alignment horizontal="center" vertical="center"/>
    </xf>
    <xf quotePrefix="1" borderId="18" fillId="0" fontId="2" numFmtId="0" xfId="0" applyAlignment="1" applyBorder="1" applyFont="1">
      <alignment horizontal="left" readingOrder="0" vertical="center"/>
    </xf>
    <xf borderId="19" fillId="0" fontId="2" numFmtId="166" xfId="0" applyAlignment="1" applyBorder="1" applyFont="1" applyNumberFormat="1">
      <alignment horizontal="center" vertical="center"/>
    </xf>
    <xf borderId="19" fillId="2" fontId="1" numFmtId="0" xfId="0" applyAlignment="1" applyBorder="1" applyFont="1">
      <alignment horizontal="center" shrinkToFit="0" vertical="center" wrapText="1"/>
    </xf>
    <xf borderId="17" fillId="0" fontId="2" numFmtId="164" xfId="0" applyAlignment="1" applyBorder="1" applyFont="1" applyNumberFormat="1">
      <alignment vertical="center"/>
    </xf>
    <xf borderId="18" fillId="0" fontId="2" numFmtId="164" xfId="0" applyAlignment="1" applyBorder="1" applyFont="1" applyNumberFormat="1">
      <alignment vertical="center"/>
    </xf>
    <xf borderId="18" fillId="0" fontId="2" numFmtId="164" xfId="0" applyAlignment="1" applyBorder="1" applyFont="1" applyNumberFormat="1">
      <alignment horizontal="left" vertical="center"/>
    </xf>
    <xf borderId="39" fillId="31" fontId="1" numFmtId="0" xfId="0" applyAlignment="1" applyBorder="1" applyFont="1">
      <alignment vertical="center"/>
    </xf>
    <xf borderId="40" fillId="31" fontId="1" numFmtId="164" xfId="0" applyAlignment="1" applyBorder="1" applyFont="1" applyNumberFormat="1">
      <alignment vertical="center"/>
    </xf>
    <xf borderId="40" fillId="31" fontId="1" numFmtId="0" xfId="0" applyAlignment="1" applyBorder="1" applyFont="1">
      <alignment vertical="center"/>
    </xf>
    <xf borderId="41" fillId="31" fontId="1" numFmtId="0" xfId="0" applyAlignment="1" applyBorder="1" applyFont="1">
      <alignment vertical="center"/>
    </xf>
    <xf borderId="42" fillId="31" fontId="1" numFmtId="0" xfId="0" applyAlignment="1" applyBorder="1" applyFont="1">
      <alignment horizontal="center" vertical="center"/>
    </xf>
    <xf borderId="42" fillId="31" fontId="1" numFmtId="166" xfId="0" applyAlignment="1" applyBorder="1" applyFont="1" applyNumberFormat="1">
      <alignment horizontal="center" vertical="center"/>
    </xf>
    <xf borderId="42" fillId="31" fontId="1" numFmtId="165" xfId="0" applyAlignment="1" applyBorder="1" applyFont="1" applyNumberFormat="1">
      <alignment horizontal="right" shrinkToFit="0" vertical="center" wrapText="1"/>
    </xf>
    <xf borderId="42" fillId="31" fontId="1" numFmtId="165" xfId="0" applyAlignment="1" applyBorder="1" applyFont="1" applyNumberFormat="1">
      <alignment vertical="center"/>
    </xf>
    <xf borderId="30" fillId="4" fontId="2" numFmtId="166" xfId="0" applyAlignment="1" applyBorder="1" applyFont="1" applyNumberFormat="1">
      <alignment horizontal="right" readingOrder="0" vertical="center"/>
    </xf>
    <xf quotePrefix="1" borderId="18" fillId="0" fontId="1" numFmtId="0" xfId="0" applyAlignment="1" applyBorder="1" applyFont="1">
      <alignment vertical="center"/>
    </xf>
    <xf borderId="18" fillId="22" fontId="1" numFmtId="164" xfId="0" applyAlignment="1" applyBorder="1" applyFont="1" applyNumberFormat="1">
      <alignment horizontal="left" vertical="center"/>
    </xf>
    <xf borderId="18" fillId="22" fontId="1" numFmtId="0" xfId="0" applyAlignment="1" applyBorder="1" applyFont="1">
      <alignment vertical="center"/>
    </xf>
    <xf borderId="20" fillId="22" fontId="1" numFmtId="0" xfId="0" applyAlignment="1" applyBorder="1" applyFont="1">
      <alignment vertical="center"/>
    </xf>
    <xf borderId="17" fillId="0" fontId="1" numFmtId="0" xfId="0" applyAlignment="1" applyBorder="1" applyFont="1">
      <alignment horizontal="center" vertical="center"/>
    </xf>
    <xf borderId="19" fillId="0" fontId="1" numFmtId="166" xfId="0" applyAlignment="1" applyBorder="1" applyFont="1" applyNumberFormat="1">
      <alignment horizontal="right" readingOrder="0" shrinkToFit="0" vertical="center" wrapText="1"/>
    </xf>
    <xf borderId="19" fillId="0" fontId="1" numFmtId="166" xfId="0" applyAlignment="1" applyBorder="1" applyFont="1" applyNumberFormat="1">
      <alignment horizontal="right" shrinkToFit="0" vertical="center" wrapText="1"/>
    </xf>
    <xf borderId="20" fillId="0" fontId="2" numFmtId="0" xfId="0" applyAlignment="1" applyBorder="1" applyFont="1">
      <alignment horizontal="left" vertical="center"/>
    </xf>
    <xf borderId="17" fillId="0" fontId="2" numFmtId="0" xfId="0" applyAlignment="1" applyBorder="1" applyFont="1">
      <alignment horizontal="center" vertical="center"/>
    </xf>
    <xf borderId="13" fillId="0" fontId="2" numFmtId="164" xfId="0" applyAlignment="1" applyBorder="1" applyFont="1" applyNumberFormat="1">
      <alignment vertical="center"/>
    </xf>
    <xf borderId="14" fillId="0" fontId="2" numFmtId="164" xfId="0" applyAlignment="1" applyBorder="1" applyFont="1" applyNumberFormat="1">
      <alignment vertical="center"/>
    </xf>
    <xf borderId="14" fillId="0" fontId="2" numFmtId="164" xfId="0" applyAlignment="1" applyBorder="1" applyFont="1" applyNumberFormat="1">
      <alignment horizontal="left" vertical="center"/>
    </xf>
    <xf borderId="14" fillId="0" fontId="1" numFmtId="164" xfId="0" applyAlignment="1" applyBorder="1" applyFont="1" applyNumberFormat="1">
      <alignment horizontal="left" vertical="center"/>
    </xf>
    <xf borderId="14" fillId="0" fontId="2" numFmtId="0" xfId="0" applyAlignment="1" applyBorder="1" applyFont="1">
      <alignment vertical="center"/>
    </xf>
    <xf borderId="16" fillId="0" fontId="2" numFmtId="0" xfId="0" applyAlignment="1" applyBorder="1" applyFont="1">
      <alignment vertical="center"/>
    </xf>
    <xf borderId="13" fillId="0" fontId="1" numFmtId="0" xfId="0" applyAlignment="1" applyBorder="1" applyFont="1">
      <alignment horizontal="center" vertical="center"/>
    </xf>
    <xf borderId="15" fillId="0" fontId="2" numFmtId="165" xfId="0" applyAlignment="1" applyBorder="1" applyFont="1" applyNumberFormat="1">
      <alignment vertical="center"/>
    </xf>
    <xf borderId="21" fillId="0" fontId="2" numFmtId="164" xfId="0" applyAlignment="1" applyBorder="1" applyFont="1" applyNumberFormat="1">
      <alignment vertical="center"/>
    </xf>
    <xf borderId="22" fillId="0" fontId="2" numFmtId="164" xfId="0" applyAlignment="1" applyBorder="1" applyFont="1" applyNumberFormat="1">
      <alignment vertical="center"/>
    </xf>
    <xf borderId="22" fillId="0" fontId="2" numFmtId="164" xfId="0" applyAlignment="1" applyBorder="1" applyFont="1" applyNumberFormat="1">
      <alignment horizontal="left" vertical="center"/>
    </xf>
    <xf borderId="21" fillId="0" fontId="2" numFmtId="0" xfId="0" applyAlignment="1" applyBorder="1" applyFont="1">
      <alignment horizontal="center" vertical="center"/>
    </xf>
    <xf borderId="34" fillId="0" fontId="2" numFmtId="166" xfId="0" applyAlignment="1" applyBorder="1" applyFont="1" applyNumberFormat="1">
      <alignment horizontal="right" readingOrder="0" shrinkToFit="0" vertical="center" wrapText="1"/>
    </xf>
    <xf borderId="34" fillId="4" fontId="2" numFmtId="166" xfId="0" applyAlignment="1" applyBorder="1" applyFont="1" applyNumberFormat="1">
      <alignment horizontal="right" readingOrder="0" shrinkToFit="0" vertical="center" wrapText="1"/>
    </xf>
    <xf borderId="13" fillId="0" fontId="1" numFmtId="164" xfId="0" applyAlignment="1" applyBorder="1" applyFont="1" applyNumberFormat="1">
      <alignment vertical="center"/>
    </xf>
    <xf borderId="14" fillId="0" fontId="1" numFmtId="164" xfId="0" applyAlignment="1" applyBorder="1" applyFont="1" applyNumberFormat="1">
      <alignment vertical="center"/>
    </xf>
    <xf borderId="14" fillId="22" fontId="1" numFmtId="164" xfId="0" applyAlignment="1" applyBorder="1" applyFont="1" applyNumberFormat="1">
      <alignment horizontal="left" vertical="center"/>
    </xf>
    <xf borderId="14" fillId="22" fontId="1" numFmtId="0" xfId="0" applyAlignment="1" applyBorder="1" applyFont="1">
      <alignment vertical="center"/>
    </xf>
    <xf borderId="16" fillId="22" fontId="1" numFmtId="0" xfId="0" applyAlignment="1" applyBorder="1" applyFont="1">
      <alignment vertical="center"/>
    </xf>
    <xf borderId="15" fillId="22" fontId="1" numFmtId="0" xfId="0" applyAlignment="1" applyBorder="1" applyFont="1">
      <alignment horizontal="center" shrinkToFit="0" vertical="center" wrapText="1"/>
    </xf>
    <xf borderId="15" fillId="22" fontId="1" numFmtId="166" xfId="0" applyAlignment="1" applyBorder="1" applyFont="1" applyNumberFormat="1">
      <alignment horizontal="right" shrinkToFit="0" vertical="center" wrapText="1"/>
    </xf>
    <xf borderId="15" fillId="22" fontId="1" numFmtId="165" xfId="0" applyAlignment="1" applyBorder="1" applyFont="1" applyNumberFormat="1">
      <alignment horizontal="right" shrinkToFit="0" vertical="center" wrapText="1"/>
    </xf>
    <xf borderId="15" fillId="0" fontId="1" numFmtId="165" xfId="0" applyAlignment="1" applyBorder="1" applyFont="1" applyNumberFormat="1">
      <alignment vertical="center"/>
    </xf>
    <xf borderId="30" fillId="0" fontId="1" numFmtId="164" xfId="0" applyAlignment="1" applyBorder="1" applyFont="1" applyNumberFormat="1">
      <alignment horizontal="left" vertical="center"/>
    </xf>
    <xf borderId="30" fillId="0" fontId="1" numFmtId="0" xfId="0" applyAlignment="1" applyBorder="1" applyFont="1">
      <alignment vertical="center"/>
    </xf>
    <xf borderId="31" fillId="0" fontId="1" numFmtId="0" xfId="0" applyAlignment="1" applyBorder="1" applyFont="1">
      <alignment vertical="center"/>
    </xf>
    <xf borderId="29" fillId="0" fontId="1" numFmtId="0" xfId="0" applyAlignment="1" applyBorder="1" applyFont="1">
      <alignment horizontal="center" vertical="center"/>
    </xf>
    <xf borderId="18" fillId="0" fontId="2" numFmtId="164" xfId="0" applyAlignment="1" applyBorder="1" applyFont="1" applyNumberFormat="1">
      <alignment horizontal="left" readingOrder="0" vertical="center"/>
    </xf>
    <xf borderId="18" fillId="22" fontId="2" numFmtId="0" xfId="0" applyAlignment="1" applyBorder="1" applyFont="1">
      <alignment vertical="center"/>
    </xf>
    <xf borderId="20" fillId="22" fontId="2" numFmtId="0" xfId="0" applyAlignment="1" applyBorder="1" applyFont="1">
      <alignment vertical="center"/>
    </xf>
    <xf borderId="17" fillId="22" fontId="2" numFmtId="0" xfId="0" applyAlignment="1" applyBorder="1" applyFont="1">
      <alignment horizontal="center" vertical="center"/>
    </xf>
    <xf borderId="18" fillId="25" fontId="1" numFmtId="164" xfId="0" applyAlignment="1" applyBorder="1" applyFont="1" applyNumberFormat="1">
      <alignment horizontal="left" vertical="center"/>
    </xf>
    <xf borderId="18" fillId="25" fontId="2" numFmtId="0" xfId="0" applyAlignment="1" applyBorder="1" applyFont="1">
      <alignment vertical="center"/>
    </xf>
    <xf borderId="20" fillId="25" fontId="2" numFmtId="0" xfId="0" applyAlignment="1" applyBorder="1" applyFont="1">
      <alignment vertical="center"/>
    </xf>
    <xf borderId="17" fillId="25" fontId="2" numFmtId="0" xfId="0" applyAlignment="1" applyBorder="1" applyFont="1">
      <alignment horizontal="center" vertical="center"/>
    </xf>
    <xf quotePrefix="1" borderId="20" fillId="0" fontId="2" numFmtId="0" xfId="0" applyAlignment="1" applyBorder="1" applyFont="1">
      <alignment vertical="center"/>
    </xf>
    <xf borderId="43" fillId="0" fontId="1" numFmtId="164" xfId="0" applyAlignment="1" applyBorder="1" applyFont="1" applyNumberFormat="1">
      <alignment vertical="center"/>
    </xf>
    <xf borderId="44" fillId="0" fontId="1" numFmtId="164" xfId="0" applyAlignment="1" applyBorder="1" applyFont="1" applyNumberFormat="1">
      <alignment vertical="center"/>
    </xf>
    <xf borderId="44" fillId="0" fontId="1" numFmtId="164" xfId="0" applyAlignment="1" applyBorder="1" applyFont="1" applyNumberFormat="1">
      <alignment horizontal="left" vertical="center"/>
    </xf>
    <xf borderId="44" fillId="0" fontId="2" numFmtId="0" xfId="0" applyAlignment="1" applyBorder="1" applyFont="1">
      <alignment vertical="center"/>
    </xf>
    <xf borderId="45" fillId="0" fontId="2" numFmtId="0" xfId="0" applyAlignment="1" applyBorder="1" applyFont="1">
      <alignment vertical="center"/>
    </xf>
    <xf borderId="43" fillId="0" fontId="2" numFmtId="0" xfId="0" applyAlignment="1" applyBorder="1" applyFont="1">
      <alignment horizontal="center" vertical="center"/>
    </xf>
    <xf borderId="46" fillId="2" fontId="2" numFmtId="166" xfId="0" applyAlignment="1" applyBorder="1" applyFont="1" applyNumberFormat="1">
      <alignment horizontal="right" shrinkToFit="0" vertical="center" wrapText="1"/>
    </xf>
    <xf borderId="46" fillId="4" fontId="2" numFmtId="166" xfId="0" applyAlignment="1" applyBorder="1" applyFont="1" applyNumberFormat="1">
      <alignment horizontal="right" shrinkToFit="0" vertical="center" wrapText="1"/>
    </xf>
    <xf borderId="46" fillId="0" fontId="2" numFmtId="165" xfId="0" applyAlignment="1" applyBorder="1" applyFont="1" applyNumberFormat="1">
      <alignment horizontal="right" shrinkToFit="0" vertical="center" wrapText="1"/>
    </xf>
    <xf borderId="46" fillId="0" fontId="2" numFmtId="165" xfId="0" applyAlignment="1" applyBorder="1" applyFont="1" applyNumberFormat="1">
      <alignment vertical="center"/>
    </xf>
    <xf borderId="47" fillId="7" fontId="2" numFmtId="0" xfId="0" applyAlignment="1" applyBorder="1" applyFont="1">
      <alignment horizontal="right" vertical="center"/>
    </xf>
    <xf quotePrefix="1" borderId="47" fillId="7" fontId="2" numFmtId="0" xfId="0" applyAlignment="1" applyBorder="1" applyFont="1">
      <alignment vertical="center"/>
    </xf>
    <xf borderId="47" fillId="7" fontId="2" numFmtId="0" xfId="0" applyAlignment="1" applyBorder="1" applyFont="1">
      <alignment vertical="center"/>
    </xf>
    <xf borderId="48" fillId="7" fontId="2" numFmtId="0" xfId="0" applyAlignment="1" applyBorder="1" applyFont="1">
      <alignment vertical="center"/>
    </xf>
    <xf borderId="46" fillId="2" fontId="2" numFmtId="0" xfId="0" applyAlignment="1" applyBorder="1" applyFont="1">
      <alignment horizontal="center" shrinkToFit="0" vertical="center" wrapText="1"/>
    </xf>
    <xf borderId="47" fillId="4" fontId="2" numFmtId="166" xfId="0" applyAlignment="1" applyBorder="1" applyFont="1" applyNumberFormat="1">
      <alignment horizontal="right" vertical="center"/>
    </xf>
    <xf borderId="17" fillId="0" fontId="2" numFmtId="0" xfId="0" applyAlignment="1" applyBorder="1" applyFont="1">
      <alignment horizontal="center" shrinkToFit="0" vertical="center" wrapText="1"/>
    </xf>
    <xf borderId="17" fillId="0" fontId="1" numFmtId="0" xfId="0" applyAlignment="1" applyBorder="1" applyFont="1">
      <alignment horizontal="center" readingOrder="0" shrinkToFit="0" vertical="center" wrapText="1"/>
    </xf>
    <xf borderId="30" fillId="31" fontId="1" numFmtId="0" xfId="0" applyAlignment="1" applyBorder="1" applyFont="1">
      <alignment readingOrder="0" vertical="center"/>
    </xf>
    <xf borderId="29" fillId="2" fontId="1" numFmtId="0" xfId="0" applyAlignment="1" applyBorder="1" applyFont="1">
      <alignment vertical="center"/>
    </xf>
    <xf borderId="19" fillId="2" fontId="2" numFmtId="165" xfId="0" applyAlignment="1" applyBorder="1" applyFont="1" applyNumberFormat="1">
      <alignment horizontal="center" readingOrder="0" vertical="center"/>
    </xf>
    <xf borderId="49" fillId="2" fontId="1" numFmtId="0" xfId="0" applyAlignment="1" applyBorder="1" applyFont="1">
      <alignment vertical="center"/>
    </xf>
    <xf borderId="47" fillId="2" fontId="1" numFmtId="164" xfId="0" applyAlignment="1" applyBorder="1" applyFont="1" applyNumberFormat="1">
      <alignment vertical="center"/>
    </xf>
    <xf borderId="47" fillId="2" fontId="1" numFmtId="0" xfId="0" applyAlignment="1" applyBorder="1" applyFont="1">
      <alignment vertical="center"/>
    </xf>
    <xf borderId="44" fillId="0" fontId="1" numFmtId="0" xfId="0" applyAlignment="1" applyBorder="1" applyFont="1">
      <alignment vertical="center"/>
    </xf>
    <xf borderId="46" fillId="0" fontId="2" numFmtId="0" xfId="0" applyAlignment="1" applyBorder="1" applyFont="1">
      <alignment horizontal="center" shrinkToFit="0" vertical="center" wrapText="1"/>
    </xf>
    <xf borderId="46" fillId="2" fontId="2" numFmtId="166" xfId="0" applyAlignment="1" applyBorder="1" applyFont="1" applyNumberFormat="1">
      <alignment horizontal="center" readingOrder="0" vertical="center"/>
    </xf>
    <xf borderId="46" fillId="2" fontId="2" numFmtId="165" xfId="0" applyAlignment="1" applyBorder="1" applyFont="1" applyNumberFormat="1">
      <alignment horizontal="center" vertical="center"/>
    </xf>
    <xf borderId="28" fillId="31" fontId="1" numFmtId="166" xfId="0" applyAlignment="1" applyBorder="1" applyFont="1" applyNumberFormat="1">
      <alignment horizontal="center" vertical="center"/>
    </xf>
    <xf borderId="17" fillId="2" fontId="3" numFmtId="164" xfId="0" applyAlignment="1" applyBorder="1" applyFont="1" applyNumberFormat="1">
      <alignment vertical="center"/>
    </xf>
    <xf borderId="18" fillId="2" fontId="3" numFmtId="164" xfId="0" applyAlignment="1" applyBorder="1" applyFont="1" applyNumberFormat="1">
      <alignment vertical="center"/>
    </xf>
    <xf borderId="18" fillId="2" fontId="3" numFmtId="164" xfId="0" applyAlignment="1" applyBorder="1" applyFont="1" applyNumberFormat="1">
      <alignment horizontal="left" vertical="center"/>
    </xf>
    <xf quotePrefix="1" borderId="18" fillId="2" fontId="19" numFmtId="0" xfId="0" applyAlignment="1" applyBorder="1" applyFont="1">
      <alignment vertical="center"/>
    </xf>
    <xf borderId="18" fillId="2" fontId="19" numFmtId="0" xfId="0" applyAlignment="1" applyBorder="1" applyFont="1">
      <alignment vertical="center"/>
    </xf>
    <xf borderId="20" fillId="2" fontId="19" numFmtId="0" xfId="0" applyAlignment="1" applyBorder="1" applyFont="1">
      <alignment vertical="center"/>
    </xf>
    <xf borderId="19" fillId="2" fontId="19" numFmtId="0" xfId="0" applyAlignment="1" applyBorder="1" applyFont="1">
      <alignment horizontal="center" shrinkToFit="0" vertical="center" wrapText="1"/>
    </xf>
    <xf borderId="19" fillId="2" fontId="19" numFmtId="166" xfId="0" applyAlignment="1" applyBorder="1" applyFont="1" applyNumberFormat="1">
      <alignment horizontal="right" shrinkToFit="0" vertical="center" wrapText="1"/>
    </xf>
    <xf borderId="19" fillId="2" fontId="19" numFmtId="165" xfId="0" applyAlignment="1" applyBorder="1" applyFont="1" applyNumberFormat="1">
      <alignment horizontal="right" shrinkToFit="0" vertical="center" wrapText="1"/>
    </xf>
    <xf borderId="19" fillId="2" fontId="19" numFmtId="165" xfId="0" applyAlignment="1" applyBorder="1" applyFont="1" applyNumberFormat="1">
      <alignment vertical="center"/>
    </xf>
    <xf quotePrefix="1" borderId="20" fillId="0" fontId="2" numFmtId="0" xfId="0" applyAlignment="1" applyBorder="1" applyFont="1">
      <alignment horizontal="left" readingOrder="0" vertical="center"/>
    </xf>
    <xf borderId="29" fillId="10" fontId="1" numFmtId="0" xfId="0" applyAlignment="1" applyBorder="1" applyFont="1">
      <alignment readingOrder="0" vertical="center"/>
    </xf>
    <xf borderId="30" fillId="10" fontId="1" numFmtId="0" xfId="0" applyAlignment="1" applyBorder="1" applyFont="1">
      <alignment vertical="center"/>
    </xf>
    <xf borderId="31" fillId="10" fontId="1" numFmtId="0" xfId="0" applyAlignment="1" applyBorder="1" applyFont="1">
      <alignment vertical="center"/>
    </xf>
    <xf borderId="19" fillId="10" fontId="1" numFmtId="0" xfId="0" applyAlignment="1" applyBorder="1" applyFont="1">
      <alignment horizontal="left" vertical="center"/>
    </xf>
    <xf borderId="19" fillId="10" fontId="1" numFmtId="166" xfId="0" applyAlignment="1" applyBorder="1" applyFont="1" applyNumberFormat="1">
      <alignment horizontal="left" vertical="center"/>
    </xf>
    <xf borderId="19" fillId="10" fontId="1" numFmtId="165" xfId="0" applyAlignment="1" applyBorder="1" applyFont="1" applyNumberFormat="1">
      <alignment horizontal="left" vertical="center"/>
    </xf>
    <xf borderId="19" fillId="10" fontId="2" numFmtId="165" xfId="0" applyAlignment="1" applyBorder="1" applyFont="1" applyNumberFormat="1">
      <alignment vertical="center"/>
    </xf>
    <xf borderId="30" fillId="2" fontId="2" numFmtId="0" xfId="0" applyAlignment="1" applyBorder="1" applyFont="1">
      <alignment readingOrder="0" vertical="center"/>
    </xf>
    <xf borderId="19" fillId="2" fontId="2" numFmtId="0" xfId="0" applyAlignment="1" applyBorder="1" applyFont="1">
      <alignment horizontal="center" vertical="center"/>
    </xf>
    <xf borderId="47" fillId="2" fontId="2" numFmtId="0" xfId="0" applyAlignment="1" applyBorder="1" applyFont="1">
      <alignment vertical="center"/>
    </xf>
    <xf borderId="48" fillId="2" fontId="2" numFmtId="0" xfId="0" applyAlignment="1" applyBorder="1" applyFont="1">
      <alignment vertical="center"/>
    </xf>
    <xf borderId="46" fillId="2" fontId="2" numFmtId="0" xfId="0" applyAlignment="1" applyBorder="1" applyFont="1">
      <alignment horizontal="center" vertical="center"/>
    </xf>
    <xf borderId="46" fillId="2" fontId="2" numFmtId="166" xfId="0" applyAlignment="1" applyBorder="1" applyFont="1" applyNumberFormat="1">
      <alignment horizontal="center" vertical="center"/>
    </xf>
    <xf borderId="46" fillId="2" fontId="2" numFmtId="165" xfId="0" applyAlignment="1" applyBorder="1" applyFont="1" applyNumberFormat="1">
      <alignment vertical="center"/>
    </xf>
    <xf borderId="0" fillId="0" fontId="1" numFmtId="0" xfId="0" applyAlignment="1" applyFont="1">
      <alignment vertical="center"/>
    </xf>
    <xf borderId="0" fillId="0" fontId="11" numFmtId="0" xfId="0" applyAlignment="1" applyFont="1">
      <alignment horizontal="left" vertical="center"/>
    </xf>
    <xf borderId="0" fillId="0" fontId="2" numFmtId="0" xfId="0" applyAlignment="1" applyFont="1">
      <alignment horizontal="left" vertical="center"/>
    </xf>
    <xf borderId="0" fillId="0" fontId="2" numFmtId="0" xfId="0" applyAlignment="1" applyFont="1">
      <alignment horizontal="center" vertical="center"/>
    </xf>
    <xf borderId="0" fillId="0" fontId="2" numFmtId="165" xfId="0" applyAlignment="1" applyFont="1" applyNumberFormat="1">
      <alignment horizontal="center" vertical="center"/>
    </xf>
    <xf borderId="0" fillId="0" fontId="2" numFmtId="168" xfId="0" applyAlignment="1" applyFont="1" applyNumberFormat="1">
      <alignment horizontal="center" vertical="center"/>
    </xf>
    <xf borderId="0" fillId="0" fontId="2" numFmtId="165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24" Type="http://schemas.openxmlformats.org/officeDocument/2006/relationships/worksheet" Target="worksheets/sheet21.xml"/><Relationship Id="rId12" Type="http://schemas.openxmlformats.org/officeDocument/2006/relationships/worksheet" Target="worksheets/sheet9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9" width="14.5"/>
    <col customWidth="1" min="10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143096243</v>
      </c>
      <c r="M8" s="41">
        <f t="shared" si="1"/>
        <v>41715779</v>
      </c>
      <c r="N8" s="41">
        <f t="shared" si="1"/>
        <v>39608264.19</v>
      </c>
      <c r="O8" s="40">
        <f>IF(L8&gt;0,N8*100/L8,0)</f>
        <v>27.6794578</v>
      </c>
      <c r="P8" s="40">
        <f t="shared" ref="P8:P16" si="3">IF(M8&gt;0,N8*100/M8,0)</f>
        <v>94.94791932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>IF(L9&gt;0,N9*100/L9,0)</f>
        <v>0</v>
      </c>
      <c r="P9" s="47">
        <f t="shared" si="3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4">L12+L16</f>
        <v>143096243</v>
      </c>
      <c r="M10" s="48">
        <f t="shared" si="4"/>
        <v>41715779</v>
      </c>
      <c r="N10" s="48">
        <f t="shared" si="4"/>
        <v>39608264.19</v>
      </c>
      <c r="O10" s="47">
        <f>IF(L10&gt;0,N10*100/L10,0)</f>
        <v>27.6794578</v>
      </c>
      <c r="P10" s="47">
        <f t="shared" si="3"/>
        <v>94.94791932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5">L21+L31</f>
        <v>0</v>
      </c>
      <c r="M11" s="58">
        <f t="shared" si="5"/>
        <v>0</v>
      </c>
      <c r="N11" s="58">
        <f t="shared" si="5"/>
        <v>0</v>
      </c>
      <c r="O11" s="58">
        <f>IF(L11&gt;0,N11*100/L11,0)</f>
        <v>0</v>
      </c>
      <c r="P11" s="58">
        <f t="shared" si="3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6">L22+L32</f>
        <v>131875343</v>
      </c>
      <c r="M12" s="58">
        <f t="shared" si="6"/>
        <v>41715779</v>
      </c>
      <c r="N12" s="58">
        <f t="shared" si="6"/>
        <v>31888018.19</v>
      </c>
      <c r="O12" s="58">
        <f>IF(L12&gt;0,N12*100/L12,0)</f>
        <v>24.18042483</v>
      </c>
      <c r="P12" s="58">
        <f t="shared" si="3"/>
        <v>76.44114279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7">L23+L33</f>
        <v>44637500</v>
      </c>
      <c r="M13" s="58">
        <f t="shared" si="7"/>
        <v>0</v>
      </c>
      <c r="N13" s="58">
        <f t="shared" si="7"/>
        <v>0</v>
      </c>
      <c r="O13" s="61">
        <f>IF(L13&gt;0,N13*100/L13,0)</f>
        <v>0</v>
      </c>
      <c r="P13" s="61">
        <f t="shared" si="3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8">L24+L34</f>
        <v>87237843</v>
      </c>
      <c r="M14" s="58">
        <f t="shared" si="8"/>
        <v>0</v>
      </c>
      <c r="N14" s="58">
        <f t="shared" si="8"/>
        <v>7340747.19</v>
      </c>
      <c r="O14" s="61">
        <f>IF(L14&gt;0,N14*100/L14,0)</f>
        <v>8.414636283</v>
      </c>
      <c r="P14" s="61">
        <f t="shared" si="3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9">L25+L35</f>
        <v>0</v>
      </c>
      <c r="M15" s="58">
        <f t="shared" si="9"/>
        <v>0</v>
      </c>
      <c r="N15" s="58">
        <f t="shared" si="9"/>
        <v>0</v>
      </c>
      <c r="O15" s="62">
        <f>IF(L15&gt;0,N15*100/L15,0)</f>
        <v>0</v>
      </c>
      <c r="P15" s="62">
        <f t="shared" si="3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0">L26+L36</f>
        <v>11220900</v>
      </c>
      <c r="M16" s="58">
        <f t="shared" si="10"/>
        <v>0</v>
      </c>
      <c r="N16" s="58">
        <f t="shared" si="10"/>
        <v>7720246</v>
      </c>
      <c r="O16" s="70">
        <f>IF(L16&gt;0,N16*100/L16,0)</f>
        <v>68.80237771</v>
      </c>
      <c r="P16" s="70">
        <f t="shared" si="3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1">L19+L20</f>
        <v>87291060</v>
      </c>
      <c r="M18" s="41">
        <f t="shared" si="11"/>
        <v>41715779</v>
      </c>
      <c r="N18" s="41">
        <f t="shared" si="11"/>
        <v>32267517</v>
      </c>
      <c r="O18" s="40">
        <f>IF(L18&gt;0,N18*100/L18,0)</f>
        <v>36.96543151</v>
      </c>
      <c r="P18" s="40">
        <f t="shared" ref="P18:P26" si="13">IF(M18&gt;0,N18*100/M18,0)</f>
        <v>77.35086764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2">L21+L25</f>
        <v>0</v>
      </c>
      <c r="M19" s="48">
        <f t="shared" si="12"/>
        <v>0</v>
      </c>
      <c r="N19" s="48">
        <f t="shared" si="12"/>
        <v>0</v>
      </c>
      <c r="O19" s="47">
        <f>IF(L19&gt;0,N19*100/L19,0)</f>
        <v>0</v>
      </c>
      <c r="P19" s="47">
        <f t="shared" si="13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4">L22+L26</f>
        <v>87291060</v>
      </c>
      <c r="M20" s="48">
        <f t="shared" si="14"/>
        <v>41715779</v>
      </c>
      <c r="N20" s="48">
        <f t="shared" si="14"/>
        <v>32267517</v>
      </c>
      <c r="O20" s="47">
        <f>IF(L20&gt;0,N20*100/L20,0)</f>
        <v>36.96543151</v>
      </c>
      <c r="P20" s="47">
        <f t="shared" si="13"/>
        <v>77.35086764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5">L44+L56+L69+L97+L121+L143+L223+L253+L274+L293+L313+L332</f>
        <v>0</v>
      </c>
      <c r="M21" s="62">
        <f t="shared" si="15"/>
        <v>0</v>
      </c>
      <c r="N21" s="61">
        <f t="shared" si="15"/>
        <v>0</v>
      </c>
      <c r="O21" s="61">
        <f>IF(L21&gt;0,N21*100/L21,0)</f>
        <v>0</v>
      </c>
      <c r="P21" s="61">
        <f t="shared" si="13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6">L45+L57+L70+L98+L122+L144+L224+L254+L275+L294+L314+L333</f>
        <v>76070160</v>
      </c>
      <c r="M22" s="62">
        <f t="shared" si="16"/>
        <v>41715779</v>
      </c>
      <c r="N22" s="61">
        <f t="shared" si="16"/>
        <v>24547271</v>
      </c>
      <c r="O22" s="61">
        <f>IF(L22&gt;0,N22*100/L22,0)</f>
        <v>32.26925118</v>
      </c>
      <c r="P22" s="61">
        <f t="shared" si="13"/>
        <v>58.84409111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17">L46+L58+L71+L99+L123+L145+L225+L255+L276+L295+L315+L334</f>
        <v>44637500</v>
      </c>
      <c r="M23" s="62">
        <f t="shared" si="17"/>
        <v>0</v>
      </c>
      <c r="N23" s="61">
        <f t="shared" si="17"/>
        <v>0</v>
      </c>
      <c r="O23" s="61">
        <f>IF(L23&gt;0,N23*100/L23,0)</f>
        <v>0</v>
      </c>
      <c r="P23" s="61">
        <f t="shared" si="13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18">L47+L59+L72+L100+L124+L146+L226+L256+L277+L296+L316+L335</f>
        <v>31432660</v>
      </c>
      <c r="M24" s="62">
        <f t="shared" si="18"/>
        <v>0</v>
      </c>
      <c r="N24" s="61">
        <f t="shared" si="18"/>
        <v>0</v>
      </c>
      <c r="O24" s="61">
        <f>IF(L24&gt;0,N24*100/L24,0)</f>
        <v>0</v>
      </c>
      <c r="P24" s="61">
        <f t="shared" si="13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19">L48+L60+L73+L101+L125+L147+L227+L257+L278+L297+L317+L336</f>
        <v>0</v>
      </c>
      <c r="M25" s="62">
        <f t="shared" si="19"/>
        <v>0</v>
      </c>
      <c r="N25" s="62">
        <f t="shared" si="19"/>
        <v>0</v>
      </c>
      <c r="O25" s="62">
        <f>IF(L25&gt;0,N25*100/L25,0)</f>
        <v>0</v>
      </c>
      <c r="P25" s="62">
        <f t="shared" si="13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0">L49+L61+L74+L102+L126+L148+L228+L258+L279+L298+L318+L337</f>
        <v>11220900</v>
      </c>
      <c r="M26" s="70">
        <f t="shared" si="20"/>
        <v>0</v>
      </c>
      <c r="N26" s="70">
        <f t="shared" si="20"/>
        <v>7720246</v>
      </c>
      <c r="O26" s="70">
        <f>IF(L26&gt;0,N26*100/L26,0)</f>
        <v>68.80237771</v>
      </c>
      <c r="P26" s="70">
        <f t="shared" si="13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1">L29+L30</f>
        <v>55805183</v>
      </c>
      <c r="M28" s="41">
        <f t="shared" si="21"/>
        <v>0</v>
      </c>
      <c r="N28" s="41">
        <f t="shared" si="21"/>
        <v>7340747.19</v>
      </c>
      <c r="O28" s="40">
        <f t="shared" ref="O28:O30" si="23">IF(L28&gt;0,N28*100/L28,0)</f>
        <v>13.15423908</v>
      </c>
      <c r="P28" s="40">
        <f t="shared" ref="P28:P37" si="24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2">L31+L35</f>
        <v>0</v>
      </c>
      <c r="M29" s="48">
        <f t="shared" si="22"/>
        <v>0</v>
      </c>
      <c r="N29" s="48">
        <f t="shared" si="22"/>
        <v>0</v>
      </c>
      <c r="O29" s="47">
        <f t="shared" si="23"/>
        <v>0</v>
      </c>
      <c r="P29" s="47">
        <f t="shared" si="24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5">L32+L36</f>
        <v>55805183</v>
      </c>
      <c r="M30" s="48">
        <f t="shared" si="25"/>
        <v>0</v>
      </c>
      <c r="N30" s="48">
        <f t="shared" si="25"/>
        <v>7340747.19</v>
      </c>
      <c r="O30" s="47">
        <f t="shared" si="23"/>
        <v>13.15423908</v>
      </c>
      <c r="P30" s="47">
        <f t="shared" si="24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6">L351+L382+L403+L436+L456+L534+L552+L565+L581+L598</f>
        <v>0</v>
      </c>
      <c r="M31" s="61">
        <f t="shared" si="26"/>
        <v>0</v>
      </c>
      <c r="N31" s="61">
        <f t="shared" si="26"/>
        <v>0</v>
      </c>
      <c r="O31" s="61">
        <f t="shared" ref="O31:O37" si="28">IF(L31&gt;0,N31*100/L31,0)</f>
        <v>0</v>
      </c>
      <c r="P31" s="61">
        <f t="shared" si="24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27">L352+L383+L404+L437+L457+L535+L553+L566+L582+L599</f>
        <v>55805183</v>
      </c>
      <c r="M32" s="61">
        <f t="shared" si="27"/>
        <v>0</v>
      </c>
      <c r="N32" s="61">
        <f t="shared" si="27"/>
        <v>7340747.19</v>
      </c>
      <c r="O32" s="61">
        <f t="shared" si="28"/>
        <v>13.15423908</v>
      </c>
      <c r="P32" s="61">
        <f t="shared" si="24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29">L353+L384+L405+L438+L458+L536+L554+L567+L583+L600</f>
        <v>0</v>
      </c>
      <c r="M33" s="61">
        <f t="shared" si="29"/>
        <v>0</v>
      </c>
      <c r="N33" s="61">
        <f t="shared" si="29"/>
        <v>0</v>
      </c>
      <c r="O33" s="61">
        <f t="shared" si="28"/>
        <v>0</v>
      </c>
      <c r="P33" s="61">
        <f t="shared" si="24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0">L354+L385+L406+L439+L459+L537+L555+L568+L584+L601</f>
        <v>55805183</v>
      </c>
      <c r="M34" s="61">
        <f t="shared" si="30"/>
        <v>0</v>
      </c>
      <c r="N34" s="61">
        <f t="shared" si="30"/>
        <v>7340747.19</v>
      </c>
      <c r="O34" s="61">
        <f t="shared" si="28"/>
        <v>13.15423908</v>
      </c>
      <c r="P34" s="61">
        <f t="shared" si="24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28"/>
        <v>0</v>
      </c>
      <c r="P35" s="62">
        <f t="shared" si="24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28"/>
        <v>0</v>
      </c>
      <c r="P36" s="70">
        <f t="shared" si="24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1">L41+L53+L66+L94+L118+L140+L220+L250+L271+L290+L310+L329</f>
        <v>87291060</v>
      </c>
      <c r="M37" s="75">
        <f t="shared" si="31"/>
        <v>41715779</v>
      </c>
      <c r="N37" s="75">
        <f t="shared" si="31"/>
        <v>32267517</v>
      </c>
      <c r="O37" s="76">
        <f t="shared" si="28"/>
        <v>36.96543151</v>
      </c>
      <c r="P37" s="76">
        <f t="shared" si="24"/>
        <v>77.35086764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2">L42+L43</f>
        <v>24939700</v>
      </c>
      <c r="M41" s="102">
        <f t="shared" si="32"/>
        <v>8205020</v>
      </c>
      <c r="N41" s="102">
        <f t="shared" si="32"/>
        <v>10850137</v>
      </c>
      <c r="O41" s="101">
        <f t="shared" ref="O41:O43" si="34">IF(L41&gt;0,N41*100/L41,0)</f>
        <v>43.50548323</v>
      </c>
      <c r="P41" s="101">
        <f t="shared" ref="P41:P43" si="35">IF(M41&gt;0,N41*100/M41,0)</f>
        <v>132.2377886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3">L44+L48</f>
        <v>0</v>
      </c>
      <c r="M42" s="102">
        <f t="shared" si="33"/>
        <v>0</v>
      </c>
      <c r="N42" s="102">
        <f t="shared" si="33"/>
        <v>0</v>
      </c>
      <c r="O42" s="101">
        <f t="shared" si="34"/>
        <v>0</v>
      </c>
      <c r="P42" s="101">
        <f t="shared" si="35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6">L45+L49</f>
        <v>24939700</v>
      </c>
      <c r="M43" s="102">
        <f t="shared" si="36"/>
        <v>8205020</v>
      </c>
      <c r="N43" s="102">
        <f t="shared" si="36"/>
        <v>10850137</v>
      </c>
      <c r="O43" s="101">
        <f t="shared" si="34"/>
        <v>43.50548323</v>
      </c>
      <c r="P43" s="101">
        <f t="shared" si="35"/>
        <v>132.2377886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f>'กาฬสินธุ์'!L44+'ขอนแก่น'!L44+'ชัยภูมิ'!L44+'นครพนม'!L44+'นครราชสีมา'!L44+'บึงกาฬ'!L44+'บุรีรัมย์'!L44+'มหาสารคาม'!L44+'มุกดาหาร'!L44+'ยโสธร'!L44+'ร้อยเอ็ด'!L44+'เลย'!L44+'ศรีสะเกษ'!L44+'สกลนคร'!L44+'สุรินทร์'!L44+'หนองคาย'!L44+'หนองบัวลำภู'!L44+'อำนาจเจริญ'!L44+'อุดรธานี'!L44+'อุบลราชธานี'!L44</f>
        <v>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'กาฬสินธุ์'!L45+'ขอนแก่น'!L45+'ชัยภูมิ'!L45+'นครพนม'!L45+'นครราชสีมา'!L45+'บึงกาฬ'!L45+'บุรีรัมย์'!L45+'มหาสารคาม'!L45+'มุกดาหาร'!L45+'ยโสธร'!L45+'ร้อยเอ็ด'!L45+'เลย'!L45+'ศรีสะเกษ'!L45+'สกลนคร'!L45+'สุรินทร์'!L45+'หนองคาย'!L45+'หนองบัวลำภู'!L45+'อำนาจเจริญ'!L45+'อุดรธานี'!L45+'อุบลราชธานี'!L45</f>
        <v>16320100</v>
      </c>
      <c r="M45" s="115">
        <f>'กาฬสินธุ์'!M45+'ขอนแก่น'!M45+'ชัยภูมิ'!M45+'นครพนม'!M45+'นครราชสีมา'!M45+'บึงกาฬ'!M45+'บุรีรัมย์'!M45+'มหาสารคาม'!M45+'มุกดาหาร'!M45+'ยโสธร'!M45+'ร้อยเอ็ด'!M45+'เลย'!M45+'ศรีสะเกษ'!M45+'สกลนคร'!M45+'สุรินทร์'!M45+'หนองคาย'!M45+'หนองบัวลำภู'!M45+'อำนาจเจริญ'!M45+'อุดรธานี'!M45+'อุบลราชธานี'!M45</f>
        <v>8205020</v>
      </c>
      <c r="N45" s="115">
        <f>'กาฬสินธุ์'!N45+'ขอนแก่น'!N45+'ชัยภูมิ'!N45+'นครพนม'!N45+'นครราชสีมา'!N45+'บึงกาฬ'!N45+'บุรีรัมย์'!N45+'มหาสารคาม'!N45+'มุกดาหาร'!N45+'ยโสธร'!N45+'ร้อยเอ็ด'!N45+'เลย'!N45+'ศรีสะเกษ'!N45+'สกลนคร'!N45+'สุรินทร์'!N45+'หนองคาย'!N45+'หนองบัวลำภู'!N45+'อำนาจเจริญ'!N45+'อุดรธานี'!N45+'อุบลราชธานี'!N45</f>
        <v>5608781</v>
      </c>
      <c r="O45" s="116">
        <f>IF(L45&gt;0,N45*100/L45,0)</f>
        <v>34.36732005</v>
      </c>
      <c r="P45" s="116">
        <f>IF(M45&gt;0,N45*100/M45,0)</f>
        <v>68.35791991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'กาฬสินธุ์'!L46+'ขอนแก่น'!L46+'ชัยภูมิ'!L46+'นครพนม'!L46+'นครราชสีมา'!L46+'บึงกาฬ'!L46+'บุรีรัมย์'!L46+'มหาสารคาม'!L46+'มุกดาหาร'!L46+'ยโสธร'!L46+'ร้อยเอ็ด'!L46+'เลย'!L46+'ศรีสะเกษ'!L46+'สกลนคร'!L46+'สุรินทร์'!L46+'หนองคาย'!L46+'หนองบัวลำภู'!L46+'อำนาจเจริญ'!L46+'อุดรธานี'!L46+'อุบลราชธานี'!L46</f>
        <v>16320100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'กาฬสินธุ์'!L47+'ขอนแก่น'!L47+'ชัยภูมิ'!L47+'นครพนม'!L47+'นครราชสีมา'!L47+'บึงกาฬ'!L47+'บุรีรัมย์'!L47+'มหาสารคาม'!L47+'มุกดาหาร'!L47+'ยโสธร'!L47+'ร้อยเอ็ด'!L47+'เลย'!L47+'ศรีสะเกษ'!L47+'สกลนคร'!L47+'สุรินทร์'!L47+'หนองคาย'!L47+'หนองบัวลำภู'!L47+'อำนาจเจริญ'!L47+'อุดรธานี'!L47+'อุบลราชธานี'!L47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f>'กาฬสินธุ์'!L48+'ขอนแก่น'!L48+'ชัยภูมิ'!L48+'นครพนม'!L48+'นครราชสีมา'!L48+'บึงกาฬ'!L48+'บุรีรัมย์'!L48+'มหาสารคาม'!L48+'มุกดาหาร'!L48+'ยโสธร'!L48+'ร้อยเอ็ด'!L48+'เลย'!L48+'ศรีสะเกษ'!L48+'สกลนคร'!L48+'สุรินทร์'!L48+'หนองคาย'!L48+'หนองบัวลำภู'!L48+'อำนาจเจริญ'!L48+'อุดรธานี'!L48+'อุบลราชธานี'!L48</f>
        <v>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'กาฬสินธุ์'!L49+'ขอนแก่น'!L49+'ชัยภูมิ'!L49+'นครพนม'!L49+'นครราชสีมา'!L49+'บึงกาฬ'!L49+'บุรีรัมย์'!L49+'มหาสารคาม'!L49+'มุกดาหาร'!L49+'ยโสธร'!L49+'ร้อยเอ็ด'!L49+'เลย'!L49+'ศรีสะเกษ'!L49+'สกลนคร'!L49+'สุรินทร์'!L49+'หนองคาย'!L49+'หนองบัวลำภู'!L49+'อำนาจเจริญ'!L49+'อุดรธานี'!L49+'อุบลราชธานี'!L49</f>
        <v>8619600</v>
      </c>
      <c r="M49" s="125"/>
      <c r="N49" s="115">
        <f>'กาฬสินธุ์'!N49+'ขอนแก่น'!N49+'ชัยภูมิ'!N49+'นครพนม'!N49+'นครราชสีมา'!N49+'บึงกาฬ'!N49+'บุรีรัมย์'!N49+'มหาสารคาม'!N49+'มุกดาหาร'!N49+'ยโสธร'!N49+'ร้อยเอ็ด'!N49+'เลย'!N49+'ศรีสะเกษ'!N49+'สกลนคร'!N49+'สุรินทร์'!N49+'หนองคาย'!N49+'หนองบัวลำภู'!N49+'อำนาจเจริญ'!N49+'อุดรธานี'!N49+'อุบลราชธานี'!N49</f>
        <v>5241356</v>
      </c>
      <c r="O49" s="125">
        <f>IF(L49&gt;0,N49*100/L49,0)</f>
        <v>60.80741566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37">L54+L55</f>
        <v>12748800</v>
      </c>
      <c r="M53" s="151">
        <f t="shared" si="37"/>
        <v>6604659</v>
      </c>
      <c r="N53" s="151">
        <f t="shared" si="37"/>
        <v>4638439</v>
      </c>
      <c r="O53" s="150">
        <f t="shared" ref="O53:O55" si="39">IF(L53&gt;0,N53*100/L53,0)</f>
        <v>36.38333804</v>
      </c>
      <c r="P53" s="150">
        <f t="shared" ref="P53:P55" si="40">IF(M53&gt;0,N53*100/M53,0)</f>
        <v>70.22980293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38">L56+L60</f>
        <v>0</v>
      </c>
      <c r="M54" s="151">
        <f t="shared" si="38"/>
        <v>0</v>
      </c>
      <c r="N54" s="151">
        <f t="shared" si="38"/>
        <v>0</v>
      </c>
      <c r="O54" s="150">
        <f t="shared" si="39"/>
        <v>0</v>
      </c>
      <c r="P54" s="150">
        <f t="shared" si="40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1">L57+L61</f>
        <v>12748800</v>
      </c>
      <c r="M55" s="151">
        <f t="shared" si="41"/>
        <v>6604659</v>
      </c>
      <c r="N55" s="151">
        <f t="shared" si="41"/>
        <v>4638439</v>
      </c>
      <c r="O55" s="150">
        <f t="shared" si="39"/>
        <v>36.38333804</v>
      </c>
      <c r="P55" s="150">
        <f t="shared" si="40"/>
        <v>70.22980293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f>'กาฬสินธุ์'!L56+'ขอนแก่น'!L56+'ชัยภูมิ'!L56+'นครพนม'!L56+'นครราชสีมา'!L56+'บึงกาฬ'!L56+'บุรีรัมย์'!L56+'มหาสารคาม'!L56+'มุกดาหาร'!L56+'ยโสธร'!L56+'ร้อยเอ็ด'!L56+'เลย'!L56+'ศรีสะเกษ'!L56+'สกลนคร'!L56+'สุรินทร์'!L56+'หนองคาย'!L56+'หนองบัวลำภู'!L56+'อำนาจเจริญ'!L56+'อุดรธานี'!L56+'อุบลราชธานี'!L56</f>
        <v>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'กาฬสินธุ์'!L57+'ขอนแก่น'!L57+'ชัยภูมิ'!L57+'นครพนม'!L57+'นครราชสีมา'!L57+'บึงกาฬ'!L57+'บุรีรัมย์'!L57+'มหาสารคาม'!L57+'มุกดาหาร'!L57+'ยโสธร'!L57+'ร้อยเอ็ด'!L57+'เลย'!L57+'ศรีสะเกษ'!L57+'สกลนคร'!L57+'สุรินทร์'!L57+'หนองคาย'!L57+'หนองบัวลำภู'!L57+'อำนาจเจริญ'!L57+'อุดรธานี'!L57+'อุบลราชธานี'!L57</f>
        <v>12748800</v>
      </c>
      <c r="M57" s="115">
        <f>'กาฬสินธุ์'!M57+'ขอนแก่น'!M57+'ชัยภูมิ'!M57+'นครพนม'!M57+'นครราชสีมา'!M57+'บึงกาฬ'!M57+'บุรีรัมย์'!M57+'มหาสารคาม'!M57+'มุกดาหาร'!M57+'ยโสธร'!M57+'ร้อยเอ็ด'!M57+'เลย'!M57+'ศรีสะเกษ'!M57+'สกลนคร'!M57+'สุรินทร์'!M57+'หนองคาย'!M57+'หนองบัวลำภู'!M57+'อำนาจเจริญ'!M57+'อุดรธานี'!M57+'อุบลราชธานี'!M57</f>
        <v>6604659</v>
      </c>
      <c r="N57" s="115">
        <f>'กาฬสินธุ์'!N57+'ขอนแก่น'!N57+'ชัยภูมิ'!N57+'นครพนม'!N57+'นครราชสีมา'!N57+'บึงกาฬ'!N57+'บุรีรัมย์'!N57+'มหาสารคาม'!N57+'มุกดาหาร'!N57+'ยโสธร'!N57+'ร้อยเอ็ด'!N57+'เลย'!N57+'ศรีสะเกษ'!N57+'สกลนคร'!N57+'สุรินทร์'!N57+'หนองคาย'!N57+'หนองบัวลำภู'!N57+'อำนาจเจริญ'!N57+'อุดรธานี'!N57+'อุบลราชธานี'!N57</f>
        <v>4638439</v>
      </c>
      <c r="O57" s="116">
        <f>IF(L57&gt;0,N57*100/L57,0)</f>
        <v>36.38333804</v>
      </c>
      <c r="P57" s="116">
        <f>IF(M57&gt;0,N57*100/M57,0)</f>
        <v>70.22980293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'กาฬสินธุ์'!L58+'ขอนแก่น'!L58+'ชัยภูมิ'!L58+'นครพนม'!L58+'นครราชสีมา'!L58+'บึงกาฬ'!L58+'บุรีรัมย์'!L58+'มหาสารคาม'!L58+'มุกดาหาร'!L58+'ยโสธร'!L58+'ร้อยเอ็ด'!L58+'เลย'!L58+'ศรีสะเกษ'!L58+'สกลนคร'!L58+'สุรินทร์'!L58+'หนองคาย'!L58+'หนองบัวลำภู'!L58+'อำนาจเจริญ'!L58+'อุดรธานี'!L58+'อุบลราชธานี'!L58</f>
        <v>12748800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'กาฬสินธุ์'!L59+'ขอนแก่น'!L59+'ชัยภูมิ'!L59+'นครพนม'!L59+'นครราชสีมา'!L59+'บึงกาฬ'!L59+'บุรีรัมย์'!L59+'มหาสารคาม'!L59+'มุกดาหาร'!L59+'ยโสธร'!L59+'ร้อยเอ็ด'!L59+'เลย'!L59+'ศรีสะเกษ'!L59+'สกลนคร'!L59+'สุรินทร์'!L59+'หนองคาย'!L59+'หนองบัวลำภู'!L59+'อำนาจเจริญ'!L59+'อุดรธานี'!L59+'อุบลราชธานี'!L59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f>'กาฬสินธุ์'!L60+'ขอนแก่น'!L60+'ชัยภูมิ'!L60+'นครพนม'!L60+'นครราชสีมา'!L60+'บึงกาฬ'!L60+'บุรีรัมย์'!L60+'มหาสารคาม'!L60+'มุกดาหาร'!L60+'ยโสธร'!L60+'ร้อยเอ็ด'!L60+'เลย'!L60+'ศรีสะเกษ'!L60+'สกลนคร'!L60+'สุรินทร์'!L60+'หนองคาย'!L60+'หนองบัวลำภู'!L60+'อำนาจเจริญ'!L60+'อุดรธานี'!L60+'อุบลราชธานี'!L60</f>
        <v>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'กาฬสินธุ์'!L61+'ขอนแก่น'!L61+'ชัยภูมิ'!L61+'นครพนม'!L61+'นครราชสีมา'!L61+'บึงกาฬ'!L61+'บุรีรัมย์'!L61+'มหาสารคาม'!L61+'มุกดาหาร'!L61+'ยโสธร'!L61+'ร้อยเอ็ด'!L61+'เลย'!L61+'ศรีสะเกษ'!L61+'สกลนคร'!L61+'สุรินทร์'!L61+'หนองคาย'!L61+'หนองบัวลำภู'!L61+'อำนาจเจริญ'!L61+'อุดรธานี'!L61+'อุบลราชธานี'!L61</f>
        <v>0</v>
      </c>
      <c r="M61" s="125"/>
      <c r="N61" s="115">
        <f>'กาฬสินธุ์'!N61+'ขอนแก่น'!N61+'ชัยภูมิ'!N61+'นครพนม'!N61+'นครราชสีมา'!N61+'บึงกาฬ'!N61+'บุรีรัมย์'!N61+'มหาสารคาม'!N61+'มุกดาหาร'!N61+'ยโสธร'!N61+'ร้อยเอ็ด'!N61+'เลย'!N61+'ศรีสะเกษ'!N61+'สกลนคร'!N61+'สุรินทร์'!N61+'หนองคาย'!N61+'หนองบัวลำภู'!N61+'อำนาจเจริญ'!N61+'อุดรธานี'!N61+'อุบลราชธานี'!N61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'กาฬสินธุ์'!I64+'ขอนแก่น'!I64+'ชัยภูมิ'!I64+'นครพนม'!I64+'นครราชสีมา'!I64+'บึงกาฬ'!I64+'บุรีรัมย์'!I64+'มหาสารคาม'!I64+'มุกดาหาร'!I64+'ยโสธร'!I64+'ร้อยเอ็ด'!I64+'เลย'!I64+'ศรีสะเกษ'!I64+'สกลนคร'!I64+'สุรินทร์'!I64+'หนองคาย'!I64+'หนองบัวลำภู'!I64+'อำนาจเจริญ'!I64+'อุดรธานี'!I64+'อุบลราชธานี'!I64</f>
        <v>15</v>
      </c>
      <c r="J64" s="172">
        <f>'กาฬสินธุ์'!J64+'ขอนแก่น'!J64+'ชัยภูมิ'!J64+'นครพนม'!J64+'นครราชสีมา'!J64+'บึงกาฬ'!J64+'บุรีรัมย์'!J64+'มหาสารคาม'!J64+'มุกดาหาร'!J64+'ยโสธร'!J64+'ร้อยเอ็ด'!J64+'เลย'!J64+'ศรีสะเกษ'!J64+'สกลนคร'!J64+'สุรินทร์'!J64+'หนองคาย'!J64+'หนองบัวลำภู'!J64+'อำนาจเจริญ'!J64+'อุดรธานี'!J64+'อุบลราชธานี'!J64</f>
        <v>12</v>
      </c>
      <c r="K64" s="173">
        <f t="shared" ref="K64:K65" si="42">IF(I64&gt;0,J64*100/I64,0)</f>
        <v>80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'กาฬสินธุ์'!I65+'ขอนแก่น'!I65+'ชัยภูมิ'!I65+'นครพนม'!I65+'นครราชสีมา'!I65+'บึงกาฬ'!I65+'บุรีรัมย์'!I65+'มหาสารคาม'!I65+'มุกดาหาร'!I65+'ยโสธร'!I65+'ร้อยเอ็ด'!I65+'เลย'!I65+'ศรีสะเกษ'!I65+'สกลนคร'!I65+'สุรินทร์'!I65+'หนองคาย'!I65+'หนองบัวลำภู'!I65+'อำนาจเจริญ'!I65+'อุดรธานี'!I65+'อุบลราชธานี'!I65</f>
        <v>693</v>
      </c>
      <c r="J65" s="172">
        <f>'กาฬสินธุ์'!J65+'ขอนแก่น'!J65+'ชัยภูมิ'!J65+'นครพนม'!J65+'นครราชสีมา'!J65+'บึงกาฬ'!J65+'บุรีรัมย์'!J65+'มหาสารคาม'!J65+'มุกดาหาร'!J65+'ยโสธร'!J65+'ร้อยเอ็ด'!J65+'เลย'!J65+'ศรีสะเกษ'!J65+'สกลนคร'!J65+'สุรินทร์'!J65+'หนองคาย'!J65+'หนองบัวลำภู'!J65+'อำนาจเจริญ'!J65+'อุดรธานี'!J65+'อุบลราชธานี'!J65</f>
        <v>543</v>
      </c>
      <c r="K65" s="173">
        <f t="shared" si="42"/>
        <v>78.35497835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>'กาฬสินธุ์'!L66+'ขอนแก่น'!L66+'ชัยภูมิ'!L66+'นครพนม'!L66+'นครราชสีมา'!L66+'บึงกาฬ'!L66+'บุรีรัมย์'!L66+'มหาสารคาม'!L66+'มุกดาหาร'!L66+'ยโสธร'!L66+'ร้อยเอ็ด'!L66+'เลย'!L66+'ศรีสะเกษ'!L66+'สกลนคร'!L66+'สุรินทร์'!L66+'หนองคาย'!L66+'หนองบัวลำภู'!L66+'อำนาจเจริญ'!L66+'อุดรธานี'!L66+'อุบลราชธานี'!L66</f>
        <v>10880900</v>
      </c>
      <c r="M66" s="183">
        <f>'กาฬสินธุ์'!M66+'ขอนแก่น'!M66+'ชัยภูมิ'!M66+'นครพนม'!M66+'นครราชสีมา'!M66+'บึงกาฬ'!M66+'บุรีรัมย์'!M66+'มหาสารคาม'!M66+'มุกดาหาร'!M66+'ยโสธร'!M66+'ร้อยเอ็ด'!M66+'เลย'!M66+'ศรีสะเกษ'!M66+'สกลนคร'!M66+'สุรินทร์'!M66+'หนองคาย'!M66+'หนองบัวลำภู'!M66+'อำนาจเจริญ'!M66+'อุดรธานี'!M66+'อุบลราชธานี'!M66</f>
        <v>5895820</v>
      </c>
      <c r="N66" s="183">
        <f>'กาฬสินธุ์'!N66+'ขอนแก่น'!N66+'ชัยภูมิ'!N66+'นครพนม'!N66+'นครราชสีมา'!N66+'บึงกาฬ'!N66+'บุรีรัมย์'!N66+'มหาสารคาม'!N66+'มุกดาหาร'!N66+'ยโสธร'!N66+'ร้อยเอ็ด'!N66+'เลย'!N66+'ศรีสะเกษ'!N66+'สกลนคร'!N66+'สุรินทร์'!N66+'หนองคาย'!N66+'หนองบัวลำภู'!N66+'อำนาจเจริญ'!N66+'อุดรธานี'!N66+'อุบลราชธานี'!N66</f>
        <v>3024050</v>
      </c>
      <c r="O66" s="182">
        <f t="shared" ref="O66:O68" si="43">IF(L66&gt;0,N66*100/L66,0)</f>
        <v>27.79227821</v>
      </c>
      <c r="P66" s="182">
        <f t="shared" ref="P66:P68" si="44">IF(M66&gt;0,N66*100/M66,0)</f>
        <v>51.29142342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>'กาฬสินธุ์'!L67+'ขอนแก่น'!L67+'ชัยภูมิ'!L67+'นครพนม'!L67+'นครราชสีมา'!L67+'บึงกาฬ'!L67+'บุรีรัมย์'!L67+'มหาสารคาม'!L67+'มุกดาหาร'!L67+'ยโสธร'!L67+'ร้อยเอ็ด'!L67+'เลย'!L67+'ศรีสะเกษ'!L67+'สกลนคร'!L67+'สุรินทร์'!L67+'หนองคาย'!L67+'หนองบัวลำภู'!L67+'อำนาจเจริญ'!L67+'อุดรธานี'!L67+'อุบลราชธานี'!L67</f>
        <v>0</v>
      </c>
      <c r="M67" s="188">
        <f>'กาฬสินธุ์'!M67+'ขอนแก่น'!M67+'ชัยภูมิ'!M67+'นครพนม'!M67+'นครราชสีมา'!M67+'บึงกาฬ'!M67+'บุรีรัมย์'!M67+'มหาสารคาม'!M67+'มุกดาหาร'!M67+'ยโสธร'!M67+'ร้อยเอ็ด'!M67+'เลย'!M67+'ศรีสะเกษ'!M67+'สกลนคร'!M67+'สุรินทร์'!M67+'หนองคาย'!M67+'หนองบัวลำภู'!M67+'อำนาจเจริญ'!M67+'อุดรธานี'!M67+'อุบลราชธานี'!M67</f>
        <v>0</v>
      </c>
      <c r="N67" s="188">
        <f>'กาฬสินธุ์'!N67+'ขอนแก่น'!N67+'ชัยภูมิ'!N67+'นครพนม'!N67+'นครราชสีมา'!N67+'บึงกาฬ'!N67+'บุรีรัมย์'!N67+'มหาสารคาม'!N67+'มุกดาหาร'!N67+'ยโสธร'!N67+'ร้อยเอ็ด'!N67+'เลย'!N67+'ศรีสะเกษ'!N67+'สกลนคร'!N67+'สุรินทร์'!N67+'หนองคาย'!N67+'หนองบัวลำภู'!N67+'อำนาจเจริญ'!N67+'อุดรธานี'!N67+'อุบลราชธานี'!N67</f>
        <v>0</v>
      </c>
      <c r="O67" s="187">
        <f t="shared" si="43"/>
        <v>0</v>
      </c>
      <c r="P67" s="187">
        <f t="shared" si="44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>'กาฬสินธุ์'!L68+'ขอนแก่น'!L68+'ชัยภูมิ'!L68+'นครพนม'!L68+'นครราชสีมา'!L68+'บึงกาฬ'!L68+'บุรีรัมย์'!L68+'มหาสารคาม'!L68+'มุกดาหาร'!L68+'ยโสธร'!L68+'ร้อยเอ็ด'!L68+'เลย'!L68+'ศรีสะเกษ'!L68+'สกลนคร'!L68+'สุรินทร์'!L68+'หนองคาย'!L68+'หนองบัวลำภู'!L68+'อำนาจเจริญ'!L68+'อุดรธานี'!L68+'อุบลราชธานี'!L68</f>
        <v>10880900</v>
      </c>
      <c r="M68" s="188">
        <f>'กาฬสินธุ์'!M68+'ขอนแก่น'!M68+'ชัยภูมิ'!M68+'นครพนม'!M68+'นครราชสีมา'!M68+'บึงกาฬ'!M68+'บุรีรัมย์'!M68+'มหาสารคาม'!M68+'มุกดาหาร'!M68+'ยโสธร'!M68+'ร้อยเอ็ด'!M68+'เลย'!M68+'ศรีสะเกษ'!M68+'สกลนคร'!M68+'สุรินทร์'!M68+'หนองคาย'!M68+'หนองบัวลำภู'!M68+'อำนาจเจริญ'!M68+'อุดรธานี'!M68+'อุบลราชธานี'!M68</f>
        <v>5895820</v>
      </c>
      <c r="N68" s="188">
        <f>'กาฬสินธุ์'!N68+'ขอนแก่น'!N68+'ชัยภูมิ'!N68+'นครพนม'!N68+'นครราชสีมา'!N68+'บึงกาฬ'!N68+'บุรีรัมย์'!N68+'มหาสารคาม'!N68+'มุกดาหาร'!N68+'ยโสธร'!N68+'ร้อยเอ็ด'!N68+'เลย'!N68+'ศรีสะเกษ'!N68+'สกลนคร'!N68+'สุรินทร์'!N68+'หนองคาย'!N68+'หนองบัวลำภู'!N68+'อำนาจเจริญ'!N68+'อุดรธานี'!N68+'อุบลราชธานี'!N68</f>
        <v>3024050</v>
      </c>
      <c r="O68" s="187">
        <f t="shared" si="43"/>
        <v>27.79227821</v>
      </c>
      <c r="P68" s="187">
        <f t="shared" si="44"/>
        <v>51.29142342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f>'กาฬสินธุ์'!L69+'ขอนแก่น'!L69+'ชัยภูมิ'!L69+'นครพนม'!L69+'นครราชสีมา'!L69+'บึงกาฬ'!L69+'บุรีรัมย์'!L69+'มหาสารคาม'!L69+'มุกดาหาร'!L69+'ยโสธร'!L69+'ร้อยเอ็ด'!L69+'เลย'!L69+'ศรีสะเกษ'!L69+'สกลนคร'!L69+'สุรินทร์'!L69+'หนองคาย'!L69+'หนองบัวลำภู'!L69+'อำนาจเจริญ'!L69+'อุดรธานี'!L69+'อุบลราชธานี'!L69</f>
        <v>0</v>
      </c>
      <c r="M69" s="197">
        <f>'กาฬสินธุ์'!M69+'ขอนแก่น'!M69+'ชัยภูมิ'!M69+'นครพนม'!M69+'นครราชสีมา'!M69+'บึงกาฬ'!M69+'บุรีรัมย์'!M69+'มหาสารคาม'!M69+'มุกดาหาร'!M69+'ยโสธร'!M69+'ร้อยเอ็ด'!M69+'เลย'!M69+'ศรีสะเกษ'!M69+'สกลนคร'!M69+'สุรินทร์'!M69+'หนองคาย'!M69+'หนองบัวลำภู'!M69+'อำนาจเจริญ'!M69+'อุดรธานี'!M69+'อุบลราชธานี'!M69</f>
        <v>0</v>
      </c>
      <c r="N69" s="197">
        <f>'กาฬสินธุ์'!N69+'ขอนแก่น'!N69+'ชัยภูมิ'!N69+'นครพนม'!N69+'นครราชสีมา'!N69+'บึงกาฬ'!N69+'บุรีรัมย์'!N69+'มหาสารคาม'!N69+'มุกดาหาร'!N69+'ยโสธร'!N69+'ร้อยเอ็ด'!N69+'เลย'!N69+'ศรีสะเกษ'!N69+'สกลนคร'!N69+'สุรินทร์'!N69+'หนองคาย'!N69+'หนองบัวลำภู'!N69+'อำนาจเจริญ'!N69+'อุดรธานี'!N69+'อุบลราชธานี'!N69</f>
        <v>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'กาฬสินธุ์'!L70+'ขอนแก่น'!L70+'ชัยภูมิ'!L70+'นครพนม'!L70+'นครราชสีมา'!L70+'บึงกาฬ'!L70+'บุรีรัมย์'!L70+'มหาสารคาม'!L70+'มุกดาหาร'!L70+'ยโสธร'!L70+'ร้อยเอ็ด'!L70+'เลย'!L70+'ศรีสะเกษ'!L70+'สกลนคร'!L70+'สุรินทร์'!L70+'หนองคาย'!L70+'หนองบัวลำภู'!L70+'อำนาจเจริญ'!L70+'อุดรธานี'!L70+'อุบลราชธานี'!L70</f>
        <v>10695900</v>
      </c>
      <c r="M70" s="201">
        <f>'กาฬสินธุ์'!M70+'ขอนแก่น'!M70+'ชัยภูมิ'!M70+'นครพนม'!M70+'นครราชสีมา'!M70+'บึงกาฬ'!M70+'บุรีรัมย์'!M70+'มหาสารคาม'!M70+'มุกดาหาร'!M70+'ยโสธร'!M70+'ร้อยเอ็ด'!M70+'เลย'!M70+'ศรีสะเกษ'!M70+'สกลนคร'!M70+'สุรินทร์'!M70+'หนองคาย'!M70+'หนองบัวลำภู'!M70+'อำนาจเจริญ'!M70+'อุดรธานี'!M70+'อุบลราชธานี'!M70</f>
        <v>5895820</v>
      </c>
      <c r="N70" s="202">
        <f>'กาฬสินธุ์'!N70+'ขอนแก่น'!N70+'ชัยภูมิ'!N70+'นครพนม'!N70+'นครราชสีมา'!N70+'บึงกาฬ'!N70+'บุรีรัมย์'!N70+'มหาสารคาม'!N70+'มุกดาหาร'!N70+'ยโสธร'!N70+'ร้อยเอ็ด'!N70+'เลย'!N70+'ศรีสะเกษ'!N70+'สกลนคร'!N70+'สุรินทร์'!N70+'หนองคาย'!N70+'หนองบัวลำภู'!N70+'อำนาจเจริญ'!N70+'อุดรธานี'!N70+'อุบลราชธานี'!N70</f>
        <v>2839050</v>
      </c>
      <c r="O70" s="203">
        <f>IF(L70&gt;0,N70*100/L70,0)</f>
        <v>26.54334839</v>
      </c>
      <c r="P70" s="203">
        <f>IF(M70&gt;0,N70*100/M70,0)</f>
        <v>48.15360713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'กาฬสินธุ์'!L71+'ขอนแก่น'!L71+'ชัยภูมิ'!L71+'นครพนม'!L71+'นครราชสีมา'!L71+'บึงกาฬ'!L71+'บุรีรัมย์'!L71+'มหาสารคาม'!L71+'มุกดาหาร'!L71+'ยโสธร'!L71+'ร้อยเอ็ด'!L71+'เลย'!L71+'ศรีสะเกษ'!L71+'สกลนคร'!L71+'สุรินทร์'!L71+'หนองคาย'!L71+'หนองบัวลำภู'!L71+'อำนาจเจริญ'!L71+'อุดรธานี'!L71+'อุบลราชธานี'!L71</f>
        <v>4014300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'กาฬสินธุ์'!L72+'ขอนแก่น'!L72+'ชัยภูมิ'!L72+'นครพนม'!L72+'นครราชสีมา'!L72+'บึงกาฬ'!L72+'บุรีรัมย์'!L72+'มหาสารคาม'!L72+'มุกดาหาร'!L72+'ยโสธร'!L72+'ร้อยเอ็ด'!L72+'เลย'!L72+'ศรีสะเกษ'!L72+'สกลนคร'!L72+'สุรินทร์'!L72+'หนองคาย'!L72+'หนองบัวลำภู'!L72+'อำนาจเจริญ'!L72+'อุดรธานี'!L72+'อุบลราชธานี'!L72</f>
        <v>6681600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f>'กาฬสินธุ์'!L73+'ขอนแก่น'!L73+'ชัยภูมิ'!L73+'นครพนม'!L73+'นครราชสีมา'!L73+'บึงกาฬ'!L73+'บุรีรัมย์'!L73+'มหาสารคาม'!L73+'มุกดาหาร'!L73+'ยโสธร'!L73+'ร้อยเอ็ด'!L73+'เลย'!L73+'ศรีสะเกษ'!L73+'สกลนคร'!L73+'สุรินทร์'!L73+'หนองคาย'!L73+'หนองบัวลำภู'!L73+'อำนาจเจริญ'!L73+'อุดรธานี'!L73+'อุบลราชธานี'!L73</f>
        <v>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'กาฬสินธุ์'!L74+'ขอนแก่น'!L74+'ชัยภูมิ'!L74+'นครพนม'!L74+'นครราชสีมา'!L74+'บึงกาฬ'!L74+'บุรีรัมย์'!L74+'มหาสารคาม'!L74+'มุกดาหาร'!L74+'ยโสธร'!L74+'ร้อยเอ็ด'!L74+'เลย'!L74+'ศรีสะเกษ'!L74+'สกลนคร'!L74+'สุรินทร์'!L74+'หนองคาย'!L74+'หนองบัวลำภู'!L74+'อำนาจเจริญ'!L74+'อุดรธานี'!L74+'อุบลราชธานี'!L74</f>
        <v>185000</v>
      </c>
      <c r="M74" s="125"/>
      <c r="N74" s="115">
        <f>'กาฬสินธุ์'!N74+'ขอนแก่น'!N74+'ชัยภูมิ'!N74+'นครพนม'!N74+'นครราชสีมา'!N74+'บึงกาฬ'!N74+'บุรีรัมย์'!N74+'มหาสารคาม'!N74+'มุกดาหาร'!N74+'ยโสธร'!N74+'ร้อยเอ็ด'!N74+'เลย'!N74+'ศรีสะเกษ'!N74+'สกลนคร'!N74+'สุรินทร์'!N74+'หนองคาย'!N74+'หนองบัวลำภู'!N74+'อำนาจเจริญ'!N74+'อุดรธานี'!N74+'อุบลราชธานี'!N74</f>
        <v>185000</v>
      </c>
      <c r="O74" s="125">
        <f>IF(L74&gt;0,N74*100/L74,0)</f>
        <v>100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'กาฬสินธุ์'!J76+'ขอนแก่น'!J76+'ชัยภูมิ'!J76+'นครพนม'!J76+'นครราชสีมา'!J76+'บึงกาฬ'!J76+'บุรีรัมย์'!J76+'มหาสารคาม'!J76+'มุกดาหาร'!J76+'ยโสธร'!J76+'ร้อยเอ็ด'!J76+'เลย'!J76+'ศรีสะเกษ'!J76+'สกลนคร'!J76+'สุรินทร์'!J76+'หนองคาย'!J76+'หนองบัวลำภู'!J76+'อำนาจเจริญ'!J76+'อุดรธานี'!J76+'อุบลราชธานี'!J76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'กาฬสินธุ์'!J77+'ขอนแก่น'!J77+'ชัยภูมิ'!J77+'นครพนม'!J77+'นครราชสีมา'!J77+'บึงกาฬ'!J77+'บุรีรัมย์'!J77+'มหาสารคาม'!J77+'มุกดาหาร'!J77+'ยโสธร'!J77+'ร้อยเอ็ด'!J77+'เลย'!J77+'ศรีสะเกษ'!J77+'สกลนคร'!J77+'สุรินทร์'!J77+'หนองคาย'!J77+'หนองบัวลำภู'!J77+'อำนาจเจริญ'!J77+'อุดรธานี'!J77+'อุบลราชธานี'!J77</f>
        <v>13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'กาฬสินธุ์'!J78+'ขอนแก่น'!J78+'ชัยภูมิ'!J78+'นครพนม'!J78+'นครราชสีมา'!J78+'บึงกาฬ'!J78+'บุรีรัมย์'!J78+'มหาสารคาม'!J78+'มุกดาหาร'!J78+'ยโสธร'!J78+'ร้อยเอ็ด'!J78+'เลย'!J78+'ศรีสะเกษ'!J78+'สกลนคร'!J78+'สุรินทร์'!J78+'หนองคาย'!J78+'หนองบัวลำภู'!J78+'อำนาจเจริญ'!J78+'อุดรธานี'!J78+'อุบลราชธานี'!J78</f>
        <v>11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'กาฬสินธุ์'!J79+'ขอนแก่น'!J79+'ชัยภูมิ'!J79+'นครพนม'!J79+'นครราชสีมา'!J79+'บึงกาฬ'!J79+'บุรีรัมย์'!J79+'มหาสารคาม'!J79+'มุกดาหาร'!J79+'ยโสธร'!J79+'ร้อยเอ็ด'!J79+'เลย'!J79+'ศรีสะเกษ'!J79+'สกลนคร'!J79+'สุรินทร์'!J79+'หนองคาย'!J79+'หนองบัวลำภู'!J79+'อำนาจเจริญ'!J79+'อุดรธานี'!J79+'อุบลราชธานี'!J79</f>
        <v>13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'กาฬสินธุ์'!I80+'ขอนแก่น'!I80+'ชัยภูมิ'!I80+'นครพนม'!I80+'นครราชสีมา'!I80+'บึงกาฬ'!I80+'บุรีรัมย์'!I80+'มหาสารคาม'!I80+'มุกดาหาร'!I80+'ยโสธร'!I80+'ร้อยเอ็ด'!I80+'เลย'!I80+'ศรีสะเกษ'!I80+'สกลนคร'!I80+'สุรินทร์'!I80+'หนองคาย'!I80+'หนองบัวลำภู'!I80+'อำนาจเจริญ'!I80+'อุดรธานี'!I80+'อุบลราชธานี'!I80</f>
        <v>15</v>
      </c>
      <c r="J80" s="235">
        <f>'กาฬสินธุ์'!J80+'ขอนแก่น'!J80+'ชัยภูมิ'!J80+'นครพนม'!J80+'นครราชสีมา'!J80+'บึงกาฬ'!J80+'บุรีรัมย์'!J80+'มหาสารคาม'!J80+'มุกดาหาร'!J80+'ยโสธร'!J80+'ร้อยเอ็ด'!J80+'เลย'!J80+'ศรีสะเกษ'!J80+'สกลนคร'!J80+'สุรินทร์'!J80+'หนองคาย'!J80+'หนองบัวลำภู'!J80+'อำนาจเจริญ'!J80+'อุดรธานี'!J80+'อุบลราชธานี'!J80</f>
        <v>12</v>
      </c>
      <c r="K80" s="236">
        <f t="shared" ref="K80:K88" si="45">IF(I80&gt;0,J80*100/I80,0)</f>
        <v>80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'กาฬสินธุ์'!I81+'ขอนแก่น'!I81+'ชัยภูมิ'!I81+'นครพนม'!I81+'นครราชสีมา'!I81+'บึงกาฬ'!I81+'บุรีรัมย์'!I81+'มหาสารคาม'!I81+'มุกดาหาร'!I81+'ยโสธร'!I81+'ร้อยเอ็ด'!I81+'เลย'!I81+'ศรีสะเกษ'!I81+'สกลนคร'!I81+'สุรินทร์'!I81+'หนองคาย'!I81+'หนองบัวลำภู'!I81+'อำนาจเจริญ'!I81+'อุดรธานี'!I81+'อุบลราชธานี'!I81</f>
        <v>693</v>
      </c>
      <c r="J81" s="235">
        <f>'กาฬสินธุ์'!J81+'ขอนแก่น'!J81+'ชัยภูมิ'!J81+'นครพนม'!J81+'นครราชสีมา'!J81+'บึงกาฬ'!J81+'บุรีรัมย์'!J81+'มหาสารคาม'!J81+'มุกดาหาร'!J81+'ยโสธร'!J81+'ร้อยเอ็ด'!J81+'เลย'!J81+'ศรีสะเกษ'!J81+'สกลนคร'!J81+'สุรินทร์'!J81+'หนองคาย'!J81+'หนองบัวลำภู'!J81+'อำนาจเจริญ'!J81+'อุดรธานี'!J81+'อุบลราชธานี'!J81</f>
        <v>543</v>
      </c>
      <c r="K81" s="236">
        <f t="shared" si="45"/>
        <v>78.35497835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'กาฬสินธุ์'!I82+'ขอนแก่น'!I82+'ชัยภูมิ'!I82+'นครพนม'!I82+'นครราชสีมา'!I82+'บึงกาฬ'!I82+'บุรีรัมย์'!I82+'มหาสารคาม'!I82+'มุกดาหาร'!I82+'ยโสธร'!I82+'ร้อยเอ็ด'!I82+'เลย'!I82+'ศรีสะเกษ'!I82+'สกลนคร'!I82+'สุรินทร์'!I82+'หนองคาย'!I82+'หนองบัวลำภู'!I82+'อำนาจเจริญ'!I82+'อุดรธานี'!I82+'อุบลราชธานี'!I82</f>
        <v>6</v>
      </c>
      <c r="J82" s="238">
        <f>'กาฬสินธุ์'!J82+'ขอนแก่น'!J82+'ชัยภูมิ'!J82+'นครพนม'!J82+'นครราชสีมา'!J82+'บึงกาฬ'!J82+'บุรีรัมย์'!J82+'มหาสารคาม'!J82+'มุกดาหาร'!J82+'ยโสธร'!J82+'ร้อยเอ็ด'!J82+'เลย'!J82+'ศรีสะเกษ'!J82+'สกลนคร'!J82+'สุรินทร์'!J82+'หนองคาย'!J82+'หนองบัวลำภู'!J82+'อำนาจเจริญ'!J82+'อุดรธานี'!J82+'อุบลราชธานี'!J82</f>
        <v>6</v>
      </c>
      <c r="K82" s="196">
        <f t="shared" si="45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'กาฬสินธุ์'!I83+'ขอนแก่น'!I83+'ชัยภูมิ'!I83+'นครพนม'!I83+'นครราชสีมา'!I83+'บึงกาฬ'!I83+'บุรีรัมย์'!I83+'มหาสารคาม'!I83+'มุกดาหาร'!I83+'ยโสธร'!I83+'ร้อยเอ็ด'!I83+'เลย'!I83+'ศรีสะเกษ'!I83+'สกลนคร'!I83+'สุรินทร์'!I83+'หนองคาย'!I83+'หนองบัวลำภู'!I83+'อำนาจเจริญ'!I83+'อุดรธานี'!I83+'อุบลราชธานี'!I83</f>
        <v>270</v>
      </c>
      <c r="J83" s="238">
        <f>'กาฬสินธุ์'!J83+'ขอนแก่น'!J83+'ชัยภูมิ'!J83+'นครพนม'!J83+'นครราชสีมา'!J83+'บึงกาฬ'!J83+'บุรีรัมย์'!J83+'มหาสารคาม'!J83+'มุกดาหาร'!J83+'ยโสธร'!J83+'ร้อยเอ็ด'!J83+'เลย'!J83+'ศรีสะเกษ'!J83+'สกลนคร'!J83+'สุรินทร์'!J83+'หนองคาย'!J83+'หนองบัวลำภู'!J83+'อำนาจเจริญ'!J83+'อุดรธานี'!J83+'อุบลราชธานี'!J83</f>
        <v>240</v>
      </c>
      <c r="K83" s="196">
        <f t="shared" si="45"/>
        <v>88.88888889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'กาฬสินธุ์'!I84+'ขอนแก่น'!I84+'ชัยภูมิ'!I84+'นครพนม'!I84+'นครราชสีมา'!I84+'บึงกาฬ'!I84+'บุรีรัมย์'!I84+'มหาสารคาม'!I84+'มุกดาหาร'!I84+'ยโสธร'!I84+'ร้อยเอ็ด'!I84+'เลย'!I84+'ศรีสะเกษ'!I84+'สกลนคร'!I84+'สุรินทร์'!I84+'หนองคาย'!I84+'หนองบัวลำภู'!I84+'อำนาจเจริญ'!I84+'อุดรธานี'!I84+'อุบลราชธานี'!I84</f>
        <v>8</v>
      </c>
      <c r="J84" s="223">
        <f>'กาฬสินธุ์'!J84+'ขอนแก่น'!J84+'ชัยภูมิ'!J84+'นครพนม'!J84+'นครราชสีมา'!J84+'บึงกาฬ'!J84+'บุรีรัมย์'!J84+'มหาสารคาม'!J84+'มุกดาหาร'!J84+'ยโสธร'!J84+'ร้อยเอ็ด'!J84+'เลย'!J84+'ศรีสะเกษ'!J84+'สกลนคร'!J84+'สุรินทร์'!J84+'หนองคาย'!J84+'หนองบัวลำภู'!J84+'อำนาจเจริญ'!J84+'อุดรธานี'!J84+'อุบลราชธานี'!J84</f>
        <v>6</v>
      </c>
      <c r="K84" s="196">
        <f t="shared" si="45"/>
        <v>75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'กาฬสินธุ์'!I85+'ขอนแก่น'!I85+'ชัยภูมิ'!I85+'นครพนม'!I85+'นครราชสีมา'!I85+'บึงกาฬ'!I85+'บุรีรัมย์'!I85+'มหาสารคาม'!I85+'มุกดาหาร'!I85+'ยโสธร'!I85+'ร้อยเอ็ด'!I85+'เลย'!I85+'ศรีสะเกษ'!I85+'สกลนคร'!I85+'สุรินทร์'!I85+'หนองคาย'!I85+'หนองบัวลำภู'!I85+'อำนาจเจริญ'!I85+'อุดรธานี'!I85+'อุบลราชธานี'!I85</f>
        <v>373</v>
      </c>
      <c r="J85" s="223">
        <f>'กาฬสินธุ์'!J85+'ขอนแก่น'!J85+'ชัยภูมิ'!J85+'นครพนม'!J85+'นครราชสีมา'!J85+'บึงกาฬ'!J85+'บุรีรัมย์'!J85+'มหาสารคาม'!J85+'มุกดาหาร'!J85+'ยโสธร'!J85+'ร้อยเอ็ด'!J85+'เลย'!J85+'ศรีสะเกษ'!J85+'สกลนคร'!J85+'สุรินทร์'!J85+'หนองคาย'!J85+'หนองบัวลำภู'!J85+'อำนาจเจริญ'!J85+'อุดรธานี'!J85+'อุบลราชธานี'!J85</f>
        <v>303</v>
      </c>
      <c r="K85" s="196">
        <f t="shared" si="45"/>
        <v>81.23324397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'กาฬสินธุ์'!I86+'ขอนแก่น'!I86+'ชัยภูมิ'!I86+'นครพนม'!I86+'นครราชสีมา'!I86+'บึงกาฬ'!I86+'บุรีรัมย์'!I86+'มหาสารคาม'!I86+'มุกดาหาร'!I86+'ยโสธร'!I86+'ร้อยเอ็ด'!I86+'เลย'!I86+'ศรีสะเกษ'!I86+'สกลนคร'!I86+'สุรินทร์'!I86+'หนองคาย'!I86+'หนองบัวลำภู'!I86+'อำนาจเจริญ'!I86+'อุดรธานี'!I86+'อุบลราชธานี'!I86</f>
        <v>1</v>
      </c>
      <c r="J86" s="238">
        <f>'กาฬสินธุ์'!J86+'ขอนแก่น'!J86+'ชัยภูมิ'!J86+'นครพนม'!J86+'นครราชสีมา'!J86+'บึงกาฬ'!J86+'บุรีรัมย์'!J86+'มหาสารคาม'!J86+'มุกดาหาร'!J86+'ยโสธร'!J86+'ร้อยเอ็ด'!J86+'เลย'!J86+'ศรีสะเกษ'!J86+'สกลนคร'!J86+'สุรินทร์'!J86+'หนองคาย'!J86+'หนองบัวลำภู'!J86+'อำนาจเจริญ'!J86+'อุดรธานี'!J86+'อุบลราชธานี'!J86</f>
        <v>0</v>
      </c>
      <c r="K86" s="196">
        <f t="shared" si="45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'กาฬสินธุ์'!I87+'ขอนแก่น'!I87+'ชัยภูมิ'!I87+'นครพนม'!I87+'นครราชสีมา'!I87+'บึงกาฬ'!I87+'บุรีรัมย์'!I87+'มหาสารคาม'!I87+'มุกดาหาร'!I87+'ยโสธร'!I87+'ร้อยเอ็ด'!I87+'เลย'!I87+'ศรีสะเกษ'!I87+'สกลนคร'!I87+'สุรินทร์'!I87+'หนองคาย'!I87+'หนองบัวลำภู'!I87+'อำนาจเจริญ'!I87+'อุดรธานี'!I87+'อุบลราชธานี'!I87</f>
        <v>50</v>
      </c>
      <c r="J87" s="238">
        <f>'กาฬสินธุ์'!J87+'ขอนแก่น'!J87+'ชัยภูมิ'!J87+'นครพนม'!J87+'นครราชสีมา'!J87+'บึงกาฬ'!J87+'บุรีรัมย์'!J87+'มหาสารคาม'!J87+'มุกดาหาร'!J87+'ยโสธร'!J87+'ร้อยเอ็ด'!J87+'เลย'!J87+'ศรีสะเกษ'!J87+'สกลนคร'!J87+'สุรินทร์'!J87+'หนองคาย'!J87+'หนองบัวลำภู'!J87+'อำนาจเจริญ'!J87+'อุดรธานี'!J87+'อุบลราชธานี'!J87</f>
        <v>0</v>
      </c>
      <c r="K87" s="196">
        <f t="shared" si="45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'กาฬสินธุ์'!I88+'ขอนแก่น'!I88+'ชัยภูมิ'!I88+'นครพนม'!I88+'นครราชสีมา'!I88+'บึงกาฬ'!I88+'บุรีรัมย์'!I88+'มหาสารคาม'!I88+'มุกดาหาร'!I88+'ยโสธร'!I88+'ร้อยเอ็ด'!I88+'เลย'!I88+'ศรีสะเกษ'!I88+'สกลนคร'!I88+'สุรินทร์'!I88+'หนองคาย'!I88+'หนองบัวลำภู'!I88+'อำนาจเจริญ'!I88+'อุดรธานี'!I88+'อุบลราชธานี'!I88</f>
        <v>270</v>
      </c>
      <c r="J88" s="238">
        <f>'กาฬสินธุ์'!J88+'ขอนแก่น'!J88+'ชัยภูมิ'!J88+'นครพนม'!J88+'นครราชสีมา'!J88+'บึงกาฬ'!J88+'บุรีรัมย์'!J88+'มหาสารคาม'!J88+'มุกดาหาร'!J88+'ยโสธร'!J88+'ร้อยเอ็ด'!J88+'เลย'!J88+'ศรีสะเกษ'!J88+'สกลนคร'!J88+'สุรินทร์'!J88+'หนองคาย'!J88+'หนองบัวลำภู'!J88+'อำนาจเจริญ'!J88+'อุดรธานี'!J88+'อุบลราชธานี'!J88</f>
        <v>0</v>
      </c>
      <c r="K88" s="196">
        <f t="shared" si="45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'กาฬสินธุ์'!J89+'ขอนแก่น'!J89+'ชัยภูมิ'!J89+'นครพนม'!J89+'นครราชสีมา'!J89+'บึงกาฬ'!J89+'บุรีรัมย์'!J89+'มหาสารคาม'!J89+'มุกดาหาร'!J89+'ยโสธร'!J89+'ร้อยเอ็ด'!J89+'เลย'!J89+'ศรีสะเกษ'!J89+'สกลนคร'!J89+'สุรินทร์'!J89+'หนองคาย'!J89+'หนองบัวลำภู'!J89+'อำนาจเจริญ'!J89+'อุดรธานี'!J89+'อุบลราชธานี'!J89</f>
        <v>1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'กาฬสินธุ์'!J90+'ขอนแก่น'!J90+'ชัยภูมิ'!J90+'นครพนม'!J90+'นครราชสีมา'!J90+'บึงกาฬ'!J90+'บุรีรัมย์'!J90+'มหาสารคาม'!J90+'มุกดาหาร'!J90+'ยโสธร'!J90+'ร้อยเอ็ด'!J90+'เลย'!J90+'ศรีสะเกษ'!J90+'สกลนคร'!J90+'สุรินทร์'!J90+'หนองคาย'!J90+'หนองบัวลำภู'!J90+'อำนาจเจริญ'!J90+'อุดรธานี'!J90+'อุบลราชธานี'!J90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'กาฬสินธุ์'!I92+'ขอนแก่น'!I92+'ชัยภูมิ'!I92+'นครพนม'!I92+'นครราชสีมา'!I92+'บึงกาฬ'!I92+'บุรีรัมย์'!I92+'มหาสารคาม'!I92+'มุกดาหาร'!I92+'ยโสธร'!I92+'ร้อยเอ็ด'!I92+'เลย'!I92+'ศรีสะเกษ'!I92+'สกลนคร'!I92+'สุรินทร์'!I92+'หนองคาย'!I92+'หนองบัวลำภู'!I92+'อำนาจเจริญ'!I92+'อุดรธานี'!I92+'อุบลราชธานี'!I92</f>
        <v>49</v>
      </c>
      <c r="J92" s="172">
        <f>'กาฬสินธุ์'!J92+'ขอนแก่น'!J92+'ชัยภูมิ'!J92+'นครพนม'!J92+'นครราชสีมา'!J92+'บึงกาฬ'!J92+'บุรีรัมย์'!J92+'มหาสารคาม'!J92+'มุกดาหาร'!J92+'ยโสธร'!J92+'ร้อยเอ็ด'!J92+'เลย'!J92+'ศรีสะเกษ'!J92+'สกลนคร'!J92+'สุรินทร์'!J92+'หนองคาย'!J92+'หนองบัวลำภู'!J92+'อำนาจเจริญ'!J92+'อุดรธานี'!J92+'อุบลราชธานี'!J92</f>
        <v>8</v>
      </c>
      <c r="K92" s="173">
        <f t="shared" ref="K92:K93" si="46">IF(I92&gt;0,J92*100/I92,0)</f>
        <v>16.32653061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'กาฬสินธุ์'!I93+'ขอนแก่น'!I93+'ชัยภูมิ'!I93+'นครพนม'!I93+'นครราชสีมา'!I93+'บึงกาฬ'!I93+'บุรีรัมย์'!I93+'มหาสารคาม'!I93+'มุกดาหาร'!I93+'ยโสธร'!I93+'ร้อยเอ็ด'!I93+'เลย'!I93+'ศรีสะเกษ'!I93+'สกลนคร'!I93+'สุรินทร์'!I93+'หนองคาย'!I93+'หนองบัวลำภู'!I93+'อำนาจเจริญ'!I93+'อุดรธานี'!I93+'อุบลราชธานี'!I93</f>
        <v>13</v>
      </c>
      <c r="J93" s="172">
        <f>'กาฬสินธุ์'!J93+'ขอนแก่น'!J93+'ชัยภูมิ'!J93+'นครพนม'!J93+'นครราชสีมา'!J93+'บึงกาฬ'!J93+'บุรีรัมย์'!J93+'มหาสารคาม'!J93+'มุกดาหาร'!J93+'ยโสธร'!J93+'ร้อยเอ็ด'!J93+'เลย'!J93+'ศรีสะเกษ'!J93+'สกลนคร'!J93+'สุรินทร์'!J93+'หนองคาย'!J93+'หนองบัวลำภู'!J93+'อำนาจเจริญ'!J93+'อุดรธานี'!J93+'อุบลราชธานี'!J93</f>
        <v>6</v>
      </c>
      <c r="K93" s="173">
        <f t="shared" si="46"/>
        <v>46.15384615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>'กาฬสินธุ์'!L94+'ขอนแก่น'!L94+'ชัยภูมิ'!L94+'นครพนม'!L94+'นครราชสีมา'!L94+'บึงกาฬ'!L94+'บุรีรัมย์'!L94+'มหาสารคาม'!L94+'มุกดาหาร'!L94+'ยโสธร'!L94+'ร้อยเอ็ด'!L94+'เลย'!L94+'ศรีสะเกษ'!L94+'สกลนคร'!L94+'สุรินทร์'!L94+'หนองคาย'!L94+'หนองบัวลำภู'!L94+'อำนาจเจริญ'!L94+'อุดรธานี'!L94+'อุบลราชธานี'!L94</f>
        <v>2567080</v>
      </c>
      <c r="M94" s="183">
        <f>'กาฬสินธุ์'!M94+'ขอนแก่น'!M94+'ชัยภูมิ'!M94+'นครพนม'!M94+'นครราชสีมา'!M94+'บึงกาฬ'!M94+'บุรีรัมย์'!M94+'มหาสารคาม'!M94+'มุกดาหาร'!M94+'ยโสธร'!M94+'ร้อยเอ็ด'!M94+'เลย'!M94+'ศรีสะเกษ'!M94+'สกลนคร'!M94+'สุรินทร์'!M94+'หนองคาย'!M94+'หนองบัวลำภู'!M94+'อำนาจเจริญ'!M94+'อุดรธานี'!M94+'อุบลราชธานี'!M94</f>
        <v>777130</v>
      </c>
      <c r="N94" s="183">
        <f>'กาฬสินธุ์'!N94+'ขอนแก่น'!N94+'ชัยภูมิ'!N94+'นครพนม'!N94+'นครราชสีมา'!N94+'บึงกาฬ'!N94+'บุรีรัมย์'!N94+'มหาสารคาม'!N94+'มุกดาหาร'!N94+'ยโสธร'!N94+'ร้อยเอ็ด'!N94+'เลย'!N94+'ศรีสะเกษ'!N94+'สกลนคร'!N94+'สุรินทร์'!N94+'หนองคาย'!N94+'หนองบัวลำภู'!N94+'อำนาจเจริญ'!N94+'อุดรธานี'!N94+'อุบลราชธานี'!N94</f>
        <v>1368417</v>
      </c>
      <c r="O94" s="182">
        <f t="shared" ref="O94:O96" si="47">IF(L94&gt;0,N94*100/L94,0)</f>
        <v>53.30636365</v>
      </c>
      <c r="P94" s="182">
        <f t="shared" ref="P94:P96" si="48">IF(M94&gt;0,N94*100/M94,0)</f>
        <v>176.085983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>'กาฬสินธุ์'!L95+'ขอนแก่น'!L95+'ชัยภูมิ'!L95+'นครพนม'!L95+'นครราชสีมา'!L95+'บึงกาฬ'!L95+'บุรีรัมย์'!L95+'มหาสารคาม'!L95+'มุกดาหาร'!L95+'ยโสธร'!L95+'ร้อยเอ็ด'!L95+'เลย'!L95+'ศรีสะเกษ'!L95+'สกลนคร'!L95+'สุรินทร์'!L95+'หนองคาย'!L95+'หนองบัวลำภู'!L95+'อำนาจเจริญ'!L95+'อุดรธานี'!L95+'อุบลราชธานี'!L95</f>
        <v>0</v>
      </c>
      <c r="M95" s="188">
        <f>'กาฬสินธุ์'!M95+'ขอนแก่น'!M95+'ชัยภูมิ'!M95+'นครพนม'!M95+'นครราชสีมา'!M95+'บึงกาฬ'!M95+'บุรีรัมย์'!M95+'มหาสารคาม'!M95+'มุกดาหาร'!M95+'ยโสธร'!M95+'ร้อยเอ็ด'!M95+'เลย'!M95+'ศรีสะเกษ'!M95+'สกลนคร'!M95+'สุรินทร์'!M95+'หนองคาย'!M95+'หนองบัวลำภู'!M95+'อำนาจเจริญ'!M95+'อุดรธานี'!M95+'อุบลราชธานี'!M95</f>
        <v>0</v>
      </c>
      <c r="N95" s="188">
        <f>'กาฬสินธุ์'!N95+'ขอนแก่น'!N95+'ชัยภูมิ'!N95+'นครพนม'!N95+'นครราชสีมา'!N95+'บึงกาฬ'!N95+'บุรีรัมย์'!N95+'มหาสารคาม'!N95+'มุกดาหาร'!N95+'ยโสธร'!N95+'ร้อยเอ็ด'!N95+'เลย'!N95+'ศรีสะเกษ'!N95+'สกลนคร'!N95+'สุรินทร์'!N95+'หนองคาย'!N95+'หนองบัวลำภู'!N95+'อำนาจเจริญ'!N95+'อุดรธานี'!N95+'อุบลราชธานี'!N95</f>
        <v>0</v>
      </c>
      <c r="O95" s="187">
        <f t="shared" si="47"/>
        <v>0</v>
      </c>
      <c r="P95" s="187">
        <f t="shared" si="48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>'กาฬสินธุ์'!L96+'ขอนแก่น'!L96+'ชัยภูมิ'!L96+'นครพนม'!L96+'นครราชสีมา'!L96+'บึงกาฬ'!L96+'บุรีรัมย์'!L96+'มหาสารคาม'!L96+'มุกดาหาร'!L96+'ยโสธร'!L96+'ร้อยเอ็ด'!L96+'เลย'!L96+'ศรีสะเกษ'!L96+'สกลนคร'!L96+'สุรินทร์'!L96+'หนองคาย'!L96+'หนองบัวลำภู'!L96+'อำนาจเจริญ'!L96+'อุดรธานี'!L96+'อุบลราชธานี'!L96</f>
        <v>2567080</v>
      </c>
      <c r="M96" s="188">
        <f>'กาฬสินธุ์'!M96+'ขอนแก่น'!M96+'ชัยภูมิ'!M96+'นครพนม'!M96+'นครราชสีมา'!M96+'บึงกาฬ'!M96+'บุรีรัมย์'!M96+'มหาสารคาม'!M96+'มุกดาหาร'!M96+'ยโสธร'!M96+'ร้อยเอ็ด'!M96+'เลย'!M96+'ศรีสะเกษ'!M96+'สกลนคร'!M96+'สุรินทร์'!M96+'หนองคาย'!M96+'หนองบัวลำภู'!M96+'อำนาจเจริญ'!M96+'อุดรธานี'!M96+'อุบลราชธานี'!M96</f>
        <v>777130</v>
      </c>
      <c r="N96" s="188">
        <f>'กาฬสินธุ์'!N96+'ขอนแก่น'!N96+'ชัยภูมิ'!N96+'นครพนม'!N96+'นครราชสีมา'!N96+'บึงกาฬ'!N96+'บุรีรัมย์'!N96+'มหาสารคาม'!N96+'มุกดาหาร'!N96+'ยโสธร'!N96+'ร้อยเอ็ด'!N96+'เลย'!N96+'ศรีสะเกษ'!N96+'สกลนคร'!N96+'สุรินทร์'!N96+'หนองคาย'!N96+'หนองบัวลำภู'!N96+'อำนาจเจริญ'!N96+'อุดรธานี'!N96+'อุบลราชธานี'!N96</f>
        <v>1368417</v>
      </c>
      <c r="O96" s="187">
        <f t="shared" si="47"/>
        <v>53.30636365</v>
      </c>
      <c r="P96" s="187">
        <f t="shared" si="48"/>
        <v>176.085983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f>'กาฬสินธุ์'!L97+'ขอนแก่น'!L97+'ชัยภูมิ'!L97+'นครพนม'!L97+'นครราชสีมา'!L97+'บึงกาฬ'!L97+'บุรีรัมย์'!L97+'มหาสารคาม'!L97+'มุกดาหาร'!L97+'ยโสธร'!L97+'ร้อยเอ็ด'!L97+'เลย'!L97+'ศรีสะเกษ'!L97+'สกลนคร'!L97+'สุรินทร์'!L97+'หนองคาย'!L97+'หนองบัวลำภู'!L97+'อำนาจเจริญ'!L97+'อุดรธานี'!L97+'อุบลราชธานี'!L97</f>
        <v>0</v>
      </c>
      <c r="M97" s="197">
        <f>'กาฬสินธุ์'!M97+'ขอนแก่น'!M97+'ชัยภูมิ'!M97+'นครพนม'!M97+'นครราชสีมา'!M97+'บึงกาฬ'!M97+'บุรีรัมย์'!M97+'มหาสารคาม'!M97+'มุกดาหาร'!M97+'ยโสธร'!M97+'ร้อยเอ็ด'!M97+'เลย'!M97+'ศรีสะเกษ'!M97+'สกลนคร'!M97+'สุรินทร์'!M97+'หนองคาย'!M97+'หนองบัวลำภู'!M97+'อำนาจเจริญ'!M97+'อุดรธานี'!M97+'อุบลราชธานี'!M97</f>
        <v>0</v>
      </c>
      <c r="N97" s="197">
        <f>'กาฬสินธุ์'!N97+'ขอนแก่น'!N97+'ชัยภูมิ'!N97+'นครพนม'!N97+'นครราชสีมา'!N97+'บึงกาฬ'!N97+'บุรีรัมย์'!N97+'มหาสารคาม'!N97+'มุกดาหาร'!N97+'ยโสธร'!N97+'ร้อยเอ็ด'!N97+'เลย'!N97+'ศรีสะเกษ'!N97+'สกลนคร'!N97+'สุรินทร์'!N97+'หนองคาย'!N97+'หนองบัวลำภู'!N97+'อำนาจเจริญ'!N97+'อุดรธานี'!N97+'อุบลราชธานี'!N97</f>
        <v>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'กาฬสินธุ์'!L98+'ขอนแก่น'!L98+'ชัยภูมิ'!L98+'นครพนม'!L98+'นครราชสีมา'!L98+'บึงกาฬ'!L98+'บุรีรัมย์'!L98+'มหาสารคาม'!L98+'มุกดาหาร'!L98+'ยโสธร'!L98+'ร้อยเอ็ด'!L98+'เลย'!L98+'ศรีสะเกษ'!L98+'สกลนคร'!L98+'สุรินทร์'!L98+'หนองคาย'!L98+'หนองบัวลำภู'!L98+'อำนาจเจริญ'!L98+'อุดรธานี'!L98+'อุบลราชธานี'!L98</f>
        <v>1365880</v>
      </c>
      <c r="M98" s="201">
        <f>'กาฬสินธุ์'!M98+'ขอนแก่น'!M98+'ชัยภูมิ'!M98+'นครพนม'!M98+'นครราชสีมา'!M98+'บึงกาฬ'!M98+'บุรีรัมย์'!M98+'มหาสารคาม'!M98+'มุกดาหาร'!M98+'ยโสธร'!M98+'ร้อยเอ็ด'!M98+'เลย'!M98+'ศรีสะเกษ'!M98+'สกลนคร'!M98+'สุรินทร์'!M98+'หนองคาย'!M98+'หนองบัวลำภู'!M98+'อำนาจเจริญ'!M98+'อุดรธานี'!M98+'อุบลราชธานี'!M98</f>
        <v>777130</v>
      </c>
      <c r="N98" s="202">
        <f>'กาฬสินธุ์'!N98+'ขอนแก่น'!N98+'ชัยภูมิ'!N98+'นครพนม'!N98+'นครราชสีมา'!N98+'บึงกาฬ'!N98+'บุรีรัมย์'!N98+'มหาสารคาม'!N98+'มุกดาหาร'!N98+'ยโสธร'!N98+'ร้อยเอ็ด'!N98+'เลย'!N98+'ศรีสะเกษ'!N98+'สกลนคร'!N98+'สุรินทร์'!N98+'หนองคาย'!N98+'หนองบัวลำภู'!N98+'อำนาจเจริญ'!N98+'อุดรธานี'!N98+'อุบลราชธานี'!N98</f>
        <v>260817</v>
      </c>
      <c r="O98" s="203">
        <f>IF(L98&gt;0,N98*100/L98,0)</f>
        <v>19.09516209</v>
      </c>
      <c r="P98" s="203">
        <f>IF(M98&gt;0,N98*100/M98,0)</f>
        <v>33.56156628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'กาฬสินธุ์'!L99+'ขอนแก่น'!L99+'ชัยภูมิ'!L99+'นครพนม'!L99+'นครราชสีมา'!L99+'บึงกาฬ'!L99+'บุรีรัมย์'!L99+'มหาสารคาม'!L99+'มุกดาหาร'!L99+'ยโสธร'!L99+'ร้อยเอ็ด'!L99+'เลย'!L99+'ศรีสะเกษ'!L99+'สกลนคร'!L99+'สุรินทร์'!L99+'หนองคาย'!L99+'หนองบัวลำภู'!L99+'อำนาจเจริญ'!L99+'อุดรธานี'!L99+'อุบลราชธานี'!L99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'กาฬสินธุ์'!L100+'ขอนแก่น'!L100+'ชัยภูมิ'!L100+'นครพนม'!L100+'นครราชสีมา'!L100+'บึงกาฬ'!L100+'บุรีรัมย์'!L100+'มหาสารคาม'!L100+'มุกดาหาร'!L100+'ยโสธร'!L100+'ร้อยเอ็ด'!L100+'เลย'!L100+'ศรีสะเกษ'!L100+'สกลนคร'!L100+'สุรินทร์'!L100+'หนองคาย'!L100+'หนองบัวลำภู'!L100+'อำนาจเจริญ'!L100+'อุดรธานี'!L100+'อุบลราชธานี'!L100</f>
        <v>1365880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f>'กาฬสินธุ์'!L101+'ขอนแก่น'!L101+'ชัยภูมิ'!L101+'นครพนม'!L101+'นครราชสีมา'!L101+'บึงกาฬ'!L101+'บุรีรัมย์'!L101+'มหาสารคาม'!L101+'มุกดาหาร'!L101+'ยโสธร'!L101+'ร้อยเอ็ด'!L101+'เลย'!L101+'ศรีสะเกษ'!L101+'สกลนคร'!L101+'สุรินทร์'!L101+'หนองคาย'!L101+'หนองบัวลำภู'!L101+'อำนาจเจริญ'!L101+'อุดรธานี'!L101+'อุบลราชธานี'!L101</f>
        <v>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'กาฬสินธุ์'!L102+'ขอนแก่น'!L102+'ชัยภูมิ'!L102+'นครพนม'!L102+'นครราชสีมา'!L102+'บึงกาฬ'!L102+'บุรีรัมย์'!L102+'มหาสารคาม'!L102+'มุกดาหาร'!L102+'ยโสธร'!L102+'ร้อยเอ็ด'!L102+'เลย'!L102+'ศรีสะเกษ'!L102+'สกลนคร'!L102+'สุรินทร์'!L102+'หนองคาย'!L102+'หนองบัวลำภู'!L102+'อำนาจเจริญ'!L102+'อุดรธานี'!L102+'อุบลราชธานี'!L102</f>
        <v>1201200</v>
      </c>
      <c r="M102" s="125"/>
      <c r="N102" s="115">
        <f>'กาฬสินธุ์'!N102+'ขอนแก่น'!N102+'ชัยภูมิ'!N102+'นครพนม'!N102+'นครราชสีมา'!N102+'บึงกาฬ'!N102+'บุรีรัมย์'!N102+'มหาสารคาม'!N102+'มุกดาหาร'!N102+'ยโสธร'!N102+'ร้อยเอ็ด'!N102+'เลย'!N102+'ศรีสะเกษ'!N102+'สกลนคร'!N102+'สุรินทร์'!N102+'หนองคาย'!N102+'หนองบัวลำภู'!N102+'อำนาจเจริญ'!N102+'อุดรธานี'!N102+'อุบลราชธานี'!N102</f>
        <v>1107600</v>
      </c>
      <c r="O102" s="125">
        <f>IF(L102&gt;0,N102*100/L102,0)</f>
        <v>92.20779221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'กาฬสินธุ์'!J104+'ขอนแก่น'!J104+'ชัยภูมิ'!J104+'นครพนม'!J104+'นครราชสีมา'!J104+'บึงกาฬ'!J104+'บุรีรัมย์'!J104+'มหาสารคาม'!J104+'มุกดาหาร'!J104+'ยโสธร'!J104+'ร้อยเอ็ด'!J104+'เลย'!J104+'ศรีสะเกษ'!J104+'สกลนคร'!J104+'สุรินทร์'!J104+'หนองคาย'!J104+'หนองบัวลำภู'!J104+'อำนาจเจริญ'!J104+'อุดรธานี'!J104+'อุบลราชธานี'!J104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'กาฬสินธุ์'!J105+'ขอนแก่น'!J105+'ชัยภูมิ'!J105+'นครพนม'!J105+'นครราชสีมา'!J105+'บึงกาฬ'!J105+'บุรีรัมย์'!J105+'มหาสารคาม'!J105+'มุกดาหาร'!J105+'ยโสธร'!J105+'ร้อยเอ็ด'!J105+'เลย'!J105+'ศรีสะเกษ'!J105+'สกลนคร'!J105+'สุรินทร์'!J105+'หนองคาย'!J105+'หนองบัวลำภู'!J105+'อำนาจเจริญ'!J105+'อุดรธานี'!J105+'อุบลราชธานี'!J105</f>
        <v>10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'กาฬสินธุ์'!J106+'ขอนแก่น'!J106+'ชัยภูมิ'!J106+'นครพนม'!J106+'นครราชสีมา'!J106+'บึงกาฬ'!J106+'บุรีรัมย์'!J106+'มหาสารคาม'!J106+'มุกดาหาร'!J106+'ยโสธร'!J106+'ร้อยเอ็ด'!J106+'เลย'!J106+'ศรีสะเกษ'!J106+'สกลนคร'!J106+'สุรินทร์'!J106+'หนองคาย'!J106+'หนองบัวลำภู'!J106+'อำนาจเจริญ'!J106+'อุดรธานี'!J106+'อุบลราชธานี'!J106</f>
        <v>7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'กาฬสินธุ์'!J107+'ขอนแก่น'!J107+'ชัยภูมิ'!J107+'นครพนม'!J107+'นครราชสีมา'!J107+'บึงกาฬ'!J107+'บุรีรัมย์'!J107+'มหาสารคาม'!J107+'มุกดาหาร'!J107+'ยโสธร'!J107+'ร้อยเอ็ด'!J107+'เลย'!J107+'ศรีสะเกษ'!J107+'สกลนคร'!J107+'สุรินทร์'!J107+'หนองคาย'!J107+'หนองบัวลำภู'!J107+'อำนาจเจริญ'!J107+'อุดรธานี'!J107+'อุบลราชธานี'!J107</f>
        <v>6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'กาฬสินธุ์'!I108+'ขอนแก่น'!I108+'ชัยภูมิ'!I108+'นครพนม'!I108+'นครราชสีมา'!I108+'บึงกาฬ'!I108+'บุรีรัมย์'!I108+'มหาสารคาม'!I108+'มุกดาหาร'!I108+'ยโสธร'!I108+'ร้อยเอ็ด'!I108+'เลย'!I108+'ศรีสะเกษ'!I108+'สกลนคร'!I108+'สุรินทร์'!I108+'หนองคาย'!I108+'หนองบัวลำภู'!I108+'อำนาจเจริญ'!I108+'อุดรธานี'!I108+'อุบลราชธานี'!I108</f>
        <v>11</v>
      </c>
      <c r="J108" s="238">
        <f>'กาฬสินธุ์'!J108+'ขอนแก่น'!J108+'ชัยภูมิ'!J108+'นครพนม'!J108+'นครราชสีมา'!J108+'บึงกาฬ'!J108+'บุรีรัมย์'!J108+'มหาสารคาม'!J108+'มุกดาหาร'!J108+'ยโสธร'!J108+'ร้อยเอ็ด'!J108+'เลย'!J108+'ศรีสะเกษ'!J108+'สกลนคร'!J108+'สุรินทร์'!J108+'หนองคาย'!J108+'หนองบัวลำภู'!J108+'อำนาจเจริญ'!J108+'อุดรธานี'!J108+'อุบลราชธานี'!J108</f>
        <v>4</v>
      </c>
      <c r="K108" s="258">
        <f t="shared" ref="K108:K111" si="49">IF(I108&gt;0,J108*100/I108,0)</f>
        <v>36.36363636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'กาฬสินธุ์'!I109+'ขอนแก่น'!I109+'ชัยภูมิ'!I109+'นครพนม'!I109+'นครราชสีมา'!I109+'บึงกาฬ'!I109+'บุรีรัมย์'!I109+'มหาสารคาม'!I109+'มุกดาหาร'!I109+'ยโสธร'!I109+'ร้อยเอ็ด'!I109+'เลย'!I109+'ศรีสะเกษ'!I109+'สกลนคร'!I109+'สุรินทร์'!I109+'หนองคาย'!I109+'หนองบัวลำภู'!I109+'อำนาจเจริญ'!I109+'อุดรธานี'!I109+'อุบลราชธานี'!I109</f>
        <v>49</v>
      </c>
      <c r="J109" s="238">
        <f>'กาฬสินธุ์'!J109+'ขอนแก่น'!J109+'ชัยภูมิ'!J109+'นครพนม'!J109+'นครราชสีมา'!J109+'บึงกาฬ'!J109+'บุรีรัมย์'!J109+'มหาสารคาม'!J109+'มุกดาหาร'!J109+'ยโสธร'!J109+'ร้อยเอ็ด'!J109+'เลย'!J109+'ศรีสะเกษ'!J109+'สกลนคร'!J109+'สุรินทร์'!J109+'หนองคาย'!J109+'หนองบัวลำภู'!J109+'อำนาจเจริญ'!J109+'อุดรธานี'!J109+'อุบลราชธานี'!J109</f>
        <v>8</v>
      </c>
      <c r="K109" s="258">
        <f t="shared" si="49"/>
        <v>16.32653061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'กาฬสินธุ์'!I110+'ขอนแก่น'!I110+'ชัยภูมิ'!I110+'นครพนม'!I110+'นครราชสีมา'!I110+'บึงกาฬ'!I110+'บุรีรัมย์'!I110+'มหาสารคาม'!I110+'มุกดาหาร'!I110+'ยโสธร'!I110+'ร้อยเอ็ด'!I110+'เลย'!I110+'ศรีสะเกษ'!I110+'สกลนคร'!I110+'สุรินทร์'!I110+'หนองคาย'!I110+'หนองบัวลำภู'!I110+'อำนาจเจริญ'!I110+'อุดรธานี'!I110+'อุบลราชธานี'!I110</f>
        <v>49</v>
      </c>
      <c r="J110" s="238">
        <f>'กาฬสินธุ์'!J110+'ขอนแก่น'!J110+'ชัยภูมิ'!J110+'นครพนม'!J110+'นครราชสีมา'!J110+'บึงกาฬ'!J110+'บุรีรัมย์'!J110+'มหาสารคาม'!J110+'มุกดาหาร'!J110+'ยโสธร'!J110+'ร้อยเอ็ด'!J110+'เลย'!J110+'ศรีสะเกษ'!J110+'สกลนคร'!J110+'สุรินทร์'!J110+'หนองคาย'!J110+'หนองบัวลำภู'!J110+'อำนาจเจริญ'!J110+'อุดรธานี'!J110+'อุบลราชธานี'!J110</f>
        <v>42</v>
      </c>
      <c r="K110" s="258">
        <f t="shared" si="49"/>
        <v>85.71428571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'กาฬสินธุ์'!I111+'ขอนแก่น'!I111+'ชัยภูมิ'!I111+'นครพนม'!I111+'นครราชสีมา'!I111+'บึงกาฬ'!I111+'บุรีรัมย์'!I111+'มหาสารคาม'!I111+'มุกดาหาร'!I111+'ยโสธร'!I111+'ร้อยเอ็ด'!I111+'เลย'!I111+'ศรีสะเกษ'!I111+'สกลนคร'!I111+'สุรินทร์'!I111+'หนองคาย'!I111+'หนองบัวลำภู'!I111+'อำนาจเจริญ'!I111+'อุดรธานี'!I111+'อุบลราชธานี'!I111</f>
        <v>49</v>
      </c>
      <c r="J111" s="238">
        <f>'กาฬสินธุ์'!J111+'ขอนแก่น'!J111+'ชัยภูมิ'!J111+'นครพนม'!J111+'นครราชสีมา'!J111+'บึงกาฬ'!J111+'บุรีรัมย์'!J111+'มหาสารคาม'!J111+'มุกดาหาร'!J111+'ยโสธร'!J111+'ร้อยเอ็ด'!J111+'เลย'!J111+'ศรีสะเกษ'!J111+'สกลนคร'!J111+'สุรินทร์'!J111+'หนองคาย'!J111+'หนองบัวลำภู'!J111+'อำนาจเจริญ'!J111+'อุดรธานี'!J111+'อุบลราชธานี'!J111</f>
        <v>16</v>
      </c>
      <c r="K111" s="258">
        <f t="shared" si="49"/>
        <v>32.65306122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'กาฬสินธุ์'!I112+'ขอนแก่น'!I112+'ชัยภูมิ'!I112+'นครพนม'!I112+'นครราชสีมา'!I112+'บึงกาฬ'!I112+'บุรีรัมย์'!I112+'มหาสารคาม'!I112+'มุกดาหาร'!I112+'ยโสธร'!I112+'ร้อยเอ็ด'!I112+'เลย'!I112+'ศรีสะเกษ'!I112+'สกลนคร'!I112+'สุรินทร์'!I112+'หนองคาย'!I112+'หนองบัวลำภู'!I112+'อำนาจเจริญ'!I112+'อุดรธานี'!I112+'อุบลราชธานี'!I112</f>
        <v>49</v>
      </c>
      <c r="J112" s="238">
        <f>'กาฬสินธุ์'!J112+'ขอนแก่น'!J112+'ชัยภูมิ'!J112+'นครพนม'!J112+'นครราชสีมา'!J112+'บึงกาฬ'!J112+'บุรีรัมย์'!J112+'มหาสารคาม'!J112+'มุกดาหาร'!J112+'ยโสธร'!J112+'ร้อยเอ็ด'!J112+'เลย'!J112+'ศรีสะเกษ'!J112+'สกลนคร'!J112+'สุรินทร์'!J112+'หนองคาย'!J112+'หนองบัวลำภู'!J112+'อำนาจเจริญ'!J112+'อุดรธานี'!J112+'อุบลราชธานี'!J112</f>
        <v>0</v>
      </c>
      <c r="K112" s="258">
        <f>IF(I112&gt;0,J112*100/I112,0)</f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'กาฬสินธุ์'!I113+'ขอนแก่น'!I113+'ชัยภูมิ'!I113+'นครพนม'!I113+'นครราชสีมา'!I113+'บึงกาฬ'!I113+'บุรีรัมย์'!I113+'มหาสารคาม'!I113+'มุกดาหาร'!I113+'ยโสธร'!I113+'ร้อยเอ็ด'!I113+'เลย'!I113+'ศรีสะเกษ'!I113+'สกลนคร'!I113+'สุรินทร์'!I113+'หนองคาย'!I113+'หนองบัวลำภู'!I113+'อำนาจเจริญ'!I113+'อุดรธานี'!I113+'อุบลราชธานี'!I113</f>
        <v>13</v>
      </c>
      <c r="J113" s="238">
        <f>'กาฬสินธุ์'!J113+'ขอนแก่น'!J113+'ชัยภูมิ'!J113+'นครพนม'!J113+'นครราชสีมา'!J113+'บึงกาฬ'!J113+'บุรีรัมย์'!J113+'มหาสารคาม'!J113+'มุกดาหาร'!J113+'ยโสธร'!J113+'ร้อยเอ็ด'!J113+'เลย'!J113+'ศรีสะเกษ'!J113+'สกลนคร'!J113+'สุรินทร์'!J113+'หนองคาย'!J113+'หนองบัวลำภู'!J113+'อำนาจเจริญ'!J113+'อุดรธานี'!J113+'อุบลราชธานี'!J113</f>
        <v>6</v>
      </c>
      <c r="K113" s="258">
        <f>IF(I113&gt;0,J113*100/I113,0)</f>
        <v>46.15384615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'กาฬสินธุ์'!J114+'ขอนแก่น'!J114+'ชัยภูมิ'!J114+'นครพนม'!J114+'นครราชสีมา'!J114+'บึงกาฬ'!J114+'บุรีรัมย์'!J114+'มหาสารคาม'!J114+'มุกดาหาร'!J114+'ยโสธร'!J114+'ร้อยเอ็ด'!J114+'เลย'!J114+'ศรีสะเกษ'!J114+'สกลนคร'!J114+'สุรินทร์'!J114+'หนองคาย'!J114+'หนองบัวลำภู'!J114+'อำนาจเจริญ'!J114+'อุดรธานี'!J114+'อุบลราชธานี'!J114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'กาฬสินธุ์'!J115+'ขอนแก่น'!J115+'ชัยภูมิ'!J115+'นครพนม'!J115+'นครราชสีมา'!J115+'บึงกาฬ'!J115+'บุรีรัมย์'!J115+'มหาสารคาม'!J115+'มุกดาหาร'!J115+'ยโสธร'!J115+'ร้อยเอ็ด'!J115+'เลย'!J115+'ศรีสะเกษ'!J115+'สกลนคร'!J115+'สุรินทร์'!J115+'หนองคาย'!J115+'หนองบัวลำภู'!J115+'อำนาจเจริญ'!J115+'อุดรธานี'!J115+'อุบลราชธานี'!J115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'กาฬสินธุ์'!I117+'ขอนแก่น'!I117+'ชัยภูมิ'!I117+'นครพนม'!I117+'นครราชสีมา'!I117+'บึงกาฬ'!I117+'บุรีรัมย์'!I117+'มหาสารคาม'!I117+'มุกดาหาร'!I117+'ยโสธร'!I117+'ร้อยเอ็ด'!I117+'เลย'!I117+'ศรีสะเกษ'!I117+'สกลนคร'!I117+'สุรินทร์'!I117+'หนองคาย'!I117+'หนองบัวลำภู'!I117+'อำนาจเจริญ'!I117+'อุดรธานี'!I117+'อุบลราชธานี'!I117</f>
        <v>120</v>
      </c>
      <c r="J117" s="172">
        <f>'กาฬสินธุ์'!J117+'ขอนแก่น'!J117+'ชัยภูมิ'!J117+'นครพนม'!J117+'นครราชสีมา'!J117+'บึงกาฬ'!J117+'บุรีรัมย์'!J117+'มหาสารคาม'!J117+'มุกดาหาร'!J117+'ยโสธร'!J117+'ร้อยเอ็ด'!J117+'เลย'!J117+'ศรีสะเกษ'!J117+'สกลนคร'!J117+'สุรินทร์'!J117+'หนองคาย'!J117+'หนองบัวลำภู'!J117+'อำนาจเจริญ'!J117+'อุดรธานี'!J117+'อุบลราชธานี'!J117</f>
        <v>81</v>
      </c>
      <c r="K117" s="173">
        <f>IF(I117&gt;0,J117*100/I117,0)</f>
        <v>67.5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>'กาฬสินธุ์'!L118+'ขอนแก่น'!L118+'ชัยภูมิ'!L118+'นครพนม'!L118+'นครราชสีมา'!L118+'บึงกาฬ'!L118+'บุรีรัมย์'!L118+'มหาสารคาม'!L118+'มุกดาหาร'!L118+'ยโสธร'!L118+'ร้อยเอ็ด'!L118+'เลย'!L118+'ศรีสะเกษ'!L118+'สกลนคร'!L118+'สุรินทร์'!L118+'หนองคาย'!L118+'หนองบัวลำภู'!L118+'อำนาจเจริญ'!L118+'อุดรธานี'!L118+'อุบลราชธานี'!L118</f>
        <v>494640</v>
      </c>
      <c r="M118" s="183">
        <f>'กาฬสินธุ์'!M118+'ขอนแก่น'!M118+'ชัยภูมิ'!M118+'นครพนม'!M118+'นครราชสีมา'!M118+'บึงกาฬ'!M118+'บุรีรัมย์'!M118+'มหาสารคาม'!M118+'มุกดาหาร'!M118+'ยโสธร'!M118+'ร้อยเอ็ด'!M118+'เลย'!M118+'ศรีสะเกษ'!M118+'สกลนคร'!M118+'สุรินทร์'!M118+'หนองคาย'!M118+'หนองบัวลำภู'!M118+'อำนาจเจริญ'!M118+'อุดรธานี'!M118+'อุบลราชธานี'!M118</f>
        <v>398640</v>
      </c>
      <c r="N118" s="183">
        <f>'กาฬสินธุ์'!N118+'ขอนแก่น'!N118+'ชัยภูมิ'!N118+'นครพนม'!N118+'นครราชสีมา'!N118+'บึงกาฬ'!N118+'บุรีรัมย์'!N118+'มหาสารคาม'!N118+'มุกดาหาร'!N118+'ยโสธร'!N118+'ร้อยเอ็ด'!N118+'เลย'!N118+'ศรีสะเกษ'!N118+'สกลนคร'!N118+'สุรินทร์'!N118+'หนองคาย'!N118+'หนองบัวลำภู'!N118+'อำนาจเจริญ'!N118+'อุดรธานี'!N118+'อุบลราชธานี'!N118</f>
        <v>140693</v>
      </c>
      <c r="O118" s="182">
        <f t="shared" ref="O118:O120" si="50">IF(L118&gt;0,N118*100/L118,0)</f>
        <v>28.44351448</v>
      </c>
      <c r="P118" s="182">
        <f t="shared" ref="P118:P120" si="51">IF(M118&gt;0,N118*100/M118,0)</f>
        <v>35.29324704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>'กาฬสินธุ์'!L119+'ขอนแก่น'!L119+'ชัยภูมิ'!L119+'นครพนม'!L119+'นครราชสีมา'!L119+'บึงกาฬ'!L119+'บุรีรัมย์'!L119+'มหาสารคาม'!L119+'มุกดาหาร'!L119+'ยโสธร'!L119+'ร้อยเอ็ด'!L119+'เลย'!L119+'ศรีสะเกษ'!L119+'สกลนคร'!L119+'สุรินทร์'!L119+'หนองคาย'!L119+'หนองบัวลำภู'!L119+'อำนาจเจริญ'!L119+'อุดรธานี'!L119+'อุบลราชธานี'!L119</f>
        <v>0</v>
      </c>
      <c r="M119" s="188">
        <f>'กาฬสินธุ์'!M119+'ขอนแก่น'!M119+'ชัยภูมิ'!M119+'นครพนม'!M119+'นครราชสีมา'!M119+'บึงกาฬ'!M119+'บุรีรัมย์'!M119+'มหาสารคาม'!M119+'มุกดาหาร'!M119+'ยโสธร'!M119+'ร้อยเอ็ด'!M119+'เลย'!M119+'ศรีสะเกษ'!M119+'สกลนคร'!M119+'สุรินทร์'!M119+'หนองคาย'!M119+'หนองบัวลำภู'!M119+'อำนาจเจริญ'!M119+'อุดรธานี'!M119+'อุบลราชธานี'!M119</f>
        <v>0</v>
      </c>
      <c r="N119" s="188">
        <f>'กาฬสินธุ์'!N119+'ขอนแก่น'!N119+'ชัยภูมิ'!N119+'นครพนม'!N119+'นครราชสีมา'!N119+'บึงกาฬ'!N119+'บุรีรัมย์'!N119+'มหาสารคาม'!N119+'มุกดาหาร'!N119+'ยโสธร'!N119+'ร้อยเอ็ด'!N119+'เลย'!N119+'ศรีสะเกษ'!N119+'สกลนคร'!N119+'สุรินทร์'!N119+'หนองคาย'!N119+'หนองบัวลำภู'!N119+'อำนาจเจริญ'!N119+'อุดรธานี'!N119+'อุบลราชธานี'!N119</f>
        <v>0</v>
      </c>
      <c r="O119" s="187">
        <f t="shared" si="50"/>
        <v>0</v>
      </c>
      <c r="P119" s="187">
        <f t="shared" si="51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>'กาฬสินธุ์'!L120+'ขอนแก่น'!L120+'ชัยภูมิ'!L120+'นครพนม'!L120+'นครราชสีมา'!L120+'บึงกาฬ'!L120+'บุรีรัมย์'!L120+'มหาสารคาม'!L120+'มุกดาหาร'!L120+'ยโสธร'!L120+'ร้อยเอ็ด'!L120+'เลย'!L120+'ศรีสะเกษ'!L120+'สกลนคร'!L120+'สุรินทร์'!L120+'หนองคาย'!L120+'หนองบัวลำภู'!L120+'อำนาจเจริญ'!L120+'อุดรธานี'!L120+'อุบลราชธานี'!L120</f>
        <v>494640</v>
      </c>
      <c r="M120" s="188">
        <f>'กาฬสินธุ์'!M120+'ขอนแก่น'!M120+'ชัยภูมิ'!M120+'นครพนม'!M120+'นครราชสีมา'!M120+'บึงกาฬ'!M120+'บุรีรัมย์'!M120+'มหาสารคาม'!M120+'มุกดาหาร'!M120+'ยโสธร'!M120+'ร้อยเอ็ด'!M120+'เลย'!M120+'ศรีสะเกษ'!M120+'สกลนคร'!M120+'สุรินทร์'!M120+'หนองคาย'!M120+'หนองบัวลำภู'!M120+'อำนาจเจริญ'!M120+'อุดรธานี'!M120+'อุบลราชธานี'!M120</f>
        <v>398640</v>
      </c>
      <c r="N120" s="188">
        <f>'กาฬสินธุ์'!N120+'ขอนแก่น'!N120+'ชัยภูมิ'!N120+'นครพนม'!N120+'นครราชสีมา'!N120+'บึงกาฬ'!N120+'บุรีรัมย์'!N120+'มหาสารคาม'!N120+'มุกดาหาร'!N120+'ยโสธร'!N120+'ร้อยเอ็ด'!N120+'เลย'!N120+'ศรีสะเกษ'!N120+'สกลนคร'!N120+'สุรินทร์'!N120+'หนองคาย'!N120+'หนองบัวลำภู'!N120+'อำนาจเจริญ'!N120+'อุดรธานี'!N120+'อุบลราชธานี'!N120</f>
        <v>140693</v>
      </c>
      <c r="O120" s="187">
        <f t="shared" si="50"/>
        <v>28.44351448</v>
      </c>
      <c r="P120" s="187">
        <f t="shared" si="51"/>
        <v>35.29324704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f>'กาฬสินธุ์'!L121+'ขอนแก่น'!L121+'ชัยภูมิ'!L121+'นครพนม'!L121+'นครราชสีมา'!L121+'บึงกาฬ'!L121+'บุรีรัมย์'!L121+'มหาสารคาม'!L121+'มุกดาหาร'!L121+'ยโสธร'!L121+'ร้อยเอ็ด'!L121+'เลย'!L121+'ศรีสะเกษ'!L121+'สกลนคร'!L121+'สุรินทร์'!L121+'หนองคาย'!L121+'หนองบัวลำภู'!L121+'อำนาจเจริญ'!L121+'อุดรธานี'!L121+'อุบลราชธานี'!L121</f>
        <v>0</v>
      </c>
      <c r="M121" s="197">
        <f>'กาฬสินธุ์'!M121+'ขอนแก่น'!M121+'ชัยภูมิ'!M121+'นครพนม'!M121+'นครราชสีมา'!M121+'บึงกาฬ'!M121+'บุรีรัมย์'!M121+'มหาสารคาม'!M121+'มุกดาหาร'!M121+'ยโสธร'!M121+'ร้อยเอ็ด'!M121+'เลย'!M121+'ศรีสะเกษ'!M121+'สกลนคร'!M121+'สุรินทร์'!M121+'หนองคาย'!M121+'หนองบัวลำภู'!M121+'อำนาจเจริญ'!M121+'อุดรธานี'!M121+'อุบลราชธานี'!M121</f>
        <v>0</v>
      </c>
      <c r="N121" s="197">
        <f>'กาฬสินธุ์'!N121+'ขอนแก่น'!N121+'ชัยภูมิ'!N121+'นครพนม'!N121+'นครราชสีมา'!N121+'บึงกาฬ'!N121+'บุรีรัมย์'!N121+'มหาสารคาม'!N121+'มุกดาหาร'!N121+'ยโสธร'!N121+'ร้อยเอ็ด'!N121+'เลย'!N121+'ศรีสะเกษ'!N121+'สกลนคร'!N121+'สุรินทร์'!N121+'หนองคาย'!N121+'หนองบัวลำภู'!N121+'อำนาจเจริญ'!N121+'อุดรธานี'!N121+'อุบลราชธานี'!N121</f>
        <v>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'กาฬสินธุ์'!L122+'ขอนแก่น'!L122+'ชัยภูมิ'!L122+'นครพนม'!L122+'นครราชสีมา'!L122+'บึงกาฬ'!L122+'บุรีรัมย์'!L122+'มหาสารคาม'!L122+'มุกดาหาร'!L122+'ยโสธร'!L122+'ร้อยเอ็ด'!L122+'เลย'!L122+'ศรีสะเกษ'!L122+'สกลนคร'!L122+'สุรินทร์'!L122+'หนองคาย'!L122+'หนองบัวลำภู'!L122+'อำนาจเจริญ'!L122+'อุดรธานี'!L122+'อุบลราชธานี'!L122</f>
        <v>494640</v>
      </c>
      <c r="M122" s="201">
        <f>'กาฬสินธุ์'!M122+'ขอนแก่น'!M122+'ชัยภูมิ'!M122+'นครพนม'!M122+'นครราชสีมา'!M122+'บึงกาฬ'!M122+'บุรีรัมย์'!M122+'มหาสารคาม'!M122+'มุกดาหาร'!M122+'ยโสธร'!M122+'ร้อยเอ็ด'!M122+'เลย'!M122+'ศรีสะเกษ'!M122+'สกลนคร'!M122+'สุรินทร์'!M122+'หนองคาย'!M122+'หนองบัวลำภู'!M122+'อำนาจเจริญ'!M122+'อุดรธานี'!M122+'อุบลราชธานี'!M122</f>
        <v>398640</v>
      </c>
      <c r="N122" s="202">
        <f>'กาฬสินธุ์'!N122+'ขอนแก่น'!N122+'ชัยภูมิ'!N122+'นครพนม'!N122+'นครราชสีมา'!N122+'บึงกาฬ'!N122+'บุรีรัมย์'!N122+'มหาสารคาม'!N122+'มุกดาหาร'!N122+'ยโสธร'!N122+'ร้อยเอ็ด'!N122+'เลย'!N122+'ศรีสะเกษ'!N122+'สกลนคร'!N122+'สุรินทร์'!N122+'หนองคาย'!N122+'หนองบัวลำภู'!N122+'อำนาจเจริญ'!N122+'อุดรธานี'!N122+'อุบลราชธานี'!N122</f>
        <v>140693</v>
      </c>
      <c r="O122" s="203">
        <f>IF(L122&gt;0,N122*100/L122,0)</f>
        <v>28.44351448</v>
      </c>
      <c r="P122" s="203">
        <f>IF(M122&gt;0,N122*100/M122,0)</f>
        <v>35.29324704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'กาฬสินธุ์'!L123+'ขอนแก่น'!L123+'ชัยภูมิ'!L123+'นครพนม'!L123+'นครราชสีมา'!L123+'บึงกาฬ'!L123+'บุรีรัมย์'!L123+'มหาสารคาม'!L123+'มุกดาหาร'!L123+'ยโสธร'!L123+'ร้อยเอ็ด'!L123+'เลย'!L123+'ศรีสะเกษ'!L123+'สกลนคร'!L123+'สุรินทร์'!L123+'หนองคาย'!L123+'หนองบัวลำภู'!L123+'อำนาจเจริญ'!L123+'อุดรธานี'!L123+'อุบลราชธานี'!L123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'กาฬสินธุ์'!L124+'ขอนแก่น'!L124+'ชัยภูมิ'!L124+'นครพนม'!L124+'นครราชสีมา'!L124+'บึงกาฬ'!L124+'บุรีรัมย์'!L124+'มหาสารคาม'!L124+'มุกดาหาร'!L124+'ยโสธร'!L124+'ร้อยเอ็ด'!L124+'เลย'!L124+'ศรีสะเกษ'!L124+'สกลนคร'!L124+'สุรินทร์'!L124+'หนองคาย'!L124+'หนองบัวลำภู'!L124+'อำนาจเจริญ'!L124+'อุดรธานี'!L124+'อุบลราชธานี'!L124</f>
        <v>494640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f>'กาฬสินธุ์'!L125+'ขอนแก่น'!L125+'ชัยภูมิ'!L125+'นครพนม'!L125+'นครราชสีมา'!L125+'บึงกาฬ'!L125+'บุรีรัมย์'!L125+'มหาสารคาม'!L125+'มุกดาหาร'!L125+'ยโสธร'!L125+'ร้อยเอ็ด'!L125+'เลย'!L125+'ศรีสะเกษ'!L125+'สกลนคร'!L125+'สุรินทร์'!L125+'หนองคาย'!L125+'หนองบัวลำภู'!L125+'อำนาจเจริญ'!L125+'อุดรธานี'!L125+'อุบลราชธานี'!L125</f>
        <v>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'กาฬสินธุ์'!L126+'ขอนแก่น'!L126+'ชัยภูมิ'!L126+'นครพนม'!L126+'นครราชสีมา'!L126+'บึงกาฬ'!L126+'บุรีรัมย์'!L126+'มหาสารคาม'!L126+'มุกดาหาร'!L126+'ยโสธร'!L126+'ร้อยเอ็ด'!L126+'เลย'!L126+'ศรีสะเกษ'!L126+'สกลนคร'!L126+'สุรินทร์'!L126+'หนองคาย'!L126+'หนองบัวลำภู'!L126+'อำนาจเจริญ'!L126+'อุดรธานี'!L126+'อุบลราชธานี'!L126</f>
        <v>0</v>
      </c>
      <c r="M126" s="125"/>
      <c r="N126" s="115">
        <f>'กาฬสินธุ์'!N126+'ขอนแก่น'!N126+'ชัยภูมิ'!N126+'นครพนม'!N126+'นครราชสีมา'!N126+'บึงกาฬ'!N126+'บุรีรัมย์'!N126+'มหาสารคาม'!N126+'มุกดาหาร'!N126+'ยโสธร'!N126+'ร้อยเอ็ด'!N126+'เลย'!N126+'ศรีสะเกษ'!N126+'สกลนคร'!N126+'สุรินทร์'!N126+'หนองคาย'!N126+'หนองบัวลำภู'!N126+'อำนาจเจริญ'!N126+'อุดรธานี'!N126+'อุบลราชธานี'!N126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70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'กาฬสินธุ์'!J128+'ขอนแก่น'!J128+'ชัยภูมิ'!J128+'นครพนม'!J128+'นครราชสีมา'!J128+'บึงกาฬ'!J128+'บุรีรัมย์'!J128+'มหาสารคาม'!J128+'มุกดาหาร'!J128+'ยโสธร'!J128+'ร้อยเอ็ด'!J128+'เลย'!J128+'ศรีสะเกษ'!J128+'สกลนคร'!J128+'สุรินทร์'!J128+'หนองคาย'!J128+'หนองบัวลำภู'!J128+'อำนาจเจริญ'!J128+'อุดรธานี'!J128+'อุบลราชธานี'!J128</f>
        <v>1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'กาฬสินธุ์'!J129+'ขอนแก่น'!J129+'ชัยภูมิ'!J129+'นครพนม'!J129+'นครราชสีมา'!J129+'บึงกาฬ'!J129+'บุรีรัมย์'!J129+'มหาสารคาม'!J129+'มุกดาหาร'!J129+'ยโสธร'!J129+'ร้อยเอ็ด'!J129+'เลย'!J129+'ศรีสะเกษ'!J129+'สกลนคร'!J129+'สุรินทร์'!J129+'หนองคาย'!J129+'หนองบัวลำภู'!J129+'อำนาจเจริญ'!J129+'อุดรธานี'!J129+'อุบลราชธานี'!J129</f>
        <v>5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'กาฬสินธุ์'!J130+'ขอนแก่น'!J130+'ชัยภูมิ'!J130+'นครพนม'!J130+'นครราชสีมา'!J130+'บึงกาฬ'!J130+'บุรีรัมย์'!J130+'มหาสารคาม'!J130+'มุกดาหาร'!J130+'ยโสธร'!J130+'ร้อยเอ็ด'!J130+'เลย'!J130+'ศรีสะเกษ'!J130+'สกลนคร'!J130+'สุรินทร์'!J130+'หนองคาย'!J130+'หนองบัวลำภู'!J130+'อำนาจเจริญ'!J130+'อุดรธานี'!J130+'อุบลราชธานี'!J130</f>
        <v>4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'กาฬสินธุ์'!J131+'ขอนแก่น'!J131+'ชัยภูมิ'!J131+'นครพนม'!J131+'นครราชสีมา'!J131+'บึงกาฬ'!J131+'บุรีรัมย์'!J131+'มหาสารคาม'!J131+'มุกดาหาร'!J131+'ยโสธร'!J131+'ร้อยเอ็ด'!J131+'เลย'!J131+'ศรีสะเกษ'!J131+'สกลนคร'!J131+'สุรินทร์'!J131+'หนองคาย'!J131+'หนองบัวลำภู'!J131+'อำนาจเจริญ'!J131+'อุดรธานี'!J131+'อุบลราชธานี'!J131</f>
        <v>3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'กาฬสินธุ์'!I132+'ขอนแก่น'!I132+'ชัยภูมิ'!I132+'นครพนม'!I132+'นครราชสีมา'!I132+'บึงกาฬ'!I132+'บุรีรัมย์'!I132+'มหาสารคาม'!I132+'มุกดาหาร'!I132+'ยโสธร'!I132+'ร้อยเอ็ด'!I132+'เลย'!I132+'ศรีสะเกษ'!I132+'สกลนคร'!I132+'สุรินทร์'!I132+'หนองคาย'!I132+'หนองบัวลำภู'!I132+'อำนาจเจริญ'!I132+'อุดรธานี'!I132+'อุบลราชธานี'!I132</f>
        <v>120</v>
      </c>
      <c r="J132" s="238">
        <f>'กาฬสินธุ์'!J132+'ขอนแก่น'!J132+'ชัยภูมิ'!J132+'นครพนม'!J132+'นครราชสีมา'!J132+'บึงกาฬ'!J132+'บุรีรัมย์'!J132+'มหาสารคาม'!J132+'มุกดาหาร'!J132+'ยโสธร'!J132+'ร้อยเอ็ด'!J132+'เลย'!J132+'ศรีสะเกษ'!J132+'สกลนคร'!J132+'สุรินทร์'!J132+'หนองคาย'!J132+'หนองบัวลำภู'!J132+'อำนาจเจริญ'!J132+'อุดรธานี'!J132+'อุบลราชธานี'!J132</f>
        <v>81</v>
      </c>
      <c r="K132" s="258">
        <f t="shared" ref="K132:K133" si="52">IF(I132&gt;0,J132*100/I132,0)</f>
        <v>67.5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'กาฬสินธุ์'!I133+'ขอนแก่น'!I133+'ชัยภูมิ'!I133+'นครพนม'!I133+'นครราชสีมา'!I133+'บึงกาฬ'!I133+'บุรีรัมย์'!I133+'มหาสารคาม'!I133+'มุกดาหาร'!I133+'ยโสธร'!I133+'ร้อยเอ็ด'!I133+'เลย'!I133+'ศรีสะเกษ'!I133+'สกลนคร'!I133+'สุรินทร์'!I133+'หนองคาย'!I133+'หนองบัวลำภู'!I133+'อำนาจเจริญ'!I133+'อุดรธานี'!I133+'อุบลราชธานี'!I133</f>
        <v>120</v>
      </c>
      <c r="J133" s="238">
        <f>'กาฬสินธุ์'!J133+'ขอนแก่น'!J133+'ชัยภูมิ'!J133+'นครพนม'!J133+'นครราชสีมา'!J133+'บึงกาฬ'!J133+'บุรีรัมย์'!J133+'มหาสารคาม'!J133+'มุกดาหาร'!J133+'ยโสธร'!J133+'ร้อยเอ็ด'!J133+'เลย'!J133+'ศรีสะเกษ'!J133+'สกลนคร'!J133+'สุรินทร์'!J133+'หนองคาย'!J133+'หนองบัวลำภู'!J133+'อำนาจเจริญ'!J133+'อุดรธานี'!J133+'อุบลราชธานี'!J133</f>
        <v>20</v>
      </c>
      <c r="K133" s="258">
        <f t="shared" si="52"/>
        <v>16.66666667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'กาฬสินธุ์'!J134+'ขอนแก่น'!J134+'ชัยภูมิ'!J134+'นครพนม'!J134+'นครราชสีมา'!J134+'บึงกาฬ'!J134+'บุรีรัมย์'!J134+'มหาสารคาม'!J134+'มุกดาหาร'!J134+'ยโสธร'!J134+'ร้อยเอ็ด'!J134+'เลย'!J134+'ศรีสะเกษ'!J134+'สกลนคร'!J134+'สุรินทร์'!J134+'หนองคาย'!J134+'หนองบัวลำภู'!J134+'อำนาจเจริญ'!J134+'อุดรธานี'!J134+'อุบลราชธานี'!J134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'กาฬสินธุ์'!J135+'ขอนแก่น'!J135+'ชัยภูมิ'!J135+'นครพนม'!J135+'นครราชสีมา'!J135+'บึงกาฬ'!J135+'บุรีรัมย์'!J135+'มหาสารคาม'!J135+'มุกดาหาร'!J135+'ยโสธร'!J135+'ร้อยเอ็ด'!J135+'เลย'!J135+'ศรีสะเกษ'!J135+'สกลนคร'!J135+'สุรินทร์'!J135+'หนองคาย'!J135+'หนองบัวลำภู'!J135+'อำนาจเจริญ'!J135+'อุดรธานี'!J135+'อุบลราชธานี'!J135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'กาฬสินธุ์'!I138+'ขอนแก่น'!I138+'ชัยภูมิ'!I138+'นครพนม'!I138+'นครราชสีมา'!I138+'บึงกาฬ'!I138+'บุรีรัมย์'!I138+'มหาสารคาม'!I138+'มุกดาหาร'!I138+'ยโสธร'!I138+'ร้อยเอ็ด'!I138+'เลย'!I138+'ศรีสะเกษ'!I138+'สกลนคร'!I138+'สุรินทร์'!I138+'หนองคาย'!I138+'หนองบัวลำภู'!I138+'อำนาจเจริญ'!I138+'อุดรธานี'!I138+'อุบลราชธานี'!I138</f>
        <v>160</v>
      </c>
      <c r="J138" s="301">
        <f>'กาฬสินธุ์'!J138+'ขอนแก่น'!J138+'ชัยภูมิ'!J138+'นครพนม'!J138+'นครราชสีมา'!J138+'บึงกาฬ'!J138+'บุรีรัมย์'!J138+'มหาสารคาม'!J138+'มุกดาหาร'!J138+'ยโสธร'!J138+'ร้อยเอ็ด'!J138+'เลย'!J138+'ศรีสะเกษ'!J138+'สกลนคร'!J138+'สุรินทร์'!J138+'หนองคาย'!J138+'หนองบัวลำภู'!J138+'อำนาจเจริญ'!J138+'อุดรธานี'!J138+'อุบลราชธานี'!J138</f>
        <v>95</v>
      </c>
      <c r="K138" s="302">
        <f>IF(I138&gt;0,J138*100/I138,0)</f>
        <v>59.375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>'กาฬสินธุ์'!L140+'ขอนแก่น'!L140+'ชัยภูมิ'!L140+'นครพนม'!L140+'นครราชสีมา'!L140+'บึงกาฬ'!L140+'บุรีรัมย์'!L140+'มหาสารคาม'!L140+'มุกดาหาร'!L140+'ยโสธร'!L140+'ร้อยเอ็ด'!L140+'เลย'!L140+'ศรีสะเกษ'!L140+'สกลนคร'!L140+'สุรินทร์'!L140+'หนองคาย'!L140+'หนองบัวลำภู'!L140+'อำนาจเจริญ'!L140+'อุดรธานี'!L140+'อุบลราชธานี'!L140</f>
        <v>4440450</v>
      </c>
      <c r="M140" s="183">
        <f>'กาฬสินธุ์'!M140+'ขอนแก่น'!M140+'ชัยภูมิ'!M140+'นครพนม'!M140+'นครราชสีมา'!M140+'บึงกาฬ'!M140+'บุรีรัมย์'!M140+'มหาสารคาม'!M140+'มุกดาหาร'!M140+'ยโสธร'!M140+'ร้อยเอ็ด'!M140+'เลย'!M140+'ศรีสะเกษ'!M140+'สกลนคร'!M140+'สุรินทร์'!M140+'หนองคาย'!M140+'หนองบัวลำภู'!M140+'อำนาจเจริญ'!M140+'อุดรธานี'!M140+'อุบลราชธานี'!M140</f>
        <v>2698250</v>
      </c>
      <c r="N140" s="183">
        <f>'กาฬสินธุ์'!N140+'ขอนแก่น'!N140+'ชัยภูมิ'!N140+'นครพนม'!N140+'นครราชสีมา'!N140+'บึงกาฬ'!N140+'บุรีรัมย์'!N140+'มหาสารคาม'!N140+'มุกดาหาร'!N140+'ยโสธร'!N140+'ร้อยเอ็ด'!N140+'เลย'!N140+'ศรีสะเกษ'!N140+'สกลนคร'!N140+'สุรินทร์'!N140+'หนองคาย'!N140+'หนองบัวลำภู'!N140+'อำนาจเจริญ'!N140+'อุดรธานี'!N140+'อุบลราชธานี'!N140</f>
        <v>1294425</v>
      </c>
      <c r="O140" s="182">
        <f t="shared" ref="O140:O142" si="53">IF(L140&gt;0,N140*100/L140,0)</f>
        <v>29.15076175</v>
      </c>
      <c r="P140" s="182">
        <f t="shared" ref="P140:P142" si="54">IF(M140&gt;0,N140*100/M140,0)</f>
        <v>47.97276012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>'กาฬสินธุ์'!L141+'ขอนแก่น'!L141+'ชัยภูมิ'!L141+'นครพนม'!L141+'นครราชสีมา'!L141+'บึงกาฬ'!L141+'บุรีรัมย์'!L141+'มหาสารคาม'!L141+'มุกดาหาร'!L141+'ยโสธร'!L141+'ร้อยเอ็ด'!L141+'เลย'!L141+'ศรีสะเกษ'!L141+'สกลนคร'!L141+'สุรินทร์'!L141+'หนองคาย'!L141+'หนองบัวลำภู'!L141+'อำนาจเจริญ'!L141+'อุดรธานี'!L141+'อุบลราชธานี'!L141</f>
        <v>0</v>
      </c>
      <c r="M141" s="188">
        <f>'กาฬสินธุ์'!M141+'ขอนแก่น'!M141+'ชัยภูมิ'!M141+'นครพนม'!M141+'นครราชสีมา'!M141+'บึงกาฬ'!M141+'บุรีรัมย์'!M141+'มหาสารคาม'!M141+'มุกดาหาร'!M141+'ยโสธร'!M141+'ร้อยเอ็ด'!M141+'เลย'!M141+'ศรีสะเกษ'!M141+'สกลนคร'!M141+'สุรินทร์'!M141+'หนองคาย'!M141+'หนองบัวลำภู'!M141+'อำนาจเจริญ'!M141+'อุดรธานี'!M141+'อุบลราชธานี'!M141</f>
        <v>0</v>
      </c>
      <c r="N141" s="188">
        <f>'กาฬสินธุ์'!N141+'ขอนแก่น'!N141+'ชัยภูมิ'!N141+'นครพนม'!N141+'นครราชสีมา'!N141+'บึงกาฬ'!N141+'บุรีรัมย์'!N141+'มหาสารคาม'!N141+'มุกดาหาร'!N141+'ยโสธร'!N141+'ร้อยเอ็ด'!N141+'เลย'!N141+'ศรีสะเกษ'!N141+'สกลนคร'!N141+'สุรินทร์'!N141+'หนองคาย'!N141+'หนองบัวลำภู'!N141+'อำนาจเจริญ'!N141+'อุดรธานี'!N141+'อุบลราชธานี'!N141</f>
        <v>0</v>
      </c>
      <c r="O141" s="187">
        <f t="shared" si="53"/>
        <v>0</v>
      </c>
      <c r="P141" s="187">
        <f t="shared" si="54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>'กาฬสินธุ์'!L142+'ขอนแก่น'!L142+'ชัยภูมิ'!L142+'นครพนม'!L142+'นครราชสีมา'!L142+'บึงกาฬ'!L142+'บุรีรัมย์'!L142+'มหาสารคาม'!L142+'มุกดาหาร'!L142+'ยโสธร'!L142+'ร้อยเอ็ด'!L142+'เลย'!L142+'ศรีสะเกษ'!L142+'สกลนคร'!L142+'สุรินทร์'!L142+'หนองคาย'!L142+'หนองบัวลำภู'!L142+'อำนาจเจริญ'!L142+'อุดรธานี'!L142+'อุบลราชธานี'!L142</f>
        <v>4440450</v>
      </c>
      <c r="M142" s="188">
        <f>'กาฬสินธุ์'!M142+'ขอนแก่น'!M142+'ชัยภูมิ'!M142+'นครพนม'!M142+'นครราชสีมา'!M142+'บึงกาฬ'!M142+'บุรีรัมย์'!M142+'มหาสารคาม'!M142+'มุกดาหาร'!M142+'ยโสธร'!M142+'ร้อยเอ็ด'!M142+'เลย'!M142+'ศรีสะเกษ'!M142+'สกลนคร'!M142+'สุรินทร์'!M142+'หนองคาย'!M142+'หนองบัวลำภู'!M142+'อำนาจเจริญ'!M142+'อุดรธานี'!M142+'อุบลราชธานี'!M142</f>
        <v>2698250</v>
      </c>
      <c r="N142" s="188">
        <f>'กาฬสินธุ์'!N142+'ขอนแก่น'!N142+'ชัยภูมิ'!N142+'นครพนม'!N142+'นครราชสีมา'!N142+'บึงกาฬ'!N142+'บุรีรัมย์'!N142+'มหาสารคาม'!N142+'มุกดาหาร'!N142+'ยโสธร'!N142+'ร้อยเอ็ด'!N142+'เลย'!N142+'ศรีสะเกษ'!N142+'สกลนคร'!N142+'สุรินทร์'!N142+'หนองคาย'!N142+'หนองบัวลำภู'!N142+'อำนาจเจริญ'!N142+'อุดรธานี'!N142+'อุบลราชธานี'!N142</f>
        <v>1294425</v>
      </c>
      <c r="O142" s="187">
        <f t="shared" si="53"/>
        <v>29.15076175</v>
      </c>
      <c r="P142" s="187">
        <f t="shared" si="54"/>
        <v>47.97276012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f>'กาฬสินธุ์'!L143+'ขอนแก่น'!L143+'ชัยภูมิ'!L143+'นครพนม'!L143+'นครราชสีมา'!L143+'บึงกาฬ'!L143+'บุรีรัมย์'!L143+'มหาสารคาม'!L143+'มุกดาหาร'!L143+'ยโสธร'!L143+'ร้อยเอ็ด'!L143+'เลย'!L143+'ศรีสะเกษ'!L143+'สกลนคร'!L143+'สุรินทร์'!L143+'หนองคาย'!L143+'หนองบัวลำภู'!L143+'อำนาจเจริญ'!L143+'อุดรธานี'!L143+'อุบลราชธานี'!L143</f>
        <v>0</v>
      </c>
      <c r="M143" s="197">
        <f>'กาฬสินธุ์'!M143+'ขอนแก่น'!M143+'ชัยภูมิ'!M143+'นครพนม'!M143+'นครราชสีมา'!M143+'บึงกาฬ'!M143+'บุรีรัมย์'!M143+'มหาสารคาม'!M143+'มุกดาหาร'!M143+'ยโสธร'!M143+'ร้อยเอ็ด'!M143+'เลย'!M143+'ศรีสะเกษ'!M143+'สกลนคร'!M143+'สุรินทร์'!M143+'หนองคาย'!M143+'หนองบัวลำภู'!M143+'อำนาจเจริญ'!M143+'อุดรธานี'!M143+'อุบลราชธานี'!M143</f>
        <v>0</v>
      </c>
      <c r="N143" s="197">
        <f>'กาฬสินธุ์'!N143+'ขอนแก่น'!N143+'ชัยภูมิ'!N143+'นครพนม'!N143+'นครราชสีมา'!N143+'บึงกาฬ'!N143+'บุรีรัมย์'!N143+'มหาสารคาม'!N143+'มุกดาหาร'!N143+'ยโสธร'!N143+'ร้อยเอ็ด'!N143+'เลย'!N143+'ศรีสะเกษ'!N143+'สกลนคร'!N143+'สุรินทร์'!N143+'หนองคาย'!N143+'หนองบัวลำภู'!N143+'อำนาจเจริญ'!N143+'อุดรธานี'!N143+'อุบลราชธานี'!N143</f>
        <v>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'กาฬสินธุ์'!L144+'ขอนแก่น'!L144+'ชัยภูมิ'!L144+'นครพนม'!L144+'นครราชสีมา'!L144+'บึงกาฬ'!L144+'บุรีรัมย์'!L144+'มหาสารคาม'!L144+'มุกดาหาร'!L144+'ยโสธร'!L144+'ร้อยเอ็ด'!L144+'เลย'!L144+'ศรีสะเกษ'!L144+'สกลนคร'!L144+'สุรินทร์'!L144+'หนองคาย'!L144+'หนองบัวลำภู'!L144+'อำนาจเจริญ'!L144+'อุดรธานี'!L144+'อุบลราชธานี'!L144</f>
        <v>4440450</v>
      </c>
      <c r="M144" s="201">
        <f>'กาฬสินธุ์'!M144+'ขอนแก่น'!M144+'ชัยภูมิ'!M144+'นครพนม'!M144+'นครราชสีมา'!M144+'บึงกาฬ'!M144+'บุรีรัมย์'!M144+'มหาสารคาม'!M144+'มุกดาหาร'!M144+'ยโสธร'!M144+'ร้อยเอ็ด'!M144+'เลย'!M144+'ศรีสะเกษ'!M144+'สกลนคร'!M144+'สุรินทร์'!M144+'หนองคาย'!M144+'หนองบัวลำภู'!M144+'อำนาจเจริญ'!M144+'อุดรธานี'!M144+'อุบลราชธานี'!M144</f>
        <v>2698250</v>
      </c>
      <c r="N144" s="202">
        <f>'กาฬสินธุ์'!N144+'ขอนแก่น'!N144+'ชัยภูมิ'!N144+'นครพนม'!N144+'นครราชสีมา'!N144+'บึงกาฬ'!N144+'บุรีรัมย์'!N144+'มหาสารคาม'!N144+'มุกดาหาร'!N144+'ยโสธร'!N144+'ร้อยเอ็ด'!N144+'เลย'!N144+'ศรีสะเกษ'!N144+'สกลนคร'!N144+'สุรินทร์'!N144+'หนองคาย'!N144+'หนองบัวลำภู'!N144+'อำนาจเจริญ'!N144+'อุดรธานี'!N144+'อุบลราชธานี'!N144</f>
        <v>1294425</v>
      </c>
      <c r="O144" s="203">
        <f>IF(L144&gt;0,N144*100/L144,0)</f>
        <v>29.15076175</v>
      </c>
      <c r="P144" s="203">
        <f>IF(M144&gt;0,N144*100/M144,0)</f>
        <v>47.97276012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'กาฬสินธุ์'!L145+'ขอนแก่น'!L145+'ชัยภูมิ'!L145+'นครพนม'!L145+'นครราชสีมา'!L145+'บึงกาฬ'!L145+'บุรีรัมย์'!L145+'มหาสารคาม'!L145+'มุกดาหาร'!L145+'ยโสธร'!L145+'ร้อยเอ็ด'!L145+'เลย'!L145+'ศรีสะเกษ'!L145+'สกลนคร'!L145+'สุรินทร์'!L145+'หนองคาย'!L145+'หนองบัวลำภู'!L145+'อำนาจเจริญ'!L145+'อุดรธานี'!L145+'อุบลราชธานี'!L145</f>
        <v>1888800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'กาฬสินธุ์'!L146+'ขอนแก่น'!L146+'ชัยภูมิ'!L146+'นครพนม'!L146+'นครราชสีมา'!L146+'บึงกาฬ'!L146+'บุรีรัมย์'!L146+'มหาสารคาม'!L146+'มุกดาหาร'!L146+'ยโสธร'!L146+'ร้อยเอ็ด'!L146+'เลย'!L146+'ศรีสะเกษ'!L146+'สกลนคร'!L146+'สุรินทร์'!L146+'หนองคาย'!L146+'หนองบัวลำภู'!L146+'อำนาจเจริญ'!L146+'อุดรธานี'!L146+'อุบลราชธานี'!L146</f>
        <v>2551650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f>'กาฬสินธุ์'!L147+'ขอนแก่น'!L147+'ชัยภูมิ'!L147+'นครพนม'!L147+'นครราชสีมา'!L147+'บึงกาฬ'!L147+'บุรีรัมย์'!L147+'มหาสารคาม'!L147+'มุกดาหาร'!L147+'ยโสธร'!L147+'ร้อยเอ็ด'!L147+'เลย'!L147+'ศรีสะเกษ'!L147+'สกลนคร'!L147+'สุรินทร์'!L147+'หนองคาย'!L147+'หนองบัวลำภู'!L147+'อำนาจเจริญ'!L147+'อุดรธานี'!L147+'อุบลราชธานี'!L147</f>
        <v>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'กาฬสินธุ์'!L148+'ขอนแก่น'!L148+'ชัยภูมิ'!L148+'นครพนม'!L148+'นครราชสีมา'!L148+'บึงกาฬ'!L148+'บุรีรัมย์'!L148+'มหาสารคาม'!L148+'มุกดาหาร'!L148+'ยโสธร'!L148+'ร้อยเอ็ด'!L148+'เลย'!L148+'ศรีสะเกษ'!L148+'สกลนคร'!L148+'สุรินทร์'!L148+'หนองคาย'!L148+'หนองบัวลำภู'!L148+'อำนาจเจริญ'!L148+'อุดรธานี'!L148+'อุบลราชธานี'!L148</f>
        <v>0</v>
      </c>
      <c r="M148" s="125"/>
      <c r="N148" s="115">
        <f>'กาฬสินธุ์'!N148+'ขอนแก่น'!N148+'ชัยภูมิ'!N148+'นครพนม'!N148+'นครราชสีมา'!N148+'บึงกาฬ'!N148+'บุรีรัมย์'!N148+'มหาสารคาม'!N148+'มุกดาหาร'!N148+'ยโสธร'!N148+'ร้อยเอ็ด'!N148+'เลย'!N148+'ศรีสะเกษ'!N148+'สกลนคร'!N148+'สุรินทร์'!N148+'หนองคาย'!N148+'หนองบัวลำภู'!N148+'อำนาจเจริญ'!N148+'อุดรธานี'!N148+'อุบลราชธานี'!N148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'กาฬสินธุ์'!I149+'ขอนแก่น'!I149+'ชัยภูมิ'!I149+'นครพนม'!I149+'นครราชสีมา'!I149+'บึงกาฬ'!I149+'บุรีรัมย์'!I149+'มหาสารคาม'!I149+'มุกดาหาร'!I149+'ยโสธร'!I149+'ร้อยเอ็ด'!I149+'เลย'!I149+'ศรีสะเกษ'!I149+'สกลนคร'!I149+'สุรินทร์'!I149+'หนองคาย'!I149+'หนองบัวลำภู'!I149+'อำนาจเจริญ'!I149+'อุดรธานี'!I149+'อุบลราชธานี'!I149</f>
        <v>80</v>
      </c>
      <c r="J149" s="309">
        <f>'กาฬสินธุ์'!J149+'ขอนแก่น'!J149+'ชัยภูมิ'!J149+'นครพนม'!J149+'นครราชสีมา'!J149+'บึงกาฬ'!J149+'บุรีรัมย์'!J149+'มหาสารคาม'!J149+'มุกดาหาร'!J149+'ยโสธร'!J149+'ร้อยเอ็ด'!J149+'เลย'!J149+'ศรีสะเกษ'!J149+'สกลนคร'!J149+'สุรินทร์'!J149+'หนองคาย'!J149+'หนองบัวลำภู'!J149+'อำนาจเจริญ'!J149+'อุดรธานี'!J149+'อุบลราชธานี'!J149</f>
        <v>14</v>
      </c>
      <c r="K149" s="310">
        <f>IF(I149&gt;0,J149*100/I149,0)</f>
        <v>17.5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'กาฬสินธุ์'!J154+'ขอนแก่น'!J154+'ชัยภูมิ'!J154+'นครพนม'!J154+'นครราชสีมา'!J154+'บึงกาฬ'!J154+'บุรีรัมย์'!J154+'มหาสารคาม'!J154+'มุกดาหาร'!J154+'ยโสธร'!J154+'ร้อยเอ็ด'!J154+'เลย'!J154+'ศรีสะเกษ'!J154+'สกลนคร'!J154+'สุรินทร์'!J154+'หนองคาย'!J154+'หนองบัวลำภู'!J154+'อำนาจเจริญ'!J154+'อุดรธานี'!J154+'อุบลราชธานี'!J154</f>
        <v>2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'กาฬสินธุ์'!J155+'ขอนแก่น'!J155+'ชัยภูมิ'!J155+'นครพนม'!J155+'นครราชสีมา'!J155+'บึงกาฬ'!J155+'บุรีรัมย์'!J155+'มหาสารคาม'!J155+'มุกดาหาร'!J155+'ยโสธร'!J155+'ร้อยเอ็ด'!J155+'เลย'!J155+'ศรีสะเกษ'!J155+'สกลนคร'!J155+'สุรินทร์'!J155+'หนองคาย'!J155+'หนองบัวลำภู'!J155+'อำนาจเจริญ'!J155+'อุดรธานี'!J155+'อุบลราชธานี'!J155</f>
        <v>18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'กาฬสินธุ์'!J156+'ขอนแก่น'!J156+'ชัยภูมิ'!J156+'นครพนม'!J156+'นครราชสีมา'!J156+'บึงกาฬ'!J156+'บุรีรัมย์'!J156+'มหาสารคาม'!J156+'มุกดาหาร'!J156+'ยโสธร'!J156+'ร้อยเอ็ด'!J156+'เลย'!J156+'ศรีสะเกษ'!J156+'สกลนคร'!J156+'สุรินทร์'!J156+'หนองคาย'!J156+'หนองบัวลำภู'!J156+'อำนาจเจริญ'!J156+'อุดรธานี'!J156+'อุบลราชธานี'!J156</f>
        <v>13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'กาฬสินธุ์'!J157+'ขอนแก่น'!J157+'ชัยภูมิ'!J157+'นครพนม'!J157+'นครราชสีมา'!J157+'บึงกาฬ'!J157+'บุรีรัมย์'!J157+'มหาสารคาม'!J157+'มุกดาหาร'!J157+'ยโสธร'!J157+'ร้อยเอ็ด'!J157+'เลย'!J157+'ศรีสะเกษ'!J157+'สกลนคร'!J157+'สุรินทร์'!J157+'หนองคาย'!J157+'หนองบัวลำภู'!J157+'อำนาจเจริญ'!J157+'อุดรธานี'!J157+'อุบลราชธานี'!J157</f>
        <v>10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'กาฬสินธุ์'!I158+'ขอนแก่น'!I158+'ชัยภูมิ'!I158+'นครพนม'!I158+'นครราชสีมา'!I158+'บึงกาฬ'!I158+'บุรีรัมย์'!I158+'มหาสารคาม'!I158+'มุกดาหาร'!I158+'ยโสธร'!I158+'ร้อยเอ็ด'!I158+'เลย'!I158+'ศรีสะเกษ'!I158+'สกลนคร'!I158+'สุรินทร์'!I158+'หนองคาย'!I158+'หนองบัวลำภู'!I158+'อำนาจเจริญ'!I158+'อุดรธานี'!I158+'อุบลราชธานี'!I158</f>
        <v>80</v>
      </c>
      <c r="J158" s="223">
        <f>'กาฬสินธุ์'!J158+'ขอนแก่น'!J158+'ชัยภูมิ'!J158+'นครพนม'!J158+'นครราชสีมา'!J158+'บึงกาฬ'!J158+'บุรีรัมย์'!J158+'มหาสารคาม'!J158+'มุกดาหาร'!J158+'ยโสธร'!J158+'ร้อยเอ็ด'!J158+'เลย'!J158+'ศรีสะเกษ'!J158+'สกลนคร'!J158+'สุรินทร์'!J158+'หนองคาย'!J158+'หนองบัวลำภู'!J158+'อำนาจเจริญ'!J158+'อุดรธานี'!J158+'อุบลราชธานี'!J158</f>
        <v>14</v>
      </c>
      <c r="K158" s="196">
        <f>IF(I158&gt;0,J158*100/I158,0)</f>
        <v>17.5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'กาฬสินธุ์'!J159+'ขอนแก่น'!J159+'ชัยภูมิ'!J159+'นครพนม'!J159+'นครราชสีมา'!J159+'บึงกาฬ'!J159+'บุรีรัมย์'!J159+'มหาสารคาม'!J159+'มุกดาหาร'!J159+'ยโสธร'!J159+'ร้อยเอ็ด'!J159+'เลย'!J159+'ศรีสะเกษ'!J159+'สกลนคร'!J159+'สุรินทร์'!J159+'หนองคาย'!J159+'หนองบัวลำภู'!J159+'อำนาจเจริญ'!J159+'อุดรธานี'!J159+'อุบลราชธานี'!J159</f>
        <v>327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'กาฬสินธุ์'!J160+'ขอนแก่น'!J160+'ชัยภูมิ'!J160+'นครพนม'!J160+'นครราชสีมา'!J160+'บึงกาฬ'!J160+'บุรีรัมย์'!J160+'มหาสารคาม'!J160+'มุกดาหาร'!J160+'ยโสธร'!J160+'ร้อยเอ็ด'!J160+'เลย'!J160+'ศรีสะเกษ'!J160+'สกลนคร'!J160+'สุรินทร์'!J160+'หนองคาย'!J160+'หนองบัวลำภู'!J160+'อำนาจเจริญ'!J160+'อุดรธานี'!J160+'อุบลราชธานี'!J160</f>
        <v>327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'กาฬสินธุ์'!J161+'ขอนแก่น'!J161+'ชัยภูมิ'!J161+'นครพนม'!J161+'นครราชสีมา'!J161+'บึงกาฬ'!J161+'บุรีรัมย์'!J161+'มหาสารคาม'!J161+'มุกดาหาร'!J161+'ยโสธร'!J161+'ร้อยเอ็ด'!J161+'เลย'!J161+'ศรีสะเกษ'!J161+'สกลนคร'!J161+'สุรินทร์'!J161+'หนองคาย'!J161+'หนองบัวลำภู'!J161+'อำนาจเจริญ'!J161+'อุดรธานี'!J161+'อุบลราชธานี'!J161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'กาฬสินธุ์'!J162+'ขอนแก่น'!J162+'ชัยภูมิ'!J162+'นครพนม'!J162+'นครราชสีมา'!J162+'บึงกาฬ'!J162+'บุรีรัมย์'!J162+'มหาสารคาม'!J162+'มุกดาหาร'!J162+'ยโสธร'!J162+'ร้อยเอ็ด'!J162+'เลย'!J162+'ศรีสะเกษ'!J162+'สกลนคร'!J162+'สุรินทร์'!J162+'หนองคาย'!J162+'หนองบัวลำภู'!J162+'อำนาจเจริญ'!J162+'อุดรธานี'!J162+'อุบลราชธานี'!J162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'กาฬสินธุ์'!J163+'ขอนแก่น'!J163+'ชัยภูมิ'!J163+'นครพนม'!J163+'นครราชสีมา'!J163+'บึงกาฬ'!J163+'บุรีรัมย์'!J163+'มหาสารคาม'!J163+'มุกดาหาร'!J163+'ยโสธร'!J163+'ร้อยเอ็ด'!J163+'เลย'!J163+'ศรีสะเกษ'!J163+'สกลนคร'!J163+'สุรินทร์'!J163+'หนองคาย'!J163+'หนองบัวลำภู'!J163+'อำนาจเจริญ'!J163+'อุดรธานี'!J163+'อุบลราชธานี'!J163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'กาฬสินธุ์'!I164+'ขอนแก่น'!I164+'ชัยภูมิ'!I164+'นครพนม'!I164+'นครราชสีมา'!I164+'บึงกาฬ'!I164+'บุรีรัมย์'!I164+'มหาสารคาม'!I164+'มุกดาหาร'!I164+'ยโสธร'!I164+'ร้อยเอ็ด'!I164+'เลย'!I164+'ศรีสะเกษ'!I164+'สกลนคร'!I164+'สุรินทร์'!I164+'หนองคาย'!I164+'หนองบัวลำภู'!I164+'อำนาจเจริญ'!I164+'อุดรธานี'!I164+'อุบลราชธานี'!I164</f>
        <v>66</v>
      </c>
      <c r="J164" s="317">
        <f>'กาฬสินธุ์'!J164+'ขอนแก่น'!J164+'ชัยภูมิ'!J164+'นครพนม'!J164+'นครราชสีมา'!J164+'บึงกาฬ'!J164+'บุรีรัมย์'!J164+'มหาสารคาม'!J164+'มุกดาหาร'!J164+'ยโสธร'!J164+'ร้อยเอ็ด'!J164+'เลย'!J164+'ศรีสะเกษ'!J164+'สกลนคร'!J164+'สุรินทร์'!J164+'หนองคาย'!J164+'หนองบัวลำภู'!J164+'อำนาจเจริญ'!J164+'อุดรธานี'!J164+'อุบลราชธานี'!J164</f>
        <v>23</v>
      </c>
      <c r="K164" s="318">
        <f>IF(I164&gt;0,J164*100/I164,0)</f>
        <v>34.84848485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'กาฬสินธุ์'!J169+'ขอนแก่น'!J169+'ชัยภูมิ'!J169+'นครพนม'!J169+'นครราชสีมา'!J169+'บึงกาฬ'!J169+'บุรีรัมย์'!J169+'มหาสารคาม'!J169+'มุกดาหาร'!J169+'ยโสธร'!J169+'ร้อยเอ็ด'!J169+'เลย'!J169+'ศรีสะเกษ'!J169+'สกลนคร'!J169+'สุรินทร์'!J169+'หนองคาย'!J169+'หนองบัวลำภู'!J169+'อำนาจเจริญ'!J169+'อุดรธานี'!J169+'อุบลราชธานี'!J169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'กาฬสินธุ์'!J170+'ขอนแก่น'!J170+'ชัยภูมิ'!J170+'นครพนม'!J170+'นครราชสีมา'!J170+'บึงกาฬ'!J170+'บุรีรัมย์'!J170+'มหาสารคาม'!J170+'มุกดาหาร'!J170+'ยโสธร'!J170+'ร้อยเอ็ด'!J170+'เลย'!J170+'ศรีสะเกษ'!J170+'สกลนคร'!J170+'สุรินทร์'!J170+'หนองคาย'!J170+'หนองบัวลำภู'!J170+'อำนาจเจริญ'!J170+'อุดรธานี'!J170+'อุบลราชธานี'!J170</f>
        <v>20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'กาฬสินธุ์'!J171+'ขอนแก่น'!J171+'ชัยภูมิ'!J171+'นครพนม'!J171+'นครราชสีมา'!J171+'บึงกาฬ'!J171+'บุรีรัมย์'!J171+'มหาสารคาม'!J171+'มุกดาหาร'!J171+'ยโสธร'!J171+'ร้อยเอ็ด'!J171+'เลย'!J171+'ศรีสะเกษ'!J171+'สกลนคร'!J171+'สุรินทร์'!J171+'หนองคาย'!J171+'หนองบัวลำภู'!J171+'อำนาจเจริญ'!J171+'อุดรธานี'!J171+'อุบลราชธานี'!J171</f>
        <v>19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'กาฬสินธุ์'!J172+'ขอนแก่น'!J172+'ชัยภูมิ'!J172+'นครพนม'!J172+'นครราชสีมา'!J172+'บึงกาฬ'!J172+'บุรีรัมย์'!J172+'มหาสารคาม'!J172+'มุกดาหาร'!J172+'ยโสธร'!J172+'ร้อยเอ็ด'!J172+'เลย'!J172+'ศรีสะเกษ'!J172+'สกลนคร'!J172+'สุรินทร์'!J172+'หนองคาย'!J172+'หนองบัวลำภู'!J172+'อำนาจเจริญ'!J172+'อุดรธานี'!J172+'อุบลราชธานี'!J172</f>
        <v>12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'กาฬสินธุ์'!I173+'ขอนแก่น'!I173+'ชัยภูมิ'!I173+'นครพนม'!I173+'นครราชสีมา'!I173+'บึงกาฬ'!I173+'บุรีรัมย์'!I173+'มหาสารคาม'!I173+'มุกดาหาร'!I173+'ยโสธร'!I173+'ร้อยเอ็ด'!I173+'เลย'!I173+'ศรีสะเกษ'!I173+'สกลนคร'!I173+'สุรินทร์'!I173+'หนองคาย'!I173+'หนองบัวลำภู'!I173+'อำนาจเจริญ'!I173+'อุดรธานี'!I173+'อุบลราชธานี'!I173</f>
        <v>66</v>
      </c>
      <c r="J173" s="223">
        <f>'กาฬสินธุ์'!J173+'ขอนแก่น'!J173+'ชัยภูมิ'!J173+'นครพนม'!J173+'นครราชสีมา'!J173+'บึงกาฬ'!J173+'บุรีรัมย์'!J173+'มหาสารคาม'!J173+'มุกดาหาร'!J173+'ยโสธร'!J173+'ร้อยเอ็ด'!J173+'เลย'!J173+'ศรีสะเกษ'!J173+'สกลนคร'!J173+'สุรินทร์'!J173+'หนองคาย'!J173+'หนองบัวลำภู'!J173+'อำนาจเจริญ'!J173+'อุดรธานี'!J173+'อุบลราชธานี'!J173</f>
        <v>23</v>
      </c>
      <c r="K173" s="196">
        <f>IF(I173&gt;0,J173*100/I173,0)</f>
        <v>34.84848485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'กาฬสินธุ์'!J174+'ขอนแก่น'!J174+'ชัยภูมิ'!J174+'นครพนม'!J174+'นครราชสีมา'!J174+'บึงกาฬ'!J174+'บุรีรัมย์'!J174+'มหาสารคาม'!J174+'มุกดาหาร'!J174+'ยโสธร'!J174+'ร้อยเอ็ด'!J174+'เลย'!J174+'ศรีสะเกษ'!J174+'สกลนคร'!J174+'สุรินทร์'!J174+'หนองคาย'!J174+'หนองบัวลำภู'!J174+'อำนาจเจริญ'!J174+'อุดรธานี'!J174+'อุบลราชธานี'!J174</f>
        <v>1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'กาฬสินธุ์'!J175+'ขอนแก่น'!J175+'ชัยภูมิ'!J175+'นครพนม'!J175+'นครราชสีมา'!J175+'บึงกาฬ'!J175+'บุรีรัมย์'!J175+'มหาสารคาม'!J175+'มุกดาหาร'!J175+'ยโสธร'!J175+'ร้อยเอ็ด'!J175+'เลย'!J175+'ศรีสะเกษ'!J175+'สกลนคร'!J175+'สุรินทร์'!J175+'หนองคาย'!J175+'หนองบัวลำภู'!J175+'อำนาจเจริญ'!J175+'อุดรธานี'!J175+'อุบลราชธานี'!J175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'กาฬสินธุ์'!I176+'ขอนแก่น'!I176+'ชัยภูมิ'!I176+'นครพนม'!I176+'นครราชสีมา'!I176+'บึงกาฬ'!I176+'บุรีรัมย์'!I176+'มหาสารคาม'!I176+'มุกดาหาร'!I176+'ยโสธร'!I176+'ร้อยเอ็ด'!I176+'เลย'!I176+'ศรีสะเกษ'!I176+'สกลนคร'!I176+'สุรินทร์'!I176+'หนองคาย'!I176+'หนองบัวลำภู'!I176+'อำนาจเจริญ'!I176+'อุดรธานี'!I176+'อุบลราชธานี'!I176</f>
        <v>27</v>
      </c>
      <c r="J176" s="317">
        <f>'กาฬสินธุ์'!J176+'ขอนแก่น'!J176+'ชัยภูมิ'!J176+'นครพนม'!J176+'นครราชสีมา'!J176+'บึงกาฬ'!J176+'บุรีรัมย์'!J176+'มหาสารคาม'!J176+'มุกดาหาร'!J176+'ยโสธร'!J176+'ร้อยเอ็ด'!J176+'เลย'!J176+'ศรีสะเกษ'!J176+'สกลนคร'!J176+'สุรินทร์'!J176+'หนองคาย'!J176+'หนองบัวลำภู'!J176+'อำนาจเจริญ'!J176+'อุดรธานี'!J176+'อุบลราชธานี'!J176</f>
        <v>9</v>
      </c>
      <c r="K176" s="318">
        <f>IF(I176&gt;0,J176*100/I176,0)</f>
        <v>33.33333333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'กาฬสินธุ์'!J181+'ขอนแก่น'!J181+'ชัยภูมิ'!J181+'นครพนม'!J181+'นครราชสีมา'!J181+'บึงกาฬ'!J181+'บุรีรัมย์'!J181+'มหาสารคาม'!J181+'มุกดาหาร'!J181+'ยโสธร'!J181+'ร้อยเอ็ด'!J181+'เลย'!J181+'ศรีสะเกษ'!J181+'สกลนคร'!J181+'สุรินทร์'!J181+'หนองคาย'!J181+'หนองบัวลำภู'!J181+'อำนาจเจริญ'!J181+'อุดรธานี'!J181+'อุบลราชธานี'!J181</f>
        <v>1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'กาฬสินธุ์'!J182+'ขอนแก่น'!J182+'ชัยภูมิ'!J182+'นครพนม'!J182+'นครราชสีมา'!J182+'บึงกาฬ'!J182+'บุรีรัมย์'!J182+'มหาสารคาม'!J182+'มุกดาหาร'!J182+'ยโสธร'!J182+'ร้อยเอ็ด'!J182+'เลย'!J182+'ศรีสะเกษ'!J182+'สกลนคร'!J182+'สุรินทร์'!J182+'หนองคาย'!J182+'หนองบัวลำภู'!J182+'อำนาจเจริญ'!J182+'อุดรธานี'!J182+'อุบลราชธานี'!J182</f>
        <v>12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'กาฬสินธุ์'!J183+'ขอนแก่น'!J183+'ชัยภูมิ'!J183+'นครพนม'!J183+'นครราชสีมา'!J183+'บึงกาฬ'!J183+'บุรีรัมย์'!J183+'มหาสารคาม'!J183+'มุกดาหาร'!J183+'ยโสธร'!J183+'ร้อยเอ็ด'!J183+'เลย'!J183+'ศรีสะเกษ'!J183+'สกลนคร'!J183+'สุรินทร์'!J183+'หนองคาย'!J183+'หนองบัวลำภู'!J183+'อำนาจเจริญ'!J183+'อุดรธานี'!J183+'อุบลราชธานี'!J183</f>
        <v>10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'กาฬสินธุ์'!J184+'ขอนแก่น'!J184+'ชัยภูมิ'!J184+'นครพนม'!J184+'นครราชสีมา'!J184+'บึงกาฬ'!J184+'บุรีรัมย์'!J184+'มหาสารคาม'!J184+'มุกดาหาร'!J184+'ยโสธร'!J184+'ร้อยเอ็ด'!J184+'เลย'!J184+'ศรีสะเกษ'!J184+'สกลนคร'!J184+'สุรินทร์'!J184+'หนองคาย'!J184+'หนองบัวลำภู'!J184+'อำนาจเจริญ'!J184+'อุดรธานี'!J184+'อุบลราชธานี'!J184</f>
        <v>8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'กาฬสินธุ์'!I185+'ขอนแก่น'!I185+'ชัยภูมิ'!I185+'นครพนม'!I185+'นครราชสีมา'!I185+'บึงกาฬ'!I185+'บุรีรัมย์'!I185+'มหาสารคาม'!I185+'มุกดาหาร'!I185+'ยโสธร'!I185+'ร้อยเอ็ด'!I185+'เลย'!I185+'ศรีสะเกษ'!I185+'สกลนคร'!I185+'สุรินทร์'!I185+'หนองคาย'!I185+'หนองบัวลำภู'!I185+'อำนาจเจริญ'!I185+'อุดรธานี'!I185+'อุบลราชธานี'!I185</f>
        <v>27</v>
      </c>
      <c r="J185" s="238">
        <f>'กาฬสินธุ์'!J185+'ขอนแก่น'!J185+'ชัยภูมิ'!J185+'นครพนม'!J185+'นครราชสีมา'!J185+'บึงกาฬ'!J185+'บุรีรัมย์'!J185+'มหาสารคาม'!J185+'มุกดาหาร'!J185+'ยโสธร'!J185+'ร้อยเอ็ด'!J185+'เลย'!J185+'ศรีสะเกษ'!J185+'สกลนคร'!J185+'สุรินทร์'!J185+'หนองคาย'!J185+'หนองบัวลำภู'!J185+'อำนาจเจริญ'!J185+'อุดรธานี'!J185+'อุบลราชธานี'!J185</f>
        <v>0</v>
      </c>
      <c r="K185" s="258">
        <f t="shared" ref="K185:K186" si="55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'กาฬสินธุ์'!I186+'ขอนแก่น'!I186+'ชัยภูมิ'!I186+'นครพนม'!I186+'นครราชสีมา'!I186+'บึงกาฬ'!I186+'บุรีรัมย์'!I186+'มหาสารคาม'!I186+'มุกดาหาร'!I186+'ยโสธร'!I186+'ร้อยเอ็ด'!I186+'เลย'!I186+'ศรีสะเกษ'!I186+'สกลนคร'!I186+'สุรินทร์'!I186+'หนองคาย'!I186+'หนองบัวลำภู'!I186+'อำนาจเจริญ'!I186+'อุดรธานี'!I186+'อุบลราชธานี'!I186</f>
        <v>27</v>
      </c>
      <c r="J186" s="238">
        <f>'กาฬสินธุ์'!J186+'ขอนแก่น'!J186+'ชัยภูมิ'!J186+'นครพนม'!J186+'นครราชสีมา'!J186+'บึงกาฬ'!J186+'บุรีรัมย์'!J186+'มหาสารคาม'!J186+'มุกดาหาร'!J186+'ยโสธร'!J186+'ร้อยเอ็ด'!J186+'เลย'!J186+'ศรีสะเกษ'!J186+'สกลนคร'!J186+'สุรินทร์'!J186+'หนองคาย'!J186+'หนองบัวลำภู'!J186+'อำนาจเจริญ'!J186+'อุดรธานี'!J186+'อุบลราชธานี'!J186</f>
        <v>9</v>
      </c>
      <c r="K186" s="258">
        <f t="shared" si="55"/>
        <v>33.33333333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'กาฬสินธุ์'!J187+'ขอนแก่น'!J187+'ชัยภูมิ'!J187+'นครพนม'!J187+'นครราชสีมา'!J187+'บึงกาฬ'!J187+'บุรีรัมย์'!J187+'มหาสารคาม'!J187+'มุกดาหาร'!J187+'ยโสธร'!J187+'ร้อยเอ็ด'!J187+'เลย'!J187+'ศรีสะเกษ'!J187+'สกลนคร'!J187+'สุรินทร์'!J187+'หนองคาย'!J187+'หนองบัวลำภู'!J187+'อำนาจเจริญ'!J187+'อุดรธานี'!J187+'อุบลราชธานี'!J187</f>
        <v>1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'กาฬสินธุ์'!J188+'ขอนแก่น'!J188+'ชัยภูมิ'!J188+'นครพนม'!J188+'นครราชสีมา'!J188+'บึงกาฬ'!J188+'บุรีรัมย์'!J188+'มหาสารคาม'!J188+'มุกดาหาร'!J188+'ยโสธร'!J188+'ร้อยเอ็ด'!J188+'เลย'!J188+'ศรีสะเกษ'!J188+'สกลนคร'!J188+'สุรินทร์'!J188+'หนองคาย'!J188+'หนองบัวลำภู'!J188+'อำนาจเจริญ'!J188+'อุดรธานี'!J188+'อุบลราชธานี'!J188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'กาฬสินธุ์'!I189+'ขอนแก่น'!I189+'ชัยภูมิ'!I189+'นครพนม'!I189+'นครราชสีมา'!I189+'บึงกาฬ'!I189+'บุรีรัมย์'!I189+'มหาสารคาม'!I189+'มุกดาหาร'!I189+'ยโสธร'!I189+'ร้อยเอ็ด'!I189+'เลย'!I189+'ศรีสะเกษ'!I189+'สกลนคร'!I189+'สุรินทร์'!I189+'หนองคาย'!I189+'หนองบัวลำภู'!I189+'อำนาจเจริญ'!I189+'อุดรธานี'!I189+'อุบลราชธานี'!I189</f>
        <v>943800</v>
      </c>
      <c r="J189" s="317">
        <f>'กาฬสินธุ์'!J189+'ขอนแก่น'!J189+'ชัยภูมิ'!J189+'นครพนม'!J189+'นครราชสีมา'!J189+'บึงกาฬ'!J189+'บุรีรัมย์'!J189+'มหาสารคาม'!J189+'มุกดาหาร'!J189+'ยโสธร'!J189+'ร้อยเอ็ด'!J189+'เลย'!J189+'ศรีสะเกษ'!J189+'สกลนคร'!J189+'สุรินทร์'!J189+'หนองคาย'!J189+'หนองบัวลำภู'!J189+'อำนาจเจริญ'!J189+'อุดรธานี'!J189+'อุบลราชธานี'!J189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'กาฬสินธุ์'!J194+'ขอนแก่น'!J194+'ชัยภูมิ'!J194+'นครพนม'!J194+'นครราชสีมา'!J194+'บึงกาฬ'!J194+'บุรีรัมย์'!J194+'มหาสารคาม'!J194+'มุกดาหาร'!J194+'ยโสธร'!J194+'ร้อยเอ็ด'!J194+'เลย'!J194+'ศรีสะเกษ'!J194+'สกลนคร'!J194+'สุรินทร์'!J194+'หนองคาย'!J194+'หนองบัวลำภู'!J194+'อำนาจเจริญ'!J194+'อุดรธานี'!J194+'อุบลราชธานี'!J194</f>
        <v>5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'กาฬสินธุ์'!J195+'ขอนแก่น'!J195+'ชัยภูมิ'!J195+'นครพนม'!J195+'นครราชสีมา'!J195+'บึงกาฬ'!J195+'บุรีรัมย์'!J195+'มหาสารคาม'!J195+'มุกดาหาร'!J195+'ยโสธร'!J195+'ร้อยเอ็ด'!J195+'เลย'!J195+'ศรีสะเกษ'!J195+'สกลนคร'!J195+'สุรินทร์'!J195+'หนองคาย'!J195+'หนองบัวลำภู'!J195+'อำนาจเจริญ'!J195+'อุดรธานี'!J195+'อุบลราชธานี'!J195</f>
        <v>15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'กาฬสินธุ์'!J196+'ขอนแก่น'!J196+'ชัยภูมิ'!J196+'นครพนม'!J196+'นครราชสีมา'!J196+'บึงกาฬ'!J196+'บุรีรัมย์'!J196+'มหาสารคาม'!J196+'มุกดาหาร'!J196+'ยโสธร'!J196+'ร้อยเอ็ด'!J196+'เลย'!J196+'ศรีสะเกษ'!J196+'สกลนคร'!J196+'สุรินทร์'!J196+'หนองคาย'!J196+'หนองบัวลำภู'!J196+'อำนาจเจริญ'!J196+'อุดรธานี'!J196+'อุบลราชธานี'!J196</f>
        <v>14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'กาฬสินธุ์'!J197+'ขอนแก่น'!J197+'ชัยภูมิ'!J197+'นครพนม'!J197+'นครราชสีมา'!J197+'บึงกาฬ'!J197+'บุรีรัมย์'!J197+'มหาสารคาม'!J197+'มุกดาหาร'!J197+'ยโสธร'!J197+'ร้อยเอ็ด'!J197+'เลย'!J197+'ศรีสะเกษ'!J197+'สกลนคร'!J197+'สุรินทร์'!J197+'หนองคาย'!J197+'หนองบัวลำภู'!J197+'อำนาจเจริญ'!J197+'อุดรธานี'!J197+'อุบลราชธานี'!J197</f>
        <v>8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>
        <f>'กาฬสินธุ์'!J198+'ขอนแก่น'!J198+'ชัยภูมิ'!J198+'นครพนม'!J198+'นครราชสีมา'!J198+'บึงกาฬ'!J198+'บุรีรัมย์'!J198+'มหาสารคาม'!J198+'มุกดาหาร'!J198+'ยโสธร'!J198+'ร้อยเอ็ด'!J198+'เลย'!J198+'ศรีสะเกษ'!J198+'สกลนคร'!J198+'สุรินทร์'!J198+'หนองคาย'!J198+'หนองบัวลำภู'!J198+'อำนาจเจริญ'!J198+'อุดรธานี'!J198+'อุบลราชธานี'!J198</f>
        <v>0</v>
      </c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'กาฬสินธุ์'!I199+'ขอนแก่น'!I199+'ชัยภูมิ'!I199+'นครพนม'!I199+'นครราชสีมา'!I199+'บึงกาฬ'!I199+'บุรีรัมย์'!I199+'มหาสารคาม'!I199+'มุกดาหาร'!I199+'ยโสธร'!I199+'ร้อยเอ็ด'!I199+'เลย'!I199+'ศรีสะเกษ'!I199+'สกลนคร'!I199+'สุรินทร์'!I199+'หนองคาย'!I199+'หนองบัวลำภู'!I199+'อำนาจเจริญ'!I199+'อุดรธานี'!I199+'อุบลราชธานี'!I199</f>
        <v>943800</v>
      </c>
      <c r="J199" s="223">
        <f>'กาฬสินธุ์'!J199+'ขอนแก่น'!J199+'ชัยภูมิ'!J199+'นครพนม'!J199+'นครราชสีมา'!J199+'บึงกาฬ'!J199+'บุรีรัมย์'!J199+'มหาสารคาม'!J199+'มุกดาหาร'!J199+'ยโสธร'!J199+'ร้อยเอ็ด'!J199+'เลย'!J199+'ศรีสะเกษ'!J199+'สกลนคร'!J199+'สุรินทร์'!J199+'หนองคาย'!J199+'หนองบัวลำภู'!J199+'อำนาจเจริญ'!J199+'อุดรธานี'!J199+'อุบลราชธานี'!J199</f>
        <v>106800</v>
      </c>
      <c r="K199" s="196">
        <f t="shared" ref="K199:K201" si="56">IF(I199&gt;0,J199*100/I199,0)</f>
        <v>11.31595677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'กาฬสินธุ์'!I200+'ขอนแก่น'!I200+'ชัยภูมิ'!I200+'นครพนม'!I200+'นครราชสีมา'!I200+'บึงกาฬ'!I200+'บุรีรัมย์'!I200+'มหาสารคาม'!I200+'มุกดาหาร'!I200+'ยโสธร'!I200+'ร้อยเอ็ด'!I200+'เลย'!I200+'ศรีสะเกษ'!I200+'สกลนคร'!I200+'สุรินทร์'!I200+'หนองคาย'!I200+'หนองบัวลำภู'!I200+'อำนาจเจริญ'!I200+'อุดรธานี'!I200+'อุบลราชธานี'!I200</f>
        <v>943800</v>
      </c>
      <c r="J200" s="223">
        <f>'กาฬสินธุ์'!J200+'ขอนแก่น'!J200+'ชัยภูมิ'!J200+'นครพนม'!J200+'นครราชสีมา'!J200+'บึงกาฬ'!J200+'บุรีรัมย์'!J200+'มหาสารคาม'!J200+'มุกดาหาร'!J200+'ยโสธร'!J200+'ร้อยเอ็ด'!J200+'เลย'!J200+'ศรีสะเกษ'!J200+'สกลนคร'!J200+'สุรินทร์'!J200+'หนองคาย'!J200+'หนองบัวลำภู'!J200+'อำนาจเจริญ'!J200+'อุดรธานี'!J200+'อุบลราชธานี'!J200</f>
        <v>0</v>
      </c>
      <c r="K200" s="196">
        <f t="shared" si="56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'กาฬสินธุ์'!I201+'ขอนแก่น'!I201+'ชัยภูมิ'!I201+'นครพนม'!I201+'นครราชสีมา'!I201+'บึงกาฬ'!I201+'บุรีรัมย์'!I201+'มหาสารคาม'!I201+'มุกดาหาร'!I201+'ยโสธร'!I201+'ร้อยเอ็ด'!I201+'เลย'!I201+'ศรีสะเกษ'!I201+'สกลนคร'!I201+'สุรินทร์'!I201+'หนองคาย'!I201+'หนองบัวลำภู'!I201+'อำนาจเจริญ'!I201+'อุดรธานี'!I201+'อุบลราชธานี'!I201</f>
        <v>60</v>
      </c>
      <c r="J201" s="223">
        <f>'กาฬสินธุ์'!J201+'ขอนแก่น'!J201+'ชัยภูมิ'!J201+'นครพนม'!J201+'นครราชสีมา'!J201+'บึงกาฬ'!J201+'บุรีรัมย์'!J201+'มหาสารคาม'!J201+'มุกดาหาร'!J201+'ยโสธร'!J201+'ร้อยเอ็ด'!J201+'เลย'!J201+'ศรีสะเกษ'!J201+'สกลนคร'!J201+'สุรินทร์'!J201+'หนองคาย'!J201+'หนองบัวลำภู'!J201+'อำนาจเจริญ'!J201+'อุดรธานี'!J201+'อุบลราชธานี'!J201</f>
        <v>15</v>
      </c>
      <c r="K201" s="196">
        <f t="shared" si="56"/>
        <v>25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'กาฬสินธุ์'!J202+'ขอนแก่น'!J202+'ชัยภูมิ'!J202+'นครพนม'!J202+'นครราชสีมา'!J202+'บึงกาฬ'!J202+'บุรีรัมย์'!J202+'มหาสารคาม'!J202+'มุกดาหาร'!J202+'ยโสธร'!J202+'ร้อยเอ็ด'!J202+'เลย'!J202+'ศรีสะเกษ'!J202+'สกลนคร'!J202+'สุรินทร์'!J202+'หนองคาย'!J202+'หนองบัวลำภู'!J202+'อำนาจเจริญ'!J202+'อุดรธานี'!J202+'อุบลราชธานี'!J202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'กาฬสินธุ์'!J203+'ขอนแก่น'!J203+'ชัยภูมิ'!J203+'นครพนม'!J203+'นครราชสีมา'!J203+'บึงกาฬ'!J203+'บุรีรัมย์'!J203+'มหาสารคาม'!J203+'มุกดาหาร'!J203+'ยโสธร'!J203+'ร้อยเอ็ด'!J203+'เลย'!J203+'ศรีสะเกษ'!J203+'สกลนคร'!J203+'สุรินทร์'!J203+'หนองคาย'!J203+'หนองบัวลำภู'!J203+'อำนาจเจริญ'!J203+'อุดรธานี'!J203+'อุบลราชธานี'!J203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'กาฬสินธุ์'!I204+'ขอนแก่น'!I204+'ชัยภูมิ'!I204+'นครพนม'!I204+'นครราชสีมา'!I204+'บึงกาฬ'!I204+'บุรีรัมย์'!I204+'มหาสารคาม'!I204+'มุกดาหาร'!I204+'ยโสธร'!I204+'ร้อยเอ็ด'!I204+'เลย'!I204+'ศรีสะเกษ'!I204+'สกลนคร'!I204+'สุรินทร์'!I204+'หนองคาย'!I204+'หนองบัวลำภู'!I204+'อำนาจเจริญ'!I204+'อุดรธานี'!I204+'อุบลราชธานี'!I204</f>
        <v>100</v>
      </c>
      <c r="J204" s="317">
        <f>'กาฬสินธุ์'!J204+'ขอนแก่น'!J204+'ชัยภูมิ'!J204+'นครพนม'!J204+'นครราชสีมา'!J204+'บึงกาฬ'!J204+'บุรีรัมย์'!J204+'มหาสารคาม'!J204+'มุกดาหาร'!J204+'ยโสธร'!J204+'ร้อยเอ็ด'!J204+'เลย'!J204+'ศรีสะเกษ'!J204+'สกลนคร'!J204+'สุรินทร์'!J204+'หนองคาย'!J204+'หนองบัวลำภู'!J204+'อำนาจเจริญ'!J204+'อุดรธานี'!J204+'อุบลราชธานี'!J204</f>
        <v>80</v>
      </c>
      <c r="K204" s="318">
        <f>IF(I204&gt;0,J204*100/I204,0)</f>
        <v>80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'กาฬสินธุ์'!J209+'ขอนแก่น'!J209+'ชัยภูมิ'!J209+'นครพนม'!J209+'นครราชสีมา'!J209+'บึงกาฬ'!J209+'บุรีรัมย์'!J209+'มหาสารคาม'!J209+'มุกดาหาร'!J209+'ยโสธร'!J209+'ร้อยเอ็ด'!J209+'เลย'!J209+'ศรีสะเกษ'!J209+'สกลนคร'!J209+'สุรินทร์'!J209+'หนองคาย'!J209+'หนองบัวลำภู'!J209+'อำนาจเจริญ'!J209+'อุดรธานี'!J209+'อุบลราชธานี'!J209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'กาฬสินธุ์'!J210+'ขอนแก่น'!J210+'ชัยภูมิ'!J210+'นครพนม'!J210+'นครราชสีมา'!J210+'บึงกาฬ'!J210+'บุรีรัมย์'!J210+'มหาสารคาม'!J210+'มุกดาหาร'!J210+'ยโสธร'!J210+'ร้อยเอ็ด'!J210+'เลย'!J210+'ศรีสะเกษ'!J210+'สกลนคร'!J210+'สุรินทร์'!J210+'หนองคาย'!J210+'หนองบัวลำภู'!J210+'อำนาจเจริญ'!J210+'อุดรธานี'!J210+'อุบลราชธานี'!J210</f>
        <v>3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'กาฬสินธุ์'!J211+'ขอนแก่น'!J211+'ชัยภูมิ'!J211+'นครพนม'!J211+'นครราชสีมา'!J211+'บึงกาฬ'!J211+'บุรีรัมย์'!J211+'มหาสารคาม'!J211+'มุกดาหาร'!J211+'ยโสธร'!J211+'ร้อยเอ็ด'!J211+'เลย'!J211+'ศรีสะเกษ'!J211+'สกลนคร'!J211+'สุรินทร์'!J211+'หนองคาย'!J211+'หนองบัวลำภู'!J211+'อำนาจเจริญ'!J211+'อุดรธานี'!J211+'อุบลราชธานี'!J211</f>
        <v>3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'กาฬสินธุ์'!J212+'ขอนแก่น'!J212+'ชัยภูมิ'!J212+'นครพนม'!J212+'นครราชสีมา'!J212+'บึงกาฬ'!J212+'บุรีรัมย์'!J212+'มหาสารคาม'!J212+'มุกดาหาร'!J212+'ยโสธร'!J212+'ร้อยเอ็ด'!J212+'เลย'!J212+'ศรีสะเกษ'!J212+'สกลนคร'!J212+'สุรินทร์'!J212+'หนองคาย'!J212+'หนองบัวลำภู'!J212+'อำนาจเจริญ'!J212+'อุดรธานี'!J212+'อุบลราชธานี'!J212</f>
        <v>2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'กาฬสินธุ์'!I213+'ขอนแก่น'!I213+'ชัยภูมิ'!I213+'นครพนม'!I213+'นครราชสีมา'!I213+'บึงกาฬ'!I213+'บุรีรัมย์'!I213+'มหาสารคาม'!I213+'มุกดาหาร'!I213+'ยโสธร'!I213+'ร้อยเอ็ด'!I213+'เลย'!I213+'ศรีสะเกษ'!I213+'สกลนคร'!I213+'สุรินทร์'!I213+'หนองคาย'!I213+'หนองบัวลำภู'!I213+'อำนาจเจริญ'!I213+'อุดรธานี'!I213+'อุบลราชธานี'!I213</f>
        <v>100</v>
      </c>
      <c r="J213" s="238">
        <f>'กาฬสินธุ์'!J213+'ขอนแก่น'!J213+'ชัยภูมิ'!J213+'นครพนม'!J213+'นครราชสีมา'!J213+'บึงกาฬ'!J213+'บุรีรัมย์'!J213+'มหาสารคาม'!J213+'มุกดาหาร'!J213+'ยโสธร'!J213+'ร้อยเอ็ด'!J213+'เลย'!J213+'ศรีสะเกษ'!J213+'สกลนคร'!J213+'สุรินทร์'!J213+'หนองคาย'!J213+'หนองบัวลำภู'!J213+'อำนาจเจริญ'!J213+'อุดรธานี'!J213+'อุบลราชธานี'!J213</f>
        <v>80</v>
      </c>
      <c r="K213" s="258">
        <f>IF(I213&gt;0,J213*100/I213,0)</f>
        <v>80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>
        <f>'กาฬสินธุ์'!I214+'ขอนแก่น'!I214+'ชัยภูมิ'!I214+'นครพนม'!I214+'นครราชสีมา'!I214+'บึงกาฬ'!I214+'บุรีรัมย์'!I214+'มหาสารคาม'!I214+'มุกดาหาร'!I214+'ยโสธร'!I214+'ร้อยเอ็ด'!I214+'เลย'!I214+'ศรีสะเกษ'!I214+'สกลนคร'!I214+'สุรินทร์'!I214+'หนองคาย'!I214+'หนองบัวลำภู'!I214+'อำนาจเจริญ'!I214+'อุดรธานี'!I214+'อุบลราชธานี'!I214</f>
        <v>0</v>
      </c>
      <c r="J214" s="222">
        <f>'กาฬสินธุ์'!J214+'ขอนแก่น'!J214+'ชัยภูมิ'!J214+'นครพนม'!J214+'นครราชสีมา'!J214+'บึงกาฬ'!J214+'บุรีรัมย์'!J214+'มหาสารคาม'!J214+'มุกดาหาร'!J214+'ยโสธร'!J214+'ร้อยเอ็ด'!J214+'เลย'!J214+'ศรีสะเกษ'!J214+'สกลนคร'!J214+'สุรินทร์'!J214+'หนองคาย'!J214+'หนองบัวลำภู'!J214+'อำนาจเจริญ'!J214+'อุดรธานี'!J214+'อุบลราชธานี'!J214</f>
        <v>0</v>
      </c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'กาฬสินธุ์'!I215+'ขอนแก่น'!I215+'ชัยภูมิ'!I215+'นครพนม'!I215+'นครราชสีมา'!I215+'บึงกาฬ'!I215+'บุรีรัมย์'!I215+'มหาสารคาม'!I215+'มุกดาหาร'!I215+'ยโสธร'!I215+'ร้อยเอ็ด'!I215+'เลย'!I215+'ศรีสะเกษ'!I215+'สกลนคร'!I215+'สุรินทร์'!I215+'หนองคาย'!I215+'หนองบัวลำภู'!I215+'อำนาจเจริญ'!I215+'อุดรธานี'!I215+'อุบลราชธานี'!I215</f>
        <v>50</v>
      </c>
      <c r="J215" s="238">
        <f>'กาฬสินธุ์'!J215+'ขอนแก่น'!J215+'ชัยภูมิ'!J215+'นครพนม'!J215+'นครราชสีมา'!J215+'บึงกาฬ'!J215+'บุรีรัมย์'!J215+'มหาสารคาม'!J215+'มุกดาหาร'!J215+'ยโสธร'!J215+'ร้อยเอ็ด'!J215+'เลย'!J215+'ศรีสะเกษ'!J215+'สกลนคร'!J215+'สุรินทร์'!J215+'หนองคาย'!J215+'หนองบัวลำภู'!J215+'อำนาจเจริญ'!J215+'อุดรธานี'!J215+'อุบลราชธานี'!J215</f>
        <v>0</v>
      </c>
      <c r="K215" s="258">
        <f t="shared" ref="K215:K216" si="57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'กาฬสินธุ์'!I216+'ขอนแก่น'!I216+'ชัยภูมิ'!I216+'นครพนม'!I216+'นครราชสีมา'!I216+'บึงกาฬ'!I216+'บุรีรัมย์'!I216+'มหาสารคาม'!I216+'มุกดาหาร'!I216+'ยโสธร'!I216+'ร้อยเอ็ด'!I216+'เลย'!I216+'ศรีสะเกษ'!I216+'สกลนคร'!I216+'สุรินทร์'!I216+'หนองคาย'!I216+'หนองบัวลำภู'!I216+'อำนาจเจริญ'!I216+'อุดรธานี'!I216+'อุบลราชธานี'!I216</f>
        <v>16</v>
      </c>
      <c r="J216" s="238">
        <f>'กาฬสินธุ์'!J216+'ขอนแก่น'!J216+'ชัยภูมิ'!J216+'นครพนม'!J216+'นครราชสีมา'!J216+'บึงกาฬ'!J216+'บุรีรัมย์'!J216+'มหาสารคาม'!J216+'มุกดาหาร'!J216+'ยโสธร'!J216+'ร้อยเอ็ด'!J216+'เลย'!J216+'ศรีสะเกษ'!J216+'สกลนคร'!J216+'สุรินทร์'!J216+'หนองคาย'!J216+'หนองบัวลำภู'!J216+'อำนาจเจริญ'!J216+'อุดรธานี'!J216+'อุบลราชธานี'!J216</f>
        <v>0</v>
      </c>
      <c r="K216" s="258">
        <f t="shared" si="57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'กาฬสินธุ์'!J217+'ขอนแก่น'!J217+'ชัยภูมิ'!J217+'นครพนม'!J217+'นครราชสีมา'!J217+'บึงกาฬ'!J217+'บุรีรัมย์'!J217+'มหาสารคาม'!J217+'มุกดาหาร'!J217+'ยโสธร'!J217+'ร้อยเอ็ด'!J217+'เลย'!J217+'ศรีสะเกษ'!J217+'สกลนคร'!J217+'สุรินทร์'!J217+'หนองคาย'!J217+'หนองบัวลำภู'!J217+'อำนาจเจริญ'!J217+'อุดรธานี'!J217+'อุบลราชธานี'!J217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'กาฬสินธุ์'!J218+'ขอนแก่น'!J218+'ชัยภูมิ'!J218+'นครพนม'!J218+'นครราชสีมา'!J218+'บึงกาฬ'!J218+'บุรีรัมย์'!J218+'มหาสารคาม'!J218+'มุกดาหาร'!J218+'ยโสธร'!J218+'ร้อยเอ็ด'!J218+'เลย'!J218+'ศรีสะเกษ'!J218+'สกลนคร'!J218+'สุรินทร์'!J218+'หนองคาย'!J218+'หนองบัวลำภู'!J218+'อำนาจเจริญ'!J218+'อุดรธานี'!J218+'อุบลราชธานี'!J218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'กาฬสินธุ์'!I219+'ขอนแก่น'!I219+'ชัยภูมิ'!I219+'นครพนม'!I219+'นครราชสีมา'!I219+'บึงกาฬ'!I219+'บุรีรัมย์'!I219+'มหาสารคาม'!I219+'มุกดาหาร'!I219+'ยโสธร'!I219+'ร้อยเอ็ด'!I219+'เลย'!I219+'ศรีสะเกษ'!I219+'สกลนคร'!I219+'สุรินทร์'!I219+'หนองคาย'!I219+'หนองบัวลำภู'!I219+'อำนาจเจริญ'!I219+'อุดรธานี'!I219+'อุบลราชธานี'!I219</f>
        <v>276</v>
      </c>
      <c r="J219" s="301">
        <f>'กาฬสินธุ์'!J219+'ขอนแก่น'!J219+'ชัยภูมิ'!J219+'นครพนม'!J219+'นครราชสีมา'!J219+'บึงกาฬ'!J219+'บุรีรัมย์'!J219+'มหาสารคาม'!J219+'มุกดาหาร'!J219+'ยโสธร'!J219+'ร้อยเอ็ด'!J219+'เลย'!J219+'ศรีสะเกษ'!J219+'สกลนคร'!J219+'สุรินทร์'!J219+'หนองคาย'!J219+'หนองบัวลำภู'!J219+'อำนาจเจริญ'!J219+'อุดรธานี'!J219+'อุบลราชธานี'!J219</f>
        <v>219</v>
      </c>
      <c r="K219" s="302">
        <f>IF(I219&gt;0,J219*100/I219,0)</f>
        <v>79.34782609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>'กาฬสินธุ์'!L220+'ขอนแก่น'!L220+'ชัยภูมิ'!L220+'นครพนม'!L220+'นครราชสีมา'!L220+'บึงกาฬ'!L220+'บุรีรัมย์'!L220+'มหาสารคาม'!L220+'มุกดาหาร'!L220+'ยโสธร'!L220+'ร้อยเอ็ด'!L220+'เลย'!L220+'ศรีสะเกษ'!L220+'สกลนคร'!L220+'สุรินทร์'!L220+'หนองคาย'!L220+'หนองบัวลำภู'!L220+'อำนาจเจริญ'!L220+'อุดรธานี'!L220+'อุบลราชธานี'!L220</f>
        <v>400540</v>
      </c>
      <c r="M220" s="183">
        <f>'กาฬสินธุ์'!M220+'ขอนแก่น'!M220+'ชัยภูมิ'!M220+'นครพนม'!M220+'นครราชสีมา'!M220+'บึงกาฬ'!M220+'บุรีรัมย์'!M220+'มหาสารคาม'!M220+'มุกดาหาร'!M220+'ยโสธร'!M220+'ร้อยเอ็ด'!M220+'เลย'!M220+'ศรีสะเกษ'!M220+'สกลนคร'!M220+'สุรินทร์'!M220+'หนองคาย'!M220+'หนองบัวลำภู'!M220+'อำนาจเจริญ'!M220+'อุดรธานี'!M220+'อุบลราชธานี'!M220</f>
        <v>400540</v>
      </c>
      <c r="N220" s="183">
        <f>'กาฬสินธุ์'!N220+'ขอนแก่น'!N220+'ชัยภูมิ'!N220+'นครพนม'!N220+'นครราชสีมา'!N220+'บึงกาฬ'!N220+'บุรีรัมย์'!N220+'มหาสารคาม'!N220+'มุกดาหาร'!N220+'ยโสธร'!N220+'ร้อยเอ็ด'!N220+'เลย'!N220+'ศรีสะเกษ'!N220+'สกลนคร'!N220+'สุรินทร์'!N220+'หนองคาย'!N220+'หนองบัวลำภู'!N220+'อำนาจเจริญ'!N220+'อุดรธานี'!N220+'อุบลราชธานี'!N220</f>
        <v>312312</v>
      </c>
      <c r="O220" s="182">
        <f t="shared" ref="O220:O222" si="58">IF(L220&gt;0,N220*100/L220,0)</f>
        <v>77.97273681</v>
      </c>
      <c r="P220" s="182">
        <f t="shared" ref="P220:P222" si="59">IF(M220&gt;0,N220*100/M220,0)</f>
        <v>77.97273681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>'กาฬสินธุ์'!L221+'ขอนแก่น'!L221+'ชัยภูมิ'!L221+'นครพนม'!L221+'นครราชสีมา'!L221+'บึงกาฬ'!L221+'บุรีรัมย์'!L221+'มหาสารคาม'!L221+'มุกดาหาร'!L221+'ยโสธร'!L221+'ร้อยเอ็ด'!L221+'เลย'!L221+'ศรีสะเกษ'!L221+'สกลนคร'!L221+'สุรินทร์'!L221+'หนองคาย'!L221+'หนองบัวลำภู'!L221+'อำนาจเจริญ'!L221+'อุดรธานี'!L221+'อุบลราชธานี'!L221</f>
        <v>0</v>
      </c>
      <c r="M221" s="188">
        <f>'กาฬสินธุ์'!M221+'ขอนแก่น'!M221+'ชัยภูมิ'!M221+'นครพนม'!M221+'นครราชสีมา'!M221+'บึงกาฬ'!M221+'บุรีรัมย์'!M221+'มหาสารคาม'!M221+'มุกดาหาร'!M221+'ยโสธร'!M221+'ร้อยเอ็ด'!M221+'เลย'!M221+'ศรีสะเกษ'!M221+'สกลนคร'!M221+'สุรินทร์'!M221+'หนองคาย'!M221+'หนองบัวลำภู'!M221+'อำนาจเจริญ'!M221+'อุดรธานี'!M221+'อุบลราชธานี'!M221</f>
        <v>0</v>
      </c>
      <c r="N221" s="188">
        <f>'กาฬสินธุ์'!N221+'ขอนแก่น'!N221+'ชัยภูมิ'!N221+'นครพนม'!N221+'นครราชสีมา'!N221+'บึงกาฬ'!N221+'บุรีรัมย์'!N221+'มหาสารคาม'!N221+'มุกดาหาร'!N221+'ยโสธร'!N221+'ร้อยเอ็ด'!N221+'เลย'!N221+'ศรีสะเกษ'!N221+'สกลนคร'!N221+'สุรินทร์'!N221+'หนองคาย'!N221+'หนองบัวลำภู'!N221+'อำนาจเจริญ'!N221+'อุดรธานี'!N221+'อุบลราชธานี'!N221</f>
        <v>0</v>
      </c>
      <c r="O221" s="187">
        <f t="shared" si="58"/>
        <v>0</v>
      </c>
      <c r="P221" s="187">
        <f t="shared" si="59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>'กาฬสินธุ์'!L222+'ขอนแก่น'!L222+'ชัยภูมิ'!L222+'นครพนม'!L222+'นครราชสีมา'!L222+'บึงกาฬ'!L222+'บุรีรัมย์'!L222+'มหาสารคาม'!L222+'มุกดาหาร'!L222+'ยโสธร'!L222+'ร้อยเอ็ด'!L222+'เลย'!L222+'ศรีสะเกษ'!L222+'สกลนคร'!L222+'สุรินทร์'!L222+'หนองคาย'!L222+'หนองบัวลำภู'!L222+'อำนาจเจริญ'!L222+'อุดรธานี'!L222+'อุบลราชธานี'!L222</f>
        <v>400540</v>
      </c>
      <c r="M222" s="188">
        <f>'กาฬสินธุ์'!M222+'ขอนแก่น'!M222+'ชัยภูมิ'!M222+'นครพนม'!M222+'นครราชสีมา'!M222+'บึงกาฬ'!M222+'บุรีรัมย์'!M222+'มหาสารคาม'!M222+'มุกดาหาร'!M222+'ยโสธร'!M222+'ร้อยเอ็ด'!M222+'เลย'!M222+'ศรีสะเกษ'!M222+'สกลนคร'!M222+'สุรินทร์'!M222+'หนองคาย'!M222+'หนองบัวลำภู'!M222+'อำนาจเจริญ'!M222+'อุดรธานี'!M222+'อุบลราชธานี'!M222</f>
        <v>400540</v>
      </c>
      <c r="N222" s="188">
        <f>'กาฬสินธุ์'!N222+'ขอนแก่น'!N222+'ชัยภูมิ'!N222+'นครพนม'!N222+'นครราชสีมา'!N222+'บึงกาฬ'!N222+'บุรีรัมย์'!N222+'มหาสารคาม'!N222+'มุกดาหาร'!N222+'ยโสธร'!N222+'ร้อยเอ็ด'!N222+'เลย'!N222+'ศรีสะเกษ'!N222+'สกลนคร'!N222+'สุรินทร์'!N222+'หนองคาย'!N222+'หนองบัวลำภู'!N222+'อำนาจเจริญ'!N222+'อุดรธานี'!N222+'อุบลราชธานี'!N222</f>
        <v>312312</v>
      </c>
      <c r="O222" s="187">
        <f t="shared" si="58"/>
        <v>77.97273681</v>
      </c>
      <c r="P222" s="187">
        <f t="shared" si="59"/>
        <v>77.97273681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f>'กาฬสินธุ์'!L223+'ขอนแก่น'!L223+'ชัยภูมิ'!L223+'นครพนม'!L223+'นครราชสีมา'!L223+'บึงกาฬ'!L223+'บุรีรัมย์'!L223+'มหาสารคาม'!L223+'มุกดาหาร'!L223+'ยโสธร'!L223+'ร้อยเอ็ด'!L223+'เลย'!L223+'ศรีสะเกษ'!L223+'สกลนคร'!L223+'สุรินทร์'!L223+'หนองคาย'!L223+'หนองบัวลำภู'!L223+'อำนาจเจริญ'!L223+'อุดรธานี'!L223+'อุบลราชธานี'!L223</f>
        <v>0</v>
      </c>
      <c r="M223" s="197">
        <f>'กาฬสินธุ์'!M223+'ขอนแก่น'!M223+'ชัยภูมิ'!M223+'นครพนม'!M223+'นครราชสีมา'!M223+'บึงกาฬ'!M223+'บุรีรัมย์'!M223+'มหาสารคาม'!M223+'มุกดาหาร'!M223+'ยโสธร'!M223+'ร้อยเอ็ด'!M223+'เลย'!M223+'ศรีสะเกษ'!M223+'สกลนคร'!M223+'สุรินทร์'!M223+'หนองคาย'!M223+'หนองบัวลำภู'!M223+'อำนาจเจริญ'!M223+'อุดรธานี'!M223+'อุบลราชธานี'!M223</f>
        <v>0</v>
      </c>
      <c r="N223" s="197">
        <f>'กาฬสินธุ์'!N223+'ขอนแก่น'!N223+'ชัยภูมิ'!N223+'นครพนม'!N223+'นครราชสีมา'!N223+'บึงกาฬ'!N223+'บุรีรัมย์'!N223+'มหาสารคาม'!N223+'มุกดาหาร'!N223+'ยโสธร'!N223+'ร้อยเอ็ด'!N223+'เลย'!N223+'ศรีสะเกษ'!N223+'สกลนคร'!N223+'สุรินทร์'!N223+'หนองคาย'!N223+'หนองบัวลำภู'!N223+'อำนาจเจริญ'!N223+'อุดรธานี'!N223+'อุบลราชธานี'!N223</f>
        <v>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'กาฬสินธุ์'!L224+'ขอนแก่น'!L224+'ชัยภูมิ'!L224+'นครพนม'!L224+'นครราชสีมา'!L224+'บึงกาฬ'!L224+'บุรีรัมย์'!L224+'มหาสารคาม'!L224+'มุกดาหาร'!L224+'ยโสธร'!L224+'ร้อยเอ็ด'!L224+'เลย'!L224+'ศรีสะเกษ'!L224+'สกลนคร'!L224+'สุรินทร์'!L224+'หนองคาย'!L224+'หนองบัวลำภู'!L224+'อำนาจเจริญ'!L224+'อุดรธานี'!L224+'อุบลราชธานี'!L224</f>
        <v>400540</v>
      </c>
      <c r="M224" s="201">
        <f>'กาฬสินธุ์'!M224+'ขอนแก่น'!M224+'ชัยภูมิ'!M224+'นครพนม'!M224+'นครราชสีมา'!M224+'บึงกาฬ'!M224+'บุรีรัมย์'!M224+'มหาสารคาม'!M224+'มุกดาหาร'!M224+'ยโสธร'!M224+'ร้อยเอ็ด'!M224+'เลย'!M224+'ศรีสะเกษ'!M224+'สกลนคร'!M224+'สุรินทร์'!M224+'หนองคาย'!M224+'หนองบัวลำภู'!M224+'อำนาจเจริญ'!M224+'อุดรธานี'!M224+'อุบลราชธานี'!M224</f>
        <v>400540</v>
      </c>
      <c r="N224" s="202">
        <f>'กาฬสินธุ์'!N224+'ขอนแก่น'!N224+'ชัยภูมิ'!N224+'นครพนม'!N224+'นครราชสีมา'!N224+'บึงกาฬ'!N224+'บุรีรัมย์'!N224+'มหาสารคาม'!N224+'มุกดาหาร'!N224+'ยโสธร'!N224+'ร้อยเอ็ด'!N224+'เลย'!N224+'ศรีสะเกษ'!N224+'สกลนคร'!N224+'สุรินทร์'!N224+'หนองคาย'!N224+'หนองบัวลำภู'!N224+'อำนาจเจริญ'!N224+'อุดรธานี'!N224+'อุบลราชธานี'!N224</f>
        <v>312312</v>
      </c>
      <c r="O224" s="203">
        <f>IF(L224&gt;0,N224*100/L224,0)</f>
        <v>77.97273681</v>
      </c>
      <c r="P224" s="203">
        <f>IF(M224&gt;0,N224*100/M224,0)</f>
        <v>77.97273681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'กาฬสินธุ์'!L225+'ขอนแก่น'!L225+'ชัยภูมิ'!L225+'นครพนม'!L225+'นครราชสีมา'!L225+'บึงกาฬ'!L225+'บุรีรัมย์'!L225+'มหาสารคาม'!L225+'มุกดาหาร'!L225+'ยโสธร'!L225+'ร้อยเอ็ด'!L225+'เลย'!L225+'ศรีสะเกษ'!L225+'สกลนคร'!L225+'สุรินทร์'!L225+'หนองคาย'!L225+'หนองบัวลำภู'!L225+'อำนาจเจริญ'!L225+'อุดรธานี'!L225+'อุบลราชธานี'!L225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'กาฬสินธุ์'!L226+'ขอนแก่น'!L226+'ชัยภูมิ'!L226+'นครพนม'!L226+'นครราชสีมา'!L226+'บึงกาฬ'!L226+'บุรีรัมย์'!L226+'มหาสารคาม'!L226+'มุกดาหาร'!L226+'ยโสธร'!L226+'ร้อยเอ็ด'!L226+'เลย'!L226+'ศรีสะเกษ'!L226+'สกลนคร'!L226+'สุรินทร์'!L226+'หนองคาย'!L226+'หนองบัวลำภู'!L226+'อำนาจเจริญ'!L226+'อุดรธานี'!L226+'อุบลราชธานี'!L226</f>
        <v>400540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f>'กาฬสินธุ์'!L227+'ขอนแก่น'!L227+'ชัยภูมิ'!L227+'นครพนม'!L227+'นครราชสีมา'!L227+'บึงกาฬ'!L227+'บุรีรัมย์'!L227+'มหาสารคาม'!L227+'มุกดาหาร'!L227+'ยโสธร'!L227+'ร้อยเอ็ด'!L227+'เลย'!L227+'ศรีสะเกษ'!L227+'สกลนคร'!L227+'สุรินทร์'!L227+'หนองคาย'!L227+'หนองบัวลำภู'!L227+'อำนาจเจริญ'!L227+'อุดรธานี'!L227+'อุบลราชธานี'!L227</f>
        <v>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'กาฬสินธุ์'!L228+'ขอนแก่น'!L228+'ชัยภูมิ'!L228+'นครพนม'!L228+'นครราชสีมา'!L228+'บึงกาฬ'!L228+'บุรีรัมย์'!L228+'มหาสารคาม'!L228+'มุกดาหาร'!L228+'ยโสธร'!L228+'ร้อยเอ็ด'!L228+'เลย'!L228+'ศรีสะเกษ'!L228+'สกลนคร'!L228+'สุรินทร์'!L228+'หนองคาย'!L228+'หนองบัวลำภู'!L228+'อำนาจเจริญ'!L228+'อุดรธานี'!L228+'อุบลราชธานี'!L228</f>
        <v>0</v>
      </c>
      <c r="M228" s="125"/>
      <c r="N228" s="115">
        <f>'กาฬสินธุ์'!N228+'ขอนแก่น'!N228+'ชัยภูมิ'!N228+'นครพนม'!N228+'นครราชสีมา'!N228+'บึงกาฬ'!N228+'บุรีรัมย์'!N228+'มหาสารคาม'!N228+'มุกดาหาร'!N228+'ยโสธร'!N228+'ร้อยเอ็ด'!N228+'เลย'!N228+'ศรีสะเกษ'!N228+'สกลนคร'!N228+'สุรินทร์'!N228+'หนองคาย'!N228+'หนองบัวลำภู'!N228+'อำนาจเจริญ'!N228+'อุดรธานี'!N228+'อุบลราชธานี'!N228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'กาฬสินธุ์'!I229+'ขอนแก่น'!I229+'ชัยภูมิ'!I229+'นครพนม'!I229+'นครราชสีมา'!I229+'บึงกาฬ'!I229+'บุรีรัมย์'!I229+'มหาสารคาม'!I229+'มุกดาหาร'!I229+'ยโสธร'!I229+'ร้อยเอ็ด'!I229+'เลย'!I229+'ศรีสะเกษ'!I229+'สกลนคร'!I229+'สุรินทร์'!I229+'หนองคาย'!I229+'หนองบัวลำภู'!I229+'อำนาจเจริญ'!I229+'อุดรธานี'!I229+'อุบลราชธานี'!I229</f>
        <v>276</v>
      </c>
      <c r="J229" s="301">
        <f>'กาฬสินธุ์'!J229+'ขอนแก่น'!J229+'ชัยภูมิ'!J229+'นครพนม'!J229+'นครราชสีมา'!J229+'บึงกาฬ'!J229+'บุรีรัมย์'!J229+'มหาสารคาม'!J229+'มุกดาหาร'!J229+'ยโสธร'!J229+'ร้อยเอ็ด'!J229+'เลย'!J229+'ศรีสะเกษ'!J229+'สกลนคร'!J229+'สุรินทร์'!J229+'หนองคาย'!J229+'หนองบัวลำภู'!J229+'อำนาจเจริญ'!J229+'อุดรธานี'!J229+'อุบลราชธานี'!J229</f>
        <v>219</v>
      </c>
      <c r="K229" s="302">
        <f>IF(I229&gt;0,J229*100/I229,0)</f>
        <v>79.34782609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'กาฬสินธุ์'!J231+'ขอนแก่น'!J231+'ชัยภูมิ'!J231+'นครพนม'!J231+'นครราชสีมา'!J231+'บึงกาฬ'!J231+'บุรีรัมย์'!J231+'มหาสารคาม'!J231+'มุกดาหาร'!J231+'ยโสธร'!J231+'ร้อยเอ็ด'!J231+'เลย'!J231+'ศรีสะเกษ'!J231+'สกลนคร'!J231+'สุรินทร์'!J231+'หนองคาย'!J231+'หนองบัวลำภู'!J231+'อำนาจเจริญ'!J231+'อุดรธานี'!J231+'อุบลราชธานี'!J231</f>
        <v>1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'กาฬสินธุ์'!J232+'ขอนแก่น'!J232+'ชัยภูมิ'!J232+'นครพนม'!J232+'นครราชสีมา'!J232+'บึงกาฬ'!J232+'บุรีรัมย์'!J232+'มหาสารคาม'!J232+'มุกดาหาร'!J232+'ยโสธร'!J232+'ร้อยเอ็ด'!J232+'เลย'!J232+'ศรีสะเกษ'!J232+'สกลนคร'!J232+'สุรินทร์'!J232+'หนองคาย'!J232+'หนองบัวลำภู'!J232+'อำนาจเจริญ'!J232+'อุดรธานี'!J232+'อุบลราชธานี'!J232</f>
        <v>17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'กาฬสินธุ์'!J233+'ขอนแก่น'!J233+'ชัยภูมิ'!J233+'นครพนม'!J233+'นครราชสีมา'!J233+'บึงกาฬ'!J233+'บุรีรัมย์'!J233+'มหาสารคาม'!J233+'มุกดาหาร'!J233+'ยโสธร'!J233+'ร้อยเอ็ด'!J233+'เลย'!J233+'ศรีสะเกษ'!J233+'สกลนคร'!J233+'สุรินทร์'!J233+'หนองคาย'!J233+'หนองบัวลำภู'!J233+'อำนาจเจริญ'!J233+'อุดรธานี'!J233+'อุบลราชธานี'!J233</f>
        <v>19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'กาฬสินธุ์'!J234+'ขอนแก่น'!J234+'ชัยภูมิ'!J234+'นครพนม'!J234+'นครราชสีมา'!J234+'บึงกาฬ'!J234+'บุรีรัมย์'!J234+'มหาสารคาม'!J234+'มุกดาหาร'!J234+'ยโสธร'!J234+'ร้อยเอ็ด'!J234+'เลย'!J234+'ศรีสะเกษ'!J234+'สกลนคร'!J234+'สุรินทร์'!J234+'หนองคาย'!J234+'หนองบัวลำภู'!J234+'อำนาจเจริญ'!J234+'อุดรธานี'!J234+'อุบลราชธานี'!J234</f>
        <v>13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'กาฬสินธุ์'!I235+'ขอนแก่น'!I235+'ชัยภูมิ'!I235+'นครพนม'!I235+'นครราชสีมา'!I235+'บึงกาฬ'!I235+'บุรีรัมย์'!I235+'มหาสารคาม'!I235+'มุกดาหาร'!I235+'ยโสธร'!I235+'ร้อยเอ็ด'!I235+'เลย'!I235+'ศรีสะเกษ'!I235+'สกลนคร'!I235+'สุรินทร์'!I235+'หนองคาย'!I235+'หนองบัวลำภู'!I235+'อำนาจเจริญ'!I235+'อุดรธานี'!I235+'อุบลราชธานี'!I235</f>
        <v>276</v>
      </c>
      <c r="J235" s="223">
        <f>'กาฬสินธุ์'!J235+'ขอนแก่น'!J235+'ชัยภูมิ'!J235+'นครพนม'!J235+'นครราชสีมา'!J235+'บึงกาฬ'!J235+'บุรีรัมย์'!J235+'มหาสารคาม'!J235+'มุกดาหาร'!J235+'ยโสธร'!J235+'ร้อยเอ็ด'!J235+'เลย'!J235+'ศรีสะเกษ'!J235+'สกลนคร'!J235+'สุรินทร์'!J235+'หนองคาย'!J235+'หนองบัวลำภู'!J235+'อำนาจเจริญ'!J235+'อุดรธานี'!J235+'อุบลราชธานี'!J235</f>
        <v>219</v>
      </c>
      <c r="K235" s="196">
        <f>IF(I235&gt;0,J235*100/I235,0)</f>
        <v>79.34782609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'กาฬสินธุ์'!J236+'ขอนแก่น'!J236+'ชัยภูมิ'!J236+'นครพนม'!J236+'นครราชสีมา'!J236+'บึงกาฬ'!J236+'บุรีรัมย์'!J236+'มหาสารคาม'!J236+'มุกดาหาร'!J236+'ยโสธร'!J236+'ร้อยเอ็ด'!J236+'เลย'!J236+'ศรีสะเกษ'!J236+'สกลนคร'!J236+'สุรินทร์'!J236+'หนองคาย'!J236+'หนองบัวลำภู'!J236+'อำนาจเจริญ'!J236+'อุดรธานี'!J236+'อุบลราชธานี'!J236</f>
        <v>2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'กาฬสินธุ์'!J237+'ขอนแก่น'!J237+'ชัยภูมิ'!J237+'นครพนม'!J237+'นครราชสีมา'!J237+'บึงกาฬ'!J237+'บุรีรัมย์'!J237+'มหาสารคาม'!J237+'มุกดาหาร'!J237+'ยโสธร'!J237+'ร้อยเอ็ด'!J237+'เลย'!J237+'ศรีสะเกษ'!J237+'สกลนคร'!J237+'สุรินทร์'!J237+'หนองคาย'!J237+'หนองบัวลำภู'!J237+'อำนาจเจริญ'!J237+'อุดรธานี'!J237+'อุบลราชธานี'!J237</f>
        <v>1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'กาฬสินธุ์'!I238+'ขอนแก่น'!I238+'ชัยภูมิ'!I238+'นครพนม'!I238+'นครราชสีมา'!I238+'บึงกาฬ'!I238+'บุรีรัมย์'!I238+'มหาสารคาม'!I238+'มุกดาหาร'!I238+'ยโสธร'!I238+'ร้อยเอ็ด'!I238+'เลย'!I238+'ศรีสะเกษ'!I238+'สกลนคร'!I238+'สุรินทร์'!I238+'หนองคาย'!I238+'หนองบัวลำภู'!I238+'อำนาจเจริญ'!I238+'อุดรธานี'!I238+'อุบลราชธานี'!I238</f>
        <v>0</v>
      </c>
      <c r="J238" s="301">
        <f>'กาฬสินธุ์'!J238+'ขอนแก่น'!J238+'ชัยภูมิ'!J238+'นครพนม'!J238+'นครราชสีมา'!J238+'บึงกาฬ'!J238+'บุรีรัมย์'!J238+'มหาสารคาม'!J238+'มุกดาหาร'!J238+'ยโสธร'!J238+'ร้อยเอ็ด'!J238+'เลย'!J238+'ศรีสะเกษ'!J238+'สกลนคร'!J238+'สุรินทร์'!J238+'หนองคาย'!J238+'หนองบัวลำภู'!J238+'อำนาจเจริญ'!J238+'อุดรธานี'!J238+'อุบลราชธานี'!J238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IFERROR(__xludf.DUMMYFUNCTION("IMPORTRANGE(""https://docs.google.com/spreadsheets/d/1SX6NBoVAgQJ6U1MVXOaj8PK2l7WJ3RER9xtqwdhxkhw/edit?usp=sharing"",""กาญจนบุรี!J159"")"),"")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'กาฬสินธุ์'!J241+'ขอนแก่น'!J241+'ชัยภูมิ'!J241+'นครพนม'!J241+'นครราชสีมา'!J241+'บึงกาฬ'!J241+'บุรีรัมย์'!J241+'มหาสารคาม'!J241+'มุกดาหาร'!J241+'ยโสธร'!J241+'ร้อยเอ็ด'!J241+'เลย'!J241+'ศรีสะเกษ'!J241+'สกลนคร'!J241+'สุรินทร์'!J241+'หนองคาย'!J241+'หนองบัวลำภู'!J241+'อำนาจเจริญ'!J241+'อุดรธานี'!J241+'อุบลราชธานี'!J241</f>
        <v>1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'กาฬสินธุ์'!J242+'ขอนแก่น'!J242+'ชัยภูมิ'!J242+'นครพนม'!J242+'นครราชสีมา'!J242+'บึงกาฬ'!J242+'บุรีรัมย์'!J242+'มหาสารคาม'!J242+'มุกดาหาร'!J242+'ยโสธร'!J242+'ร้อยเอ็ด'!J242+'เลย'!J242+'ศรีสะเกษ'!J242+'สกลนคร'!J242+'สุรินทร์'!J242+'หนองคาย'!J242+'หนองบัวลำภู'!J242+'อำนาจเจริญ'!J242+'อุดรธานี'!J242+'อุบลราชธานี'!J242</f>
        <v>1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'กาฬสินธุ์'!J243+'ขอนแก่น'!J243+'ชัยภูมิ'!J243+'นครพนม'!J243+'นครราชสีมา'!J243+'บึงกาฬ'!J243+'บุรีรัมย์'!J243+'มหาสารคาม'!J243+'มุกดาหาร'!J243+'ยโสธร'!J243+'ร้อยเอ็ด'!J243+'เลย'!J243+'ศรีสะเกษ'!J243+'สกลนคร'!J243+'สุรินทร์'!J243+'หนองคาย'!J243+'หนองบัวลำภู'!J243+'อำนาจเจริญ'!J243+'อุดรธานี'!J243+'อุบลราชธานี'!J243</f>
        <v>1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'กาฬสินธุ์'!I244+'ขอนแก่น'!I244+'ชัยภูมิ'!I244+'นครพนม'!I244+'นครราชสีมา'!I244+'บึงกาฬ'!I244+'บุรีรัมย์'!I244+'มหาสารคาม'!I244+'มุกดาหาร'!I244+'ยโสธร'!I244+'ร้อยเอ็ด'!I244+'เลย'!I244+'ศรีสะเกษ'!I244+'สกลนคร'!I244+'สุรินทร์'!I244+'หนองคาย'!I244+'หนองบัวลำภู'!I244+'อำนาจเจริญ'!I244+'อุดรธานี'!I244+'อุบลราชธานี'!I244</f>
        <v>0</v>
      </c>
      <c r="J244" s="222">
        <f>'กาฬสินธุ์'!J244+'ขอนแก่น'!J244+'ชัยภูมิ'!J244+'นครพนม'!J244+'นครราชสีมา'!J244+'บึงกาฬ'!J244+'บุรีรัมย์'!J244+'มหาสารคาม'!J244+'มุกดาหาร'!J244+'ยโสธร'!J244+'ร้อยเอ็ด'!J244+'เลย'!J244+'ศรีสะเกษ'!J244+'สกลนคร'!J244+'สุรินทร์'!J244+'หนองคาย'!J244+'หนองบัวลำภู'!J244+'อำนาจเจริญ'!J244+'อุดรธานี'!J244+'อุบลราชธานี'!J244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'กาฬสินธุ์'!J245+'ขอนแก่น'!J245+'ชัยภูมิ'!J245+'นครพนม'!J245+'นครราชสีมา'!J245+'บึงกาฬ'!J245+'บุรีรัมย์'!J245+'มหาสารคาม'!J245+'มุกดาหาร'!J245+'ยโสธร'!J245+'ร้อยเอ็ด'!J245+'เลย'!J245+'ศรีสะเกษ'!J245+'สกลนคร'!J245+'สุรินทร์'!J245+'หนองคาย'!J245+'หนองบัวลำภู'!J245+'อำนาจเจริญ'!J245+'อุดรธานี'!J245+'อุบลราชธานี'!J245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'กาฬสินธุ์'!J246+'ขอนแก่น'!J246+'ชัยภูมิ'!J246+'นครพนม'!J246+'นครราชสีมา'!J246+'บึงกาฬ'!J246+'บุรีรัมย์'!J246+'มหาสารคาม'!J246+'มุกดาหาร'!J246+'ยโสธร'!J246+'ร้อยเอ็ด'!J246+'เลย'!J246+'ศรีสะเกษ'!J246+'สกลนคร'!J246+'สุรินทร์'!J246+'หนองคาย'!J246+'หนองบัวลำภู'!J246+'อำนาจเจริญ'!J246+'อุดรธานี'!J246+'อุบลราชธานี'!J246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'กาฬสินธุ์'!I249+'ขอนแก่น'!I249+'ชัยภูมิ'!I249+'นครพนม'!I249+'นครราชสีมา'!I249+'บึงกาฬ'!I249+'บุรีรัมย์'!I249+'มหาสารคาม'!I249+'มุกดาหาร'!I249+'ยโสธร'!I249+'ร้อยเอ็ด'!I249+'เลย'!I249+'ศรีสะเกษ'!I249+'สกลนคร'!I249+'สุรินทร์'!I249+'หนองคาย'!I249+'หนองบัวลำภู'!I249+'อำนาจเจริญ'!I249+'อุดรธานี'!I249+'อุบลราชธานี'!I249</f>
        <v>240</v>
      </c>
      <c r="J249" s="349">
        <f>'กาฬสินธุ์'!J249+'ขอนแก่น'!J249+'ชัยภูมิ'!J249+'นครพนม'!J249+'นครราชสีมา'!J249+'บึงกาฬ'!J249+'บุรีรัมย์'!J249+'มหาสารคาม'!J249+'มุกดาหาร'!J249+'ยโสธร'!J249+'ร้อยเอ็ด'!J249+'เลย'!J249+'ศรีสะเกษ'!J249+'สกลนคร'!J249+'สุรินทร์'!J249+'หนองคาย'!J249+'หนองบัวลำภู'!J249+'อำนาจเจริญ'!J249+'อุดรธานี'!J249+'อุบลราชธานี'!J249</f>
        <v>108</v>
      </c>
      <c r="K249" s="350">
        <f>IF(I249&gt;0,J249*100/I249,0)</f>
        <v>45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>'กาฬสินธุ์'!L250+'ขอนแก่น'!L250+'ชัยภูมิ'!L250+'นครพนม'!L250+'นครราชสีมา'!L250+'บึงกาฬ'!L250+'บุรีรัมย์'!L250+'มหาสารคาม'!L250+'มุกดาหาร'!L250+'ยโสธร'!L250+'ร้อยเอ็ด'!L250+'เลย'!L250+'ศรีสะเกษ'!L250+'สกลนคร'!L250+'สุรินทร์'!L250+'หนองคาย'!L250+'หนองบัวลำภู'!L250+'อำนาจเจริญ'!L250+'อุดรธานี'!L250+'อุบลราชธานี'!L250</f>
        <v>1364900</v>
      </c>
      <c r="M250" s="183">
        <f>'กาฬสินธุ์'!M250+'ขอนแก่น'!M250+'ชัยภูมิ'!M250+'นครพนม'!M250+'นครราชสีมา'!M250+'บึงกาฬ'!M250+'บุรีรัมย์'!M250+'มหาสารคาม'!M250+'มุกดาหาร'!M250+'ยโสธร'!M250+'ร้อยเอ็ด'!M250+'เลย'!M250+'ศรีสะเกษ'!M250+'สกลนคร'!M250+'สุรินทร์'!M250+'หนองคาย'!M250+'หนองบัวลำภู'!M250+'อำนาจเจริญ'!M250+'อุดรธานี'!M250+'อุบลราชธานี'!M250</f>
        <v>677000</v>
      </c>
      <c r="N250" s="183">
        <f>'กาฬสินธุ์'!N250+'ขอนแก่น'!N250+'ชัยภูมิ'!N250+'นครพนม'!N250+'นครราชสีมา'!N250+'บึงกาฬ'!N250+'บุรีรัมย์'!N250+'มหาสารคาม'!N250+'มุกดาหาร'!N250+'ยโสธร'!N250+'ร้อยเอ็ด'!N250+'เลย'!N250+'ศรีสะเกษ'!N250+'สกลนคร'!N250+'สุรินทร์'!N250+'หนองคาย'!N250+'หนองบัวลำภู'!N250+'อำนาจเจริญ'!N250+'อุดรธานี'!N250+'อุบลราชธานี'!N250</f>
        <v>310182</v>
      </c>
      <c r="O250" s="182">
        <f t="shared" ref="O250:O252" si="60">IF(L250&gt;0,N250*100/L250,0)</f>
        <v>22.72562092</v>
      </c>
      <c r="P250" s="182">
        <f t="shared" ref="P250:P252" si="61">IF(M250&gt;0,N250*100/M250,0)</f>
        <v>45.81713442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>'กาฬสินธุ์'!L251+'ขอนแก่น'!L251+'ชัยภูมิ'!L251+'นครพนม'!L251+'นครราชสีมา'!L251+'บึงกาฬ'!L251+'บุรีรัมย์'!L251+'มหาสารคาม'!L251+'มุกดาหาร'!L251+'ยโสธร'!L251+'ร้อยเอ็ด'!L251+'เลย'!L251+'ศรีสะเกษ'!L251+'สกลนคร'!L251+'สุรินทร์'!L251+'หนองคาย'!L251+'หนองบัวลำภู'!L251+'อำนาจเจริญ'!L251+'อุดรธานี'!L251+'อุบลราชธานี'!L251</f>
        <v>0</v>
      </c>
      <c r="M251" s="188">
        <f>'กาฬสินธุ์'!M251+'ขอนแก่น'!M251+'ชัยภูมิ'!M251+'นครพนม'!M251+'นครราชสีมา'!M251+'บึงกาฬ'!M251+'บุรีรัมย์'!M251+'มหาสารคาม'!M251+'มุกดาหาร'!M251+'ยโสธร'!M251+'ร้อยเอ็ด'!M251+'เลย'!M251+'ศรีสะเกษ'!M251+'สกลนคร'!M251+'สุรินทร์'!M251+'หนองคาย'!M251+'หนองบัวลำภู'!M251+'อำนาจเจริญ'!M251+'อุดรธานี'!M251+'อุบลราชธานี'!M251</f>
        <v>0</v>
      </c>
      <c r="N251" s="188">
        <f>'กาฬสินธุ์'!N251+'ขอนแก่น'!N251+'ชัยภูมิ'!N251+'นครพนม'!N251+'นครราชสีมา'!N251+'บึงกาฬ'!N251+'บุรีรัมย์'!N251+'มหาสารคาม'!N251+'มุกดาหาร'!N251+'ยโสธร'!N251+'ร้อยเอ็ด'!N251+'เลย'!N251+'ศรีสะเกษ'!N251+'สกลนคร'!N251+'สุรินทร์'!N251+'หนองคาย'!N251+'หนองบัวลำภู'!N251+'อำนาจเจริญ'!N251+'อุดรธานี'!N251+'อุบลราชธานี'!N251</f>
        <v>0</v>
      </c>
      <c r="O251" s="187">
        <f t="shared" si="60"/>
        <v>0</v>
      </c>
      <c r="P251" s="187">
        <f t="shared" si="6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>'กาฬสินธุ์'!L252+'ขอนแก่น'!L252+'ชัยภูมิ'!L252+'นครพนม'!L252+'นครราชสีมา'!L252+'บึงกาฬ'!L252+'บุรีรัมย์'!L252+'มหาสารคาม'!L252+'มุกดาหาร'!L252+'ยโสธร'!L252+'ร้อยเอ็ด'!L252+'เลย'!L252+'ศรีสะเกษ'!L252+'สกลนคร'!L252+'สุรินทร์'!L252+'หนองคาย'!L252+'หนองบัวลำภู'!L252+'อำนาจเจริญ'!L252+'อุดรธานี'!L252+'อุบลราชธานี'!L252</f>
        <v>1364900</v>
      </c>
      <c r="M252" s="188">
        <f>'กาฬสินธุ์'!M252+'ขอนแก่น'!M252+'ชัยภูมิ'!M252+'นครพนม'!M252+'นครราชสีมา'!M252+'บึงกาฬ'!M252+'บุรีรัมย์'!M252+'มหาสารคาม'!M252+'มุกดาหาร'!M252+'ยโสธร'!M252+'ร้อยเอ็ด'!M252+'เลย'!M252+'ศรีสะเกษ'!M252+'สกลนคร'!M252+'สุรินทร์'!M252+'หนองคาย'!M252+'หนองบัวลำภู'!M252+'อำนาจเจริญ'!M252+'อุดรธานี'!M252+'อุบลราชธานี'!M252</f>
        <v>677000</v>
      </c>
      <c r="N252" s="188">
        <f>'กาฬสินธุ์'!N252+'ขอนแก่น'!N252+'ชัยภูมิ'!N252+'นครพนม'!N252+'นครราชสีมา'!N252+'บึงกาฬ'!N252+'บุรีรัมย์'!N252+'มหาสารคาม'!N252+'มุกดาหาร'!N252+'ยโสธร'!N252+'ร้อยเอ็ด'!N252+'เลย'!N252+'ศรีสะเกษ'!N252+'สกลนคร'!N252+'สุรินทร์'!N252+'หนองคาย'!N252+'หนองบัวลำภู'!N252+'อำนาจเจริญ'!N252+'อุดรธานี'!N252+'อุบลราชธานี'!N252</f>
        <v>310182</v>
      </c>
      <c r="O252" s="187">
        <f t="shared" si="60"/>
        <v>22.72562092</v>
      </c>
      <c r="P252" s="187">
        <f t="shared" si="61"/>
        <v>45.81713442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f>'กาฬสินธุ์'!L253+'ขอนแก่น'!L253+'ชัยภูมิ'!L253+'นครพนม'!L253+'นครราชสีมา'!L253+'บึงกาฬ'!L253+'บุรีรัมย์'!L253+'มหาสารคาม'!L253+'มุกดาหาร'!L253+'ยโสธร'!L253+'ร้อยเอ็ด'!L253+'เลย'!L253+'ศรีสะเกษ'!L253+'สกลนคร'!L253+'สุรินทร์'!L253+'หนองคาย'!L253+'หนองบัวลำภู'!L253+'อำนาจเจริญ'!L253+'อุดรธานี'!L253+'อุบลราชธานี'!L253</f>
        <v>0</v>
      </c>
      <c r="M253" s="197">
        <f>'กาฬสินธุ์'!M253+'ขอนแก่น'!M253+'ชัยภูมิ'!M253+'นครพนม'!M253+'นครราชสีมา'!M253+'บึงกาฬ'!M253+'บุรีรัมย์'!M253+'มหาสารคาม'!M253+'มุกดาหาร'!M253+'ยโสธร'!M253+'ร้อยเอ็ด'!M253+'เลย'!M253+'ศรีสะเกษ'!M253+'สกลนคร'!M253+'สุรินทร์'!M253+'หนองคาย'!M253+'หนองบัวลำภู'!M253+'อำนาจเจริญ'!M253+'อุดรธานี'!M253+'อุบลราชธานี'!M253</f>
        <v>0</v>
      </c>
      <c r="N253" s="197">
        <f>'กาฬสินธุ์'!N253+'ขอนแก่น'!N253+'ชัยภูมิ'!N253+'นครพนม'!N253+'นครราชสีมา'!N253+'บึงกาฬ'!N253+'บุรีรัมย์'!N253+'มหาสารคาม'!N253+'มุกดาหาร'!N253+'ยโสธร'!N253+'ร้อยเอ็ด'!N253+'เลย'!N253+'ศรีสะเกษ'!N253+'สกลนคร'!N253+'สุรินทร์'!N253+'หนองคาย'!N253+'หนองบัวลำภู'!N253+'อำนาจเจริญ'!N253+'อุดรธานี'!N253+'อุบลราชธานี'!N253</f>
        <v>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'กาฬสินธุ์'!L254+'ขอนแก่น'!L254+'ชัยภูมิ'!L254+'นครพนม'!L254+'นครราชสีมา'!L254+'บึงกาฬ'!L254+'บุรีรัมย์'!L254+'มหาสารคาม'!L254+'มุกดาหาร'!L254+'ยโสธร'!L254+'ร้อยเอ็ด'!L254+'เลย'!L254+'ศรีสะเกษ'!L254+'สกลนคร'!L254+'สุรินทร์'!L254+'หนองคาย'!L254+'หนองบัวลำภู'!L254+'อำนาจเจริญ'!L254+'อุดรธานี'!L254+'อุบลราชธานี'!L254</f>
        <v>1364900</v>
      </c>
      <c r="M254" s="201">
        <f>'กาฬสินธุ์'!M254+'ขอนแก่น'!M254+'ชัยภูมิ'!M254+'นครพนม'!M254+'นครราชสีมา'!M254+'บึงกาฬ'!M254+'บุรีรัมย์'!M254+'มหาสารคาม'!M254+'มุกดาหาร'!M254+'ยโสธร'!M254+'ร้อยเอ็ด'!M254+'เลย'!M254+'ศรีสะเกษ'!M254+'สกลนคร'!M254+'สุรินทร์'!M254+'หนองคาย'!M254+'หนองบัวลำภู'!M254+'อำนาจเจริญ'!M254+'อุดรธานี'!M254+'อุบลราชธานี'!M254</f>
        <v>677000</v>
      </c>
      <c r="N254" s="202">
        <f>'กาฬสินธุ์'!N254+'ขอนแก่น'!N254+'ชัยภูมิ'!N254+'นครพนม'!N254+'นครราชสีมา'!N254+'บึงกาฬ'!N254+'บุรีรัมย์'!N254+'มหาสารคาม'!N254+'มุกดาหาร'!N254+'ยโสธร'!N254+'ร้อยเอ็ด'!N254+'เลย'!N254+'ศรีสะเกษ'!N254+'สกลนคร'!N254+'สุรินทร์'!N254+'หนองคาย'!N254+'หนองบัวลำภู'!N254+'อำนาจเจริญ'!N254+'อุดรธานี'!N254+'อุบลราชธานี'!N254</f>
        <v>310182</v>
      </c>
      <c r="O254" s="203">
        <f>IF(L254&gt;0,N254*100/L254,0)</f>
        <v>22.72562092</v>
      </c>
      <c r="P254" s="203">
        <f>IF(M254&gt;0,N254*100/M254,0)</f>
        <v>45.81713442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'กาฬสินธุ์'!L255+'ขอนแก่น'!L255+'ชัยภูมิ'!L255+'นครพนม'!L255+'นครราชสีมา'!L255+'บึงกาฬ'!L255+'บุรีรัมย์'!L255+'มหาสารคาม'!L255+'มุกดาหาร'!L255+'ยโสธร'!L255+'ร้อยเอ็ด'!L255+'เลย'!L255+'ศรีสะเกษ'!L255+'สกลนคร'!L255+'สุรินทร์'!L255+'หนองคาย'!L255+'หนองบัวลำภู'!L255+'อำนาจเจริญ'!L255+'อุดรธานี'!L255+'อุบลราชธานี'!L255</f>
        <v>396000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'กาฬสินธุ์'!L256+'ขอนแก่น'!L256+'ชัยภูมิ'!L256+'นครพนม'!L256+'นครราชสีมา'!L256+'บึงกาฬ'!L256+'บุรีรัมย์'!L256+'มหาสารคาม'!L256+'มุกดาหาร'!L256+'ยโสธร'!L256+'ร้อยเอ็ด'!L256+'เลย'!L256+'ศรีสะเกษ'!L256+'สกลนคร'!L256+'สุรินทร์'!L256+'หนองคาย'!L256+'หนองบัวลำภู'!L256+'อำนาจเจริญ'!L256+'อุดรธานี'!L256+'อุบลราชธานี'!L256</f>
        <v>968900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f>'กาฬสินธุ์'!L257+'ขอนแก่น'!L257+'ชัยภูมิ'!L257+'นครพนม'!L257+'นครราชสีมา'!L257+'บึงกาฬ'!L257+'บุรีรัมย์'!L257+'มหาสารคาม'!L257+'มุกดาหาร'!L257+'ยโสธร'!L257+'ร้อยเอ็ด'!L257+'เลย'!L257+'ศรีสะเกษ'!L257+'สกลนคร'!L257+'สุรินทร์'!L257+'หนองคาย'!L257+'หนองบัวลำภู'!L257+'อำนาจเจริญ'!L257+'อุดรธานี'!L257+'อุบลราชธานี'!L257</f>
        <v>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'กาฬสินธุ์'!L258+'ขอนแก่น'!L258+'ชัยภูมิ'!L258+'นครพนม'!L258+'นครราชสีมา'!L258+'บึงกาฬ'!L258+'บุรีรัมย์'!L258+'มหาสารคาม'!L258+'มุกดาหาร'!L258+'ยโสธร'!L258+'ร้อยเอ็ด'!L258+'เลย'!L258+'ศรีสะเกษ'!L258+'สกลนคร'!L258+'สุรินทร์'!L258+'หนองคาย'!L258+'หนองบัวลำภู'!L258+'อำนาจเจริญ'!L258+'อุดรธานี'!L258+'อุบลราชธานี'!L258</f>
        <v>0</v>
      </c>
      <c r="M258" s="125"/>
      <c r="N258" s="115">
        <f>'กาฬสินธุ์'!N258+'ขอนแก่น'!N258+'ชัยภูมิ'!N258+'นครพนม'!N258+'นครราชสีมา'!N258+'บึงกาฬ'!N258+'บุรีรัมย์'!N258+'มหาสารคาม'!N258+'มุกดาหาร'!N258+'ยโสธร'!N258+'ร้อยเอ็ด'!N258+'เลย'!N258+'ศรีสะเกษ'!N258+'สกลนคร'!N258+'สุรินทร์'!N258+'หนองคาย'!N258+'หนองบัวลำภู'!N258+'อำนาจเจริญ'!N258+'อุดรธานี'!N258+'อุบลราชธานี'!N258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'กาฬสินธุ์'!J260+'ขอนแก่น'!J260+'ชัยภูมิ'!J260+'นครพนม'!J260+'นครราชสีมา'!J260+'บึงกาฬ'!J260+'บุรีรัมย์'!J260+'มหาสารคาม'!J260+'มุกดาหาร'!J260+'ยโสธร'!J260+'ร้อยเอ็ด'!J260+'เลย'!J260+'ศรีสะเกษ'!J260+'สกลนคร'!J260+'สุรินทร์'!J260+'หนองคาย'!J260+'หนองบัวลำภู'!J260+'อำนาจเจริญ'!J260+'อุดรธานี'!J260+'อุบลราชธานี'!J260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'กาฬสินธุ์'!J261+'ขอนแก่น'!J261+'ชัยภูมิ'!J261+'นครพนม'!J261+'นครราชสีมา'!J261+'บึงกาฬ'!J261+'บุรีรัมย์'!J261+'มหาสารคาม'!J261+'มุกดาหาร'!J261+'ยโสธร'!J261+'ร้อยเอ็ด'!J261+'เลย'!J261+'ศรีสะเกษ'!J261+'สกลนคร'!J261+'สุรินทร์'!J261+'หนองคาย'!J261+'หนองบัวลำภู'!J261+'อำนาจเจริญ'!J261+'อุดรธานี'!J261+'อุบลราชธานี'!J261</f>
        <v>9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'กาฬสินธุ์'!J262+'ขอนแก่น'!J262+'ชัยภูมิ'!J262+'นครพนม'!J262+'นครราชสีมา'!J262+'บึงกาฬ'!J262+'บุรีรัมย์'!J262+'มหาสารคาม'!J262+'มุกดาหาร'!J262+'ยโสธร'!J262+'ร้อยเอ็ด'!J262+'เลย'!J262+'ศรีสะเกษ'!J262+'สกลนคร'!J262+'สุรินทร์'!J262+'หนองคาย'!J262+'หนองบัวลำภู'!J262+'อำนาจเจริญ'!J262+'อุดรธานี'!J262+'อุบลราชธานี'!J262</f>
        <v>9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'กาฬสินธุ์'!J263+'ขอนแก่น'!J263+'ชัยภูมิ'!J263+'นครพนม'!J263+'นครราชสีมา'!J263+'บึงกาฬ'!J263+'บุรีรัมย์'!J263+'มหาสารคาม'!J263+'มุกดาหาร'!J263+'ยโสธร'!J263+'ร้อยเอ็ด'!J263+'เลย'!J263+'ศรีสะเกษ'!J263+'สกลนคร'!J263+'สุรินทร์'!J263+'หนองคาย'!J263+'หนองบัวลำภู'!J263+'อำนาจเจริญ'!J263+'อุดรธานี'!J263+'อุบลราชธานี'!J263</f>
        <v>8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'กาฬสินธุ์'!I264+'ขอนแก่น'!I264+'ชัยภูมิ'!I264+'นครพนม'!I264+'นครราชสีมา'!I264+'บึงกาฬ'!I264+'บุรีรัมย์'!I264+'มหาสารคาม'!I264+'มุกดาหาร'!I264+'ยโสธร'!I264+'ร้อยเอ็ด'!I264+'เลย'!I264+'ศรีสะเกษ'!I264+'สกลนคร'!I264+'สุรินทร์'!I264+'หนองคาย'!I264+'หนองบัวลำภู'!I264+'อำนาจเจริญ'!I264+'อุดรธานี'!I264+'อุบลราชธานี'!I264</f>
        <v>9</v>
      </c>
      <c r="J264" s="223">
        <f>'กาฬสินธุ์'!J264+'ขอนแก่น'!J264+'ชัยภูมิ'!J264+'นครพนม'!J264+'นครราชสีมา'!J264+'บึงกาฬ'!J264+'บุรีรัมย์'!J264+'มหาสารคาม'!J264+'มุกดาหาร'!J264+'ยโสธร'!J264+'ร้อยเอ็ด'!J264+'เลย'!J264+'ศรีสะเกษ'!J264+'สกลนคร'!J264+'สุรินทร์'!J264+'หนองคาย'!J264+'หนองบัวลำภู'!J264+'อำนาจเจริญ'!J264+'อุดรธานี'!J264+'อุบลราชธานี'!J264</f>
        <v>2</v>
      </c>
      <c r="K264" s="196">
        <f t="shared" ref="K264:K267" si="62">IF(I264&gt;0,J264*100/I264,0)</f>
        <v>22.22222222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'กาฬสินธุ์'!I265+'ขอนแก่น'!I265+'ชัยภูมิ'!I265+'นครพนม'!I265+'นครราชสีมา'!I265+'บึงกาฬ'!I265+'บุรีรัมย์'!I265+'มหาสารคาม'!I265+'มุกดาหาร'!I265+'ยโสธร'!I265+'ร้อยเอ็ด'!I265+'เลย'!I265+'ศรีสะเกษ'!I265+'สกลนคร'!I265+'สุรินทร์'!I265+'หนองคาย'!I265+'หนองบัวลำภู'!I265+'อำนาจเจริญ'!I265+'อุดรธานี'!I265+'อุบลราชธานี'!I265</f>
        <v>240</v>
      </c>
      <c r="J265" s="223">
        <f>'กาฬสินธุ์'!J265+'ขอนแก่น'!J265+'ชัยภูมิ'!J265+'นครพนม'!J265+'นครราชสีมา'!J265+'บึงกาฬ'!J265+'บุรีรัมย์'!J265+'มหาสารคาม'!J265+'มุกดาหาร'!J265+'ยโสธร'!J265+'ร้อยเอ็ด'!J265+'เลย'!J265+'ศรีสะเกษ'!J265+'สกลนคร'!J265+'สุรินทร์'!J265+'หนองคาย'!J265+'หนองบัวลำภู'!J265+'อำนาจเจริญ'!J265+'อุดรธานี'!J265+'อุบลราชธานี'!J265</f>
        <v>108</v>
      </c>
      <c r="K265" s="196">
        <f t="shared" si="62"/>
        <v>45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'กาฬสินธุ์'!I266+'ขอนแก่น'!I266+'ชัยภูมิ'!I266+'นครพนม'!I266+'นครราชสีมา'!I266+'บึงกาฬ'!I266+'บุรีรัมย์'!I266+'มหาสารคาม'!I266+'มุกดาหาร'!I266+'ยโสธร'!I266+'ร้อยเอ็ด'!I266+'เลย'!I266+'ศรีสะเกษ'!I266+'สกลนคร'!I266+'สุรินทร์'!I266+'หนองคาย'!I266+'หนองบัวลำภู'!I266+'อำนาจเจริญ'!I266+'อุดรธานี'!I266+'อุบลราชธานี'!I266</f>
        <v>240</v>
      </c>
      <c r="J266" s="223">
        <f>'กาฬสินธุ์'!J266+'ขอนแก่น'!J266+'ชัยภูมิ'!J266+'นครพนม'!J266+'นครราชสีมา'!J266+'บึงกาฬ'!J266+'บุรีรัมย์'!J266+'มหาสารคาม'!J266+'มุกดาหาร'!J266+'ยโสธร'!J266+'ร้อยเอ็ด'!J266+'เลย'!J266+'ศรีสะเกษ'!J266+'สกลนคร'!J266+'สุรินทร์'!J266+'หนองคาย'!J266+'หนองบัวลำภู'!J266+'อำนาจเจริญ'!J266+'อุดรธานี'!J266+'อุบลราชธานี'!J266</f>
        <v>0</v>
      </c>
      <c r="K266" s="196">
        <f t="shared" si="62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'กาฬสินธุ์'!I267+'ขอนแก่น'!I267+'ชัยภูมิ'!I267+'นครพนม'!I267+'นครราชสีมา'!I267+'บึงกาฬ'!I267+'บุรีรัมย์'!I267+'มหาสารคาม'!I267+'มุกดาหาร'!I267+'ยโสธร'!I267+'ร้อยเอ็ด'!I267+'เลย'!I267+'ศรีสะเกษ'!I267+'สกลนคร'!I267+'สุรินทร์'!I267+'หนองคาย'!I267+'หนองบัวลำภู'!I267+'อำนาจเจริญ'!I267+'อุดรธานี'!I267+'อุบลราชธานี'!I267</f>
        <v>9</v>
      </c>
      <c r="J267" s="223">
        <f>'กาฬสินธุ์'!J267+'ขอนแก่น'!J267+'ชัยภูมิ'!J267+'นครพนม'!J267+'นครราชสีมา'!J267+'บึงกาฬ'!J267+'บุรีรัมย์'!J267+'มหาสารคาม'!J267+'มุกดาหาร'!J267+'ยโสธร'!J267+'ร้อยเอ็ด'!J267+'เลย'!J267+'ศรีสะเกษ'!J267+'สกลนคร'!J267+'สุรินทร์'!J267+'หนองคาย'!J267+'หนองบัวลำภู'!J267+'อำนาจเจริญ'!J267+'อุดรธานี'!J267+'อุบลราชธานี'!J267</f>
        <v>4</v>
      </c>
      <c r="K267" s="196">
        <f t="shared" si="62"/>
        <v>44.44444444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'กาฬสินธุ์'!J268+'ขอนแก่น'!J268+'ชัยภูมิ'!J268+'นครพนม'!J268+'นครราชสีมา'!J268+'บึงกาฬ'!J268+'บุรีรัมย์'!J268+'มหาสารคาม'!J268+'มุกดาหาร'!J268+'ยโสธร'!J268+'ร้อยเอ็ด'!J268+'เลย'!J268+'ศรีสะเกษ'!J268+'สกลนคร'!J268+'สุรินทร์'!J268+'หนองคาย'!J268+'หนองบัวลำภู'!J268+'อำนาจเจริญ'!J268+'อุดรธานี'!J268+'อุบลราชธานี'!J268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'กาฬสินธุ์'!J269+'ขอนแก่น'!J269+'ชัยภูมิ'!J269+'นครพนม'!J269+'นครราชสีมา'!J269+'บึงกาฬ'!J269+'บุรีรัมย์'!J269+'มหาสารคาม'!J269+'มุกดาหาร'!J269+'ยโสธร'!J269+'ร้อยเอ็ด'!J269+'เลย'!J269+'ศรีสะเกษ'!J269+'สกลนคร'!J269+'สุรินทร์'!J269+'หนองคาย'!J269+'หนองบัวลำภู'!J269+'อำนาจเจริญ'!J269+'อุดรธานี'!J269+'อุบลราชธานี'!J269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'กาฬสินธุ์'!I270+'ขอนแก่น'!I270+'ชัยภูมิ'!I270+'นครพนม'!I270+'นครราชสีมา'!I270+'บึงกาฬ'!I270+'บุรีรัมย์'!I270+'มหาสารคาม'!I270+'มุกดาหาร'!I270+'ยโสธร'!I270+'ร้อยเอ็ด'!I270+'เลย'!I270+'ศรีสะเกษ'!I270+'สกลนคร'!I270+'สุรินทร์'!I270+'หนองคาย'!I270+'หนองบัวลำภู'!I270+'อำนาจเจริญ'!I270+'อุดรธานี'!I270+'อุบลราชธานี'!I270</f>
        <v>255</v>
      </c>
      <c r="J270" s="349">
        <f>'กาฬสินธุ์'!J270+'ขอนแก่น'!J270+'ชัยภูมิ'!J270+'นครพนม'!J270+'นครราชสีมา'!J270+'บึงกาฬ'!J270+'บุรีรัมย์'!J270+'มหาสารคาม'!J270+'มุกดาหาร'!J270+'ยโสธร'!J270+'ร้อยเอ็ด'!J270+'เลย'!J270+'ศรีสะเกษ'!J270+'สกลนคร'!J270+'สุรินทร์'!J270+'หนองคาย'!J270+'หนองบัวลำภู'!J270+'อำนาจเจริญ'!J270+'อุดรธานี'!J270+'อุบลราชธานี'!J270</f>
        <v>140</v>
      </c>
      <c r="K270" s="350">
        <f>IF(I270&gt;0,J270*100/I270,0)</f>
        <v>54.90196078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>'กาฬสินธุ์'!L271+'ขอนแก่น'!L271+'ชัยภูมิ'!L271+'นครพนม'!L271+'นครราชสีมา'!L271+'บึงกาฬ'!L271+'บุรีรัมย์'!L271+'มหาสารคาม'!L271+'มุกดาหาร'!L271+'ยโสธร'!L271+'ร้อยเอ็ด'!L271+'เลย'!L271+'ศรีสะเกษ'!L271+'สกลนคร'!L271+'สุรินทร์'!L271+'หนองคาย'!L271+'หนองบัวลำภู'!L271+'อำนาจเจริญ'!L271+'อุดรธานี'!L271+'อุบลราชธานี'!L271</f>
        <v>2016400</v>
      </c>
      <c r="M271" s="183">
        <f>'กาฬสินธุ์'!M271+'ขอนแก่น'!M271+'ชัยภูมิ'!M271+'นครพนม'!M271+'นครราชสีมา'!M271+'บึงกาฬ'!M271+'บุรีรัมย์'!M271+'มหาสารคาม'!M271+'มุกดาหาร'!M271+'ยโสธร'!M271+'ร้อยเอ็ด'!M271+'เลย'!M271+'ศรีสะเกษ'!M271+'สกลนคร'!M271+'สุรินทร์'!M271+'หนองคาย'!M271+'หนองบัวลำภู'!M271+'อำนาจเจริญ'!M271+'อุดรธานี'!M271+'อุบลราชธานี'!M271</f>
        <v>1042250</v>
      </c>
      <c r="N271" s="183">
        <f>'กาฬสินธุ์'!N271+'ขอนแก่น'!N271+'ชัยภูมิ'!N271+'นครพนม'!N271+'นครราชสีมา'!N271+'บึงกาฬ'!N271+'บุรีรัมย์'!N271+'มหาสารคาม'!N271+'มุกดาหาร'!N271+'ยโสธร'!N271+'ร้อยเอ็ด'!N271+'เลย'!N271+'ศรีสะเกษ'!N271+'สกลนคร'!N271+'สุรินทร์'!N271+'หนองคาย'!N271+'หนองบัวลำภู'!N271+'อำนาจเจริญ'!N271+'อุดรธานี'!N271+'อุบลราชธานี'!N271</f>
        <v>521606</v>
      </c>
      <c r="O271" s="182">
        <f t="shared" ref="O271:O273" si="63">IF(L271&gt;0,N271*100/L271,0)</f>
        <v>25.86818092</v>
      </c>
      <c r="P271" s="182">
        <f t="shared" ref="P271:P273" si="64">IF(M271&gt;0,N271*100/M271,0)</f>
        <v>50.04615016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>'กาฬสินธุ์'!L272+'ขอนแก่น'!L272+'ชัยภูมิ'!L272+'นครพนม'!L272+'นครราชสีมา'!L272+'บึงกาฬ'!L272+'บุรีรัมย์'!L272+'มหาสารคาม'!L272+'มุกดาหาร'!L272+'ยโสธร'!L272+'ร้อยเอ็ด'!L272+'เลย'!L272+'ศรีสะเกษ'!L272+'สกลนคร'!L272+'สุรินทร์'!L272+'หนองคาย'!L272+'หนองบัวลำภู'!L272+'อำนาจเจริญ'!L272+'อุดรธานี'!L272+'อุบลราชธานี'!L272</f>
        <v>0</v>
      </c>
      <c r="M272" s="188">
        <f>'กาฬสินธุ์'!M272+'ขอนแก่น'!M272+'ชัยภูมิ'!M272+'นครพนม'!M272+'นครราชสีมา'!M272+'บึงกาฬ'!M272+'บุรีรัมย์'!M272+'มหาสารคาม'!M272+'มุกดาหาร'!M272+'ยโสธร'!M272+'ร้อยเอ็ด'!M272+'เลย'!M272+'ศรีสะเกษ'!M272+'สกลนคร'!M272+'สุรินทร์'!M272+'หนองคาย'!M272+'หนองบัวลำภู'!M272+'อำนาจเจริญ'!M272+'อุดรธานี'!M272+'อุบลราชธานี'!M272</f>
        <v>0</v>
      </c>
      <c r="N272" s="188">
        <f>'กาฬสินธุ์'!N272+'ขอนแก่น'!N272+'ชัยภูมิ'!N272+'นครพนม'!N272+'นครราชสีมา'!N272+'บึงกาฬ'!N272+'บุรีรัมย์'!N272+'มหาสารคาม'!N272+'มุกดาหาร'!N272+'ยโสธร'!N272+'ร้อยเอ็ด'!N272+'เลย'!N272+'ศรีสะเกษ'!N272+'สกลนคร'!N272+'สุรินทร์'!N272+'หนองคาย'!N272+'หนองบัวลำภู'!N272+'อำนาจเจริญ'!N272+'อุดรธานี'!N272+'อุบลราชธานี'!N272</f>
        <v>0</v>
      </c>
      <c r="O272" s="187">
        <f t="shared" si="63"/>
        <v>0</v>
      </c>
      <c r="P272" s="187">
        <f t="shared" si="64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>'กาฬสินธุ์'!L273+'ขอนแก่น'!L273+'ชัยภูมิ'!L273+'นครพนม'!L273+'นครราชสีมา'!L273+'บึงกาฬ'!L273+'บุรีรัมย์'!L273+'มหาสารคาม'!L273+'มุกดาหาร'!L273+'ยโสธร'!L273+'ร้อยเอ็ด'!L273+'เลย'!L273+'ศรีสะเกษ'!L273+'สกลนคร'!L273+'สุรินทร์'!L273+'หนองคาย'!L273+'หนองบัวลำภู'!L273+'อำนาจเจริญ'!L273+'อุดรธานี'!L273+'อุบลราชธานี'!L273</f>
        <v>2016400</v>
      </c>
      <c r="M273" s="188">
        <f>'กาฬสินธุ์'!M273+'ขอนแก่น'!M273+'ชัยภูมิ'!M273+'นครพนม'!M273+'นครราชสีมา'!M273+'บึงกาฬ'!M273+'บุรีรัมย์'!M273+'มหาสารคาม'!M273+'มุกดาหาร'!M273+'ยโสธร'!M273+'ร้อยเอ็ด'!M273+'เลย'!M273+'ศรีสะเกษ'!M273+'สกลนคร'!M273+'สุรินทร์'!M273+'หนองคาย'!M273+'หนองบัวลำภู'!M273+'อำนาจเจริญ'!M273+'อุดรธานี'!M273+'อุบลราชธานี'!M273</f>
        <v>1042250</v>
      </c>
      <c r="N273" s="188">
        <f>'กาฬสินธุ์'!N273+'ขอนแก่น'!N273+'ชัยภูมิ'!N273+'นครพนม'!N273+'นครราชสีมา'!N273+'บึงกาฬ'!N273+'บุรีรัมย์'!N273+'มหาสารคาม'!N273+'มุกดาหาร'!N273+'ยโสธร'!N273+'ร้อยเอ็ด'!N273+'เลย'!N273+'ศรีสะเกษ'!N273+'สกลนคร'!N273+'สุรินทร์'!N273+'หนองคาย'!N273+'หนองบัวลำภู'!N273+'อำนาจเจริญ'!N273+'อุดรธานี'!N273+'อุบลราชธานี'!N273</f>
        <v>521606</v>
      </c>
      <c r="O273" s="187">
        <f t="shared" si="63"/>
        <v>25.86818092</v>
      </c>
      <c r="P273" s="187">
        <f t="shared" si="64"/>
        <v>50.04615016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f>'กาฬสินธุ์'!L274+'ขอนแก่น'!L274+'ชัยภูมิ'!L274+'นครพนม'!L274+'นครราชสีมา'!L274+'บึงกาฬ'!L274+'บุรีรัมย์'!L274+'มหาสารคาม'!L274+'มุกดาหาร'!L274+'ยโสธร'!L274+'ร้อยเอ็ด'!L274+'เลย'!L274+'ศรีสะเกษ'!L274+'สกลนคร'!L274+'สุรินทร์'!L274+'หนองคาย'!L274+'หนองบัวลำภู'!L274+'อำนาจเจริญ'!L274+'อุดรธานี'!L274+'อุบลราชธานี'!L274</f>
        <v>0</v>
      </c>
      <c r="M274" s="197">
        <f>'กาฬสินธุ์'!M274+'ขอนแก่น'!M274+'ชัยภูมิ'!M274+'นครพนม'!M274+'นครราชสีมา'!M274+'บึงกาฬ'!M274+'บุรีรัมย์'!M274+'มหาสารคาม'!M274+'มุกดาหาร'!M274+'ยโสธร'!M274+'ร้อยเอ็ด'!M274+'เลย'!M274+'ศรีสะเกษ'!M274+'สกลนคร'!M274+'สุรินทร์'!M274+'หนองคาย'!M274+'หนองบัวลำภู'!M274+'อำนาจเจริญ'!M274+'อุดรธานี'!M274+'อุบลราชธานี'!M274</f>
        <v>0</v>
      </c>
      <c r="N274" s="197">
        <f>'กาฬสินธุ์'!N274+'ขอนแก่น'!N274+'ชัยภูมิ'!N274+'นครพนม'!N274+'นครราชสีมา'!N274+'บึงกาฬ'!N274+'บุรีรัมย์'!N274+'มหาสารคาม'!N274+'มุกดาหาร'!N274+'ยโสธร'!N274+'ร้อยเอ็ด'!N274+'เลย'!N274+'ศรีสะเกษ'!N274+'สกลนคร'!N274+'สุรินทร์'!N274+'หนองคาย'!N274+'หนองบัวลำภู'!N274+'อำนาจเจริญ'!N274+'อุดรธานี'!N274+'อุบลราชธานี'!N274</f>
        <v>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'กาฬสินธุ์'!L275+'ขอนแก่น'!L275+'ชัยภูมิ'!L275+'นครพนม'!L275+'นครราชสีมา'!L275+'บึงกาฬ'!L275+'บุรีรัมย์'!L275+'มหาสารคาม'!L275+'มุกดาหาร'!L275+'ยโสธร'!L275+'ร้อยเอ็ด'!L275+'เลย'!L275+'ศรีสะเกษ'!L275+'สกลนคร'!L275+'สุรินทร์'!L275+'หนองคาย'!L275+'หนองบัวลำภู'!L275+'อำนาจเจริญ'!L275+'อุดรธานี'!L275+'อุบลราชธานี'!L275</f>
        <v>2016400</v>
      </c>
      <c r="M275" s="201">
        <f>'กาฬสินธุ์'!M275+'ขอนแก่น'!M275+'ชัยภูมิ'!M275+'นครพนม'!M275+'นครราชสีมา'!M275+'บึงกาฬ'!M275+'บุรีรัมย์'!M275+'มหาสารคาม'!M275+'มุกดาหาร'!M275+'ยโสธร'!M275+'ร้อยเอ็ด'!M275+'เลย'!M275+'ศรีสะเกษ'!M275+'สกลนคร'!M275+'สุรินทร์'!M275+'หนองคาย'!M275+'หนองบัวลำภู'!M275+'อำนาจเจริญ'!M275+'อุดรธานี'!M275+'อุบลราชธานี'!M275</f>
        <v>1042250</v>
      </c>
      <c r="N275" s="202">
        <f>'กาฬสินธุ์'!N275+'ขอนแก่น'!N275+'ชัยภูมิ'!N275+'นครพนม'!N275+'นครราชสีมา'!N275+'บึงกาฬ'!N275+'บุรีรัมย์'!N275+'มหาสารคาม'!N275+'มุกดาหาร'!N275+'ยโสธร'!N275+'ร้อยเอ็ด'!N275+'เลย'!N275+'ศรีสะเกษ'!N275+'สกลนคร'!N275+'สุรินทร์'!N275+'หนองคาย'!N275+'หนองบัวลำภู'!N275+'อำนาจเจริญ'!N275+'อุดรธานี'!N275+'อุบลราชธานี'!N275</f>
        <v>521606</v>
      </c>
      <c r="O275" s="203">
        <f>IF(L275&gt;0,N275*100/L275,0)</f>
        <v>25.86818092</v>
      </c>
      <c r="P275" s="203">
        <f>IF(M275&gt;0,N275*100/M275,0)</f>
        <v>50.04615016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'กาฬสินธุ์'!L276+'ขอนแก่น'!L276+'ชัยภูมิ'!L276+'นครพนม'!L276+'นครราชสีมา'!L276+'บึงกาฬ'!L276+'บุรีรัมย์'!L276+'มหาสารคาม'!L276+'มุกดาหาร'!L276+'ยโสธร'!L276+'ร้อยเอ็ด'!L276+'เลย'!L276+'ศรีสะเกษ'!L276+'สกลนคร'!L276+'สุรินทร์'!L276+'หนองคาย'!L276+'หนองบัวลำภู'!L276+'อำนาจเจริญ'!L276+'อุดรธานี'!L276+'อุบลราชธานี'!L276</f>
        <v>528000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'กาฬสินธุ์'!L277+'ขอนแก่น'!L277+'ชัยภูมิ'!L277+'นครพนม'!L277+'นครราชสีมา'!L277+'บึงกาฬ'!L277+'บุรีรัมย์'!L277+'มหาสารคาม'!L277+'มุกดาหาร'!L277+'ยโสธร'!L277+'ร้อยเอ็ด'!L277+'เลย'!L277+'ศรีสะเกษ'!L277+'สกลนคร'!L277+'สุรินทร์'!L277+'หนองคาย'!L277+'หนองบัวลำภู'!L277+'อำนาจเจริญ'!L277+'อุดรธานี'!L277+'อุบลราชธานี'!L277</f>
        <v>1488400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f>'กาฬสินธุ์'!L278+'ขอนแก่น'!L278+'ชัยภูมิ'!L278+'นครพนม'!L278+'นครราชสีมา'!L278+'บึงกาฬ'!L278+'บุรีรัมย์'!L278+'มหาสารคาม'!L278+'มุกดาหาร'!L278+'ยโสธร'!L278+'ร้อยเอ็ด'!L278+'เลย'!L278+'ศรีสะเกษ'!L278+'สกลนคร'!L278+'สุรินทร์'!L278+'หนองคาย'!L278+'หนองบัวลำภู'!L278+'อำนาจเจริญ'!L278+'อุดรธานี'!L278+'อุบลราชธานี'!L278</f>
        <v>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'กาฬสินธุ์'!L279+'ขอนแก่น'!L279+'ชัยภูมิ'!L279+'นครพนม'!L279+'นครราชสีมา'!L279+'บึงกาฬ'!L279+'บุรีรัมย์'!L279+'มหาสารคาม'!L279+'มุกดาหาร'!L279+'ยโสธร'!L279+'ร้อยเอ็ด'!L279+'เลย'!L279+'ศรีสะเกษ'!L279+'สกลนคร'!L279+'สุรินทร์'!L279+'หนองคาย'!L279+'หนองบัวลำภู'!L279+'อำนาจเจริญ'!L279+'อุดรธานี'!L279+'อุบลราชธานี'!L279</f>
        <v>0</v>
      </c>
      <c r="M279" s="125"/>
      <c r="N279" s="115">
        <f>'กาฬสินธุ์'!N279+'ขอนแก่น'!N279+'ชัยภูมิ'!N279+'นครพนม'!N279+'นครราชสีมา'!N279+'บึงกาฬ'!N279+'บุรีรัมย์'!N279+'มหาสารคาม'!N279+'มุกดาหาร'!N279+'ยโสธร'!N279+'ร้อยเอ็ด'!N279+'เลย'!N279+'ศรีสะเกษ'!N279+'สกลนคร'!N279+'สุรินทร์'!N279+'หนองคาย'!N279+'หนองบัวลำภู'!N279+'อำนาจเจริญ'!N279+'อุดรธานี'!N279+'อุบลราชธานี'!N279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'กาฬสินธุ์'!J281+'ขอนแก่น'!J281+'ชัยภูมิ'!J281+'นครพนม'!J281+'นครราชสีมา'!J281+'บึงกาฬ'!J281+'บุรีรัมย์'!J281+'มหาสารคาม'!J281+'มุกดาหาร'!J281+'ยโสธร'!J281+'ร้อยเอ็ด'!J281+'เลย'!J281+'ศรีสะเกษ'!J281+'สกลนคร'!J281+'สุรินทร์'!J281+'หนองคาย'!J281+'หนองบัวลำภู'!J281+'อำนาจเจริญ'!J281+'อุดรธานี'!J281+'อุบลราชธานี'!J281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'กาฬสินธุ์'!J282+'ขอนแก่น'!J282+'ชัยภูมิ'!J282+'นครพนม'!J282+'นครราชสีมา'!J282+'บึงกาฬ'!J282+'บุรีรัมย์'!J282+'มหาสารคาม'!J282+'มุกดาหาร'!J282+'ยโสธร'!J282+'ร้อยเอ็ด'!J282+'เลย'!J282+'ศรีสะเกษ'!J282+'สกลนคร'!J282+'สุรินทร์'!J282+'หนองคาย'!J282+'หนองบัวลำภู'!J282+'อำนาจเจริญ'!J282+'อุดรธานี'!J282+'อุบลราชธานี'!J282</f>
        <v>15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'กาฬสินธุ์'!J283+'ขอนแก่น'!J283+'ชัยภูมิ'!J283+'นครพนม'!J283+'นครราชสีมา'!J283+'บึงกาฬ'!J283+'บุรีรัมย์'!J283+'มหาสารคาม'!J283+'มุกดาหาร'!J283+'ยโสธร'!J283+'ร้อยเอ็ด'!J283+'เลย'!J283+'ศรีสะเกษ'!J283+'สกลนคร'!J283+'สุรินทร์'!J283+'หนองคาย'!J283+'หนองบัวลำภู'!J283+'อำนาจเจริญ'!J283+'อุดรธานี'!J283+'อุบลราชธานี'!J283</f>
        <v>14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'กาฬสินธุ์'!J284+'ขอนแก่น'!J284+'ชัยภูมิ'!J284+'นครพนม'!J284+'นครราชสีมา'!J284+'บึงกาฬ'!J284+'บุรีรัมย์'!J284+'มหาสารคาม'!J284+'มุกดาหาร'!J284+'ยโสธร'!J284+'ร้อยเอ็ด'!J284+'เลย'!J284+'ศรีสะเกษ'!J284+'สกลนคร'!J284+'สุรินทร์'!J284+'หนองคาย'!J284+'หนองบัวลำภู'!J284+'อำนาจเจริญ'!J284+'อุดรธานี'!J284+'อุบลราชธานี'!J284</f>
        <v>11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'กาฬสินธุ์'!I285+'ขอนแก่น'!I285+'ชัยภูมิ'!I285+'นครพนม'!I285+'นครราชสีมา'!I285+'บึงกาฬ'!I285+'บุรีรัมย์'!I285+'มหาสารคาม'!I285+'มุกดาหาร'!I285+'ยโสธร'!I285+'ร้อยเอ็ด'!I285+'เลย'!I285+'ศรีสะเกษ'!I285+'สกลนคร'!I285+'สุรินทร์'!I285+'หนองคาย'!I285+'หนองบัวลำภู'!I285+'อำนาจเจริญ'!I285+'อุดรธานี'!I285+'อุบลราชธานี'!I285</f>
        <v>255</v>
      </c>
      <c r="J285" s="223">
        <f>'กาฬสินธุ์'!J285+'ขอนแก่น'!J285+'ชัยภูมิ'!J285+'นครพนม'!J285+'นครราชสีมา'!J285+'บึงกาฬ'!J285+'บุรีรัมย์'!J285+'มหาสารคาม'!J285+'มุกดาหาร'!J285+'ยโสธร'!J285+'ร้อยเอ็ด'!J285+'เลย'!J285+'ศรีสะเกษ'!J285+'สกลนคร'!J285+'สุรินทร์'!J285+'หนองคาย'!J285+'หนองบัวลำภู'!J285+'อำนาจเจริญ'!J285+'อุดรธานี'!J285+'อุบลราชธานี'!J285</f>
        <v>140</v>
      </c>
      <c r="K285" s="196">
        <f>IF(I285&gt;0,J285*100/I285,0)</f>
        <v>54.90196078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'กาฬสินธุ์'!J286+'ขอนแก่น'!J286+'ชัยภูมิ'!J286+'นครพนม'!J286+'นครราชสีมา'!J286+'บึงกาฬ'!J286+'บุรีรัมย์'!J286+'มหาสารคาม'!J286+'มุกดาหาร'!J286+'ยโสธร'!J286+'ร้อยเอ็ด'!J286+'เลย'!J286+'ศรีสะเกษ'!J286+'สกลนคร'!J286+'สุรินทร์'!J286+'หนองคาย'!J286+'หนองบัวลำภู'!J286+'อำนาจเจริญ'!J286+'อุดรธานี'!J286+'อุบลราชธานี'!J286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'กาฬสินธุ์'!J287+'ขอนแก่น'!J287+'ชัยภูมิ'!J287+'นครพนม'!J287+'นครราชสีมา'!J287+'บึงกาฬ'!J287+'บุรีรัมย์'!J287+'มหาสารคาม'!J287+'มุกดาหาร'!J287+'ยโสธร'!J287+'ร้อยเอ็ด'!J287+'เลย'!J287+'ศรีสะเกษ'!J287+'สกลนคร'!J287+'สุรินทร์'!J287+'หนองคาย'!J287+'หนองบัวลำภู'!J287+'อำนาจเจริญ'!J287+'อุดรธานี'!J287+'อุบลราชธานี'!J287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'กาฬสินธุ์'!I289+'ขอนแก่น'!I289+'ชัยภูมิ'!I289+'นครพนม'!I289+'นครราชสีมา'!I289+'บึงกาฬ'!I289+'บุรีรัมย์'!I289+'มหาสารคาม'!I289+'มุกดาหาร'!I289+'ยโสธร'!I289+'ร้อยเอ็ด'!I289+'เลย'!I289+'ศรีสะเกษ'!I289+'สกลนคร'!I289+'สุรินทร์'!I289+'หนองคาย'!I289+'หนองบัวลำภู'!I289+'อำนาจเจริญ'!I289+'อุดรธานี'!I289+'อุบลราชธานี'!I289</f>
        <v>35</v>
      </c>
      <c r="J289" s="349">
        <f>'กาฬสินธุ์'!J289+'ขอนแก่น'!J289+'ชัยภูมิ'!J289+'นครพนม'!J289+'นครราชสีมา'!J289+'บึงกาฬ'!J289+'บุรีรัมย์'!J289+'มหาสารคาม'!J289+'มุกดาหาร'!J289+'ยโสธร'!J289+'ร้อยเอ็ด'!J289+'เลย'!J289+'ศรีสะเกษ'!J289+'สกลนคร'!J289+'สุรินทร์'!J289+'หนองคาย'!J289+'หนองบัวลำภู'!J289+'อำนาจเจริญ'!J289+'อุดรธานี'!J289+'อุบลราชธานี'!J289</f>
        <v>20</v>
      </c>
      <c r="K289" s="350">
        <f>IF(I289&gt;0,J289*100/I289,0)</f>
        <v>57.14285714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>'กาฬสินธุ์'!L290+'ขอนแก่น'!L290+'ชัยภูมิ'!L290+'นครพนม'!L290+'นครราชสีมา'!L290+'บึงกาฬ'!L290+'บุรีรัมย์'!L290+'มหาสารคาม'!L290+'มุกดาหาร'!L290+'ยโสธร'!L290+'ร้อยเอ็ด'!L290+'เลย'!L290+'ศรีสะเกษ'!L290+'สกลนคร'!L290+'สุรินทร์'!L290+'หนองคาย'!L290+'หนองบัวลำภู'!L290+'อำนาจเจริญ'!L290+'อุดรธานี'!L290+'อุบลราชธานี'!L290</f>
        <v>147180</v>
      </c>
      <c r="M290" s="183">
        <f>'กาฬสินธุ์'!M290+'ขอนแก่น'!M290+'ชัยภูมิ'!M290+'นครพนม'!M290+'นครราชสีมา'!M290+'บึงกาฬ'!M290+'บุรีรัมย์'!M290+'มหาสารคาม'!M290+'มุกดาหาร'!M290+'ยโสธร'!M290+'ร้อยเอ็ด'!M290+'เลย'!M290+'ศรีสะเกษ'!M290+'สกลนคร'!M290+'สุรินทร์'!M290+'หนองคาย'!M290+'หนองบัวลำภู'!M290+'อำนาจเจริญ'!M290+'อุดรธานี'!M290+'อุบลราชธานี'!M290</f>
        <v>65640</v>
      </c>
      <c r="N290" s="183">
        <f>'กาฬสินธุ์'!N290+'ขอนแก่น'!N290+'ชัยภูมิ'!N290+'นครพนม'!N290+'นครราชสีมา'!N290+'บึงกาฬ'!N290+'บุรีรัมย์'!N290+'มหาสารคาม'!N290+'มุกดาหาร'!N290+'ยโสธร'!N290+'ร้อยเอ็ด'!N290+'เลย'!N290+'ศรีสะเกษ'!N290+'สกลนคร'!N290+'สุรินทร์'!N290+'หนองคาย'!N290+'หนองบัวลำภู'!N290+'อำนาจเจริญ'!N290+'อุดรธานี'!N290+'อุบลราชธานี'!N290</f>
        <v>39788</v>
      </c>
      <c r="O290" s="182">
        <f t="shared" ref="O290:O292" si="65">IF(L290&gt;0,N290*100/L290,0)</f>
        <v>27.03356434</v>
      </c>
      <c r="P290" s="182">
        <f t="shared" ref="P290:P292" si="66">IF(M290&gt;0,N290*100/M290,0)</f>
        <v>60.61547837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>'กาฬสินธุ์'!L291+'ขอนแก่น'!L291+'ชัยภูมิ'!L291+'นครพนม'!L291+'นครราชสีมา'!L291+'บึงกาฬ'!L291+'บุรีรัมย์'!L291+'มหาสารคาม'!L291+'มุกดาหาร'!L291+'ยโสธร'!L291+'ร้อยเอ็ด'!L291+'เลย'!L291+'ศรีสะเกษ'!L291+'สกลนคร'!L291+'สุรินทร์'!L291+'หนองคาย'!L291+'หนองบัวลำภู'!L291+'อำนาจเจริญ'!L291+'อุดรธานี'!L291+'อุบลราชธานี'!L291</f>
        <v>0</v>
      </c>
      <c r="M291" s="188">
        <f>'กาฬสินธุ์'!M291+'ขอนแก่น'!M291+'ชัยภูมิ'!M291+'นครพนม'!M291+'นครราชสีมา'!M291+'บึงกาฬ'!M291+'บุรีรัมย์'!M291+'มหาสารคาม'!M291+'มุกดาหาร'!M291+'ยโสธร'!M291+'ร้อยเอ็ด'!M291+'เลย'!M291+'ศรีสะเกษ'!M291+'สกลนคร'!M291+'สุรินทร์'!M291+'หนองคาย'!M291+'หนองบัวลำภู'!M291+'อำนาจเจริญ'!M291+'อุดรธานี'!M291+'อุบลราชธานี'!M291</f>
        <v>0</v>
      </c>
      <c r="N291" s="188">
        <f>'กาฬสินธุ์'!N291+'ขอนแก่น'!N291+'ชัยภูมิ'!N291+'นครพนม'!N291+'นครราชสีมา'!N291+'บึงกาฬ'!N291+'บุรีรัมย์'!N291+'มหาสารคาม'!N291+'มุกดาหาร'!N291+'ยโสธร'!N291+'ร้อยเอ็ด'!N291+'เลย'!N291+'ศรีสะเกษ'!N291+'สกลนคร'!N291+'สุรินทร์'!N291+'หนองคาย'!N291+'หนองบัวลำภู'!N291+'อำนาจเจริญ'!N291+'อุดรธานี'!N291+'อุบลราชธานี'!N291</f>
        <v>0</v>
      </c>
      <c r="O291" s="187">
        <f t="shared" si="65"/>
        <v>0</v>
      </c>
      <c r="P291" s="187">
        <f t="shared" si="66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>'กาฬสินธุ์'!L292+'ขอนแก่น'!L292+'ชัยภูมิ'!L292+'นครพนม'!L292+'นครราชสีมา'!L292+'บึงกาฬ'!L292+'บุรีรัมย์'!L292+'มหาสารคาม'!L292+'มุกดาหาร'!L292+'ยโสธร'!L292+'ร้อยเอ็ด'!L292+'เลย'!L292+'ศรีสะเกษ'!L292+'สกลนคร'!L292+'สุรินทร์'!L292+'หนองคาย'!L292+'หนองบัวลำภู'!L292+'อำนาจเจริญ'!L292+'อุดรธานี'!L292+'อุบลราชธานี'!L292</f>
        <v>147180</v>
      </c>
      <c r="M292" s="188">
        <f>'กาฬสินธุ์'!M292+'ขอนแก่น'!M292+'ชัยภูมิ'!M292+'นครพนม'!M292+'นครราชสีมา'!M292+'บึงกาฬ'!M292+'บุรีรัมย์'!M292+'มหาสารคาม'!M292+'มุกดาหาร'!M292+'ยโสธร'!M292+'ร้อยเอ็ด'!M292+'เลย'!M292+'ศรีสะเกษ'!M292+'สกลนคร'!M292+'สุรินทร์'!M292+'หนองคาย'!M292+'หนองบัวลำภู'!M292+'อำนาจเจริญ'!M292+'อุดรธานี'!M292+'อุบลราชธานี'!M292</f>
        <v>65640</v>
      </c>
      <c r="N292" s="188">
        <f>'กาฬสินธุ์'!N292+'ขอนแก่น'!N292+'ชัยภูมิ'!N292+'นครพนม'!N292+'นครราชสีมา'!N292+'บึงกาฬ'!N292+'บุรีรัมย์'!N292+'มหาสารคาม'!N292+'มุกดาหาร'!N292+'ยโสธร'!N292+'ร้อยเอ็ด'!N292+'เลย'!N292+'ศรีสะเกษ'!N292+'สกลนคร'!N292+'สุรินทร์'!N292+'หนองคาย'!N292+'หนองบัวลำภู'!N292+'อำนาจเจริญ'!N292+'อุดรธานี'!N292+'อุบลราชธานี'!N292</f>
        <v>39788</v>
      </c>
      <c r="O292" s="187">
        <f t="shared" si="65"/>
        <v>27.03356434</v>
      </c>
      <c r="P292" s="187">
        <f t="shared" si="66"/>
        <v>60.61547837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f>'กาฬสินธุ์'!L293+'ขอนแก่น'!L293+'ชัยภูมิ'!L293+'นครพนม'!L293+'นครราชสีมา'!L293+'บึงกาฬ'!L293+'บุรีรัมย์'!L293+'มหาสารคาม'!L293+'มุกดาหาร'!L293+'ยโสธร'!L293+'ร้อยเอ็ด'!L293+'เลย'!L293+'ศรีสะเกษ'!L293+'สกลนคร'!L293+'สุรินทร์'!L293+'หนองคาย'!L293+'หนองบัวลำภู'!L293+'อำนาจเจริญ'!L293+'อุดรธานี'!L293+'อุบลราชธานี'!L293</f>
        <v>0</v>
      </c>
      <c r="M293" s="197">
        <f>'กาฬสินธุ์'!M293+'ขอนแก่น'!M293+'ชัยภูมิ'!M293+'นครพนม'!M293+'นครราชสีมา'!M293+'บึงกาฬ'!M293+'บุรีรัมย์'!M293+'มหาสารคาม'!M293+'มุกดาหาร'!M293+'ยโสธร'!M293+'ร้อยเอ็ด'!M293+'เลย'!M293+'ศรีสะเกษ'!M293+'สกลนคร'!M293+'สุรินทร์'!M293+'หนองคาย'!M293+'หนองบัวลำภู'!M293+'อำนาจเจริญ'!M293+'อุดรธานี'!M293+'อุบลราชธานี'!M293</f>
        <v>0</v>
      </c>
      <c r="N293" s="197">
        <f>'กาฬสินธุ์'!N293+'ขอนแก่น'!N293+'ชัยภูมิ'!N293+'นครพนม'!N293+'นครราชสีมา'!N293+'บึงกาฬ'!N293+'บุรีรัมย์'!N293+'มหาสารคาม'!N293+'มุกดาหาร'!N293+'ยโสธร'!N293+'ร้อยเอ็ด'!N293+'เลย'!N293+'ศรีสะเกษ'!N293+'สกลนคร'!N293+'สุรินทร์'!N293+'หนองคาย'!N293+'หนองบัวลำภู'!N293+'อำนาจเจริญ'!N293+'อุดรธานี'!N293+'อุบลราชธานี'!N293</f>
        <v>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'กาฬสินธุ์'!L294+'ขอนแก่น'!L294+'ชัยภูมิ'!L294+'นครพนม'!L294+'นครราชสีมา'!L294+'บึงกาฬ'!L294+'บุรีรัมย์'!L294+'มหาสารคาม'!L294+'มุกดาหาร'!L294+'ยโสธร'!L294+'ร้อยเอ็ด'!L294+'เลย'!L294+'ศรีสะเกษ'!L294+'สกลนคร'!L294+'สุรินทร์'!L294+'หนองคาย'!L294+'หนองบัวลำภู'!L294+'อำนาจเจริญ'!L294+'อุดรธานี'!L294+'อุบลราชธานี'!L294</f>
        <v>147180</v>
      </c>
      <c r="M294" s="201">
        <f>'กาฬสินธุ์'!M294+'ขอนแก่น'!M294+'ชัยภูมิ'!M294+'นครพนม'!M294+'นครราชสีมา'!M294+'บึงกาฬ'!M294+'บุรีรัมย์'!M294+'มหาสารคาม'!M294+'มุกดาหาร'!M294+'ยโสธร'!M294+'ร้อยเอ็ด'!M294+'เลย'!M294+'ศรีสะเกษ'!M294+'สกลนคร'!M294+'สุรินทร์'!M294+'หนองคาย'!M294+'หนองบัวลำภู'!M294+'อำนาจเจริญ'!M294+'อุดรธานี'!M294+'อุบลราชธานี'!M294</f>
        <v>65640</v>
      </c>
      <c r="N294" s="202">
        <f>'กาฬสินธุ์'!N294+'ขอนแก่น'!N294+'ชัยภูมิ'!N294+'นครพนม'!N294+'นครราชสีมา'!N294+'บึงกาฬ'!N294+'บุรีรัมย์'!N294+'มหาสารคาม'!N294+'มุกดาหาร'!N294+'ยโสธร'!N294+'ร้อยเอ็ด'!N294+'เลย'!N294+'ศรีสะเกษ'!N294+'สกลนคร'!N294+'สุรินทร์'!N294+'หนองคาย'!N294+'หนองบัวลำภู'!N294+'อำนาจเจริญ'!N294+'อุดรธานี'!N294+'อุบลราชธานี'!N294</f>
        <v>39788</v>
      </c>
      <c r="O294" s="203">
        <f>IF(L294&gt;0,N294*100/L294,0)</f>
        <v>27.03356434</v>
      </c>
      <c r="P294" s="203">
        <f>IF(M294&gt;0,N294*100/M294,0)</f>
        <v>60.61547837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'กาฬสินธุ์'!L295+'ขอนแก่น'!L295+'ชัยภูมิ'!L295+'นครพนม'!L295+'นครราชสีมา'!L295+'บึงกาฬ'!L295+'บุรีรัมย์'!L295+'มหาสารคาม'!L295+'มุกดาหาร'!L295+'ยโสธร'!L295+'ร้อยเอ็ด'!L295+'เลย'!L295+'ศรีสะเกษ'!L295+'สกลนคร'!L295+'สุรินทร์'!L295+'หนองคาย'!L295+'หนองบัวลำภู'!L295+'อำนาจเจริญ'!L295+'อุดรธานี'!L295+'อุบลราชธานี'!L295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'กาฬสินธุ์'!L296+'ขอนแก่น'!L296+'ชัยภูมิ'!L296+'นครพนม'!L296+'นครราชสีมา'!L296+'บึงกาฬ'!L296+'บุรีรัมย์'!L296+'มหาสารคาม'!L296+'มุกดาหาร'!L296+'ยโสธร'!L296+'ร้อยเอ็ด'!L296+'เลย'!L296+'ศรีสะเกษ'!L296+'สกลนคร'!L296+'สุรินทร์'!L296+'หนองคาย'!L296+'หนองบัวลำภู'!L296+'อำนาจเจริญ'!L296+'อุดรธานี'!L296+'อุบลราชธานี'!L296</f>
        <v>147180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f>'กาฬสินธุ์'!L297+'ขอนแก่น'!L297+'ชัยภูมิ'!L297+'นครพนม'!L297+'นครราชสีมา'!L297+'บึงกาฬ'!L297+'บุรีรัมย์'!L297+'มหาสารคาม'!L297+'มุกดาหาร'!L297+'ยโสธร'!L297+'ร้อยเอ็ด'!L297+'เลย'!L297+'ศรีสะเกษ'!L297+'สกลนคร'!L297+'สุรินทร์'!L297+'หนองคาย'!L297+'หนองบัวลำภู'!L297+'อำนาจเจริญ'!L297+'อุดรธานี'!L297+'อุบลราชธานี'!L297</f>
        <v>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'กาฬสินธุ์'!L298+'ขอนแก่น'!L298+'ชัยภูมิ'!L298+'นครพนม'!L298+'นครราชสีมา'!L298+'บึงกาฬ'!L298+'บุรีรัมย์'!L298+'มหาสารคาม'!L298+'มุกดาหาร'!L298+'ยโสธร'!L298+'ร้อยเอ็ด'!L298+'เลย'!L298+'ศรีสะเกษ'!L298+'สกลนคร'!L298+'สุรินทร์'!L298+'หนองคาย'!L298+'หนองบัวลำภู'!L298+'อำนาจเจริญ'!L298+'อุดรธานี'!L298+'อุบลราชธานี'!L298</f>
        <v>0</v>
      </c>
      <c r="M298" s="125"/>
      <c r="N298" s="115">
        <f>'กาฬสินธุ์'!N298+'ขอนแก่น'!N298+'ชัยภูมิ'!N298+'นครพนม'!N298+'นครราชสีมา'!N298+'บึงกาฬ'!N298+'บุรีรัมย์'!N298+'มหาสารคาม'!N298+'มุกดาหาร'!N298+'ยโสธร'!N298+'ร้อยเอ็ด'!N298+'เลย'!N298+'ศรีสะเกษ'!N298+'สกลนคร'!N298+'สุรินทร์'!N298+'หนองคาย'!N298+'หนองบัวลำภู'!N298+'อำนาจเจริญ'!N298+'อุดรธานี'!N298+'อุบลราชธานี'!N298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'กาฬสินธุ์'!J300+'ขอนแก่น'!J300+'ชัยภูมิ'!J300+'นครพนม'!J300+'นครราชสีมา'!J300+'บึงกาฬ'!J300+'บุรีรัมย์'!J300+'มหาสารคาม'!J300+'มุกดาหาร'!J300+'ยโสธร'!J300+'ร้อยเอ็ด'!J300+'เลย'!J300+'ศรีสะเกษ'!J300+'สกลนคร'!J300+'สุรินทร์'!J300+'หนองคาย'!J300+'หนองบัวลำภู'!J300+'อำนาจเจริญ'!J300+'อุดรธานี'!J300+'อุบลราชธานี'!J300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'กาฬสินธุ์'!J301+'ขอนแก่น'!J301+'ชัยภูมิ'!J301+'นครพนม'!J301+'นครราชสีมา'!J301+'บึงกาฬ'!J301+'บุรีรัมย์'!J301+'มหาสารคาม'!J301+'มุกดาหาร'!J301+'ยโสธร'!J301+'ร้อยเอ็ด'!J301+'เลย'!J301+'ศรีสะเกษ'!J301+'สกลนคร'!J301+'สุรินทร์'!J301+'หนองคาย'!J301+'หนองบัวลำภู'!J301+'อำนาจเจริญ'!J301+'อุดรธานี'!J301+'อุบลราชธานี'!J301</f>
        <v>2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'กาฬสินธุ์'!J302+'ขอนแก่น'!J302+'ชัยภูมิ'!J302+'นครพนม'!J302+'นครราชสีมา'!J302+'บึงกาฬ'!J302+'บุรีรัมย์'!J302+'มหาสารคาม'!J302+'มุกดาหาร'!J302+'ยโสธร'!J302+'ร้อยเอ็ด'!J302+'เลย'!J302+'ศรีสะเกษ'!J302+'สกลนคร'!J302+'สุรินทร์'!J302+'หนองคาย'!J302+'หนองบัวลำภู'!J302+'อำนาจเจริญ'!J302+'อุดรธานี'!J302+'อุบลราชธานี'!J302</f>
        <v>2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'กาฬสินธุ์'!J303+'ขอนแก่น'!J303+'ชัยภูมิ'!J303+'นครพนม'!J303+'นครราชสีมา'!J303+'บึงกาฬ'!J303+'บุรีรัมย์'!J303+'มหาสารคาม'!J303+'มุกดาหาร'!J303+'ยโสธร'!J303+'ร้อยเอ็ด'!J303+'เลย'!J303+'ศรีสะเกษ'!J303+'สกลนคร'!J303+'สุรินทร์'!J303+'หนองคาย'!J303+'หนองบัวลำภู'!J303+'อำนาจเจริญ'!J303+'อุดรธานี'!J303+'อุบลราชธานี'!J303</f>
        <v>1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'กาฬสินธุ์'!I304+'ขอนแก่น'!I304+'ชัยภูมิ'!I304+'นครพนม'!I304+'นครราชสีมา'!I304+'บึงกาฬ'!I304+'บุรีรัมย์'!I304+'มหาสารคาม'!I304+'มุกดาหาร'!I304+'ยโสธร'!I304+'ร้อยเอ็ด'!I304+'เลย'!I304+'ศรีสะเกษ'!I304+'สกลนคร'!I304+'สุรินทร์'!I304+'หนองคาย'!I304+'หนองบัวลำภู'!I304+'อำนาจเจริญ'!I304+'อุดรธานี'!I304+'อุบลราชธานี'!I304</f>
        <v>35</v>
      </c>
      <c r="J304" s="238">
        <f>'กาฬสินธุ์'!J304+'ขอนแก่น'!J304+'ชัยภูมิ'!J304+'นครพนม'!J304+'นครราชสีมา'!J304+'บึงกาฬ'!J304+'บุรีรัมย์'!J304+'มหาสารคาม'!J304+'มุกดาหาร'!J304+'ยโสธร'!J304+'ร้อยเอ็ด'!J304+'เลย'!J304+'ศรีสะเกษ'!J304+'สกลนคร'!J304+'สุรินทร์'!J304+'หนองคาย'!J304+'หนองบัวลำภู'!J304+'อำนาจเจริญ'!J304+'อุดรธานี'!J304+'อุบลราชธานี'!J304</f>
        <v>20</v>
      </c>
      <c r="K304" s="258">
        <f>IF(I304&gt;0,J304*100/I304,0)</f>
        <v>57.14285714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'กาฬสินธุ์'!I306+'ขอนแก่น'!I306+'ชัยภูมิ'!I306+'นครพนม'!I306+'นครราชสีมา'!I306+'บึงกาฬ'!I306+'บุรีรัมย์'!I306+'มหาสารคาม'!I306+'มุกดาหาร'!I306+'ยโสธร'!I306+'ร้อยเอ็ด'!I306+'เลย'!I306+'ศรีสะเกษ'!I306+'สกลนคร'!I306+'สุรินทร์'!I306+'หนองคาย'!I306+'หนองบัวลำภู'!I306+'อำนาจเจริญ'!I306+'อุดรธานี'!I306+'อุบลราชธานี'!I306</f>
        <v>35</v>
      </c>
      <c r="J306" s="238">
        <f>'กาฬสินธุ์'!J306+'ขอนแก่น'!J306+'ชัยภูมิ'!J306+'นครพนม'!J306+'นครราชสีมา'!J306+'บึงกาฬ'!J306+'บุรีรัมย์'!J306+'มหาสารคาม'!J306+'มุกดาหาร'!J306+'ยโสธร'!J306+'ร้อยเอ็ด'!J306+'เลย'!J306+'ศรีสะเกษ'!J306+'สกลนคร'!J306+'สุรินทร์'!J306+'หนองคาย'!J306+'หนองบัวลำภู'!J306+'อำนาจเจริญ'!J306+'อุดรธานี'!J306+'อุบลราชธานี'!J306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IFERROR(__xludf.DUMMYFUNCTION("IMPORTRANGE(""https://docs.google.com/spreadsheets/d/1SX6NBoVAgQJ6U1MVXOaj8PK2l7WJ3RER9xtqwdhxkhw/edit?usp=sharing"",""กาญจนบุรี!J212"")"),0.0)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'กาฬสินธุ์'!J308+'ขอนแก่น'!J308+'ชัยภูมิ'!J308+'นครพนม'!J308+'นครราชสีมา'!J308+'บึงกาฬ'!J308+'บุรีรัมย์'!J308+'มหาสารคาม'!J308+'มุกดาหาร'!J308+'ยโสธร'!J308+'ร้อยเอ็ด'!J308+'เลย'!J308+'ศรีสะเกษ'!J308+'สกลนคร'!J308+'สุรินทร์'!J308+'หนองคาย'!J308+'หนองบัวลำภู'!J308+'อำนาจเจริญ'!J308+'อุดรธานี'!J308+'อุบลราชธานี'!J308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'กาฬสินธุ์'!I309+'ขอนแก่น'!I309+'ชัยภูมิ'!I309+'นครพนม'!I309+'นครราชสีมา'!I309+'บึงกาฬ'!I309+'บุรีรัมย์'!I309+'มหาสารคาม'!I309+'มุกดาหาร'!I309+'ยโสธร'!I309+'ร้อยเอ็ด'!I309+'เลย'!I309+'ศรีสะเกษ'!I309+'สกลนคร'!I309+'สุรินทร์'!I309+'หนองคาย'!I309+'หนองบัวลำภู'!I309+'อำนาจเจริญ'!I309+'อุดรธานี'!I309+'อุบลราชธานี'!I309</f>
        <v>3</v>
      </c>
      <c r="J309" s="366">
        <f>'กาฬสินธุ์'!J309+'ขอนแก่น'!J309+'ชัยภูมิ'!J309+'นครพนม'!J309+'นครราชสีมา'!J309+'บึงกาฬ'!J309+'บุรีรัมย์'!J309+'มหาสารคาม'!J309+'มุกดาหาร'!J309+'ยโสธร'!J309+'ร้อยเอ็ด'!J309+'เลย'!J309+'ศรีสะเกษ'!J309+'สกลนคร'!J309+'สุรินทร์'!J309+'หนองคาย'!J309+'หนองบัวลำภู'!J309+'อำนาจเจริญ'!J309+'อุดรธานี'!J309+'อุบลราชธานี'!J309</f>
        <v>2</v>
      </c>
      <c r="K309" s="367">
        <f>IF(I309&gt;0,J309*100/I309,0)</f>
        <v>66.66666667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>'กาฬสินธุ์'!L310+'ขอนแก่น'!L310+'ชัยภูมิ'!L310+'นครพนม'!L310+'นครราชสีมา'!L310+'บึงกาฬ'!L310+'บุรีรัมย์'!L310+'มหาสารคาม'!L310+'มุกดาหาร'!L310+'ยโสธร'!L310+'ร้อยเอ็ด'!L310+'เลย'!L310+'ศรีสะเกษ'!L310+'สกลนคร'!L310+'สุรินทร์'!L310+'หนองคาย'!L310+'หนองบัวลำภู'!L310+'อำนาจเจริญ'!L310+'อุดรธานี'!L310+'อุบลราชธานี'!L310</f>
        <v>665200</v>
      </c>
      <c r="M310" s="183">
        <f>'กาฬสินธุ์'!M310+'ขอนแก่น'!M310+'ชัยภูมิ'!M310+'นครพนม'!M310+'นครราชสีมา'!M310+'บึงกาฬ'!M310+'บุรีรัมย์'!M310+'มหาสารคาม'!M310+'มุกดาหาร'!M310+'ยโสธร'!M310+'ร้อยเอ็ด'!M310+'เลย'!M310+'ศรีสะเกษ'!M310+'สกลนคร'!M310+'สุรินทร์'!M310+'หนองคาย'!M310+'หนองบัวลำภู'!M310+'อำนาจเจริญ'!M310+'อุดรธานี'!M310+'อุบลราชธานี'!M310</f>
        <v>332600</v>
      </c>
      <c r="N310" s="183">
        <f>'กาฬสินธุ์'!N310+'ขอนแก่น'!N310+'ชัยภูมิ'!N310+'นครพนม'!N310+'นครราชสีมา'!N310+'บึงกาฬ'!N310+'บุรีรัมย์'!N310+'มหาสารคาม'!N310+'มุกดาหาร'!N310+'ยโสธร'!N310+'ร้อยเอ็ด'!N310+'เลย'!N310+'ศรีสะเกษ'!N310+'สกลนคร'!N310+'สุรินทร์'!N310+'หนองคาย'!N310+'หนองบัวลำภู'!N310+'อำนาจเจริญ'!N310+'อุดรธานี'!N310+'อุบลราชธานี'!N310</f>
        <v>138421</v>
      </c>
      <c r="O310" s="182">
        <f t="shared" ref="O310:O312" si="67">IF(L310&gt;0,N310*100/L310,0)</f>
        <v>20.80892965</v>
      </c>
      <c r="P310" s="182">
        <f t="shared" ref="P310:P312" si="68">IF(M310&gt;0,N310*100/M310,0)</f>
        <v>41.61785929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>'กาฬสินธุ์'!L311+'ขอนแก่น'!L311+'ชัยภูมิ'!L311+'นครพนม'!L311+'นครราชสีมา'!L311+'บึงกาฬ'!L311+'บุรีรัมย์'!L311+'มหาสารคาม'!L311+'มุกดาหาร'!L311+'ยโสธร'!L311+'ร้อยเอ็ด'!L311+'เลย'!L311+'ศรีสะเกษ'!L311+'สกลนคร'!L311+'สุรินทร์'!L311+'หนองคาย'!L311+'หนองบัวลำภู'!L311+'อำนาจเจริญ'!L311+'อุดรธานี'!L311+'อุบลราชธานี'!L311</f>
        <v>0</v>
      </c>
      <c r="M311" s="188">
        <f>'กาฬสินธุ์'!M311+'ขอนแก่น'!M311+'ชัยภูมิ'!M311+'นครพนม'!M311+'นครราชสีมา'!M311+'บึงกาฬ'!M311+'บุรีรัมย์'!M311+'มหาสารคาม'!M311+'มุกดาหาร'!M311+'ยโสธร'!M311+'ร้อยเอ็ด'!M311+'เลย'!M311+'ศรีสะเกษ'!M311+'สกลนคร'!M311+'สุรินทร์'!M311+'หนองคาย'!M311+'หนองบัวลำภู'!M311+'อำนาจเจริญ'!M311+'อุดรธานี'!M311+'อุบลราชธานี'!M311</f>
        <v>0</v>
      </c>
      <c r="N311" s="188">
        <f>'กาฬสินธุ์'!N311+'ขอนแก่น'!N311+'ชัยภูมิ'!N311+'นครพนม'!N311+'นครราชสีมา'!N311+'บึงกาฬ'!N311+'บุรีรัมย์'!N311+'มหาสารคาม'!N311+'มุกดาหาร'!N311+'ยโสธร'!N311+'ร้อยเอ็ด'!N311+'เลย'!N311+'ศรีสะเกษ'!N311+'สกลนคร'!N311+'สุรินทร์'!N311+'หนองคาย'!N311+'หนองบัวลำภู'!N311+'อำนาจเจริญ'!N311+'อุดรธานี'!N311+'อุบลราชธานี'!N311</f>
        <v>0</v>
      </c>
      <c r="O311" s="187">
        <f t="shared" si="67"/>
        <v>0</v>
      </c>
      <c r="P311" s="187">
        <f t="shared" si="68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>'กาฬสินธุ์'!L312+'ขอนแก่น'!L312+'ชัยภูมิ'!L312+'นครพนม'!L312+'นครราชสีมา'!L312+'บึงกาฬ'!L312+'บุรีรัมย์'!L312+'มหาสารคาม'!L312+'มุกดาหาร'!L312+'ยโสธร'!L312+'ร้อยเอ็ด'!L312+'เลย'!L312+'ศรีสะเกษ'!L312+'สกลนคร'!L312+'สุรินทร์'!L312+'หนองคาย'!L312+'หนองบัวลำภู'!L312+'อำนาจเจริญ'!L312+'อุดรธานี'!L312+'อุบลราชธานี'!L312</f>
        <v>665200</v>
      </c>
      <c r="M312" s="188">
        <f>'กาฬสินธุ์'!M312+'ขอนแก่น'!M312+'ชัยภูมิ'!M312+'นครพนม'!M312+'นครราชสีมา'!M312+'บึงกาฬ'!M312+'บุรีรัมย์'!M312+'มหาสารคาม'!M312+'มุกดาหาร'!M312+'ยโสธร'!M312+'ร้อยเอ็ด'!M312+'เลย'!M312+'ศรีสะเกษ'!M312+'สกลนคร'!M312+'สุรินทร์'!M312+'หนองคาย'!M312+'หนองบัวลำภู'!M312+'อำนาจเจริญ'!M312+'อุดรธานี'!M312+'อุบลราชธานี'!M312</f>
        <v>332600</v>
      </c>
      <c r="N312" s="188">
        <f>'กาฬสินธุ์'!N312+'ขอนแก่น'!N312+'ชัยภูมิ'!N312+'นครพนม'!N312+'นครราชสีมา'!N312+'บึงกาฬ'!N312+'บุรีรัมย์'!N312+'มหาสารคาม'!N312+'มุกดาหาร'!N312+'ยโสธร'!N312+'ร้อยเอ็ด'!N312+'เลย'!N312+'ศรีสะเกษ'!N312+'สกลนคร'!N312+'สุรินทร์'!N312+'หนองคาย'!N312+'หนองบัวลำภู'!N312+'อำนาจเจริญ'!N312+'อุดรธานี'!N312+'อุบลราชธานี'!N312</f>
        <v>138421</v>
      </c>
      <c r="O312" s="187">
        <f t="shared" si="67"/>
        <v>20.80892965</v>
      </c>
      <c r="P312" s="187">
        <f t="shared" si="68"/>
        <v>41.61785929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f>'กาฬสินธุ์'!L313+'ขอนแก่น'!L313+'ชัยภูมิ'!L313+'นครพนม'!L313+'นครราชสีมา'!L313+'บึงกาฬ'!L313+'บุรีรัมย์'!L313+'มหาสารคาม'!L313+'มุกดาหาร'!L313+'ยโสธร'!L313+'ร้อยเอ็ด'!L313+'เลย'!L313+'ศรีสะเกษ'!L313+'สกลนคร'!L313+'สุรินทร์'!L313+'หนองคาย'!L313+'หนองบัวลำภู'!L313+'อำนาจเจริญ'!L313+'อุดรธานี'!L313+'อุบลราชธานี'!L313</f>
        <v>0</v>
      </c>
      <c r="M313" s="197">
        <f>'กาฬสินธุ์'!M313+'ขอนแก่น'!M313+'ชัยภูมิ'!M313+'นครพนม'!M313+'นครราชสีมา'!M313+'บึงกาฬ'!M313+'บุรีรัมย์'!M313+'มหาสารคาม'!M313+'มุกดาหาร'!M313+'ยโสธร'!M313+'ร้อยเอ็ด'!M313+'เลย'!M313+'ศรีสะเกษ'!M313+'สกลนคร'!M313+'สุรินทร์'!M313+'หนองคาย'!M313+'หนองบัวลำภู'!M313+'อำนาจเจริญ'!M313+'อุดรธานี'!M313+'อุบลราชธานี'!M313</f>
        <v>0</v>
      </c>
      <c r="N313" s="197">
        <f>'กาฬสินธุ์'!N313+'ขอนแก่น'!N313+'ชัยภูมิ'!N313+'นครพนม'!N313+'นครราชสีมา'!N313+'บึงกาฬ'!N313+'บุรีรัมย์'!N313+'มหาสารคาม'!N313+'มุกดาหาร'!N313+'ยโสธร'!N313+'ร้อยเอ็ด'!N313+'เลย'!N313+'ศรีสะเกษ'!N313+'สกลนคร'!N313+'สุรินทร์'!N313+'หนองคาย'!N313+'หนองบัวลำภู'!N313+'อำนาจเจริญ'!N313+'อุดรธานี'!N313+'อุบลราชธานี'!N313</f>
        <v>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'กาฬสินธุ์'!L314+'ขอนแก่น'!L314+'ชัยภูมิ'!L314+'นครพนม'!L314+'นครราชสีมา'!L314+'บึงกาฬ'!L314+'บุรีรัมย์'!L314+'มหาสารคาม'!L314+'มุกดาหาร'!L314+'ยโสธร'!L314+'ร้อยเอ็ด'!L314+'เลย'!L314+'ศรีสะเกษ'!L314+'สกลนคร'!L314+'สุรินทร์'!L314+'หนองคาย'!L314+'หนองบัวลำภู'!L314+'อำนาจเจริญ'!L314+'อุดรธานี'!L314+'อุบลราชธานี'!L314</f>
        <v>665200</v>
      </c>
      <c r="M314" s="201">
        <f>'กาฬสินธุ์'!M314+'ขอนแก่น'!M314+'ชัยภูมิ'!M314+'นครพนม'!M314+'นครราชสีมา'!M314+'บึงกาฬ'!M314+'บุรีรัมย์'!M314+'มหาสารคาม'!M314+'มุกดาหาร'!M314+'ยโสธร'!M314+'ร้อยเอ็ด'!M314+'เลย'!M314+'ศรีสะเกษ'!M314+'สกลนคร'!M314+'สุรินทร์'!M314+'หนองคาย'!M314+'หนองบัวลำภู'!M314+'อำนาจเจริญ'!M314+'อุดรธานี'!M314+'อุบลราชธานี'!M314</f>
        <v>332600</v>
      </c>
      <c r="N314" s="202">
        <f>'กาฬสินธุ์'!N314+'ขอนแก่น'!N314+'ชัยภูมิ'!N314+'นครพนม'!N314+'นครราชสีมา'!N314+'บึงกาฬ'!N314+'บุรีรัมย์'!N314+'มหาสารคาม'!N314+'มุกดาหาร'!N314+'ยโสธร'!N314+'ร้อยเอ็ด'!N314+'เลย'!N314+'ศรีสะเกษ'!N314+'สกลนคร'!N314+'สุรินทร์'!N314+'หนองคาย'!N314+'หนองบัวลำภู'!N314+'อำนาจเจริญ'!N314+'อุดรธานี'!N314+'อุบลราชธานี'!N314</f>
        <v>138421</v>
      </c>
      <c r="O314" s="203">
        <f>IF(L314&gt;0,N314*100/L314,0)</f>
        <v>20.80892965</v>
      </c>
      <c r="P314" s="203">
        <f>IF(M314&gt;0,N314*100/M314,0)</f>
        <v>41.61785929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'กาฬสินธุ์'!L315+'ขอนแก่น'!L315+'ชัยภูมิ'!L315+'นครพนม'!L315+'นครราชสีมา'!L315+'บึงกาฬ'!L315+'บุรีรัมย์'!L315+'มหาสารคาม'!L315+'มุกดาหาร'!L315+'ยโสธร'!L315+'ร้อยเอ็ด'!L315+'เลย'!L315+'ศรีสะเกษ'!L315+'สกลนคร'!L315+'สุรินทร์'!L315+'หนองคาย'!L315+'หนองบัวลำภู'!L315+'อำนาจเจริญ'!L315+'อุดรธานี'!L315+'อุบลราชธานี'!L315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'กาฬสินธุ์'!L316+'ขอนแก่น'!L316+'ชัยภูมิ'!L316+'นครพนม'!L316+'นครราชสีมา'!L316+'บึงกาฬ'!L316+'บุรีรัมย์'!L316+'มหาสารคาม'!L316+'มุกดาหาร'!L316+'ยโสธร'!L316+'ร้อยเอ็ด'!L316+'เลย'!L316+'ศรีสะเกษ'!L316+'สกลนคร'!L316+'สุรินทร์'!L316+'หนองคาย'!L316+'หนองบัวลำภู'!L316+'อำนาจเจริญ'!L316+'อุดรธานี'!L316+'อุบลราชธานี'!L316</f>
        <v>665200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f>'กาฬสินธุ์'!L317+'ขอนแก่น'!L317+'ชัยภูมิ'!L317+'นครพนม'!L317+'นครราชสีมา'!L317+'บึงกาฬ'!L317+'บุรีรัมย์'!L317+'มหาสารคาม'!L317+'มุกดาหาร'!L317+'ยโสธร'!L317+'ร้อยเอ็ด'!L317+'เลย'!L317+'ศรีสะเกษ'!L317+'สกลนคร'!L317+'สุรินทร์'!L317+'หนองคาย'!L317+'หนองบัวลำภู'!L317+'อำนาจเจริญ'!L317+'อุดรธานี'!L317+'อุบลราชธานี'!L317</f>
        <v>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'กาฬสินธุ์'!L318+'ขอนแก่น'!L318+'ชัยภูมิ'!L318+'นครพนม'!L318+'นครราชสีมา'!L318+'บึงกาฬ'!L318+'บุรีรัมย์'!L318+'มหาสารคาม'!L318+'มุกดาหาร'!L318+'ยโสธร'!L318+'ร้อยเอ็ด'!L318+'เลย'!L318+'ศรีสะเกษ'!L318+'สกลนคร'!L318+'สุรินทร์'!L318+'หนองคาย'!L318+'หนองบัวลำภู'!L318+'อำนาจเจริญ'!L318+'อุดรธานี'!L318+'อุบลราชธานี'!L318</f>
        <v>0</v>
      </c>
      <c r="M318" s="125"/>
      <c r="N318" s="115">
        <f>'กาฬสินธุ์'!N318+'ขอนแก่น'!N318+'ชัยภูมิ'!N318+'นครพนม'!N318+'นครราชสีมา'!N318+'บึงกาฬ'!N318+'บุรีรัมย์'!N318+'มหาสารคาม'!N318+'มุกดาหาร'!N318+'ยโสธร'!N318+'ร้อยเอ็ด'!N318+'เลย'!N318+'ศรีสะเกษ'!N318+'สกลนคร'!N318+'สุรินทร์'!N318+'หนองคาย'!N318+'หนองบัวลำภู'!N318+'อำนาจเจริญ'!N318+'อุดรธานี'!N318+'อุบลราชธานี'!N318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'กาฬสินธุ์'!J320+'ขอนแก่น'!J320+'ชัยภูมิ'!J320+'นครพนม'!J320+'นครราชสีมา'!J320+'บึงกาฬ'!J320+'บุรีรัมย์'!J320+'มหาสารคาม'!J320+'มุกดาหาร'!J320+'ยโสธร'!J320+'ร้อยเอ็ด'!J320+'เลย'!J320+'ศรีสะเกษ'!J320+'สกลนคร'!J320+'สุรินทร์'!J320+'หนองคาย'!J320+'หนองบัวลำภู'!J320+'อำนาจเจริญ'!J320+'อุดรธานี'!J320+'อุบลราชธานี'!J320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'กาฬสินธุ์'!J321+'ขอนแก่น'!J321+'ชัยภูมิ'!J321+'นครพนม'!J321+'นครราชสีมา'!J321+'บึงกาฬ'!J321+'บุรีรัมย์'!J321+'มหาสารคาม'!J321+'มุกดาหาร'!J321+'ยโสธร'!J321+'ร้อยเอ็ด'!J321+'เลย'!J321+'ศรีสะเกษ'!J321+'สกลนคร'!J321+'สุรินทร์'!J321+'หนองคาย'!J321+'หนองบัวลำภู'!J321+'อำนาจเจริญ'!J321+'อุดรธานี'!J321+'อุบลราชธานี'!J321</f>
        <v>2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'กาฬสินธุ์'!J322+'ขอนแก่น'!J322+'ชัยภูมิ'!J322+'นครพนม'!J322+'นครราชสีมา'!J322+'บึงกาฬ'!J322+'บุรีรัมย์'!J322+'มหาสารคาม'!J322+'มุกดาหาร'!J322+'ยโสธร'!J322+'ร้อยเอ็ด'!J322+'เลย'!J322+'ศรีสะเกษ'!J322+'สกลนคร'!J322+'สุรินทร์'!J322+'หนองคาย'!J322+'หนองบัวลำภู'!J322+'อำนาจเจริญ'!J322+'อุดรธานี'!J322+'อุบลราชธานี'!J322</f>
        <v>2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'กาฬสินธุ์'!J323+'ขอนแก่น'!J323+'ชัยภูมิ'!J323+'นครพนม'!J323+'นครราชสีมา'!J323+'บึงกาฬ'!J323+'บุรีรัมย์'!J323+'มหาสารคาม'!J323+'มุกดาหาร'!J323+'ยโสธร'!J323+'ร้อยเอ็ด'!J323+'เลย'!J323+'ศรีสะเกษ'!J323+'สกลนคร'!J323+'สุรินทร์'!J323+'หนองคาย'!J323+'หนองบัวลำภู'!J323+'อำนาจเจริญ'!J323+'อุดรธานี'!J323+'อุบลราชธานี'!J323</f>
        <v>1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'กาฬสินธุ์'!I324+'ขอนแก่น'!I324+'ชัยภูมิ'!I324+'นครพนม'!I324+'นครราชสีมา'!I324+'บึงกาฬ'!I324+'บุรีรัมย์'!I324+'มหาสารคาม'!I324+'มุกดาหาร'!I324+'ยโสธร'!I324+'ร้อยเอ็ด'!I324+'เลย'!I324+'ศรีสะเกษ'!I324+'สกลนคร'!I324+'สุรินทร์'!I324+'หนองคาย'!I324+'หนองบัวลำภู'!I324+'อำนาจเจริญ'!I324+'อุดรธานี'!I324+'อุบลราชธานี'!I324</f>
        <v>3</v>
      </c>
      <c r="J324" s="238">
        <f>'กาฬสินธุ์'!J324+'ขอนแก่น'!J324+'ชัยภูมิ'!J324+'นครพนม'!J324+'นครราชสีมา'!J324+'บึงกาฬ'!J324+'บุรีรัมย์'!J324+'มหาสารคาม'!J324+'มุกดาหาร'!J324+'ยโสธร'!J324+'ร้อยเอ็ด'!J324+'เลย'!J324+'ศรีสะเกษ'!J324+'สกลนคร'!J324+'สุรินทร์'!J324+'หนองคาย'!J324+'หนองบัวลำภู'!J324+'อำนาจเจริญ'!J324+'อุดรธานี'!J324+'อุบลราชธานี'!J324</f>
        <v>2</v>
      </c>
      <c r="K324" s="258">
        <f>IF(I324&gt;0,J324*100/I324,0)</f>
        <v>66.66666667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'กาฬสินธุ์'!J325+'ขอนแก่น'!J325+'ชัยภูมิ'!J325+'นครพนม'!J325+'นครราชสีมา'!J325+'บึงกาฬ'!J325+'บุรีรัมย์'!J325+'มหาสารคาม'!J325+'มุกดาหาร'!J325+'ยโสธร'!J325+'ร้อยเอ็ด'!J325+'เลย'!J325+'ศรีสะเกษ'!J325+'สกลนคร'!J325+'สุรินทร์'!J325+'หนองคาย'!J325+'หนองบัวลำภู'!J325+'อำนาจเจริญ'!J325+'อุดรธานี'!J325+'อุบลราชธานี'!J325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'กาฬสินธุ์'!J326+'ขอนแก่น'!J326+'ชัยภูมิ'!J326+'นครพนม'!J326+'นครราชสีมา'!J326+'บึงกาฬ'!J326+'บุรีรัมย์'!J326+'มหาสารคาม'!J326+'มุกดาหาร'!J326+'ยโสธร'!J326+'ร้อยเอ็ด'!J326+'เลย'!J326+'ศรีสะเกษ'!J326+'สกลนคร'!J326+'สุรินทร์'!J326+'หนองคาย'!J326+'หนองบัวลำภู'!J326+'อำนาจเจริญ'!J326+'อุดรธานี'!J326+'อุบลราชธานี'!J326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'กาฬสินธุ์'!I328+'ขอนแก่น'!I328+'ชัยภูมิ'!I328+'นครพนม'!I328+'นครราชสีมา'!I328+'บึงกาฬ'!I328+'บุรีรัมย์'!I328+'มหาสารคาม'!I328+'มุกดาหาร'!I328+'ยโสธร'!I328+'ร้อยเอ็ด'!I328+'เลย'!I328+'ศรีสะเกษ'!I328+'สกลนคร'!I328+'สุรินทร์'!I328+'หนองคาย'!I328+'หนองบัวลำภู'!I328+'อำนาจเจริญ'!I328+'อุดรธานี'!I328+'อุบลราชธานี'!I328</f>
        <v>11895</v>
      </c>
      <c r="J328" s="372">
        <f>'กาฬสินธุ์'!J328+'ขอนแก่น'!J328+'ชัยภูมิ'!J328+'นครพนม'!J328+'นครราชสีมา'!J328+'บึงกาฬ'!J328+'บุรีรัมย์'!J328+'มหาสารคาม'!J328+'มุกดาหาร'!J328+'ยโสธร'!J328+'ร้อยเอ็ด'!J328+'เลย'!J328+'ศรีสะเกษ'!J328+'สกลนคร'!J328+'สุรินทร์'!J328+'หนองคาย'!J328+'หนองบัวลำภู'!J328+'อำนาจเจริญ'!J328+'อุดรธานี'!J328+'อุบลราชธานี'!J328</f>
        <v>2114</v>
      </c>
      <c r="K328" s="350">
        <f>IF(I328&gt;0,J328*100/I328,0)</f>
        <v>17.77217318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>'กาฬสินธุ์'!L329+'ขอนแก่น'!L329+'ชัยภูมิ'!L329+'นครพนม'!L329+'นครราชสีมา'!L329+'บึงกาฬ'!L329+'บุรีรัมย์'!L329+'มหาสารคาม'!L329+'มุกดาหาร'!L329+'ยโสธร'!L329+'ร้อยเอ็ด'!L329+'เลย'!L329+'ศรีสะเกษ'!L329+'สกลนคร'!L329+'สุรินทร์'!L329+'หนองคาย'!L329+'หนองบัวลำภู'!L329+'อำนาจเจริญ'!L329+'อุดรธานี'!L329+'อุบลราชธานี'!L329</f>
        <v>26625270</v>
      </c>
      <c r="M329" s="183">
        <f>'กาฬสินธุ์'!M329+'ขอนแก่น'!M329+'ชัยภูมิ'!M329+'นครพนม'!M329+'นครราชสีมา'!M329+'บึงกาฬ'!M329+'บุรีรัมย์'!M329+'มหาสารคาม'!M329+'มุกดาหาร'!M329+'ยโสธร'!M329+'ร้อยเอ็ด'!M329+'เลย'!M329+'ศรีสะเกษ'!M329+'สกลนคร'!M329+'สุรินทร์'!M329+'หนองคาย'!M329+'หนองบัวลำภู'!M329+'อำนาจเจริญ'!M329+'อุดรธานี'!M329+'อุบลราชธานี'!M329</f>
        <v>14618230</v>
      </c>
      <c r="N329" s="183">
        <f>'กาฬสินธุ์'!N329+'ขอนแก่น'!N329+'ชัยภูมิ'!N329+'นครพนม'!N329+'นครราชสีมา'!N329+'บึงกาฬ'!N329+'บุรีรัมย์'!N329+'มหาสารคาม'!N329+'มุกดาหาร'!N329+'ยโสธร'!N329+'ร้อยเอ็ด'!N329+'เลย'!N329+'ศรีสะเกษ'!N329+'สกลนคร'!N329+'สุรินทร์'!N329+'หนองคาย'!N329+'หนองบัวลำภู'!N329+'อำนาจเจริญ'!N329+'อุดรธานี'!N329+'อุบลราชธานี'!N329</f>
        <v>9629047</v>
      </c>
      <c r="O329" s="182">
        <f t="shared" ref="O329:O331" si="69">IF(L329&gt;0,N329*100/L329,0)</f>
        <v>36.165068</v>
      </c>
      <c r="P329" s="182">
        <f t="shared" ref="P329:P331" si="70">IF(M329&gt;0,N329*100/M329,0)</f>
        <v>65.87012928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>'กาฬสินธุ์'!L330+'ขอนแก่น'!L330+'ชัยภูมิ'!L330+'นครพนม'!L330+'นครราชสีมา'!L330+'บึงกาฬ'!L330+'บุรีรัมย์'!L330+'มหาสารคาม'!L330+'มุกดาหาร'!L330+'ยโสธร'!L330+'ร้อยเอ็ด'!L330+'เลย'!L330+'ศรีสะเกษ'!L330+'สกลนคร'!L330+'สุรินทร์'!L330+'หนองคาย'!L330+'หนองบัวลำภู'!L330+'อำนาจเจริญ'!L330+'อุดรธานี'!L330+'อุบลราชธานี'!L330</f>
        <v>0</v>
      </c>
      <c r="M330" s="188">
        <f>'กาฬสินธุ์'!M330+'ขอนแก่น'!M330+'ชัยภูมิ'!M330+'นครพนม'!M330+'นครราชสีมา'!M330+'บึงกาฬ'!M330+'บุรีรัมย์'!M330+'มหาสารคาม'!M330+'มุกดาหาร'!M330+'ยโสธร'!M330+'ร้อยเอ็ด'!M330+'เลย'!M330+'ศรีสะเกษ'!M330+'สกลนคร'!M330+'สุรินทร์'!M330+'หนองคาย'!M330+'หนองบัวลำภู'!M330+'อำนาจเจริญ'!M330+'อุดรธานี'!M330+'อุบลราชธานี'!M330</f>
        <v>0</v>
      </c>
      <c r="N330" s="188">
        <f>'กาฬสินธุ์'!N330+'ขอนแก่น'!N330+'ชัยภูมิ'!N330+'นครพนม'!N330+'นครราชสีมา'!N330+'บึงกาฬ'!N330+'บุรีรัมย์'!N330+'มหาสารคาม'!N330+'มุกดาหาร'!N330+'ยโสธร'!N330+'ร้อยเอ็ด'!N330+'เลย'!N330+'ศรีสะเกษ'!N330+'สกลนคร'!N330+'สุรินทร์'!N330+'หนองคาย'!N330+'หนองบัวลำภู'!N330+'อำนาจเจริญ'!N330+'อุดรธานี'!N330+'อุบลราชธานี'!N330</f>
        <v>0</v>
      </c>
      <c r="O330" s="187">
        <f t="shared" si="69"/>
        <v>0</v>
      </c>
      <c r="P330" s="187">
        <f t="shared" si="70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>'กาฬสินธุ์'!L331+'ขอนแก่น'!L331+'ชัยภูมิ'!L331+'นครพนม'!L331+'นครราชสีมา'!L331+'บึงกาฬ'!L331+'บุรีรัมย์'!L331+'มหาสารคาม'!L331+'มุกดาหาร'!L331+'ยโสธร'!L331+'ร้อยเอ็ด'!L331+'เลย'!L331+'ศรีสะเกษ'!L331+'สกลนคร'!L331+'สุรินทร์'!L331+'หนองคาย'!L331+'หนองบัวลำภู'!L331+'อำนาจเจริญ'!L331+'อุดรธานี'!L331+'อุบลราชธานี'!L331</f>
        <v>26625270</v>
      </c>
      <c r="M331" s="188">
        <f>'กาฬสินธุ์'!M331+'ขอนแก่น'!M331+'ชัยภูมิ'!M331+'นครพนม'!M331+'นครราชสีมา'!M331+'บึงกาฬ'!M331+'บุรีรัมย์'!M331+'มหาสารคาม'!M331+'มุกดาหาร'!M331+'ยโสธร'!M331+'ร้อยเอ็ด'!M331+'เลย'!M331+'ศรีสะเกษ'!M331+'สกลนคร'!M331+'สุรินทร์'!M331+'หนองคาย'!M331+'หนองบัวลำภู'!M331+'อำนาจเจริญ'!M331+'อุดรธานี'!M331+'อุบลราชธานี'!M331</f>
        <v>14618230</v>
      </c>
      <c r="N331" s="188">
        <f>'กาฬสินธุ์'!N331+'ขอนแก่น'!N331+'ชัยภูมิ'!N331+'นครพนม'!N331+'นครราชสีมา'!N331+'บึงกาฬ'!N331+'บุรีรัมย์'!N331+'มหาสารคาม'!N331+'มุกดาหาร'!N331+'ยโสธร'!N331+'ร้อยเอ็ด'!N331+'เลย'!N331+'ศรีสะเกษ'!N331+'สกลนคร'!N331+'สุรินทร์'!N331+'หนองคาย'!N331+'หนองบัวลำภู'!N331+'อำนาจเจริญ'!N331+'อุดรธานี'!N331+'อุบลราชธานี'!N331</f>
        <v>9629047</v>
      </c>
      <c r="O331" s="187">
        <f t="shared" si="69"/>
        <v>36.165068</v>
      </c>
      <c r="P331" s="187">
        <f t="shared" si="70"/>
        <v>65.87012928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f>'กาฬสินธุ์'!L332+'ขอนแก่น'!L332+'ชัยภูมิ'!L332+'นครพนม'!L332+'นครราชสีมา'!L332+'บึงกาฬ'!L332+'บุรีรัมย์'!L332+'มหาสารคาม'!L332+'มุกดาหาร'!L332+'ยโสธร'!L332+'ร้อยเอ็ด'!L332+'เลย'!L332+'ศรีสะเกษ'!L332+'สกลนคร'!L332+'สุรินทร์'!L332+'หนองคาย'!L332+'หนองบัวลำภู'!L332+'อำนาจเจริญ'!L332+'อุดรธานี'!L332+'อุบลราชธานี'!L332</f>
        <v>0</v>
      </c>
      <c r="M332" s="197">
        <f>'กาฬสินธุ์'!M332+'ขอนแก่น'!M332+'ชัยภูมิ'!M332+'นครพนม'!M332+'นครราชสีมา'!M332+'บึงกาฬ'!M332+'บุรีรัมย์'!M332+'มหาสารคาม'!M332+'มุกดาหาร'!M332+'ยโสธร'!M332+'ร้อยเอ็ด'!M332+'เลย'!M332+'ศรีสะเกษ'!M332+'สกลนคร'!M332+'สุรินทร์'!M332+'หนองคาย'!M332+'หนองบัวลำภู'!M332+'อำนาจเจริญ'!M332+'อุดรธานี'!M332+'อุบลราชธานี'!M332</f>
        <v>0</v>
      </c>
      <c r="N332" s="197">
        <f>'กาฬสินธุ์'!N332+'ขอนแก่น'!N332+'ชัยภูมิ'!N332+'นครพนม'!N332+'นครราชสีมา'!N332+'บึงกาฬ'!N332+'บุรีรัมย์'!N332+'มหาสารคาม'!N332+'มุกดาหาร'!N332+'ยโสธร'!N332+'ร้อยเอ็ด'!N332+'เลย'!N332+'ศรีสะเกษ'!N332+'สกลนคร'!N332+'สุรินทร์'!N332+'หนองคาย'!N332+'หนองบัวลำภู'!N332+'อำนาจเจริญ'!N332+'อุดรธานี'!N332+'อุบลราชธานี'!N332</f>
        <v>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'กาฬสินธุ์'!L333+'ขอนแก่น'!L333+'ชัยภูมิ'!L333+'นครพนม'!L333+'นครราชสีมา'!L333+'บึงกาฬ'!L333+'บุรีรัมย์'!L333+'มหาสารคาม'!L333+'มุกดาหาร'!L333+'ยโสธร'!L333+'ร้อยเอ็ด'!L333+'เลย'!L333+'ศรีสะเกษ'!L333+'สกลนคร'!L333+'สุรินทร์'!L333+'หนองคาย'!L333+'หนองบัวลำภู'!L333+'อำนาจเจริญ'!L333+'อุดรธานี'!L333+'อุบลราชธานี'!L333</f>
        <v>25410170</v>
      </c>
      <c r="M333" s="201">
        <f>'กาฬสินธุ์'!M333+'ขอนแก่น'!M333+'ชัยภูมิ'!M333+'นครพนม'!M333+'นครราชสีมา'!M333+'บึงกาฬ'!M333+'บุรีรัมย์'!M333+'มหาสารคาม'!M333+'มุกดาหาร'!M333+'ยโสธร'!M333+'ร้อยเอ็ด'!M333+'เลย'!M333+'ศรีสะเกษ'!M333+'สกลนคร'!M333+'สุรินทร์'!M333+'หนองคาย'!M333+'หนองบัวลำภู'!M333+'อำนาจเจริญ'!M333+'อุดรธานี'!M333+'อุบลราชธานี'!M333</f>
        <v>14618230</v>
      </c>
      <c r="N333" s="202">
        <f>'กาฬสินธุ์'!N333+'ขอนแก่น'!N333+'ชัยภูมิ'!N333+'นครพนม'!N333+'นครราชสีมา'!N333+'บึงกาฬ'!N333+'บุรีรัมย์'!N333+'มหาสารคาม'!N333+'มุกดาหาร'!N333+'ยโสธร'!N333+'ร้อยเอ็ด'!N333+'เลย'!N333+'ศรีสะเกษ'!N333+'สกลนคร'!N333+'สุรินทร์'!N333+'หนองคาย'!N333+'หนองบัวลำภู'!N333+'อำนาจเจริญ'!N333+'อุดรธานี'!N333+'อุบลราชธานี'!N333</f>
        <v>8442757</v>
      </c>
      <c r="O333" s="203">
        <f>IF(L333&gt;0,N333*100/L333,0)</f>
        <v>33.22589735</v>
      </c>
      <c r="P333" s="203">
        <f>IF(M333&gt;0,N333*100/M333,0)</f>
        <v>57.75498812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'กาฬสินธุ์'!L334+'ขอนแก่น'!L334+'ชัยภูมิ'!L334+'นครพนม'!L334+'นครราชสีมา'!L334+'บึงกาฬ'!L334+'บุรีรัมย์'!L334+'มหาสารคาม'!L334+'มุกดาหาร'!L334+'ยโสธร'!L334+'ร้อยเอ็ด'!L334+'เลย'!L334+'ศรีสะเกษ'!L334+'สกลนคร'!L334+'สุรินทร์'!L334+'หนองคาย'!L334+'หนองบัวลำภู'!L334+'อำนาจเจริญ'!L334+'อุดรธานี'!L334+'อุบลราชธานี'!L334</f>
        <v>8741500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'กาฬสินธุ์'!L335+'ขอนแก่น'!L335+'ชัยภูมิ'!L335+'นครพนม'!L335+'นครราชสีมา'!L335+'บึงกาฬ'!L335+'บุรีรัมย์'!L335+'มหาสารคาม'!L335+'มุกดาหาร'!L335+'ยโสธร'!L335+'ร้อยเอ็ด'!L335+'เลย'!L335+'ศรีสะเกษ'!L335+'สกลนคร'!L335+'สุรินทร์'!L335+'หนองคาย'!L335+'หนองบัวลำภู'!L335+'อำนาจเจริญ'!L335+'อุดรธานี'!L335+'อุบลราชธานี'!L335</f>
        <v>16668670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f>'กาฬสินธุ์'!L336+'ขอนแก่น'!L336+'ชัยภูมิ'!L336+'นครพนม'!L336+'นครราชสีมา'!L336+'บึงกาฬ'!L336+'บุรีรัมย์'!L336+'มหาสารคาม'!L336+'มุกดาหาร'!L336+'ยโสธร'!L336+'ร้อยเอ็ด'!L336+'เลย'!L336+'ศรีสะเกษ'!L336+'สกลนคร'!L336+'สุรินทร์'!L336+'หนองคาย'!L336+'หนองบัวลำภู'!L336+'อำนาจเจริญ'!L336+'อุดรธานี'!L336+'อุบลราชธานี'!L336</f>
        <v>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'กาฬสินธุ์'!L337+'ขอนแก่น'!L337+'ชัยภูมิ'!L337+'นครพนม'!L337+'นครราชสีมา'!L337+'บึงกาฬ'!L337+'บุรีรัมย์'!L337+'มหาสารคาม'!L337+'มุกดาหาร'!L337+'ยโสธร'!L337+'ร้อยเอ็ด'!L337+'เลย'!L337+'ศรีสะเกษ'!L337+'สกลนคร'!L337+'สุรินทร์'!L337+'หนองคาย'!L337+'หนองบัวลำภู'!L337+'อำนาจเจริญ'!L337+'อุดรธานี'!L337+'อุบลราชธานี'!L337</f>
        <v>1215100</v>
      </c>
      <c r="M337" s="125"/>
      <c r="N337" s="115">
        <f>'กาฬสินธุ์'!N337+'ขอนแก่น'!N337+'ชัยภูมิ'!N337+'นครพนม'!N337+'นครราชสีมา'!N337+'บึงกาฬ'!N337+'บุรีรัมย์'!N337+'มหาสารคาม'!N337+'มุกดาหาร'!N337+'ยโสธร'!N337+'ร้อยเอ็ด'!N337+'เลย'!N337+'ศรีสะเกษ'!N337+'สกลนคร'!N337+'สุรินทร์'!N337+'หนองคาย'!N337+'หนองบัวลำภู'!N337+'อำนาจเจริญ'!N337+'อุดรธานี'!N337+'อุบลราชธานี'!N337</f>
        <v>1186290</v>
      </c>
      <c r="O337" s="125">
        <f>IF(L337&gt;0,N337*100/L337,0)</f>
        <v>97.62900173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'กาฬสินธุ์'!I339+'ขอนแก่น'!I339+'ชัยภูมิ'!I339+'นครพนม'!I339+'นครราชสีมา'!I339+'บึงกาฬ'!I339+'บุรีรัมย์'!I339+'มหาสารคาม'!I339+'มุกดาหาร'!I339+'ยโสธร'!I339+'ร้อยเอ็ด'!I339+'เลย'!I339+'ศรีสะเกษ'!I339+'สกลนคร'!I339+'สุรินทร์'!I339+'หนองคาย'!I339+'หนองบัวลำภู'!I339+'อำนาจเจริญ'!I339+'อุดรธานี'!I339+'อุบลราชธานี'!I339</f>
        <v>0</v>
      </c>
      <c r="J339" s="222">
        <f>'กาฬสินธุ์'!J339+'ขอนแก่น'!J339+'ชัยภูมิ'!J339+'นครพนม'!J339+'นครราชสีมา'!J339+'บึงกาฬ'!J339+'บุรีรัมย์'!J339+'มหาสารคาม'!J339+'มุกดาหาร'!J339+'ยโสธร'!J339+'ร้อยเอ็ด'!J339+'เลย'!J339+'ศรีสะเกษ'!J339+'สกลนคร'!J339+'สุรินทร์'!J339+'หนองคาย'!J339+'หนองบัวลำภู'!J339+'อำนาจเจริญ'!J339+'อุดรธานี'!J339+'อุบลราชธานี'!J339</f>
        <v>3809</v>
      </c>
      <c r="K339" s="375">
        <f t="shared" ref="K339:K346" si="71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'กาฬสินธุ์'!I340+'ขอนแก่น'!I340+'ชัยภูมิ'!I340+'นครพนม'!I340+'นครราชสีมา'!I340+'บึงกาฬ'!I340+'บุรีรัมย์'!I340+'มหาสารคาม'!I340+'มุกดาหาร'!I340+'ยโสธร'!I340+'ร้อยเอ็ด'!I340+'เลย'!I340+'ศรีสะเกษ'!I340+'สกลนคร'!I340+'สุรินทร์'!I340+'หนองคาย'!I340+'หนองบัวลำภู'!I340+'อำนาจเจริญ'!I340+'อุดรธานี'!I340+'อุบลราชธานี'!I340</f>
        <v>109666</v>
      </c>
      <c r="J340" s="222">
        <f>'กาฬสินธุ์'!J340+'ขอนแก่น'!J340+'ชัยภูมิ'!J340+'นครพนม'!J340+'นครราชสีมา'!J340+'บึงกาฬ'!J340+'บุรีรัมย์'!J340+'มหาสารคาม'!J340+'มุกดาหาร'!J340+'ยโสธร'!J340+'ร้อยเอ็ด'!J340+'เลย'!J340+'ศรีสะเกษ'!J340+'สกลนคร'!J340+'สุรินทร์'!J340+'หนองคาย'!J340+'หนองบัวลำภู'!J340+'อำนาจเจริญ'!J340+'อุดรธานี'!J340+'อุบลราชธานี'!J340</f>
        <v>33382.88</v>
      </c>
      <c r="K340" s="375">
        <f t="shared" si="71"/>
        <v>30.44050116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'กาฬสินธุ์'!I341+'ขอนแก่น'!I341+'ชัยภูมิ'!I341+'นครพนม'!I341+'นครราชสีมา'!I341+'บึงกาฬ'!I341+'บุรีรัมย์'!I341+'มหาสารคาม'!I341+'มุกดาหาร'!I341+'ยโสธร'!I341+'ร้อยเอ็ด'!I341+'เลย'!I341+'ศรีสะเกษ'!I341+'สกลนคร'!I341+'สุรินทร์'!I341+'หนองคาย'!I341+'หนองบัวลำภู'!I341+'อำนาจเจริญ'!I341+'อุดรธานี'!I341+'อุบลราชธานี'!I341</f>
        <v>11895</v>
      </c>
      <c r="J341" s="222">
        <f>'กาฬสินธุ์'!J341+'ขอนแก่น'!J341+'ชัยภูมิ'!J341+'นครพนม'!J341+'นครราชสีมา'!J341+'บึงกาฬ'!J341+'บุรีรัมย์'!J341+'มหาสารคาม'!J341+'มุกดาหาร'!J341+'ยโสธร'!J341+'ร้อยเอ็ด'!J341+'เลย'!J341+'ศรีสะเกษ'!J341+'สกลนคร'!J341+'สุรินทร์'!J341+'หนองคาย'!J341+'หนองบัวลำภู'!J341+'อำนาจเจริญ'!J341+'อุดรธานี'!J341+'อุบลราชธานี'!J341</f>
        <v>4652</v>
      </c>
      <c r="K341" s="375">
        <f t="shared" si="71"/>
        <v>39.10886927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'กาฬสินธุ์'!I342+'ขอนแก่น'!I342+'ชัยภูมิ'!I342+'นครพนม'!I342+'นครราชสีมา'!I342+'บึงกาฬ'!I342+'บุรีรัมย์'!I342+'มหาสารคาม'!I342+'มุกดาหาร'!I342+'ยโสธร'!I342+'ร้อยเอ็ด'!I342+'เลย'!I342+'ศรีสะเกษ'!I342+'สกลนคร'!I342+'สุรินทร์'!I342+'หนองคาย'!I342+'หนองบัวลำภู'!I342+'อำนาจเจริญ'!I342+'อุดรธานี'!I342+'อุบลราชธานี'!I342</f>
        <v>0</v>
      </c>
      <c r="J342" s="222">
        <f>'กาฬสินธุ์'!J342+'ขอนแก่น'!J342+'ชัยภูมิ'!J342+'นครพนม'!J342+'นครราชสีมา'!J342+'บึงกาฬ'!J342+'บุรีรัมย์'!J342+'มหาสารคาม'!J342+'มุกดาหาร'!J342+'ยโสธร'!J342+'ร้อยเอ็ด'!J342+'เลย'!J342+'ศรีสะเกษ'!J342+'สกลนคร'!J342+'สุรินทร์'!J342+'หนองคาย'!J342+'หนองบัวลำภู'!J342+'อำนาจเจริญ'!J342+'อุดรธานี'!J342+'อุบลราชธานี'!J342</f>
        <v>54637.66</v>
      </c>
      <c r="K342" s="375">
        <f t="shared" si="71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'กาฬสินธุ์'!I343+'ขอนแก่น'!I343+'ชัยภูมิ'!I343+'นครพนม'!I343+'นครราชสีมา'!I343+'บึงกาฬ'!I343+'บุรีรัมย์'!I343+'มหาสารคาม'!I343+'มุกดาหาร'!I343+'ยโสธร'!I343+'ร้อยเอ็ด'!I343+'เลย'!I343+'ศรีสะเกษ'!I343+'สกลนคร'!I343+'สุรินทร์'!I343+'หนองคาย'!I343+'หนองบัวลำภู'!I343+'อำนาจเจริญ'!I343+'อุดรธานี'!I343+'อุบลราชธานี'!I343</f>
        <v>11895</v>
      </c>
      <c r="J343" s="222">
        <f>'กาฬสินธุ์'!J343+'ขอนแก่น'!J343+'ชัยภูมิ'!J343+'นครพนม'!J343+'นครราชสีมา'!J343+'บึงกาฬ'!J343+'บุรีรัมย์'!J343+'มหาสารคาม'!J343+'มุกดาหาร'!J343+'ยโสธร'!J343+'ร้อยเอ็ด'!J343+'เลย'!J343+'ศรีสะเกษ'!J343+'สกลนคร'!J343+'สุรินทร์'!J343+'หนองคาย'!J343+'หนองบัวลำภู'!J343+'อำนาจเจริญ'!J343+'อุดรธานี'!J343+'อุบลราชธานี'!J343</f>
        <v>261</v>
      </c>
      <c r="K343" s="375">
        <f t="shared" si="71"/>
        <v>2.194199243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'กาฬสินธุ์'!I344+'ขอนแก่น'!I344+'ชัยภูมิ'!I344+'นครพนม'!I344+'นครราชสีมา'!I344+'บึงกาฬ'!I344+'บุรีรัมย์'!I344+'มหาสารคาม'!I344+'มุกดาหาร'!I344+'ยโสธร'!I344+'ร้อยเอ็ด'!I344+'เลย'!I344+'ศรีสะเกษ'!I344+'สกลนคร'!I344+'สุรินทร์'!I344+'หนองคาย'!I344+'หนองบัวลำภู'!I344+'อำนาจเจริญ'!I344+'อุดรธานี'!I344+'อุบลราชธานี'!I344</f>
        <v>0</v>
      </c>
      <c r="J344" s="222">
        <f>'กาฬสินธุ์'!J344+'ขอนแก่น'!J344+'ชัยภูมิ'!J344+'นครพนม'!J344+'นครราชสีมา'!J344+'บึงกาฬ'!J344+'บุรีรัมย์'!J344+'มหาสารคาม'!J344+'มุกดาหาร'!J344+'ยโสธร'!J344+'ร้อยเอ็ด'!J344+'เลย'!J344+'ศรีสะเกษ'!J344+'สกลนคร'!J344+'สุรินทร์'!J344+'หนองคาย'!J344+'หนองบัวลำภู'!J344+'อำนาจเจริญ'!J344+'อุดรธานี'!J344+'อุบลราชธานี'!J344</f>
        <v>3475.02</v>
      </c>
      <c r="K344" s="375">
        <f t="shared" si="71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'กาฬสินธุ์'!I345+'ขอนแก่น'!I345+'ชัยภูมิ'!I345+'นครพนม'!I345+'นครราชสีมา'!I345+'บึงกาฬ'!I345+'บุรีรัมย์'!I345+'มหาสารคาม'!I345+'มุกดาหาร'!I345+'ยโสธร'!I345+'ร้อยเอ็ด'!I345+'เลย'!I345+'ศรีสะเกษ'!I345+'สกลนคร'!I345+'สุรินทร์'!I345+'หนองคาย'!I345+'หนองบัวลำภู'!I345+'อำนาจเจริญ'!I345+'อุดรธานี'!I345+'อุบลราชธานี'!I345</f>
        <v>11895</v>
      </c>
      <c r="J345" s="222">
        <f>'กาฬสินธุ์'!J345+'ขอนแก่น'!J345+'ชัยภูมิ'!J345+'นครพนม'!J345+'นครราชสีมา'!J345+'บึงกาฬ'!J345+'บุรีรัมย์'!J345+'มหาสารคาม'!J345+'มุกดาหาร'!J345+'ยโสธร'!J345+'ร้อยเอ็ด'!J345+'เลย'!J345+'ศรีสะเกษ'!J345+'สกลนคร'!J345+'สุรินทร์'!J345+'หนองคาย'!J345+'หนองบัวลำภู'!J345+'อำนาจเจริญ'!J345+'อุดรธานี'!J345+'อุบลราชธานี'!J345</f>
        <v>2114</v>
      </c>
      <c r="K345" s="375">
        <f t="shared" si="71"/>
        <v>17.77217318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'กาฬสินธุ์'!I346+'ขอนแก่น'!I346+'ชัยภูมิ'!I346+'นครพนม'!I346+'นครราชสีมา'!I346+'บึงกาฬ'!I346+'บุรีรัมย์'!I346+'มหาสารคาม'!I346+'มุกดาหาร'!I346+'ยโสธร'!I346+'ร้อยเอ็ด'!I346+'เลย'!I346+'ศรีสะเกษ'!I346+'สกลนคร'!I346+'สุรินทร์'!I346+'หนองคาย'!I346+'หนองบัวลำภู'!I346+'อำนาจเจริญ'!I346+'อุดรธานี'!I346+'อุบลราชธานี'!I346</f>
        <v>0</v>
      </c>
      <c r="J346" s="222">
        <f>'กาฬสินธุ์'!J346+'ขอนแก่น'!J346+'ชัยภูมิ'!J346+'นครพนม'!J346+'นครราชสีมา'!J346+'บึงกาฬ'!J346+'บุรีรัมย์'!J346+'มหาสารคาม'!J346+'มุกดาหาร'!J346+'ยโสธร'!J346+'ร้อยเอ็ด'!J346+'เลย'!J346+'ศรีสะเกษ'!J346+'สกลนคร'!J346+'สุรินทร์'!J346+'หนองคาย'!J346+'หนองบัวลำภู'!J346+'อำนาจเจริญ'!J346+'อุดรธานี'!J346+'อุบลราชธานี'!J346</f>
        <v>23529.92</v>
      </c>
      <c r="K346" s="384">
        <f t="shared" si="71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'กาฬสินธุ์'!L347+'ขอนแก่น'!L347+'ชัยภูมิ'!L347+'นครพนม'!L347+'นครราชสีมา'!L347+'บึงกาฬ'!L347+'บุรีรัมย์'!L347+'มหาสารคาม'!L347+'มุกดาหาร'!L347+'ยโสธร'!L347+'ร้อยเอ็ด'!L347+'เลย'!L347+'ศรีสะเกษ'!L347+'สกลนคร'!L347+'สุรินทร์'!L347+'หนองคาย'!L347+'หนองบัวลำภู'!L347+'อำนาจเจริญ'!L347+'อุดรธานี'!L347+'อุบลราชธานี'!L347</f>
        <v>55805183</v>
      </c>
      <c r="M347" s="391"/>
      <c r="N347" s="391">
        <f>'กาฬสินธุ์'!N347+'ขอนแก่น'!N347+'ชัยภูมิ'!N347+'นครพนม'!N347+'นครราชสีมา'!N347+'บึงกาฬ'!N347+'บุรีรัมย์'!N347+'มหาสารคาม'!N347+'มุกดาหาร'!N347+'ยโสธร'!N347+'ร้อยเอ็ด'!N347+'เลย'!N347+'ศรีสะเกษ'!N347+'สกลนคร'!N347+'สุรินทร์'!N347+'หนองคาย'!N347+'หนองบัวลำภู'!N347+'อำนาจเจริญ'!N347+'อุดรธานี'!N347+'อุบลราชธานี'!N347</f>
        <v>7340747.19</v>
      </c>
      <c r="O347" s="391">
        <f>+IF(L347&gt;0,N347*100/L347,0)</f>
        <v>13.15423908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'กาฬสินธุ์'!I349+'ขอนแก่น'!I349+'ชัยภูมิ'!I349+'นครพนม'!I349+'นครราชสีมา'!I349+'บึงกาฬ'!I349+'บุรีรัมย์'!I349+'มหาสารคาม'!I349+'มุกดาหาร'!I349+'ยโสธร'!I349+'ร้อยเอ็ด'!I349+'เลย'!I349+'ศรีสะเกษ'!I349+'สกลนคร'!I349+'สุรินทร์'!I349+'หนองคาย'!I349+'หนองบัวลำภู'!I349+'อำนาจเจริญ'!I349+'อุดรธานี'!I349+'อุบลราชธานี'!I349</f>
        <v>5203</v>
      </c>
      <c r="J349" s="404">
        <f>'กาฬสินธุ์'!J349+'ขอนแก่น'!J349+'ชัยภูมิ'!J349+'นครพนม'!J349+'นครราชสีมา'!J349+'บึงกาฬ'!J349+'บุรีรัมย์'!J349+'มหาสารคาม'!J349+'มุกดาหาร'!J349+'ยโสธร'!J349+'ร้อยเอ็ด'!J349+'เลย'!J349+'ศรีสะเกษ'!J349+'สกลนคร'!J349+'สุรินทร์'!J349+'หนองคาย'!J349+'หนองบัวลำภู'!J349+'อำนาจเจริญ'!J349+'อุดรธานี'!J349+'อุบลราชธานี'!J349</f>
        <v>226</v>
      </c>
      <c r="K349" s="405">
        <f t="shared" ref="K349:K350" si="72">IF(I349&gt;0,J349*100/I349,0)</f>
        <v>4.343647895</v>
      </c>
      <c r="L349" s="406">
        <f>'กาฬสินธุ์'!L349+'ขอนแก่น'!L349+'ชัยภูมิ'!L349+'นครพนม'!L349+'นครราชสีมา'!L349+'บึงกาฬ'!L349+'บุรีรัมย์'!L349+'มหาสารคาม'!L349+'มุกดาหาร'!L349+'ยโสธร'!L349+'ร้อยเอ็ด'!L349+'เลย'!L349+'ศรีสะเกษ'!L349+'สกลนคร'!L349+'สุรินทร์'!L349+'หนองคาย'!L349+'หนองบัวลำภู'!L349+'อำนาจเจริญ'!L349+'อุดรธานี'!L349+'อุบลราชธานี'!L349</f>
        <v>9976370</v>
      </c>
      <c r="M349" s="406"/>
      <c r="N349" s="406">
        <f>'กาฬสินธุ์'!N349+'ขอนแก่น'!N349+'ชัยภูมิ'!N349+'นครพนม'!N349+'นครราชสีมา'!N349+'บึงกาฬ'!N349+'บุรีรัมย์'!N349+'มหาสารคาม'!N349+'มุกดาหาร'!N349+'ยโสธร'!N349+'ร้อยเอ็ด'!N349+'เลย'!N349+'ศรีสะเกษ'!N349+'สกลนคร'!N349+'สุรินทร์'!N349+'หนองคาย'!N349+'หนองบัวลำภู'!N349+'อำนาจเจริญ'!N349+'อุดรธานี'!N349+'อุบลราชธานี'!N349</f>
        <v>1576972.88</v>
      </c>
      <c r="O349" s="406">
        <f>+IF(L349&gt;0,N349*100/L349,0)</f>
        <v>15.80708093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'กาฬสินธุ์'!I350+'ขอนแก่น'!I350+'ชัยภูมิ'!I350+'นครพนม'!I350+'นครราชสีมา'!I350+'บึงกาฬ'!I350+'บุรีรัมย์'!I350+'มหาสารคาม'!I350+'มุกดาหาร'!I350+'ยโสธร'!I350+'ร้อยเอ็ด'!I350+'เลย'!I350+'ศรีสะเกษ'!I350+'สกลนคร'!I350+'สุรินทร์'!I350+'หนองคาย'!I350+'หนองบัวลำภู'!I350+'อำนาจเจริญ'!I350+'อุดรธานี'!I350+'อุบลราชธานี'!I350</f>
        <v>1466</v>
      </c>
      <c r="J350" s="404">
        <f>'กาฬสินธุ์'!J350+'ขอนแก่น'!J350+'ชัยภูมิ'!J350+'นครพนม'!J350+'นครราชสีมา'!J350+'บึงกาฬ'!J350+'บุรีรัมย์'!J350+'มหาสารคาม'!J350+'มุกดาหาร'!J350+'ยโสธร'!J350+'ร้อยเอ็ด'!J350+'เลย'!J350+'ศรีสะเกษ'!J350+'สกลนคร'!J350+'สุรินทร์'!J350+'หนองคาย'!J350+'หนองบัวลำภู'!J350+'อำนาจเจริญ'!J350+'อุดรธานี'!J350+'อุบลราชธานี'!J350</f>
        <v>190</v>
      </c>
      <c r="K350" s="405">
        <f t="shared" si="72"/>
        <v>12.96043656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'กาฬสินธุ์'!L351+'ขอนแก่น'!L351+'ชัยภูมิ'!L351+'นครพนม'!L351+'นครราชสีมา'!L351+'บึงกาฬ'!L351+'บุรีรัมย์'!L351+'มหาสารคาม'!L351+'มุกดาหาร'!L351+'ยโสธร'!L351+'ร้อยเอ็ด'!L351+'เลย'!L351+'ศรีสะเกษ'!L351+'สกลนคร'!L351+'สุรินทร์'!L351+'หนองคาย'!L351+'หนองบัวลำภู'!L351+'อำนาจเจริญ'!L351+'อุดรธานี'!L351+'อุบลราชธานี'!L351</f>
        <v>0</v>
      </c>
      <c r="M351" s="197"/>
      <c r="N351" s="197">
        <f>'กาฬสินธุ์'!N351+'ขอนแก่น'!N351+'ชัยภูมิ'!N351+'นครพนม'!N351+'นครราชสีมา'!N351+'บึงกาฬ'!N351+'บุรีรัมย์'!N351+'มหาสารคาม'!N351+'มุกดาหาร'!N351+'ยโสธร'!N351+'ร้อยเอ็ด'!N351+'เลย'!N351+'ศรีสะเกษ'!N351+'สกลนคร'!N351+'สุรินทร์'!N351+'หนองคาย'!N351+'หนองบัวลำภู'!N351+'อำนาจเจริญ'!N351+'อุดรธานี'!N351+'อุบลราชธานี'!N351</f>
        <v>0</v>
      </c>
      <c r="O351" s="198">
        <f t="shared" ref="O351:O354" si="73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'กาฬสินธุ์'!L352+'ขอนแก่น'!L352+'ชัยภูมิ'!L352+'นครพนม'!L352+'นครราชสีมา'!L352+'บึงกาฬ'!L352+'บุรีรัมย์'!L352+'มหาสารคาม'!L352+'มุกดาหาร'!L352+'ยโสธร'!L352+'ร้อยเอ็ด'!L352+'เลย'!L352+'ศรีสะเกษ'!L352+'สกลนคร'!L352+'สุรินทร์'!L352+'หนองคาย'!L352+'หนองบัวลำภู'!L352+'อำนาจเจริญ'!L352+'อุดรธานี'!L352+'อุบลราชธานี'!L352</f>
        <v>9976370</v>
      </c>
      <c r="M352" s="198"/>
      <c r="N352" s="197">
        <f>'กาฬสินธุ์'!N352+'ขอนแก่น'!N352+'ชัยภูมิ'!N352+'นครพนม'!N352+'นครราชสีมา'!N352+'บึงกาฬ'!N352+'บุรีรัมย์'!N352+'มหาสารคาม'!N352+'มุกดาหาร'!N352+'ยโสธร'!N352+'ร้อยเอ็ด'!N352+'เลย'!N352+'ศรีสะเกษ'!N352+'สกลนคร'!N352+'สุรินทร์'!N352+'หนองคาย'!N352+'หนองบัวลำภู'!N352+'อำนาจเจริญ'!N352+'อุดรธานี'!N352+'อุบลราชธานี'!N352</f>
        <v>1576972.88</v>
      </c>
      <c r="O352" s="198">
        <f t="shared" si="73"/>
        <v>15.80708093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'กาฬสินธุ์'!L353+'ขอนแก่น'!L353+'ชัยภูมิ'!L353+'นครพนม'!L353+'นครราชสีมา'!L353+'บึงกาฬ'!L353+'บุรีรัมย์'!L353+'มหาสารคาม'!L353+'มุกดาหาร'!L353+'ยโสธร'!L353+'ร้อยเอ็ด'!L353+'เลย'!L353+'ศรีสะเกษ'!L353+'สกลนคร'!L353+'สุรินทร์'!L353+'หนองคาย'!L353+'หนองบัวลำภู'!L353+'อำนาจเจริญ'!L353+'อุดรธานี'!L353+'อุบลราชธานี'!L353</f>
        <v>0</v>
      </c>
      <c r="M353" s="203"/>
      <c r="N353" s="203">
        <f>'กาฬสินธุ์'!N353+'ขอนแก่น'!N353+'ชัยภูมิ'!N353+'นครพนม'!N353+'นครราชสีมา'!N353+'บึงกาฬ'!N353+'บุรีรัมย์'!N353+'มหาสารคาม'!N353+'มุกดาหาร'!N353+'ยโสธร'!N353+'ร้อยเอ็ด'!N353+'เลย'!N353+'ศรีสะเกษ'!N353+'สกลนคร'!N353+'สุรินทร์'!N353+'หนองคาย'!N353+'หนองบัวลำภู'!N353+'อำนาจเจริญ'!N353+'อุดรธานี'!N353+'อุบลราชธานี'!N353</f>
        <v>0</v>
      </c>
      <c r="O353" s="203">
        <f t="shared" si="73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'กาฬสินธุ์'!L354+'ขอนแก่น'!L354+'ชัยภูมิ'!L354+'นครพนม'!L354+'นครราชสีมา'!L354+'บึงกาฬ'!L354+'บุรีรัมย์'!L354+'มหาสารคาม'!L354+'มุกดาหาร'!L354+'ยโสธร'!L354+'ร้อยเอ็ด'!L354+'เลย'!L354+'ศรีสะเกษ'!L354+'สกลนคร'!L354+'สุรินทร์'!L354+'หนองคาย'!L354+'หนองบัวลำภู'!L354+'อำนาจเจริญ'!L354+'อุดรธานี'!L354+'อุบลราชธานี'!L354</f>
        <v>9976370</v>
      </c>
      <c r="M354" s="203"/>
      <c r="N354" s="200">
        <f>'กาฬสินธุ์'!N354+'ขอนแก่น'!N354+'ชัยภูมิ'!N354+'นครพนม'!N354+'นครราชสีมา'!N354+'บึงกาฬ'!N354+'บุรีรัมย์'!N354+'มหาสารคาม'!N354+'มุกดาหาร'!N354+'ยโสธร'!N354+'ร้อยเอ็ด'!N354+'เลย'!N354+'ศรีสะเกษ'!N354+'สกลนคร'!N354+'สุรินทร์'!N354+'หนองคาย'!N354+'หนองบัวลำภู'!N354+'อำนาจเจริญ'!N354+'อุดรธานี'!N354+'อุบลราชธานี'!N354</f>
        <v>1576972.88</v>
      </c>
      <c r="O354" s="203">
        <f t="shared" si="73"/>
        <v>15.80708093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'กาฬสินธุ์'!N355+'ขอนแก่น'!N355+'ชัยภูมิ'!N355+'นครพนม'!N355+'นครราชสีมา'!N355+'บึงกาฬ'!N355+'บุรีรัมย์'!N355+'มหาสารคาม'!N355+'มุกดาหาร'!N355+'ยโสธร'!N355+'ร้อยเอ็ด'!N355+'เลย'!N355+'ศรีสะเกษ'!N355+'สกลนคร'!N355+'สุรินทร์'!N355+'หนองคาย'!N355+'หนองบัวลำภู'!N355+'อำนาจเจริญ'!N355+'อุดรธานี'!N355+'อุบลราชธานี'!N355</f>
        <v>643516.21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'กาฬสินธุ์'!N356+'ขอนแก่น'!N356+'ชัยภูมิ'!N356+'นครพนม'!N356+'นครราชสีมา'!N356+'บึงกาฬ'!N356+'บุรีรัมย์'!N356+'มหาสารคาม'!N356+'มุกดาหาร'!N356+'ยโสธร'!N356+'ร้อยเอ็ด'!N356+'เลย'!N356+'ศรีสะเกษ'!N356+'สกลนคร'!N356+'สุรินทร์'!N356+'หนองคาย'!N356+'หนองบัวลำภู'!N356+'อำนาจเจริญ'!N356+'อุดรธานี'!N356+'อุบลราชธานี'!N356</f>
        <v>231979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'กาฬสินธุ์'!N357+'ขอนแก่น'!N357+'ชัยภูมิ'!N357+'นครพนม'!N357+'นครราชสีมา'!N357+'บึงกาฬ'!N357+'บุรีรัมย์'!N357+'มหาสารคาม'!N357+'มุกดาหาร'!N357+'ยโสธร'!N357+'ร้อยเอ็ด'!N357+'เลย'!N357+'ศรีสะเกษ'!N357+'สกลนคร'!N357+'สุรินทร์'!N357+'หนองคาย'!N357+'หนองบัวลำภู'!N357+'อำนาจเจริญ'!N357+'อุดรธานี'!N357+'อุบลราชธานี'!N357</f>
        <v>564988.67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'กาฬสินธุ์'!N358+'ขอนแก่น'!N358+'ชัยภูมิ'!N358+'นครพนม'!N358+'นครราชสีมา'!N358+'บึงกาฬ'!N358+'บุรีรัมย์'!N358+'มหาสารคาม'!N358+'มุกดาหาร'!N358+'ยโสธร'!N358+'ร้อยเอ็ด'!N358+'เลย'!N358+'ศรีสะเกษ'!N358+'สกลนคร'!N358+'สุรินทร์'!N358+'หนองคาย'!N358+'หนองบัวลำภู'!N358+'อำนาจเจริญ'!N358+'อุดรธานี'!N358+'อุบลราชธานี'!N358</f>
        <v>136489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'กาฬสินธุ์'!J360+'ขอนแก่น'!J360+'ชัยภูมิ'!J360+'นครพนม'!J360+'นครราชสีมา'!J360+'บึงกาฬ'!J360+'บุรีรัมย์'!J360+'มหาสารคาม'!J360+'มุกดาหาร'!J360+'ยโสธร'!J360+'ร้อยเอ็ด'!J360+'เลย'!J360+'ศรีสะเกษ'!J360+'สกลนคร'!J360+'สุรินทร์'!J360+'หนองคาย'!J360+'หนองบัวลำภู'!J360+'อำนาจเจริญ'!J360+'อุดรธานี'!J360+'อุบลราชธานี'!J360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'กาฬสินธุ์'!J361+'ขอนแก่น'!J361+'ชัยภูมิ'!J361+'นครพนม'!J361+'นครราชสีมา'!J361+'บึงกาฬ'!J361+'บุรีรัมย์'!J361+'มหาสารคาม'!J361+'มุกดาหาร'!J361+'ยโสธร'!J361+'ร้อยเอ็ด'!J361+'เลย'!J361+'ศรีสะเกษ'!J361+'สกลนคร'!J361+'สุรินทร์'!J361+'หนองคาย'!J361+'หนองบัวลำภู'!J361+'อำนาจเจริญ'!J361+'อุดรธานี'!J361+'อุบลราชธานี'!J361</f>
        <v>19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'กาฬสินธุ์'!J362+'ขอนแก่น'!J362+'ชัยภูมิ'!J362+'นครพนม'!J362+'นครราชสีมา'!J362+'บึงกาฬ'!J362+'บุรีรัมย์'!J362+'มหาสารคาม'!J362+'มุกดาหาร'!J362+'ยโสธร'!J362+'ร้อยเอ็ด'!J362+'เลย'!J362+'ศรีสะเกษ'!J362+'สกลนคร'!J362+'สุรินทร์'!J362+'หนองคาย'!J362+'หนองบัวลำภู'!J362+'อำนาจเจริญ'!J362+'อุดรธานี'!J362+'อุบลราชธานี'!J362</f>
        <v>17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'กาฬสินธุ์'!J363+'ขอนแก่น'!J363+'ชัยภูมิ'!J363+'นครพนม'!J363+'นครราชสีมา'!J363+'บึงกาฬ'!J363+'บุรีรัมย์'!J363+'มหาสารคาม'!J363+'มุกดาหาร'!J363+'ยโสธร'!J363+'ร้อยเอ็ด'!J363+'เลย'!J363+'ศรีสะเกษ'!J363+'สกลนคร'!J363+'สุรินทร์'!J363+'หนองคาย'!J363+'หนองบัวลำภู'!J363+'อำนาจเจริญ'!J363+'อุดรธานี'!J363+'อุบลราชธานี'!J363</f>
        <v>13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'กาฬสินธุ์'!J364+'ขอนแก่น'!J364+'ชัยภูมิ'!J364+'นครพนม'!J364+'นครราชสีมา'!J364+'บึงกาฬ'!J364+'บุรีรัมย์'!J364+'มหาสารคาม'!J364+'มุกดาหาร'!J364+'ยโสธร'!J364+'ร้อยเอ็ด'!J364+'เลย'!J364+'ศรีสะเกษ'!J364+'สกลนคร'!J364+'สุรินทร์'!J364+'หนองคาย'!J364+'หนองบัวลำภู'!J364+'อำนาจเจริญ'!J364+'อุดรธานี'!J364+'อุบลราชธานี'!J364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'กาฬสินธุ์'!J365+'ขอนแก่น'!J365+'ชัยภูมิ'!J365+'นครพนม'!J365+'นครราชสีมา'!J365+'บึงกาฬ'!J365+'บุรีรัมย์'!J365+'มหาสารคาม'!J365+'มุกดาหาร'!J365+'ยโสธร'!J365+'ร้อยเอ็ด'!J365+'เลย'!J365+'ศรีสะเกษ'!J365+'สกลนคร'!J365+'สุรินทร์'!J365+'หนองคาย'!J365+'หนองบัวลำภู'!J365+'อำนาจเจริญ'!J365+'อุดรธานี'!J365+'อุบลราชธานี'!J365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'กาฬสินธุ์'!J366+'ขอนแก่น'!J366+'ชัยภูมิ'!J366+'นครพนม'!J366+'นครราชสีมา'!J366+'บึงกาฬ'!J366+'บุรีรัมย์'!J366+'มหาสารคาม'!J366+'มุกดาหาร'!J366+'ยโสธร'!J366+'ร้อยเอ็ด'!J366+'เลย'!J366+'ศรีสะเกษ'!J366+'สกลนคร'!J366+'สุรินทร์'!J366+'หนองคาย'!J366+'หนองบัวลำภู'!J366+'อำนาจเจริญ'!J366+'อุดรธานี'!J366+'อุบลราชธานี'!J366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'กาฬสินธุ์'!J367+'ขอนแก่น'!J367+'ชัยภูมิ'!J367+'นครพนม'!J367+'นครราชสีมา'!J367+'บึงกาฬ'!J367+'บุรีรัมย์'!J367+'มหาสารคาม'!J367+'มุกดาหาร'!J367+'ยโสธร'!J367+'ร้อยเอ็ด'!J367+'เลย'!J367+'ศรีสะเกษ'!J367+'สกลนคร'!J367+'สุรินทร์'!J367+'หนองคาย'!J367+'หนองบัวลำภู'!J367+'อำนาจเจริญ'!J367+'อุดรธานี'!J367+'อุบลราชธานี'!J367</f>
        <v>0</v>
      </c>
      <c r="K367" s="196">
        <f t="shared" ref="K367:K373" si="74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'กาฬสินธุ์'!I368+'ขอนแก่น'!I368+'ชัยภูมิ'!I368+'นครพนม'!I368+'นครราชสีมา'!I368+'บึงกาฬ'!I368+'บุรีรัมย์'!I368+'มหาสารคาม'!I368+'มุกดาหาร'!I368+'ยโสธร'!I368+'ร้อยเอ็ด'!I368+'เลย'!I368+'ศรีสะเกษ'!I368+'สกลนคร'!I368+'สุรินทร์'!I368+'หนองคาย'!I368+'หนองบัวลำภู'!I368+'อำนาจเจริญ'!I368+'อุดรธานี'!I368+'อุบลราชธานี'!I368</f>
        <v>1466</v>
      </c>
      <c r="J368" s="222">
        <f>'กาฬสินธุ์'!J368+'ขอนแก่น'!J368+'ชัยภูมิ'!J368+'นครพนม'!J368+'นครราชสีมา'!J368+'บึงกาฬ'!J368+'บุรีรัมย์'!J368+'มหาสารคาม'!J368+'มุกดาหาร'!J368+'ยโสธร'!J368+'ร้อยเอ็ด'!J368+'เลย'!J368+'ศรีสะเกษ'!J368+'สกลนคร'!J368+'สุรินทร์'!J368+'หนองคาย'!J368+'หนองบัวลำภู'!J368+'อำนาจเจริญ'!J368+'อุดรธานี'!J368+'อุบลราชธานี'!J368</f>
        <v>190</v>
      </c>
      <c r="K368" s="196">
        <f t="shared" si="74"/>
        <v>12.96043656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'กาฬสินธุ์'!I369+'ขอนแก่น'!I369+'ชัยภูมิ'!I369+'นครพนม'!I369+'นครราชสีมา'!I369+'บึงกาฬ'!I369+'บุรีรัมย์'!I369+'มหาสารคาม'!I369+'มุกดาหาร'!I369+'ยโสธร'!I369+'ร้อยเอ็ด'!I369+'เลย'!I369+'ศรีสะเกษ'!I369+'สกลนคร'!I369+'สุรินทร์'!I369+'หนองคาย'!I369+'หนองบัวลำภู'!I369+'อำนาจเจริญ'!I369+'อุดรธานี'!I369+'อุบลราชธานี'!I369</f>
        <v>0</v>
      </c>
      <c r="J369" s="238">
        <f>'กาฬสินธุ์'!J369+'ขอนแก่น'!J369+'ชัยภูมิ'!J369+'นครพนม'!J369+'นครราชสีมา'!J369+'บึงกาฬ'!J369+'บุรีรัมย์'!J369+'มหาสารคาม'!J369+'มุกดาหาร'!J369+'ยโสธร'!J369+'ร้อยเอ็ด'!J369+'เลย'!J369+'ศรีสะเกษ'!J369+'สกลนคร'!J369+'สุรินทร์'!J369+'หนองคาย'!J369+'หนองบัวลำภู'!J369+'อำนาจเจริญ'!J369+'อุดรธานี'!J369+'อุบลราชธานี'!J369</f>
        <v>0</v>
      </c>
      <c r="K369" s="196">
        <f t="shared" si="74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'กาฬสินธุ์'!I370+'ขอนแก่น'!I370+'ชัยภูมิ'!I370+'นครพนม'!I370+'นครราชสีมา'!I370+'บึงกาฬ'!I370+'บุรีรัมย์'!I370+'มหาสารคาม'!I370+'มุกดาหาร'!I370+'ยโสธร'!I370+'ร้อยเอ็ด'!I370+'เลย'!I370+'ศรีสะเกษ'!I370+'สกลนคร'!I370+'สุรินทร์'!I370+'หนองคาย'!I370+'หนองบัวลำภู'!I370+'อำนาจเจริญ'!I370+'อุดรธานี'!I370+'อุบลราชธานี'!I370</f>
        <v>1466</v>
      </c>
      <c r="J370" s="238">
        <f>'กาฬสินธุ์'!J370+'ขอนแก่น'!J370+'ชัยภูมิ'!J370+'นครพนม'!J370+'นครราชสีมา'!J370+'บึงกาฬ'!J370+'บุรีรัมย์'!J370+'มหาสารคาม'!J370+'มุกดาหาร'!J370+'ยโสธร'!J370+'ร้อยเอ็ด'!J370+'เลย'!J370+'ศรีสะเกษ'!J370+'สกลนคร'!J370+'สุรินทร์'!J370+'หนองคาย'!J370+'หนองบัวลำภู'!J370+'อำนาจเจริญ'!J370+'อุดรธานี'!J370+'อุบลราชธานี'!J370</f>
        <v>623</v>
      </c>
      <c r="K370" s="196">
        <f t="shared" si="74"/>
        <v>42.49658936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'กาฬสินธุ์'!I371+'ขอนแก่น'!I371+'ชัยภูมิ'!I371+'นครพนม'!I371+'นครราชสีมา'!I371+'บึงกาฬ'!I371+'บุรีรัมย์'!I371+'มหาสารคาม'!I371+'มุกดาหาร'!I371+'ยโสธร'!I371+'ร้อยเอ็ด'!I371+'เลย'!I371+'ศรีสะเกษ'!I371+'สกลนคร'!I371+'สุรินทร์'!I371+'หนองคาย'!I371+'หนองบัวลำภู'!I371+'อำนาจเจริญ'!I371+'อุดรธานี'!I371+'อุบลราชธานี'!I371</f>
        <v>0</v>
      </c>
      <c r="J371" s="223">
        <f>'กาฬสินธุ์'!J371+'ขอนแก่น'!J371+'ชัยภูมิ'!J371+'นครพนม'!J371+'นครราชสีมา'!J371+'บึงกาฬ'!J371+'บุรีรัมย์'!J371+'มหาสารคาม'!J371+'มุกดาหาร'!J371+'ยโสธร'!J371+'ร้อยเอ็ด'!J371+'เลย'!J371+'ศรีสะเกษ'!J371+'สกลนคร'!J371+'สุรินทร์'!J371+'หนองคาย'!J371+'หนองบัวลำภู'!J371+'อำนาจเจริญ'!J371+'อุดรธานี'!J371+'อุบลราชธานี'!J371</f>
        <v>0</v>
      </c>
      <c r="K371" s="196">
        <f t="shared" si="74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'กาฬสินธุ์'!I372+'ขอนแก่น'!I372+'ชัยภูมิ'!I372+'นครพนม'!I372+'นครราชสีมา'!I372+'บึงกาฬ'!I372+'บุรีรัมย์'!I372+'มหาสารคาม'!I372+'มุกดาหาร'!I372+'ยโสธร'!I372+'ร้อยเอ็ด'!I372+'เลย'!I372+'ศรีสะเกษ'!I372+'สกลนคร'!I372+'สุรินทร์'!I372+'หนองคาย'!I372+'หนองบัวลำภู'!I372+'อำนาจเจริญ'!I372+'อุดรธานี'!I372+'อุบลราชธานี'!I372</f>
        <v>1466</v>
      </c>
      <c r="J372" s="223">
        <f>'กาฬสินธุ์'!J372+'ขอนแก่น'!J372+'ชัยภูมิ'!J372+'นครพนม'!J372+'นครราชสีมา'!J372+'บึงกาฬ'!J372+'บุรีรัมย์'!J372+'มหาสารคาม'!J372+'มุกดาหาร'!J372+'ยโสธร'!J372+'ร้อยเอ็ด'!J372+'เลย'!J372+'ศรีสะเกษ'!J372+'สกลนคร'!J372+'สุรินทร์'!J372+'หนองคาย'!J372+'หนองบัวลำภู'!J372+'อำนาจเจริญ'!J372+'อุดรธานี'!J372+'อุบลราชธานี'!J372</f>
        <v>190</v>
      </c>
      <c r="K372" s="196">
        <f t="shared" si="74"/>
        <v>12.96043656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'กาฬสินธุ์'!I373+'ขอนแก่น'!I373+'ชัยภูมิ'!I373+'นครพนม'!I373+'นครราชสีมา'!I373+'บึงกาฬ'!I373+'บุรีรัมย์'!I373+'มหาสารคาม'!I373+'มุกดาหาร'!I373+'ยโสธร'!I373+'ร้อยเอ็ด'!I373+'เลย'!I373+'ศรีสะเกษ'!I373+'สกลนคร'!I373+'สุรินทร์'!I373+'หนองคาย'!I373+'หนองบัวลำภู'!I373+'อำนาจเจริญ'!I373+'อุดรธานี'!I373+'อุบลราชธานี'!I373</f>
        <v>0</v>
      </c>
      <c r="J373" s="238">
        <f>'กาฬสินธุ์'!J373+'ขอนแก่น'!J373+'ชัยภูมิ'!J373+'นครพนม'!J373+'นครราชสีมา'!J373+'บึงกาฬ'!J373+'บุรีรัมย์'!J373+'มหาสารคาม'!J373+'มุกดาหาร'!J373+'ยโสธร'!J373+'ร้อยเอ็ด'!J373+'เลย'!J373+'ศรีสะเกษ'!J373+'สกลนคร'!J373+'สุรินทร์'!J373+'หนองคาย'!J373+'หนองบัวลำภู'!J373+'อำนาจเจริญ'!J373+'อุดรธานี'!J373+'อุบลราชธานี'!J373</f>
        <v>0</v>
      </c>
      <c r="K373" s="196">
        <f t="shared" si="74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'กาฬสินธุ์'!I374+'ขอนแก่น'!I374+'ชัยภูมิ'!I374+'นครพนม'!I374+'นครราชสีมา'!I374+'บึงกาฬ'!I374+'บุรีรัมย์'!I374+'มหาสารคาม'!I374+'มุกดาหาร'!I374+'ยโสธร'!I374+'ร้อยเอ็ด'!I374+'เลย'!I374+'ศรีสะเกษ'!I374+'สกลนคร'!I374+'สุรินทร์'!I374+'หนองคาย'!I374+'หนองบัวลำภู'!I374+'อำนาจเจริญ'!I374+'อุดรธานี'!I374+'อุบลราชธานี'!I374</f>
        <v>0</v>
      </c>
      <c r="J374" s="222">
        <f>'กาฬสินธุ์'!J374+'ขอนแก่น'!J374+'ชัยภูมิ'!J374+'นครพนม'!J374+'นครราชสีมา'!J374+'บึงกาฬ'!J374+'บุรีรัมย์'!J374+'มหาสารคาม'!J374+'มุกดาหาร'!J374+'ยโสธร'!J374+'ร้อยเอ็ด'!J374+'เลย'!J374+'ศรีสะเกษ'!J374+'สกลนคร'!J374+'สุรินทร์'!J374+'หนองคาย'!J374+'หนองบัวลำภู'!J374+'อำนาจเจริญ'!J374+'อุดรธานี'!J374+'อุบลราชธานี'!J374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'กาฬสินธุ์'!I375+'ขอนแก่น'!I375+'ชัยภูมิ'!I375+'นครพนม'!I375+'นครราชสีมา'!I375+'บึงกาฬ'!I375+'บุรีรัมย์'!I375+'มหาสารคาม'!I375+'มุกดาหาร'!I375+'ยโสธร'!I375+'ร้อยเอ็ด'!I375+'เลย'!I375+'ศรีสะเกษ'!I375+'สกลนคร'!I375+'สุรินทร์'!I375+'หนองคาย'!I375+'หนองบัวลำภู'!I375+'อำนาจเจริญ'!I375+'อุดรธานี'!I375+'อุบลราชธานี'!I375</f>
        <v>5203</v>
      </c>
      <c r="J375" s="222">
        <f>'กาฬสินธุ์'!J375+'ขอนแก่น'!J375+'ชัยภูมิ'!J375+'นครพนม'!J375+'นครราชสีมา'!J375+'บึงกาฬ'!J375+'บุรีรัมย์'!J375+'มหาสารคาม'!J375+'มุกดาหาร'!J375+'ยโสธร'!J375+'ร้อยเอ็ด'!J375+'เลย'!J375+'ศรีสะเกษ'!J375+'สกลนคร'!J375+'สุรินทร์'!J375+'หนองคาย'!J375+'หนองบัวลำภู'!J375+'อำนาจเจริญ'!J375+'อุดรธานี'!J375+'อุบลราชธานี'!J375</f>
        <v>226</v>
      </c>
      <c r="K375" s="196">
        <f t="shared" ref="K375:K377" si="75">IF(I375&gt;0,J375*100/I375,0)</f>
        <v>4.343647895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'กาฬสินธุ์'!I376+'ขอนแก่น'!I376+'ชัยภูมิ'!I376+'นครพนม'!I376+'นครราชสีมา'!I376+'บึงกาฬ'!I376+'บุรีรัมย์'!I376+'มหาสารคาม'!I376+'มุกดาหาร'!I376+'ยโสธร'!I376+'ร้อยเอ็ด'!I376+'เลย'!I376+'ศรีสะเกษ'!I376+'สกลนคร'!I376+'สุรินทร์'!I376+'หนองคาย'!I376+'หนองบัวลำภู'!I376+'อำนาจเจริญ'!I376+'อุดรธานี'!I376+'อุบลราชธานี'!I376</f>
        <v>2614</v>
      </c>
      <c r="J376" s="223">
        <f>'กาฬสินธุ์'!J376+'ขอนแก่น'!J376+'ชัยภูมิ'!J376+'นครพนม'!J376+'นครราชสีมา'!J376+'บึงกาฬ'!J376+'บุรีรัมย์'!J376+'มหาสารคาม'!J376+'มุกดาหาร'!J376+'ยโสธร'!J376+'ร้อยเอ็ด'!J376+'เลย'!J376+'ศรีสะเกษ'!J376+'สกลนคร'!J376+'สุรินทร์'!J376+'หนองคาย'!J376+'หนองบัวลำภู'!J376+'อำนาจเจริญ'!J376+'อุดรธานี'!J376+'อุบลราชธานี'!J376</f>
        <v>140</v>
      </c>
      <c r="K376" s="196">
        <f t="shared" si="75"/>
        <v>5.355776588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'กาฬสินธุ์'!I377+'ขอนแก่น'!I377+'ชัยภูมิ'!I377+'นครพนม'!I377+'นครราชสีมา'!I377+'บึงกาฬ'!I377+'บุรีรัมย์'!I377+'มหาสารคาม'!I377+'มุกดาหาร'!I377+'ยโสธร'!I377+'ร้อยเอ็ด'!I377+'เลย'!I377+'ศรีสะเกษ'!I377+'สกลนคร'!I377+'สุรินทร์'!I377+'หนองคาย'!I377+'หนองบัวลำภู'!I377+'อำนาจเจริญ'!I377+'อุดรธานี'!I377+'อุบลราชธานี'!I377</f>
        <v>2589</v>
      </c>
      <c r="J377" s="238">
        <f>'กาฬสินธุ์'!J377+'ขอนแก่น'!J377+'ชัยภูมิ'!J377+'นครพนม'!J377+'นครราชสีมา'!J377+'บึงกาฬ'!J377+'บุรีรัมย์'!J377+'มหาสารคาม'!J377+'มุกดาหาร'!J377+'ยโสธร'!J377+'ร้อยเอ็ด'!J377+'เลย'!J377+'ศรีสะเกษ'!J377+'สกลนคร'!J377+'สุรินทร์'!J377+'หนองคาย'!J377+'หนองบัวลำภู'!J377+'อำนาจเจริญ'!J377+'อุดรธานี'!J377+'อุบลราชธานี'!J377</f>
        <v>86</v>
      </c>
      <c r="K377" s="196">
        <f t="shared" si="75"/>
        <v>3.321745848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'กาฬสินธุ์'!J378+'ขอนแก่น'!J378+'ชัยภูมิ'!J378+'นครพนม'!J378+'นครราชสีมา'!J378+'บึงกาฬ'!J378+'บุรีรัมย์'!J378+'มหาสารคาม'!J378+'มุกดาหาร'!J378+'ยโสธร'!J378+'ร้อยเอ็ด'!J378+'เลย'!J378+'ศรีสะเกษ'!J378+'สกลนคร'!J378+'สุรินทร์'!J378+'หนองคาย'!J378+'หนองบัวลำภู'!J378+'อำนาจเจริญ'!J378+'อุดรธานี'!J378+'อุบลราชธานี'!J378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'กาฬสินธุ์'!J379+'ขอนแก่น'!J379+'ชัยภูมิ'!J379+'นครพนม'!J379+'นครราชสีมา'!J379+'บึงกาฬ'!J379+'บุรีรัมย์'!J379+'มหาสารคาม'!J379+'มุกดาหาร'!J379+'ยโสธร'!J379+'ร้อยเอ็ด'!J379+'เลย'!J379+'ศรีสะเกษ'!J379+'สกลนคร'!J379+'สุรินทร์'!J379+'หนองคาย'!J379+'หนองบัวลำภู'!J379+'อำนาจเจริญ'!J379+'อุดรธานี'!J379+'อุบลราชธานี'!J379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'กาฬสินธุ์'!I380+'ขอนแก่น'!I380+'ชัยภูมิ'!I380+'นครพนม'!I380+'นครราชสีมา'!I380+'บึงกาฬ'!I380+'บุรีรัมย์'!I380+'มหาสารคาม'!I380+'มุกดาหาร'!I380+'ยโสธร'!I380+'ร้อยเอ็ด'!I380+'เลย'!I380+'ศรีสะเกษ'!I380+'สกลนคร'!I380+'สุรินทร์'!I380+'หนองคาย'!I380+'หนองบัวลำภู'!I380+'อำนาจเจริญ'!I380+'อุดรธานี'!I380+'อุบลราชธานี'!I380</f>
        <v>18000</v>
      </c>
      <c r="J380" s="404">
        <f>'กาฬสินธุ์'!J380+'ขอนแก่น'!J380+'ชัยภูมิ'!J380+'นครพนม'!J380+'นครราชสีมา'!J380+'บึงกาฬ'!J380+'บุรีรัมย์'!J380+'มหาสารคาม'!J380+'มุกดาหาร'!J380+'ยโสธร'!J380+'ร้อยเอ็ด'!J380+'เลย'!J380+'ศรีสะเกษ'!J380+'สกลนคร'!J380+'สุรินทร์'!J380+'หนองคาย'!J380+'หนองบัวลำภู'!J380+'อำนาจเจริญ'!J380+'อุดรธานี'!J380+'อุบลราชธานี'!J380</f>
        <v>0</v>
      </c>
      <c r="K380" s="405">
        <f t="shared" ref="K380:K381" si="76">IF(I380&gt;0,J380*100/I380,0)</f>
        <v>0</v>
      </c>
      <c r="L380" s="406">
        <f>'กาฬสินธุ์'!L380+'ขอนแก่น'!L380+'ชัยภูมิ'!L380+'นครพนม'!L380+'นครราชสีมา'!L380+'บึงกาฬ'!L380+'บุรีรัมย์'!L380+'มหาสารคาม'!L380+'มุกดาหาร'!L380+'ยโสธร'!L380+'ร้อยเอ็ด'!L380+'เลย'!L380+'ศรีสะเกษ'!L380+'สกลนคร'!L380+'สุรินทร์'!L380+'หนองคาย'!L380+'หนองบัวลำภู'!L380+'อำนาจเจริญ'!L380+'อุดรธานี'!L380+'อุบลราชธานี'!L380</f>
        <v>18296880</v>
      </c>
      <c r="M380" s="406"/>
      <c r="N380" s="406">
        <f>'กาฬสินธุ์'!N380+'ขอนแก่น'!N380+'ชัยภูมิ'!N380+'นครพนม'!N380+'นครราชสีมา'!N380+'บึงกาฬ'!N380+'บุรีรัมย์'!N380+'มหาสารคาม'!N380+'มุกดาหาร'!N380+'ยโสธร'!N380+'ร้อยเอ็ด'!N380+'เลย'!N380+'ศรีสะเกษ'!N380+'สกลนคร'!N380+'สุรินทร์'!N380+'หนองคาย'!N380+'หนองบัวลำภู'!N380+'อำนาจเจริญ'!N380+'อุดรธานี'!N380+'อุบลราชธานี'!N380</f>
        <v>1350538.9</v>
      </c>
      <c r="O380" s="406">
        <f>+IF(L380&gt;0,N380*100/L380,0)</f>
        <v>7.381252432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'กาฬสินธุ์'!I381+'ขอนแก่น'!I381+'ชัยภูมิ'!I381+'นครพนม'!I381+'นครราชสีมา'!I381+'บึงกาฬ'!I381+'บุรีรัมย์'!I381+'มหาสารคาม'!I381+'มุกดาหาร'!I381+'ยโสธร'!I381+'ร้อยเอ็ด'!I381+'เลย'!I381+'ศรีสะเกษ'!I381+'สกลนคร'!I381+'สุรินทร์'!I381+'หนองคาย'!I381+'หนองบัวลำภู'!I381+'อำนาจเจริญ'!I381+'อุดรธานี'!I381+'อุบลราชธานี'!I381</f>
        <v>1800</v>
      </c>
      <c r="J381" s="404">
        <f>'กาฬสินธุ์'!J381+'ขอนแก่น'!J381+'ชัยภูมิ'!J381+'นครพนม'!J381+'นครราชสีมา'!J381+'บึงกาฬ'!J381+'บุรีรัมย์'!J381+'มหาสารคาม'!J381+'มุกดาหาร'!J381+'ยโสธร'!J381+'ร้อยเอ็ด'!J381+'เลย'!J381+'ศรีสะเกษ'!J381+'สกลนคร'!J381+'สุรินทร์'!J381+'หนองคาย'!J381+'หนองบัวลำภู'!J381+'อำนาจเจริญ'!J381+'อุดรธานี'!J381+'อุบลราชธานี'!J381</f>
        <v>448</v>
      </c>
      <c r="K381" s="405">
        <f t="shared" si="76"/>
        <v>24.88888889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'กาฬสินธุ์'!L382+'ขอนแก่น'!L382+'ชัยภูมิ'!L382+'นครพนม'!L382+'นครราชสีมา'!L382+'บึงกาฬ'!L382+'บุรีรัมย์'!L382+'มหาสารคาม'!L382+'มุกดาหาร'!L382+'ยโสธร'!L382+'ร้อยเอ็ด'!L382+'เลย'!L382+'ศรีสะเกษ'!L382+'สกลนคร'!L382+'สุรินทร์'!L382+'หนองคาย'!L382+'หนองบัวลำภู'!L382+'อำนาจเจริญ'!L382+'อุดรธานี'!L382+'อุบลราชธานี'!L382</f>
        <v>0</v>
      </c>
      <c r="M382" s="197"/>
      <c r="N382" s="197">
        <f>'กาฬสินธุ์'!N382+'ขอนแก่น'!N382+'ชัยภูมิ'!N382+'นครพนม'!N382+'นครราชสีมา'!N382+'บึงกาฬ'!N382+'บุรีรัมย์'!N382+'มหาสารคาม'!N382+'มุกดาหาร'!N382+'ยโสธร'!N382+'ร้อยเอ็ด'!N382+'เลย'!N382+'ศรีสะเกษ'!N382+'สกลนคร'!N382+'สุรินทร์'!N382+'หนองคาย'!N382+'หนองบัวลำภู'!N382+'อำนาจเจริญ'!N382+'อุดรธานี'!N382+'อุบลราชธานี'!N382</f>
        <v>0</v>
      </c>
      <c r="O382" s="198">
        <f t="shared" ref="O382:O385" si="77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'กาฬสินธุ์'!L383+'ขอนแก่น'!L383+'ชัยภูมิ'!L383+'นครพนม'!L383+'นครราชสีมา'!L383+'บึงกาฬ'!L383+'บุรีรัมย์'!L383+'มหาสารคาม'!L383+'มุกดาหาร'!L383+'ยโสธร'!L383+'ร้อยเอ็ด'!L383+'เลย'!L383+'ศรีสะเกษ'!L383+'สกลนคร'!L383+'สุรินทร์'!L383+'หนองคาย'!L383+'หนองบัวลำภู'!L383+'อำนาจเจริญ'!L383+'อุดรธานี'!L383+'อุบลราชธานี'!L383</f>
        <v>18296880</v>
      </c>
      <c r="M383" s="198"/>
      <c r="N383" s="198">
        <f>'กาฬสินธุ์'!N383+'ขอนแก่น'!N383+'ชัยภูมิ'!N383+'นครพนม'!N383+'นครราชสีมา'!N383+'บึงกาฬ'!N383+'บุรีรัมย์'!N383+'มหาสารคาม'!N383+'มุกดาหาร'!N383+'ยโสธร'!N383+'ร้อยเอ็ด'!N383+'เลย'!N383+'ศรีสะเกษ'!N383+'สกลนคร'!N383+'สุรินทร์'!N383+'หนองคาย'!N383+'หนองบัวลำภู'!N383+'อำนาจเจริญ'!N383+'อุดรธานี'!N383+'อุบลราชธานี'!N383</f>
        <v>1350538.9</v>
      </c>
      <c r="O383" s="198">
        <f t="shared" si="77"/>
        <v>7.381252432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'กาฬสินธุ์'!L384+'ขอนแก่น'!L384+'ชัยภูมิ'!L384+'นครพนม'!L384+'นครราชสีมา'!L384+'บึงกาฬ'!L384+'บุรีรัมย์'!L384+'มหาสารคาม'!L384+'มุกดาหาร'!L384+'ยโสธร'!L384+'ร้อยเอ็ด'!L384+'เลย'!L384+'ศรีสะเกษ'!L384+'สกลนคร'!L384+'สุรินทร์'!L384+'หนองคาย'!L384+'หนองบัวลำภู'!L384+'อำนาจเจริญ'!L384+'อุดรธานี'!L384+'อุบลราชธานี'!L384</f>
        <v>0</v>
      </c>
      <c r="M384" s="203"/>
      <c r="N384" s="203">
        <f>'กาฬสินธุ์'!N384+'ขอนแก่น'!N384+'ชัยภูมิ'!N384+'นครพนม'!N384+'นครราชสีมา'!N384+'บึงกาฬ'!N384+'บุรีรัมย์'!N384+'มหาสารคาม'!N384+'มุกดาหาร'!N384+'ยโสธร'!N384+'ร้อยเอ็ด'!N384+'เลย'!N384+'ศรีสะเกษ'!N384+'สกลนคร'!N384+'สุรินทร์'!N384+'หนองคาย'!N384+'หนองบัวลำภู'!N384+'อำนาจเจริญ'!N384+'อุดรธานี'!N384+'อุบลราชธานี'!N384</f>
        <v>0</v>
      </c>
      <c r="O384" s="203">
        <f t="shared" si="77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'กาฬสินธุ์'!L385+'ขอนแก่น'!L385+'ชัยภูมิ'!L385+'นครพนม'!L385+'นครราชสีมา'!L385+'บึงกาฬ'!L385+'บุรีรัมย์'!L385+'มหาสารคาม'!L385+'มุกดาหาร'!L385+'ยโสธร'!L385+'ร้อยเอ็ด'!L385+'เลย'!L385+'ศรีสะเกษ'!L385+'สกลนคร'!L385+'สุรินทร์'!L385+'หนองคาย'!L385+'หนองบัวลำภู'!L385+'อำนาจเจริญ'!L385+'อุดรธานี'!L385+'อุบลราชธานี'!L385</f>
        <v>18296880</v>
      </c>
      <c r="M385" s="203"/>
      <c r="N385" s="200">
        <f>'กาฬสินธุ์'!N385+'ขอนแก่น'!N385+'ชัยภูมิ'!N385+'นครพนม'!N385+'นครราชสีมา'!N385+'บึงกาฬ'!N385+'บุรีรัมย์'!N385+'มหาสารคาม'!N385+'มุกดาหาร'!N385+'ยโสธร'!N385+'ร้อยเอ็ด'!N385+'เลย'!N385+'ศรีสะเกษ'!N385+'สกลนคร'!N385+'สุรินทร์'!N385+'หนองคาย'!N385+'หนองบัวลำภู'!N385+'อำนาจเจริญ'!N385+'อุดรธานี'!N385+'อุบลราชธานี'!N385</f>
        <v>1350538.9</v>
      </c>
      <c r="O385" s="203">
        <f t="shared" si="77"/>
        <v>7.381252432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'กาฬสินธุ์'!N386+'ขอนแก่น'!N386+'ชัยภูมิ'!N386+'นครพนม'!N386+'นครราชสีมา'!N386+'บึงกาฬ'!N386+'บุรีรัมย์'!N386+'มหาสารคาม'!N386+'มุกดาหาร'!N386+'ยโสธร'!N386+'ร้อยเอ็ด'!N386+'เลย'!N386+'ศรีสะเกษ'!N386+'สกลนคร'!N386+'สุรินทร์'!N386+'หนองคาย'!N386+'หนองบัวลำภู'!N386+'อำนาจเจริญ'!N386+'อุดรธานี'!N386+'อุบลราชธานี'!N386</f>
        <v>687518.13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'กาฬสินธุ์'!N387+'ขอนแก่น'!N387+'ชัยภูมิ'!N387+'นครพนม'!N387+'นครราชสีมา'!N387+'บึงกาฬ'!N387+'บุรีรัมย์'!N387+'มหาสารคาม'!N387+'มุกดาหาร'!N387+'ยโสธร'!N387+'ร้อยเอ็ด'!N387+'เลย'!N387+'ศรีสะเกษ'!N387+'สกลนคร'!N387+'สุรินทร์'!N387+'หนองคาย'!N387+'หนองบัวลำภู'!N387+'อำนาจเจริญ'!N387+'อุดรธานี'!N387+'อุบลราชธานี'!N387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'กาฬสินธุ์'!N388+'ขอนแก่น'!N388+'ชัยภูมิ'!N388+'นครพนม'!N388+'นครราชสีมา'!N388+'บึงกาฬ'!N388+'บุรีรัมย์'!N388+'มหาสารคาม'!N388+'มุกดาหาร'!N388+'ยโสธร'!N388+'ร้อยเอ็ด'!N388+'เลย'!N388+'ศรีสะเกษ'!N388+'สกลนคร'!N388+'สุรินทร์'!N388+'หนองคาย'!N388+'หนองบัวลำภู'!N388+'อำนาจเจริญ'!N388+'อุดรธานี'!N388+'อุบลราชธานี'!N388</f>
        <v>521211.77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'กาฬสินธุ์'!N389+'ขอนแก่น'!N389+'ชัยภูมิ'!N389+'นครพนม'!N389+'นครราชสีมา'!N389+'บึงกาฬ'!N389+'บุรีรัมย์'!N389+'มหาสารคาม'!N389+'มุกดาหาร'!N389+'ยโสธร'!N389+'ร้อยเอ็ด'!N389+'เลย'!N389+'ศรีสะเกษ'!N389+'สกลนคร'!N389+'สุรินทร์'!N389+'หนองคาย'!N389+'หนองบัวลำภู'!N389+'อำนาจเจริญ'!N389+'อุดรธานี'!N389+'อุบลราชธานี'!N389</f>
        <v>141809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'กาฬสินธุ์'!J391+'ขอนแก่น'!J391+'ชัยภูมิ'!J391+'นครพนม'!J391+'นครราชสีมา'!J391+'บึงกาฬ'!J391+'บุรีรัมย์'!J391+'มหาสารคาม'!J391+'มุกดาหาร'!J391+'ยโสธร'!J391+'ร้อยเอ็ด'!J391+'เลย'!J391+'ศรีสะเกษ'!J391+'สกลนคร'!J391+'สุรินทร์'!J391+'หนองคาย'!J391+'หนองบัวลำภู'!J391+'อำนาจเจริญ'!J391+'อุดรธานี'!J391+'อุบลราชธานี'!J391</f>
        <v>1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'กาฬสินธุ์'!J392+'ขอนแก่น'!J392+'ชัยภูมิ'!J392+'นครพนม'!J392+'นครราชสีมา'!J392+'บึงกาฬ'!J392+'บุรีรัมย์'!J392+'มหาสารคาม'!J392+'มุกดาหาร'!J392+'ยโสธร'!J392+'ร้อยเอ็ด'!J392+'เลย'!J392+'ศรีสะเกษ'!J392+'สกลนคร'!J392+'สุรินทร์'!J392+'หนองคาย'!J392+'หนองบัวลำภู'!J392+'อำนาจเจริญ'!J392+'อุดรธานี'!J392+'อุบลราชธานี'!J392</f>
        <v>19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'กาฬสินธุ์'!J393+'ขอนแก่น'!J393+'ชัยภูมิ'!J393+'นครพนม'!J393+'นครราชสีมา'!J393+'บึงกาฬ'!J393+'บุรีรัมย์'!J393+'มหาสารคาม'!J393+'มุกดาหาร'!J393+'ยโสธร'!J393+'ร้อยเอ็ด'!J393+'เลย'!J393+'ศรีสะเกษ'!J393+'สกลนคร'!J393+'สุรินทร์'!J393+'หนองคาย'!J393+'หนองบัวลำภู'!J393+'อำนาจเจริญ'!J393+'อุดรธานี'!J393+'อุบลราชธานี'!J393</f>
        <v>16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'กาฬสินธุ์'!J394+'ขอนแก่น'!J394+'ชัยภูมิ'!J394+'นครพนม'!J394+'นครราชสีมา'!J394+'บึงกาฬ'!J394+'บุรีรัมย์'!J394+'มหาสารคาม'!J394+'มุกดาหาร'!J394+'ยโสธร'!J394+'ร้อยเอ็ด'!J394+'เลย'!J394+'ศรีสะเกษ'!J394+'สกลนคร'!J394+'สุรินทร์'!J394+'หนองคาย'!J394+'หนองบัวลำภู'!J394+'อำนาจเจริญ'!J394+'อุดรธานี'!J394+'อุบลราชธานี'!J394</f>
        <v>12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'กาฬสินธุ์'!I396+'ขอนแก่น'!I396+'ชัยภูมิ'!I396+'นครพนม'!I396+'นครราชสีมา'!I396+'บึงกาฬ'!I396+'บุรีรัมย์'!I396+'มหาสารคาม'!I396+'มุกดาหาร'!I396+'ยโสธร'!I396+'ร้อยเอ็ด'!I396+'เลย'!I396+'ศรีสะเกษ'!I396+'สกลนคร'!I396+'สุรินทร์'!I396+'หนองคาย'!I396+'หนองบัวลำภู'!I396+'อำนาจเจริญ'!I396+'อุดรธานี'!I396+'อุบลราชธานี'!I396</f>
        <v>1800</v>
      </c>
      <c r="J396" s="232">
        <f>'กาฬสินธุ์'!J396+'ขอนแก่น'!J396+'ชัยภูมิ'!J396+'นครพนม'!J396+'นครราชสีมา'!J396+'บึงกาฬ'!J396+'บุรีรัมย์'!J396+'มหาสารคาม'!J396+'มุกดาหาร'!J396+'ยโสธร'!J396+'ร้อยเอ็ด'!J396+'เลย'!J396+'ศรีสะเกษ'!J396+'สกลนคร'!J396+'สุรินทร์'!J396+'หนองคาย'!J396+'หนองบัวลำภู'!J396+'อำนาจเจริญ'!J396+'อุดรธานี'!J396+'อุบลราชธานี'!J396</f>
        <v>448</v>
      </c>
      <c r="K396" s="196">
        <f t="shared" ref="K396:K398" si="78">IF(I396&gt;0,J396*100/I396,0)</f>
        <v>24.88888889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'กาฬสินธุ์'!I397+'ขอนแก่น'!I397+'ชัยภูมิ'!I397+'นครพนม'!I397+'นครราชสีมา'!I397+'บึงกาฬ'!I397+'บุรีรัมย์'!I397+'มหาสารคาม'!I397+'มุกดาหาร'!I397+'ยโสธร'!I397+'ร้อยเอ็ด'!I397+'เลย'!I397+'ศรีสะเกษ'!I397+'สกลนคร'!I397+'สุรินทร์'!I397+'หนองคาย'!I397+'หนองบัวลำภู'!I397+'อำนาจเจริญ'!I397+'อุดรธานี'!I397+'อุบลราชธานี'!I397</f>
        <v>18000</v>
      </c>
      <c r="J397" s="232">
        <f>'กาฬสินธุ์'!J397+'ขอนแก่น'!J397+'ชัยภูมิ'!J397+'นครพนม'!J397+'นครราชสีมา'!J397+'บึงกาฬ'!J397+'บุรีรัมย์'!J397+'มหาสารคาม'!J397+'มุกดาหาร'!J397+'ยโสธร'!J397+'ร้อยเอ็ด'!J397+'เลย'!J397+'ศรีสะเกษ'!J397+'สกลนคร'!J397+'สุรินทร์'!J397+'หนองคาย'!J397+'หนองบัวลำภู'!J397+'อำนาจเจริญ'!J397+'อุดรธานี'!J397+'อุบลราชธานี'!J397</f>
        <v>0</v>
      </c>
      <c r="K397" s="196">
        <f t="shared" si="78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'กาฬสินธุ์'!I398+'ขอนแก่น'!I398+'ชัยภูมิ'!I398+'นครพนม'!I398+'นครราชสีมา'!I398+'บึงกาฬ'!I398+'บุรีรัมย์'!I398+'มหาสารคาม'!I398+'มุกดาหาร'!I398+'ยโสธร'!I398+'ร้อยเอ็ด'!I398+'เลย'!I398+'ศรีสะเกษ'!I398+'สกลนคร'!I398+'สุรินทร์'!I398+'หนองคาย'!I398+'หนองบัวลำภู'!I398+'อำนาจเจริญ'!I398+'อุดรธานี'!I398+'อุบลราชธานี'!I398</f>
        <v>1800</v>
      </c>
      <c r="J398" s="232">
        <f>'กาฬสินธุ์'!J398+'ขอนแก่น'!J398+'ชัยภูมิ'!J398+'นครพนม'!J398+'นครราชสีมา'!J398+'บึงกาฬ'!J398+'บุรีรัมย์'!J398+'มหาสารคาม'!J398+'มุกดาหาร'!J398+'ยโสธร'!J398+'ร้อยเอ็ด'!J398+'เลย'!J398+'ศรีสะเกษ'!J398+'สกลนคร'!J398+'สุรินทร์'!J398+'หนองคาย'!J398+'หนองบัวลำภู'!J398+'อำนาจเจริญ'!J398+'อุดรธานี'!J398+'อุบลราชธานี'!J398</f>
        <v>0</v>
      </c>
      <c r="K398" s="196">
        <f t="shared" si="78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'กาฬสินธุ์'!J399+'ขอนแก่น'!J399+'ชัยภูมิ'!J399+'นครพนม'!J399+'นครราชสีมา'!J399+'บึงกาฬ'!J399+'บุรีรัมย์'!J399+'มหาสารคาม'!J399+'มุกดาหาร'!J399+'ยโสธร'!J399+'ร้อยเอ็ด'!J399+'เลย'!J399+'ศรีสะเกษ'!J399+'สกลนคร'!J399+'สุรินทร์'!J399+'หนองคาย'!J399+'หนองบัวลำภู'!J399+'อำนาจเจริญ'!J399+'อุดรธานี'!J399+'อุบลราชธานี'!J399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'กาฬสินธุ์'!J400+'ขอนแก่น'!J400+'ชัยภูมิ'!J400+'นครพนม'!J400+'นครราชสีมา'!J400+'บึงกาฬ'!J400+'บุรีรัมย์'!J400+'มหาสารคาม'!J400+'มุกดาหาร'!J400+'ยโสธร'!J400+'ร้อยเอ็ด'!J400+'เลย'!J400+'ศรีสะเกษ'!J400+'สกลนคร'!J400+'สุรินทร์'!J400+'หนองคาย'!J400+'หนองบัวลำภู'!J400+'อำนาจเจริญ'!J400+'อุดรธานี'!J400+'อุบลราชธานี'!J400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'กาฬสินธุ์'!I401+'ขอนแก่น'!I401+'ชัยภูมิ'!I401+'นครพนม'!I401+'นครราชสีมา'!I401+'บึงกาฬ'!I401+'บุรีรัมย์'!I401+'มหาสารคาม'!I401+'มุกดาหาร'!I401+'ยโสธร'!I401+'ร้อยเอ็ด'!I401+'เลย'!I401+'ศรีสะเกษ'!I401+'สกลนคร'!I401+'สุรินทร์'!I401+'หนองคาย'!I401+'หนองบัวลำภู'!I401+'อำนาจเจริญ'!I401+'อุดรธานี'!I401+'อุบลราชธานี'!I401</f>
        <v>3294</v>
      </c>
      <c r="J401" s="404">
        <f>'กาฬสินธุ์'!J401+'ขอนแก่น'!J401+'ชัยภูมิ'!J401+'นครพนม'!J401+'นครราชสีมา'!J401+'บึงกาฬ'!J401+'บุรีรัมย์'!J401+'มหาสารคาม'!J401+'มุกดาหาร'!J401+'ยโสธร'!J401+'ร้อยเอ็ด'!J401+'เลย'!J401+'ศรีสะเกษ'!J401+'สกลนคร'!J401+'สุรินทร์'!J401+'หนองคาย'!J401+'หนองบัวลำภู'!J401+'อำนาจเจริญ'!J401+'อุดรธานี'!J401+'อุบลราชธานี'!J401</f>
        <v>405</v>
      </c>
      <c r="K401" s="405">
        <f t="shared" ref="K401:K402" si="79">IF(I401&gt;0,J401*100/I401,0)</f>
        <v>12.29508197</v>
      </c>
      <c r="L401" s="406">
        <f>'กาฬสินธุ์'!L401+'ขอนแก่น'!L401+'ชัยภูมิ'!L401+'นครพนม'!L401+'นครราชสีมา'!L401+'บึงกาฬ'!L401+'บุรีรัมย์'!L401+'มหาสารคาม'!L401+'มุกดาหาร'!L401+'ยโสธร'!L401+'ร้อยเอ็ด'!L401+'เลย'!L401+'ศรีสะเกษ'!L401+'สกลนคร'!L401+'สุรินทร์'!L401+'หนองคาย'!L401+'หนองบัวลำภู'!L401+'อำนาจเจริญ'!L401+'อุดรธานี'!L401+'อุบลราชธานี'!L401</f>
        <v>3732450</v>
      </c>
      <c r="M401" s="406"/>
      <c r="N401" s="406">
        <f>'กาฬสินธุ์'!N401+'ขอนแก่น'!N401+'ชัยภูมิ'!N401+'นครพนม'!N401+'นครราชสีมา'!N401+'บึงกาฬ'!N401+'บุรีรัมย์'!N401+'มหาสารคาม'!N401+'มุกดาหาร'!N401+'ยโสธร'!N401+'ร้อยเอ็ด'!N401+'เลย'!N401+'ศรีสะเกษ'!N401+'สกลนคร'!N401+'สุรินทร์'!N401+'หนองคาย'!N401+'หนองบัวลำภู'!N401+'อำนาจเจริญ'!N401+'อุดรธานี'!N401+'อุบลราชธานี'!N401</f>
        <v>540287.8</v>
      </c>
      <c r="O401" s="406">
        <f>+IF(L401&gt;0,N401*100/L401,0)</f>
        <v>14.47541963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'กาฬสินธุ์'!I402+'ขอนแก่น'!I402+'ชัยภูมิ'!I402+'นครพนม'!I402+'นครราชสีมา'!I402+'บึงกาฬ'!I402+'บุรีรัมย์'!I402+'มหาสารคาม'!I402+'มุกดาหาร'!I402+'ยโสธร'!I402+'ร้อยเอ็ด'!I402+'เลย'!I402+'ศรีสะเกษ'!I402+'สกลนคร'!I402+'สุรินทร์'!I402+'หนองคาย'!I402+'หนองบัวลำภู'!I402+'อำนาจเจริญ'!I402+'อุดรธานี'!I402+'อุบลราชธานี'!I402</f>
        <v>1098</v>
      </c>
      <c r="J402" s="404">
        <f>'กาฬสินธุ์'!J402+'ขอนแก่น'!J402+'ชัยภูมิ'!J402+'นครพนม'!J402+'นครราชสีมา'!J402+'บึงกาฬ'!J402+'บุรีรัมย์'!J402+'มหาสารคาม'!J402+'มุกดาหาร'!J402+'ยโสธร'!J402+'ร้อยเอ็ด'!J402+'เลย'!J402+'ศรีสะเกษ'!J402+'สกลนคร'!J402+'สุรินทร์'!J402+'หนองคาย'!J402+'หนองบัวลำภู'!J402+'อำนาจเจริญ'!J402+'อุดรธานี'!J402+'อุบลราชธานี'!J402</f>
        <v>125</v>
      </c>
      <c r="K402" s="405">
        <f t="shared" si="79"/>
        <v>11.38433515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'กาฬสินธุ์'!L403+'ขอนแก่น'!L403+'ชัยภูมิ'!L403+'นครพนม'!L403+'นครราชสีมา'!L403+'บึงกาฬ'!L403+'บุรีรัมย์'!L403+'มหาสารคาม'!L403+'มุกดาหาร'!L403+'ยโสธร'!L403+'ร้อยเอ็ด'!L403+'เลย'!L403+'ศรีสะเกษ'!L403+'สกลนคร'!L403+'สุรินทร์'!L403+'หนองคาย'!L403+'หนองบัวลำภู'!L403+'อำนาจเจริญ'!L403+'อุดรธานี'!L403+'อุบลราชธานี'!L403</f>
        <v>0</v>
      </c>
      <c r="M403" s="197"/>
      <c r="N403" s="203">
        <f>'กาฬสินธุ์'!N403+'ขอนแก่น'!N403+'ชัยภูมิ'!N403+'นครพนม'!N403+'นครราชสีมา'!N403+'บึงกาฬ'!N403+'บุรีรัมย์'!N403+'มหาสารคาม'!N403+'มุกดาหาร'!N403+'ยโสธร'!N403+'ร้อยเอ็ด'!N403+'เลย'!N403+'ศรีสะเกษ'!N403+'สกลนคร'!N403+'สุรินทร์'!N403+'หนองคาย'!N403+'หนองบัวลำภู'!N403+'อำนาจเจริญ'!N403+'อุดรธานี'!N403+'อุบลราชธานี'!N403</f>
        <v>0</v>
      </c>
      <c r="O403" s="203">
        <f t="shared" ref="O403:O406" si="80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'กาฬสินธุ์'!L404+'ขอนแก่น'!L404+'ชัยภูมิ'!L404+'นครพนม'!L404+'นครราชสีมา'!L404+'บึงกาฬ'!L404+'บุรีรัมย์'!L404+'มหาสารคาม'!L404+'มุกดาหาร'!L404+'ยโสธร'!L404+'ร้อยเอ็ด'!L404+'เลย'!L404+'ศรีสะเกษ'!L404+'สกลนคร'!L404+'สุรินทร์'!L404+'หนองคาย'!L404+'หนองบัวลำภู'!L404+'อำนาจเจริญ'!L404+'อุดรธานี'!L404+'อุบลราชธานี'!L404</f>
        <v>3732450</v>
      </c>
      <c r="M404" s="198"/>
      <c r="N404" s="203">
        <f>'กาฬสินธุ์'!N404+'ขอนแก่น'!N404+'ชัยภูมิ'!N404+'นครพนม'!N404+'นครราชสีมา'!N404+'บึงกาฬ'!N404+'บุรีรัมย์'!N404+'มหาสารคาม'!N404+'มุกดาหาร'!N404+'ยโสธร'!N404+'ร้อยเอ็ด'!N404+'เลย'!N404+'ศรีสะเกษ'!N404+'สกลนคร'!N404+'สุรินทร์'!N404+'หนองคาย'!N404+'หนองบัวลำภู'!N404+'อำนาจเจริญ'!N404+'อุดรธานี'!N404+'อุบลราชธานี'!N404</f>
        <v>540287.8</v>
      </c>
      <c r="O404" s="203">
        <f t="shared" si="80"/>
        <v>14.47541963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'กาฬสินธุ์'!L405+'ขอนแก่น'!L405+'ชัยภูมิ'!L405+'นครพนม'!L405+'นครราชสีมา'!L405+'บึงกาฬ'!L405+'บุรีรัมย์'!L405+'มหาสารคาม'!L405+'มุกดาหาร'!L405+'ยโสธร'!L405+'ร้อยเอ็ด'!L405+'เลย'!L405+'ศรีสะเกษ'!L405+'สกลนคร'!L405+'สุรินทร์'!L405+'หนองคาย'!L405+'หนองบัวลำภู'!L405+'อำนาจเจริญ'!L405+'อุดรธานี'!L405+'อุบลราชธานี'!L405</f>
        <v>0</v>
      </c>
      <c r="M405" s="203"/>
      <c r="N405" s="203">
        <f>'กาฬสินธุ์'!N405+'ขอนแก่น'!N405+'ชัยภูมิ'!N405+'นครพนม'!N405+'นครราชสีมา'!N405+'บึงกาฬ'!N405+'บุรีรัมย์'!N405+'มหาสารคาม'!N405+'มุกดาหาร'!N405+'ยโสธร'!N405+'ร้อยเอ็ด'!N405+'เลย'!N405+'ศรีสะเกษ'!N405+'สกลนคร'!N405+'สุรินทร์'!N405+'หนองคาย'!N405+'หนองบัวลำภู'!N405+'อำนาจเจริญ'!N405+'อุดรธานี'!N405+'อุบลราชธานี'!N405</f>
        <v>0</v>
      </c>
      <c r="O405" s="203">
        <f t="shared" si="80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'กาฬสินธุ์'!L406+'ขอนแก่น'!L406+'ชัยภูมิ'!L406+'นครพนม'!L406+'นครราชสีมา'!L406+'บึงกาฬ'!L406+'บุรีรัมย์'!L406+'มหาสารคาม'!L406+'มุกดาหาร'!L406+'ยโสธร'!L406+'ร้อยเอ็ด'!L406+'เลย'!L406+'ศรีสะเกษ'!L406+'สกลนคร'!L406+'สุรินทร์'!L406+'หนองคาย'!L406+'หนองบัวลำภู'!L406+'อำนาจเจริญ'!L406+'อุดรธานี'!L406+'อุบลราชธานี'!L406</f>
        <v>3732450</v>
      </c>
      <c r="M406" s="203"/>
      <c r="N406" s="203">
        <f>'กาฬสินธุ์'!N406+'ขอนแก่น'!N406+'ชัยภูมิ'!N406+'นครพนม'!N406+'นครราชสีมา'!N406+'บึงกาฬ'!N406+'บุรีรัมย์'!N406+'มหาสารคาม'!N406+'มุกดาหาร'!N406+'ยโสธร'!N406+'ร้อยเอ็ด'!N406+'เลย'!N406+'ศรีสะเกษ'!N406+'สกลนคร'!N406+'สุรินทร์'!N406+'หนองคาย'!N406+'หนองบัวลำภู'!N406+'อำนาจเจริญ'!N406+'อุดรธานี'!N406+'อุบลราชธานี'!N406</f>
        <v>540287.8</v>
      </c>
      <c r="O406" s="203">
        <f t="shared" si="80"/>
        <v>14.47541963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'กาฬสินธุ์'!N407+'ขอนแก่น'!N407+'ชัยภูมิ'!N407+'นครพนม'!N407+'นครราชสีมา'!N407+'บึงกาฬ'!N407+'บุรีรัมย์'!N407+'มหาสารคาม'!N407+'มุกดาหาร'!N407+'ยโสธร'!N407+'ร้อยเอ็ด'!N407+'เลย'!N407+'ศรีสะเกษ'!N407+'สกลนคร'!N407+'สุรินทร์'!N407+'หนองคาย'!N407+'หนองบัวลำภู'!N407+'อำนาจเจริญ'!N407+'อุดรธานี'!N407+'อุบลราชธานี'!N407</f>
        <v>366442.8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'กาฬสินธุ์'!N408+'ขอนแก่น'!N408+'ชัยภูมิ'!N408+'นครพนม'!N408+'นครราชสีมา'!N408+'บึงกาฬ'!N408+'บุรีรัมย์'!N408+'มหาสารคาม'!N408+'มุกดาหาร'!N408+'ยโสธร'!N408+'ร้อยเอ็ด'!N408+'เลย'!N408+'ศรีสะเกษ'!N408+'สกลนคร'!N408+'สุรินทร์'!N408+'หนองคาย'!N408+'หนองบัวลำภู'!N408+'อำนาจเจริญ'!N408+'อุดรธานี'!N408+'อุบลราชธานี'!N408</f>
        <v>111500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'กาฬสินธุ์'!N409+'ขอนแก่น'!N409+'ชัยภูมิ'!N409+'นครพนม'!N409+'นครราชสีมา'!N409+'บึงกาฬ'!N409+'บุรีรัมย์'!N409+'มหาสารคาม'!N409+'มุกดาหาร'!N409+'ยโสธร'!N409+'ร้อยเอ็ด'!N409+'เลย'!N409+'ศรีสะเกษ'!N409+'สกลนคร'!N409+'สุรินทร์'!N409+'หนองคาย'!N409+'หนองบัวลำภู'!N409+'อำนาจเจริญ'!N409+'อุดรธานี'!N409+'อุบลราชธานี'!N409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'กาฬสินธุ์'!N410+'ขอนแก่น'!N410+'ชัยภูมิ'!N410+'นครพนม'!N410+'นครราชสีมา'!N410+'บึงกาฬ'!N410+'บุรีรัมย์'!N410+'มหาสารคาม'!N410+'มุกดาหาร'!N410+'ยโสธร'!N410+'ร้อยเอ็ด'!N410+'เลย'!N410+'ศรีสะเกษ'!N410+'สกลนคร'!N410+'สุรินทร์'!N410+'หนองคาย'!N410+'หนองบัวลำภู'!N410+'อำนาจเจริญ'!N410+'อุดรธานี'!N410+'อุบลราชธานี'!N410</f>
        <v>62345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'กาฬสินธุ์'!J412+'ขอนแก่น'!J412+'ชัยภูมิ'!J412+'นครพนม'!J412+'นครราชสีมา'!J412+'บึงกาฬ'!J412+'บุรีรัมย์'!J412+'มหาสารคาม'!J412+'มุกดาหาร'!J412+'ยโสธร'!J412+'ร้อยเอ็ด'!J412+'เลย'!J412+'ศรีสะเกษ'!J412+'สกลนคร'!J412+'สุรินทร์'!J412+'หนองคาย'!J412+'หนองบัวลำภู'!J412+'อำนาจเจริญ'!J412+'อุดรธานี'!J412+'อุบลราชธานี'!J412</f>
        <v>1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'กาฬสินธุ์'!J413+'ขอนแก่น'!J413+'ชัยภูมิ'!J413+'นครพนม'!J413+'นครราชสีมา'!J413+'บึงกาฬ'!J413+'บุรีรัมย์'!J413+'มหาสารคาม'!J413+'มุกดาหาร'!J413+'ยโสธร'!J413+'ร้อยเอ็ด'!J413+'เลย'!J413+'ศรีสะเกษ'!J413+'สกลนคร'!J413+'สุรินทร์'!J413+'หนองคาย'!J413+'หนองบัวลำภู'!J413+'อำนาจเจริญ'!J413+'อุดรธานี'!J413+'อุบลราชธานี'!J413</f>
        <v>19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'กาฬสินธุ์'!J414+'ขอนแก่น'!J414+'ชัยภูมิ'!J414+'นครพนม'!J414+'นครราชสีมา'!J414+'บึงกาฬ'!J414+'บุรีรัมย์'!J414+'มหาสารคาม'!J414+'มุกดาหาร'!J414+'ยโสธร'!J414+'ร้อยเอ็ด'!J414+'เลย'!J414+'ศรีสะเกษ'!J414+'สกลนคร'!J414+'สุรินทร์'!J414+'หนองคาย'!J414+'หนองบัวลำภู'!J414+'อำนาจเจริญ'!J414+'อุดรธานี'!J414+'อุบลราชธานี'!J414</f>
        <v>19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'กาฬสินธุ์'!J415+'ขอนแก่น'!J415+'ชัยภูมิ'!J415+'นครพนม'!J415+'นครราชสีมา'!J415+'บึงกาฬ'!J415+'บุรีรัมย์'!J415+'มหาสารคาม'!J415+'มุกดาหาร'!J415+'ยโสธร'!J415+'ร้อยเอ็ด'!J415+'เลย'!J415+'ศรีสะเกษ'!J415+'สกลนคร'!J415+'สุรินทร์'!J415+'หนองคาย'!J415+'หนองบัวลำภู'!J415+'อำนาจเจริญ'!J415+'อุดรธานี'!J415+'อุบลราชธานี'!J415</f>
        <v>11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'กาฬสินธุ์'!I416+'ขอนแก่น'!I416+'ชัยภูมิ'!I416+'นครพนม'!I416+'นครราชสีมา'!I416+'บึงกาฬ'!I416+'บุรีรัมย์'!I416+'มหาสารคาม'!I416+'มุกดาหาร'!I416+'ยโสธร'!I416+'ร้อยเอ็ด'!I416+'เลย'!I416+'ศรีสะเกษ'!I416+'สกลนคร'!I416+'สุรินทร์'!I416+'หนองคาย'!I416+'หนองบัวลำภู'!I416+'อำนาจเจริญ'!I416+'อุดรธานี'!I416+'อุบลราชธานี'!I416</f>
        <v>1098</v>
      </c>
      <c r="J416" s="235">
        <f>'กาฬสินธุ์'!J416+'ขอนแก่น'!J416+'ชัยภูมิ'!J416+'นครพนม'!J416+'นครราชสีมา'!J416+'บึงกาฬ'!J416+'บุรีรัมย์'!J416+'มหาสารคาม'!J416+'มุกดาหาร'!J416+'ยโสธร'!J416+'ร้อยเอ็ด'!J416+'เลย'!J416+'ศรีสะเกษ'!J416+'สกลนคร'!J416+'สุรินทร์'!J416+'หนองคาย'!J416+'หนองบัวลำภู'!J416+'อำนาจเจริญ'!J416+'อุดรธานี'!J416+'อุบลราชธานี'!J416</f>
        <v>125</v>
      </c>
      <c r="K416" s="236">
        <f t="shared" ref="K416:K432" si="81">IF(I416&gt;0,J416*100/I416,0)</f>
        <v>11.38433515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'กาฬสินธุ์'!I417+'ขอนแก่น'!I417+'ชัยภูมิ'!I417+'นครพนม'!I417+'นครราชสีมา'!I417+'บึงกาฬ'!I417+'บุรีรัมย์'!I417+'มหาสารคาม'!I417+'มุกดาหาร'!I417+'ยโสธร'!I417+'ร้อยเอ็ด'!I417+'เลย'!I417+'ศรีสะเกษ'!I417+'สกลนคร'!I417+'สุรินทร์'!I417+'หนองคาย'!I417+'หนองบัวลำภู'!I417+'อำนาจเจริญ'!I417+'อุดรธานี'!I417+'อุบลราชธานี'!I417</f>
        <v>270</v>
      </c>
      <c r="J417" s="425">
        <f>'กาฬสินธุ์'!J417+'ขอนแก่น'!J417+'ชัยภูมิ'!J417+'นครพนม'!J417+'นครราชสีมา'!J417+'บึงกาฬ'!J417+'บุรีรัมย์'!J417+'มหาสารคาม'!J417+'มุกดาหาร'!J417+'ยโสธร'!J417+'ร้อยเอ็ด'!J417+'เลย'!J417+'ศรีสะเกษ'!J417+'สกลนคร'!J417+'สุรินทร์'!J417+'หนองคาย'!J417+'หนองบัวลำภู'!J417+'อำนาจเจริญ'!J417+'อุดรธานี'!J417+'อุบลราชธานี'!J417</f>
        <v>50</v>
      </c>
      <c r="K417" s="236">
        <f t="shared" si="81"/>
        <v>18.51851852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'กาฬสินธุ์'!I418+'ขอนแก่น'!I418+'ชัยภูมิ'!I418+'นครพนม'!I418+'นครราชสีมา'!I418+'บึงกาฬ'!I418+'บุรีรัมย์'!I418+'มหาสารคาม'!I418+'มุกดาหาร'!I418+'ยโสธร'!I418+'ร้อยเอ็ด'!I418+'เลย'!I418+'ศรีสะเกษ'!I418+'สกลนคร'!I418+'สุรินทร์'!I418+'หนองคาย'!I418+'หนองบัวลำภู'!I418+'อำนาจเจริญ'!I418+'อุดรธานี'!I418+'อุบลราชธานี'!I418</f>
        <v>810</v>
      </c>
      <c r="J418" s="426">
        <f>'กาฬสินธุ์'!J418+'ขอนแก่น'!J418+'ชัยภูมิ'!J418+'นครพนม'!J418+'นครราชสีมา'!J418+'บึงกาฬ'!J418+'บุรีรัมย์'!J418+'มหาสารคาม'!J418+'มุกดาหาร'!J418+'ยโสธร'!J418+'ร้อยเอ็ด'!J418+'เลย'!J418+'ศรีสะเกษ'!J418+'สกลนคร'!J418+'สุรินทร์'!J418+'หนองคาย'!J418+'หนองบัวลำภู'!J418+'อำนาจเจริญ'!J418+'อุดรธานี'!J418+'อุบลราชธานี'!J418</f>
        <v>120</v>
      </c>
      <c r="K418" s="236">
        <f t="shared" si="81"/>
        <v>14.81481481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'กาฬสินธุ์'!I419+'ขอนแก่น'!I419+'ชัยภูมิ'!I419+'นครพนม'!I419+'นครราชสีมา'!I419+'บึงกาฬ'!I419+'บุรีรัมย์'!I419+'มหาสารคาม'!I419+'มุกดาหาร'!I419+'ยโสธร'!I419+'ร้อยเอ็ด'!I419+'เลย'!I419+'ศรีสะเกษ'!I419+'สกลนคร'!I419+'สุรินทร์'!I419+'หนองคาย'!I419+'หนองบัวลำภู'!I419+'อำนาจเจริญ'!I419+'อุดรธานี'!I419+'อุบลราชธานี'!I419</f>
        <v>270</v>
      </c>
      <c r="J419" s="427">
        <f>'กาฬสินธุ์'!J419+'ขอนแก่น'!J419+'ชัยภูมิ'!J419+'นครพนม'!J419+'นครราชสีมา'!J419+'บึงกาฬ'!J419+'บุรีรัมย์'!J419+'มหาสารคาม'!J419+'มุกดาหาร'!J419+'ยโสธร'!J419+'ร้อยเอ็ด'!J419+'เลย'!J419+'ศรีสะเกษ'!J419+'สกลนคร'!J419+'สุรินทร์'!J419+'หนองคาย'!J419+'หนองบัวลำภู'!J419+'อำนาจเจริญ'!J419+'อุดรธานี'!J419+'อุบลราชธานี'!J419</f>
        <v>85</v>
      </c>
      <c r="K419" s="196">
        <f t="shared" si="81"/>
        <v>31.48148148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'กาฬสินธุ์'!I420+'ขอนแก่น'!I420+'ชัยภูมิ'!I420+'นครพนม'!I420+'นครราชสีมา'!I420+'บึงกาฬ'!I420+'บุรีรัมย์'!I420+'มหาสารคาม'!I420+'มุกดาหาร'!I420+'ยโสธร'!I420+'ร้อยเอ็ด'!I420+'เลย'!I420+'ศรีสะเกษ'!I420+'สกลนคร'!I420+'สุรินทร์'!I420+'หนองคาย'!I420+'หนองบัวลำภู'!I420+'อำนาจเจริญ'!I420+'อุดรธานี'!I420+'อุบลราชธานี'!I420</f>
        <v>270</v>
      </c>
      <c r="J420" s="427">
        <f>'กาฬสินธุ์'!J420+'ขอนแก่น'!J420+'ชัยภูมิ'!J420+'นครพนม'!J420+'นครราชสีมา'!J420+'บึงกาฬ'!J420+'บุรีรัมย์'!J420+'มหาสารคาม'!J420+'มุกดาหาร'!J420+'ยโสธร'!J420+'ร้อยเอ็ด'!J420+'เลย'!J420+'ศรีสะเกษ'!J420+'สกลนคร'!J420+'สุรินทร์'!J420+'หนองคาย'!J420+'หนองบัวลำภู'!J420+'อำนาจเจริญ'!J420+'อุดรธานี'!J420+'อุบลราชธานี'!J420</f>
        <v>60</v>
      </c>
      <c r="K420" s="321">
        <f t="shared" si="81"/>
        <v>22.22222222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'กาฬสินธุ์'!I421+'ขอนแก่น'!I421+'ชัยภูมิ'!I421+'นครพนม'!I421+'นครราชสีมา'!I421+'บึงกาฬ'!I421+'บุรีรัมย์'!I421+'มหาสารคาม'!I421+'มุกดาหาร'!I421+'ยโสธร'!I421+'ร้อยเอ็ด'!I421+'เลย'!I421+'ศรีสะเกษ'!I421+'สกลนคร'!I421+'สุรินทร์'!I421+'หนองคาย'!I421+'หนองบัวลำภู'!I421+'อำนาจเจริญ'!I421+'อุดรธานี'!I421+'อุบลราชธานี'!I421</f>
        <v>609</v>
      </c>
      <c r="J421" s="425">
        <f>'กาฬสินธุ์'!J421+'ขอนแก่น'!J421+'ชัยภูมิ'!J421+'นครพนม'!J421+'นครราชสีมา'!J421+'บึงกาฬ'!J421+'บุรีรัมย์'!J421+'มหาสารคาม'!J421+'มุกดาหาร'!J421+'ยโสธร'!J421+'ร้อยเอ็ด'!J421+'เลย'!J421+'ศรีสะเกษ'!J421+'สกลนคร'!J421+'สุรินทร์'!J421+'หนองคาย'!J421+'หนองบัวลำภู'!J421+'อำนาจเจริญ'!J421+'อุดรธานี'!J421+'อุบลราชธานี'!J421</f>
        <v>65</v>
      </c>
      <c r="K421" s="236">
        <f t="shared" si="81"/>
        <v>10.67323481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'กาฬสินธุ์'!I422+'ขอนแก่น'!I422+'ชัยภูมิ'!I422+'นครพนม'!I422+'นครราชสีมา'!I422+'บึงกาฬ'!I422+'บุรีรัมย์'!I422+'มหาสารคาม'!I422+'มุกดาหาร'!I422+'ยโสธร'!I422+'ร้อยเอ็ด'!I422+'เลย'!I422+'ศรีสะเกษ'!I422+'สกลนคร'!I422+'สุรินทร์'!I422+'หนองคาย'!I422+'หนองบัวลำภู'!I422+'อำนาจเจริญ'!I422+'อุดรธานี'!I422+'อุบลราชธานี'!I422</f>
        <v>1827</v>
      </c>
      <c r="J422" s="426">
        <f>'กาฬสินธุ์'!J422+'ขอนแก่น'!J422+'ชัยภูมิ'!J422+'นครพนม'!J422+'นครราชสีมา'!J422+'บึงกาฬ'!J422+'บุรีรัมย์'!J422+'มหาสารคาม'!J422+'มุกดาหาร'!J422+'ยโสธร'!J422+'ร้อยเอ็ด'!J422+'เลย'!J422+'ศรีสะเกษ'!J422+'สกลนคร'!J422+'สุรินทร์'!J422+'หนองคาย'!J422+'หนองบัวลำภู'!J422+'อำนาจเจริญ'!J422+'อุดรธานี'!J422+'อุบลราชธานี'!J422</f>
        <v>255</v>
      </c>
      <c r="K422" s="236">
        <f t="shared" si="81"/>
        <v>13.95730706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'กาฬสินธุ์'!I423+'ขอนแก่น'!I423+'ชัยภูมิ'!I423+'นครพนม'!I423+'นครราชสีมา'!I423+'บึงกาฬ'!I423+'บุรีรัมย์'!I423+'มหาสารคาม'!I423+'มุกดาหาร'!I423+'ยโสธร'!I423+'ร้อยเอ็ด'!I423+'เลย'!I423+'ศรีสะเกษ'!I423+'สกลนคร'!I423+'สุรินทร์'!I423+'หนองคาย'!I423+'หนองบัวลำภู'!I423+'อำนาจเจริญ'!I423+'อุดรธานี'!I423+'อุบลราชธานี'!I423</f>
        <v>609</v>
      </c>
      <c r="J423" s="427">
        <f>'กาฬสินธุ์'!J423+'ขอนแก่น'!J423+'ชัยภูมิ'!J423+'นครพนม'!J423+'นครราชสีมา'!J423+'บึงกาฬ'!J423+'บุรีรัมย์'!J423+'มหาสารคาม'!J423+'มุกดาหาร'!J423+'ยโสธร'!J423+'ร้อยเอ็ด'!J423+'เลย'!J423+'ศรีสะเกษ'!J423+'สกลนคร'!J423+'สุรินทร์'!J423+'หนองคาย'!J423+'หนองบัวลำภู'!J423+'อำนาจเจริญ'!J423+'อุดรธานี'!J423+'อุบลราชธานี'!J423</f>
        <v>185</v>
      </c>
      <c r="K423" s="196">
        <f t="shared" si="81"/>
        <v>30.37766831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'กาฬสินธุ์'!I424+'ขอนแก่น'!I424+'ชัยภูมิ'!I424+'นครพนม'!I424+'นครราชสีมา'!I424+'บึงกาฬ'!I424+'บุรีรัมย์'!I424+'มหาสารคาม'!I424+'มุกดาหาร'!I424+'ยโสธร'!I424+'ร้อยเอ็ด'!I424+'เลย'!I424+'ศรีสะเกษ'!I424+'สกลนคร'!I424+'สุรินทร์'!I424+'หนองคาย'!I424+'หนองบัวลำภู'!I424+'อำนาจเจริญ'!I424+'อุดรธานี'!I424+'อุบลราชธานี'!I424</f>
        <v>609</v>
      </c>
      <c r="J424" s="427">
        <f>'กาฬสินธุ์'!J424+'ขอนแก่น'!J424+'ชัยภูมิ'!J424+'นครพนม'!J424+'นครราชสีมา'!J424+'บึงกาฬ'!J424+'บุรีรัมย์'!J424+'มหาสารคาม'!J424+'มุกดาหาร'!J424+'ยโสธร'!J424+'ร้อยเอ็ด'!J424+'เลย'!J424+'ศรีสะเกษ'!J424+'สกลนคร'!J424+'สุรินทร์'!J424+'หนองคาย'!J424+'หนองบัวลำภู'!J424+'อำนาจเจริญ'!J424+'อุดรธานี'!J424+'อุบลราชธานี'!J424</f>
        <v>65</v>
      </c>
      <c r="K424" s="196">
        <f t="shared" si="81"/>
        <v>10.67323481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'กาฬสินธุ์'!I425+'ขอนแก่น'!I425+'ชัยภูมิ'!I425+'นครพนม'!I425+'นครราชสีมา'!I425+'บึงกาฬ'!I425+'บุรีรัมย์'!I425+'มหาสารคาม'!I425+'มุกดาหาร'!I425+'ยโสธร'!I425+'ร้อยเอ็ด'!I425+'เลย'!I425+'ศรีสะเกษ'!I425+'สกลนคร'!I425+'สุรินทร์'!I425+'หนองคาย'!I425+'หนองบัวลำภู'!I425+'อำนาจเจริญ'!I425+'อุดรธานี'!I425+'อุบลราชธานี'!I425</f>
        <v>609</v>
      </c>
      <c r="J425" s="427">
        <f>'กาฬสินธุ์'!J425+'ขอนแก่น'!J425+'ชัยภูมิ'!J425+'นครพนม'!J425+'นครราชสีมา'!J425+'บึงกาฬ'!J425+'บุรีรัมย์'!J425+'มหาสารคาม'!J425+'มุกดาหาร'!J425+'ยโสธร'!J425+'ร้อยเอ็ด'!J425+'เลย'!J425+'ศรีสะเกษ'!J425+'สกลนคร'!J425+'สุรินทร์'!J425+'หนองคาย'!J425+'หนองบัวลำภู'!J425+'อำนาจเจริญ'!J425+'อุดรธานี'!J425+'อุบลราชธานี'!J425</f>
        <v>65</v>
      </c>
      <c r="K425" s="196">
        <f t="shared" si="81"/>
        <v>10.67323481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'กาฬสินธุ์'!I426+'ขอนแก่น'!I426+'ชัยภูมิ'!I426+'นครพนม'!I426+'นครราชสีมา'!I426+'บึงกาฬ'!I426+'บุรีรัมย์'!I426+'มหาสารคาม'!I426+'มุกดาหาร'!I426+'ยโสธร'!I426+'ร้อยเอ็ด'!I426+'เลย'!I426+'ศรีสะเกษ'!I426+'สกลนคร'!I426+'สุรินทร์'!I426+'หนองคาย'!I426+'หนองบัวลำภู'!I426+'อำนาจเจริญ'!I426+'อุดรธานี'!I426+'อุบลราชธานี'!I426</f>
        <v>219</v>
      </c>
      <c r="J426" s="425">
        <f>'กาฬสินธุ์'!J426+'ขอนแก่น'!J426+'ชัยภูมิ'!J426+'นครพนม'!J426+'นครราชสีมา'!J426+'บึงกาฬ'!J426+'บุรีรัมย์'!J426+'มหาสารคาม'!J426+'มุกดาหาร'!J426+'ยโสธร'!J426+'ร้อยเอ็ด'!J426+'เลย'!J426+'ศรีสะเกษ'!J426+'สกลนคร'!J426+'สุรินทร์'!J426+'หนองคาย'!J426+'หนองบัวลำภู'!J426+'อำนาจเจริญ'!J426+'อุดรธานี'!J426+'อุบลราชธานี'!J426</f>
        <v>10</v>
      </c>
      <c r="K426" s="236">
        <f t="shared" si="81"/>
        <v>4.566210046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'กาฬสินธุ์'!I427+'ขอนแก่น'!I427+'ชัยภูมิ'!I427+'นครพนม'!I427+'นครราชสีมา'!I427+'บึงกาฬ'!I427+'บุรีรัมย์'!I427+'มหาสารคาม'!I427+'มุกดาหาร'!I427+'ยโสธร'!I427+'ร้อยเอ็ด'!I427+'เลย'!I427+'ศรีสะเกษ'!I427+'สกลนคร'!I427+'สุรินทร์'!I427+'หนองคาย'!I427+'หนองบัวลำภู'!I427+'อำนาจเจริญ'!I427+'อุดรธานี'!I427+'อุบลราชธานี'!I427</f>
        <v>657</v>
      </c>
      <c r="J427" s="426">
        <f>'กาฬสินธุ์'!J427+'ขอนแก่น'!J427+'ชัยภูมิ'!J427+'นครพนม'!J427+'นครราชสีมา'!J427+'บึงกาฬ'!J427+'บุรีรัมย์'!J427+'มหาสารคาม'!J427+'มุกดาหาร'!J427+'ยโสธร'!J427+'ร้อยเอ็ด'!J427+'เลย'!J427+'ศรีสะเกษ'!J427+'สกลนคร'!J427+'สุรินทร์'!J427+'หนองคาย'!J427+'หนองบัวลำภู'!J427+'อำนาจเจริญ'!J427+'อุดรธานี'!J427+'อุบลราชธานี'!J427</f>
        <v>30</v>
      </c>
      <c r="K427" s="236">
        <f t="shared" si="81"/>
        <v>4.566210046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'กาฬสินธุ์'!I428+'ขอนแก่น'!I428+'ชัยภูมิ'!I428+'นครพนม'!I428+'นครราชสีมา'!I428+'บึงกาฬ'!I428+'บุรีรัมย์'!I428+'มหาสารคาม'!I428+'มุกดาหาร'!I428+'ยโสธร'!I428+'ร้อยเอ็ด'!I428+'เลย'!I428+'ศรีสะเกษ'!I428+'สกลนคร'!I428+'สุรินทร์'!I428+'หนองคาย'!I428+'หนองบัวลำภู'!I428+'อำนาจเจริญ'!I428+'อุดรธานี'!I428+'อุบลราชธานี'!I428</f>
        <v>219</v>
      </c>
      <c r="J428" s="427">
        <f>'กาฬสินธุ์'!J428+'ขอนแก่น'!J428+'ชัยภูมิ'!J428+'นครพนม'!J428+'นครราชสีมา'!J428+'บึงกาฬ'!J428+'บุรีรัมย์'!J428+'มหาสารคาม'!J428+'มุกดาหาร'!J428+'ยโสธร'!J428+'ร้อยเอ็ด'!J428+'เลย'!J428+'ศรีสะเกษ'!J428+'สกลนคร'!J428+'สุรินทร์'!J428+'หนองคาย'!J428+'หนองบัวลำภู'!J428+'อำนาจเจริญ'!J428+'อุดรธานี'!J428+'อุบลราชธานี'!J428</f>
        <v>10</v>
      </c>
      <c r="K428" s="196">
        <f t="shared" si="81"/>
        <v>4.566210046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'กาฬสินธุ์'!I429+'ขอนแก่น'!I429+'ชัยภูมิ'!I429+'นครพนม'!I429+'นครราชสีมา'!I429+'บึงกาฬ'!I429+'บุรีรัมย์'!I429+'มหาสารคาม'!I429+'มุกดาหาร'!I429+'ยโสธร'!I429+'ร้อยเอ็ด'!I429+'เลย'!I429+'ศรีสะเกษ'!I429+'สกลนคร'!I429+'สุรินทร์'!I429+'หนองคาย'!I429+'หนองบัวลำภู'!I429+'อำนาจเจริญ'!I429+'อุดรธานี'!I429+'อุบลราชธานี'!I429</f>
        <v>219</v>
      </c>
      <c r="J429" s="427">
        <f>'กาฬสินธุ์'!J429+'ขอนแก่น'!J429+'ชัยภูมิ'!J429+'นครพนม'!J429+'นครราชสีมา'!J429+'บึงกาฬ'!J429+'บุรีรัมย์'!J429+'มหาสารคาม'!J429+'มุกดาหาร'!J429+'ยโสธร'!J429+'ร้อยเอ็ด'!J429+'เลย'!J429+'ศรีสะเกษ'!J429+'สกลนคร'!J429+'สุรินทร์'!J429+'หนองคาย'!J429+'หนองบัวลำภู'!J429+'อำนาจเจริญ'!J429+'อุดรธานี'!J429+'อุบลราชธานี'!J429</f>
        <v>30</v>
      </c>
      <c r="K429" s="196">
        <f t="shared" si="81"/>
        <v>13.69863014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'กาฬสินธุ์'!I430+'ขอนแก่น'!I430+'ชัยภูมิ'!I430+'นครพนม'!I430+'นครราชสีมา'!I430+'บึงกาฬ'!I430+'บุรีรัมย์'!I430+'มหาสารคาม'!I430+'มุกดาหาร'!I430+'ยโสธร'!I430+'ร้อยเอ็ด'!I430+'เลย'!I430+'ศรีสะเกษ'!I430+'สกลนคร'!I430+'สุรินทร์'!I430+'หนองคาย'!I430+'หนองบัวลำภู'!I430+'อำนาจเจริญ'!I430+'อุดรธานี'!I430+'อุบลราชธานี'!I430</f>
        <v>879</v>
      </c>
      <c r="J430" s="425">
        <f>'กาฬสินธุ์'!J430+'ขอนแก่น'!J430+'ชัยภูมิ'!J430+'นครพนม'!J430+'นครราชสีมา'!J430+'บึงกาฬ'!J430+'บุรีรัมย์'!J430+'มหาสารคาม'!J430+'มุกดาหาร'!J430+'ยโสธร'!J430+'ร้อยเอ็ด'!J430+'เลย'!J430+'ศรีสะเกษ'!J430+'สกลนคร'!J430+'สุรินทร์'!J430+'หนองคาย'!J430+'หนองบัวลำภู'!J430+'อำนาจเจริญ'!J430+'อุดรธานี'!J430+'อุบลราชธานี'!J430</f>
        <v>25</v>
      </c>
      <c r="K430" s="236">
        <f t="shared" si="81"/>
        <v>2.844141069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'กาฬสินธุ์'!I431+'ขอนแก่น'!I431+'ชัยภูมิ'!I431+'นครพนม'!I431+'นครราชสีมา'!I431+'บึงกาฬ'!I431+'บุรีรัมย์'!I431+'มหาสารคาม'!I431+'มุกดาหาร'!I431+'ยโสธร'!I431+'ร้อยเอ็ด'!I431+'เลย'!I431+'ศรีสะเกษ'!I431+'สกลนคร'!I431+'สุรินทร์'!I431+'หนองคาย'!I431+'หนองบัวลำภู'!I431+'อำนาจเจริญ'!I431+'อุดรธานี'!I431+'อุบลราชธานี'!I431</f>
        <v>270</v>
      </c>
      <c r="J431" s="427">
        <f>'กาฬสินธุ์'!J431+'ขอนแก่น'!J431+'ชัยภูมิ'!J431+'นครพนม'!J431+'นครราชสีมา'!J431+'บึงกาฬ'!J431+'บุรีรัมย์'!J431+'มหาสารคาม'!J431+'มุกดาหาร'!J431+'ยโสธร'!J431+'ร้อยเอ็ด'!J431+'เลย'!J431+'ศรีสะเกษ'!J431+'สกลนคร'!J431+'สุรินทร์'!J431+'หนองคาย'!J431+'หนองบัวลำภู'!J431+'อำนาจเจริญ'!J431+'อุดรธานี'!J431+'อุบลราชธานี'!J431</f>
        <v>10</v>
      </c>
      <c r="K431" s="196">
        <f t="shared" si="81"/>
        <v>3.703703704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'กาฬสินธุ์'!I432+'ขอนแก่น'!I432+'ชัยภูมิ'!I432+'นครพนม'!I432+'นครราชสีมา'!I432+'บึงกาฬ'!I432+'บุรีรัมย์'!I432+'มหาสารคาม'!I432+'มุกดาหาร'!I432+'ยโสธร'!I432+'ร้อยเอ็ด'!I432+'เลย'!I432+'ศรีสะเกษ'!I432+'สกลนคร'!I432+'สุรินทร์'!I432+'หนองคาย'!I432+'หนองบัวลำภู'!I432+'อำนาจเจริญ'!I432+'อุดรธานี'!I432+'อุบลราชธานี'!I432</f>
        <v>609</v>
      </c>
      <c r="J432" s="427">
        <f>'กาฬสินธุ์'!J432+'ขอนแก่น'!J432+'ชัยภูมิ'!J432+'นครพนม'!J432+'นครราชสีมา'!J432+'บึงกาฬ'!J432+'บุรีรัมย์'!J432+'มหาสารคาม'!J432+'มุกดาหาร'!J432+'ยโสธร'!J432+'ร้อยเอ็ด'!J432+'เลย'!J432+'ศรีสะเกษ'!J432+'สกลนคร'!J432+'สุรินทร์'!J432+'หนองคาย'!J432+'หนองบัวลำภู'!J432+'อำนาจเจริญ'!J432+'อุดรธานี'!J432+'อุบลราชธานี'!J432</f>
        <v>15</v>
      </c>
      <c r="K432" s="196">
        <f t="shared" si="81"/>
        <v>2.463054187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'กาฬสินธุ์'!J433+'ขอนแก่น'!J433+'ชัยภูมิ'!J433+'นครพนม'!J433+'นครราชสีมา'!J433+'บึงกาฬ'!J433+'บุรีรัมย์'!J433+'มหาสารคาม'!J433+'มุกดาหาร'!J433+'ยโสธร'!J433+'ร้อยเอ็ด'!J433+'เลย'!J433+'ศรีสะเกษ'!J433+'สกลนคร'!J433+'สุรินทร์'!J433+'หนองคาย'!J433+'หนองบัวลำภู'!J433+'อำนาจเจริญ'!J433+'อุดรธานี'!J433+'อุบลราชธานี'!J433</f>
        <v>1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'กาฬสินธุ์'!J434+'ขอนแก่น'!J434+'ชัยภูมิ'!J434+'นครพนม'!J434+'นครราชสีมา'!J434+'บึงกาฬ'!J434+'บุรีรัมย์'!J434+'มหาสารคาม'!J434+'มุกดาหาร'!J434+'ยโสธร'!J434+'ร้อยเอ็ด'!J434+'เลย'!J434+'ศรีสะเกษ'!J434+'สกลนคร'!J434+'สุรินทร์'!J434+'หนองคาย'!J434+'หนองบัวลำภู'!J434+'อำนาจเจริญ'!J434+'อุดรธานี'!J434+'อุบลราชธานี'!J434</f>
        <v>1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'กาฬสินธุ์'!I435+'ขอนแก่น'!I435+'ชัยภูมิ'!I435+'นครพนม'!I435+'นครราชสีมา'!I435+'บึงกาฬ'!I435+'บุรีรัมย์'!I435+'มหาสารคาม'!I435+'มุกดาหาร'!I435+'ยโสธร'!I435+'ร้อยเอ็ด'!I435+'เลย'!I435+'ศรีสะเกษ'!I435+'สกลนคร'!I435+'สุรินทร์'!I435+'หนองคาย'!I435+'หนองบัวลำภู'!I435+'อำนาจเจริญ'!I435+'อุดรธานี'!I435+'อุบลราชธานี'!I435</f>
        <v>551</v>
      </c>
      <c r="J435" s="443">
        <f>'กาฬสินธุ์'!J435+'ขอนแก่น'!J435+'ชัยภูมิ'!J435+'นครพนม'!J435+'นครราชสีมา'!J435+'บึงกาฬ'!J435+'บุรีรัมย์'!J435+'มหาสารคาม'!J435+'มุกดาหาร'!J435+'ยโสธร'!J435+'ร้อยเอ็ด'!J435+'เลย'!J435+'ศรีสะเกษ'!J435+'สกลนคร'!J435+'สุรินทร์'!J435+'หนองคาย'!J435+'หนองบัวลำภู'!J435+'อำนาจเจริญ'!J435+'อุดรธานี'!J435+'อุบลราชธานี'!J435</f>
        <v>260</v>
      </c>
      <c r="K435" s="444">
        <f>IF(I435&gt;0,J435*100/I435,0)</f>
        <v>47.18693285</v>
      </c>
      <c r="L435" s="445">
        <f>'กาฬสินธุ์'!L435+'ขอนแก่น'!L435+'ชัยภูมิ'!L435+'นครพนม'!L435+'นครราชสีมา'!L435+'บึงกาฬ'!L435+'บุรีรัมย์'!L435+'มหาสารคาม'!L435+'มุกดาหาร'!L435+'ยโสธร'!L435+'ร้อยเอ็ด'!L435+'เลย'!L435+'ศรีสะเกษ'!L435+'สกลนคร'!L435+'สุรินทร์'!L435+'หนองคาย'!L435+'หนองบัวลำภู'!L435+'อำนาจเจริญ'!L435+'อุดรธานี'!L435+'อุบลราชธานี'!L435</f>
        <v>2206000</v>
      </c>
      <c r="M435" s="445"/>
      <c r="N435" s="445">
        <f>'กาฬสินธุ์'!N435+'ขอนแก่น'!N435+'ชัยภูมิ'!N435+'นครพนม'!N435+'นครราชสีมา'!N435+'บึงกาฬ'!N435+'บุรีรัมย์'!N435+'มหาสารคาม'!N435+'มุกดาหาร'!N435+'ยโสธร'!N435+'ร้อยเอ็ด'!N435+'เลย'!N435+'ศรีสะเกษ'!N435+'สกลนคร'!N435+'สุรินทร์'!N435+'หนองคาย'!N435+'หนองบัวลำภู'!N435+'อำนาจเจริญ'!N435+'อุดรธานี'!N435+'อุบลราชธานี'!N435</f>
        <v>470632.8</v>
      </c>
      <c r="O435" s="445">
        <f t="shared" ref="O435:O439" si="82">+IF(L435&gt;0,N435*100/L435,0)</f>
        <v>21.33421578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'กาฬสินธุ์'!L436+'ขอนแก่น'!L436+'ชัยภูมิ'!L436+'นครพนม'!L436+'นครราชสีมา'!L436+'บึงกาฬ'!L436+'บุรีรัมย์'!L436+'มหาสารคาม'!L436+'มุกดาหาร'!L436+'ยโสธร'!L436+'ร้อยเอ็ด'!L436+'เลย'!L436+'ศรีสะเกษ'!L436+'สกลนคร'!L436+'สุรินทร์'!L436+'หนองคาย'!L436+'หนองบัวลำภู'!L436+'อำนาจเจริญ'!L436+'อุดรธานี'!L436+'อุบลราชธานี'!L436</f>
        <v>0</v>
      </c>
      <c r="M436" s="197"/>
      <c r="N436" s="203">
        <f>'กาฬสินธุ์'!N436+'ขอนแก่น'!N436+'ชัยภูมิ'!N436+'นครพนม'!N436+'นครราชสีมา'!N436+'บึงกาฬ'!N436+'บุรีรัมย์'!N436+'มหาสารคาม'!N436+'มุกดาหาร'!N436+'ยโสธร'!N436+'ร้อยเอ็ด'!N436+'เลย'!N436+'ศรีสะเกษ'!N436+'สกลนคร'!N436+'สุรินทร์'!N436+'หนองคาย'!N436+'หนองบัวลำภู'!N436+'อำนาจเจริญ'!N436+'อุดรธานี'!N436+'อุบลราชธานี'!N436</f>
        <v>0</v>
      </c>
      <c r="O436" s="203">
        <f t="shared" si="82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'กาฬสินธุ์'!L437+'ขอนแก่น'!L437+'ชัยภูมิ'!L437+'นครพนม'!L437+'นครราชสีมา'!L437+'บึงกาฬ'!L437+'บุรีรัมย์'!L437+'มหาสารคาม'!L437+'มุกดาหาร'!L437+'ยโสธร'!L437+'ร้อยเอ็ด'!L437+'เลย'!L437+'ศรีสะเกษ'!L437+'สกลนคร'!L437+'สุรินทร์'!L437+'หนองคาย'!L437+'หนองบัวลำภู'!L437+'อำนาจเจริญ'!L437+'อุดรธานี'!L437+'อุบลราชธานี'!L437</f>
        <v>2206000</v>
      </c>
      <c r="M437" s="198"/>
      <c r="N437" s="203">
        <f>'กาฬสินธุ์'!N437+'ขอนแก่น'!N437+'ชัยภูมิ'!N437+'นครพนม'!N437+'นครราชสีมา'!N437+'บึงกาฬ'!N437+'บุรีรัมย์'!N437+'มหาสารคาม'!N437+'มุกดาหาร'!N437+'ยโสธร'!N437+'ร้อยเอ็ด'!N437+'เลย'!N437+'ศรีสะเกษ'!N437+'สกลนคร'!N437+'สุรินทร์'!N437+'หนองคาย'!N437+'หนองบัวลำภู'!N437+'อำนาจเจริญ'!N437+'อุดรธานี'!N437+'อุบลราชธานี'!N437</f>
        <v>470632.8</v>
      </c>
      <c r="O437" s="203">
        <f t="shared" si="82"/>
        <v>21.33421578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'กาฬสินธุ์'!L438+'ขอนแก่น'!L438+'ชัยภูมิ'!L438+'นครพนม'!L438+'นครราชสีมา'!L438+'บึงกาฬ'!L438+'บุรีรัมย์'!L438+'มหาสารคาม'!L438+'มุกดาหาร'!L438+'ยโสธร'!L438+'ร้อยเอ็ด'!L438+'เลย'!L438+'ศรีสะเกษ'!L438+'สกลนคร'!L438+'สุรินทร์'!L438+'หนองคาย'!L438+'หนองบัวลำภู'!L438+'อำนาจเจริญ'!L438+'อุดรธานี'!L438+'อุบลราชธานี'!L438</f>
        <v>0</v>
      </c>
      <c r="M438" s="203"/>
      <c r="N438" s="203">
        <f>'กาฬสินธุ์'!N438+'ขอนแก่น'!N438+'ชัยภูมิ'!N438+'นครพนม'!N438+'นครราชสีมา'!N438+'บึงกาฬ'!N438+'บุรีรัมย์'!N438+'มหาสารคาม'!N438+'มุกดาหาร'!N438+'ยโสธร'!N438+'ร้อยเอ็ด'!N438+'เลย'!N438+'ศรีสะเกษ'!N438+'สกลนคร'!N438+'สุรินทร์'!N438+'หนองคาย'!N438+'หนองบัวลำภู'!N438+'อำนาจเจริญ'!N438+'อุดรธานี'!N438+'อุบลราชธานี'!N438</f>
        <v>0</v>
      </c>
      <c r="O438" s="203">
        <f t="shared" si="82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'กาฬสินธุ์'!L439+'ขอนแก่น'!L439+'ชัยภูมิ'!L439+'นครพนม'!L439+'นครราชสีมา'!L439+'บึงกาฬ'!L439+'บุรีรัมย์'!L439+'มหาสารคาม'!L439+'มุกดาหาร'!L439+'ยโสธร'!L439+'ร้อยเอ็ด'!L439+'เลย'!L439+'ศรีสะเกษ'!L439+'สกลนคร'!L439+'สุรินทร์'!L439+'หนองคาย'!L439+'หนองบัวลำภู'!L439+'อำนาจเจริญ'!L439+'อุดรธานี'!L439+'อุบลราชธานี'!L439</f>
        <v>2206000</v>
      </c>
      <c r="M439" s="203"/>
      <c r="N439" s="203">
        <f>'กาฬสินธุ์'!N439+'ขอนแก่น'!N439+'ชัยภูมิ'!N439+'นครพนม'!N439+'นครราชสีมา'!N439+'บึงกาฬ'!N439+'บุรีรัมย์'!N439+'มหาสารคาม'!N439+'มุกดาหาร'!N439+'ยโสธร'!N439+'ร้อยเอ็ด'!N439+'เลย'!N439+'ศรีสะเกษ'!N439+'สกลนคร'!N439+'สุรินทร์'!N439+'หนองคาย'!N439+'หนองบัวลำภู'!N439+'อำนาจเจริญ'!N439+'อุดรธานี'!N439+'อุบลราชธานี'!N439</f>
        <v>470632.8</v>
      </c>
      <c r="O439" s="203">
        <f t="shared" si="82"/>
        <v>21.33421578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'กาฬสินธุ์'!N440+'ขอนแก่น'!N440+'ชัยภูมิ'!N440+'นครพนม'!N440+'นครราชสีมา'!N440+'บึงกาฬ'!N440+'บุรีรัมย์'!N440+'มหาสารคาม'!N440+'มุกดาหาร'!N440+'ยโสธร'!N440+'ร้อยเอ็ด'!N440+'เลย'!N440+'ศรีสะเกษ'!N440+'สกลนคร'!N440+'สุรินทร์'!N440+'หนองคาย'!N440+'หนองบัวลำภู'!N440+'อำนาจเจริญ'!N440+'อุดรธานี'!N440+'อุบลราชธานี'!N440</f>
        <v>301224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'กาฬสินธุ์'!N441+'ขอนแก่น'!N441+'ชัยภูมิ'!N441+'นครพนม'!N441+'นครราชสีมา'!N441+'บึงกาฬ'!N441+'บุรีรัมย์'!N441+'มหาสารคาม'!N441+'มุกดาหาร'!N441+'ยโสธร'!N441+'ร้อยเอ็ด'!N441+'เลย'!N441+'ศรีสะเกษ'!N441+'สกลนคร'!N441+'สุรินทร์'!N441+'หนองคาย'!N441+'หนองบัวลำภู'!N441+'อำนาจเจริญ'!N441+'อุดรธานี'!N441+'อุบลราชธานี'!N441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'กาฬสินธุ์'!N442+'ขอนแก่น'!N442+'ชัยภูมิ'!N442+'นครพนม'!N442+'นครราชสีมา'!N442+'บึงกาฬ'!N442+'บุรีรัมย์'!N442+'มหาสารคาม'!N442+'มุกดาหาร'!N442+'ยโสธร'!N442+'ร้อยเอ็ด'!N442+'เลย'!N442+'ศรีสะเกษ'!N442+'สกลนคร'!N442+'สุรินทร์'!N442+'หนองคาย'!N442+'หนองบัวลำภู'!N442+'อำนาจเจริญ'!N442+'อุดรธานี'!N442+'อุบลราชธานี'!N442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'กาฬสินธุ์'!N443+'ขอนแก่น'!N443+'ชัยภูมิ'!N443+'นครพนม'!N443+'นครราชสีมา'!N443+'บึงกาฬ'!N443+'บุรีรัมย์'!N443+'มหาสารคาม'!N443+'มุกดาหาร'!N443+'ยโสธร'!N443+'ร้อยเอ็ด'!N443+'เลย'!N443+'ศรีสะเกษ'!N443+'สกลนคร'!N443+'สุรินทร์'!N443+'หนองคาย'!N443+'หนองบัวลำภู'!N443+'อำนาจเจริญ'!N443+'อุดรธานี'!N443+'อุบลราชธานี'!N443</f>
        <v>169408.8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'กาฬสินธุ์'!J445+'ขอนแก่น'!J445+'ชัยภูมิ'!J445+'นครพนม'!J445+'นครราชสีมา'!J445+'บึงกาฬ'!J445+'บุรีรัมย์'!J445+'มหาสารคาม'!J445+'มุกดาหาร'!J445+'ยโสธร'!J445+'ร้อยเอ็ด'!J445+'เลย'!J445+'ศรีสะเกษ'!J445+'สกลนคร'!J445+'สุรินทร์'!J445+'หนองคาย'!J445+'หนองบัวลำภู'!J445+'อำนาจเจริญ'!J445+'อุดรธานี'!J445+'อุบลราชธานี'!J445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'กาฬสินธุ์'!J446+'ขอนแก่น'!J446+'ชัยภูมิ'!J446+'นครพนม'!J446+'นครราชสีมา'!J446+'บึงกาฬ'!J446+'บุรีรัมย์'!J446+'มหาสารคาม'!J446+'มุกดาหาร'!J446+'ยโสธร'!J446+'ร้อยเอ็ด'!J446+'เลย'!J446+'ศรีสะเกษ'!J446+'สกลนคร'!J446+'สุรินทร์'!J446+'หนองคาย'!J446+'หนองบัวลำภู'!J446+'อำนาจเจริญ'!J446+'อุดรธานี'!J446+'อุบลราชธานี'!J446</f>
        <v>20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'กาฬสินธุ์'!J447+'ขอนแก่น'!J447+'ชัยภูมิ'!J447+'นครพนม'!J447+'นครราชสีมา'!J447+'บึงกาฬ'!J447+'บุรีรัมย์'!J447+'มหาสารคาม'!J447+'มุกดาหาร'!J447+'ยโสธร'!J447+'ร้อยเอ็ด'!J447+'เลย'!J447+'ศรีสะเกษ'!J447+'สกลนคร'!J447+'สุรินทร์'!J447+'หนองคาย'!J447+'หนองบัวลำภู'!J447+'อำนาจเจริญ'!J447+'อุดรธานี'!J447+'อุบลราชธานี'!J447</f>
        <v>16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'กาฬสินธุ์'!J448+'ขอนแก่น'!J448+'ชัยภูมิ'!J448+'นครพนม'!J448+'นครราชสีมา'!J448+'บึงกาฬ'!J448+'บุรีรัมย์'!J448+'มหาสารคาม'!J448+'มุกดาหาร'!J448+'ยโสธร'!J448+'ร้อยเอ็ด'!J448+'เลย'!J448+'ศรีสะเกษ'!J448+'สกลนคร'!J448+'สุรินทร์'!J448+'หนองคาย'!J448+'หนองบัวลำภู'!J448+'อำนาจเจริญ'!J448+'อุดรธานี'!J448+'อุบลราชธานี'!J448</f>
        <v>12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'กาฬสินธุ์'!I449+'ขอนแก่น'!I449+'ชัยภูมิ'!I449+'นครพนม'!I449+'นครราชสีมา'!I449+'บึงกาฬ'!I449+'บุรีรัมย์'!I449+'มหาสารคาม'!I449+'มุกดาหาร'!I449+'ยโสธร'!I449+'ร้อยเอ็ด'!I449+'เลย'!I449+'ศรีสะเกษ'!I449+'สกลนคร'!I449+'สุรินทร์'!I449+'หนองคาย'!I449+'หนองบัวลำภู'!I449+'อำนาจเจริญ'!I449+'อุดรธานี'!I449+'อุบลราชธานี'!I449</f>
        <v>551</v>
      </c>
      <c r="J449" s="235">
        <f>'กาฬสินธุ์'!J449+'ขอนแก่น'!J449+'ชัยภูมิ'!J449+'นครพนม'!J449+'นครราชสีมา'!J449+'บึงกาฬ'!J449+'บุรีรัมย์'!J449+'มหาสารคาม'!J449+'มุกดาหาร'!J449+'ยโสธร'!J449+'ร้อยเอ็ด'!J449+'เลย'!J449+'ศรีสะเกษ'!J449+'สกลนคร'!J449+'สุรินทร์'!J449+'หนองคาย'!J449+'หนองบัวลำภู'!J449+'อำนาจเจริญ'!J449+'อุดรธานี'!J449+'อุบลราชธานี'!J449</f>
        <v>260</v>
      </c>
      <c r="K449" s="196">
        <f t="shared" ref="K449:K452" si="83">IF(I449&gt;0,J449*100/I449,0)</f>
        <v>47.18693285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'กาฬสินธุ์'!I450+'ขอนแก่น'!I450+'ชัยภูมิ'!I450+'นครพนม'!I450+'นครราชสีมา'!I450+'บึงกาฬ'!I450+'บุรีรัมย์'!I450+'มหาสารคาม'!I450+'มุกดาหาร'!I450+'ยโสธร'!I450+'ร้อยเอ็ด'!I450+'เลย'!I450+'ศรีสะเกษ'!I450+'สกลนคร'!I450+'สุรินทร์'!I450+'หนองคาย'!I450+'หนองบัวลำภู'!I450+'อำนาจเจริญ'!I450+'อุดรธานี'!I450+'อุบลราชธานี'!I450</f>
        <v>476</v>
      </c>
      <c r="J450" s="223">
        <f>'กาฬสินธุ์'!J450+'ขอนแก่น'!J450+'ชัยภูมิ'!J450+'นครพนม'!J450+'นครราชสีมา'!J450+'บึงกาฬ'!J450+'บุรีรัมย์'!J450+'มหาสารคาม'!J450+'มุกดาหาร'!J450+'ยโสธร'!J450+'ร้อยเอ็ด'!J450+'เลย'!J450+'ศรีสะเกษ'!J450+'สกลนคร'!J450+'สุรินทร์'!J450+'หนองคาย'!J450+'หนองบัวลำภู'!J450+'อำนาจเจริญ'!J450+'อุดรธานี'!J450+'อุบลราชธานี'!J450</f>
        <v>185</v>
      </c>
      <c r="K450" s="196">
        <f t="shared" si="83"/>
        <v>38.86554622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'กาฬสินธุ์'!I451+'ขอนแก่น'!I451+'ชัยภูมิ'!I451+'นครพนม'!I451+'นครราชสีมา'!I451+'บึงกาฬ'!I451+'บุรีรัมย์'!I451+'มหาสารคาม'!I451+'มุกดาหาร'!I451+'ยโสธร'!I451+'ร้อยเอ็ด'!I451+'เลย'!I451+'ศรีสะเกษ'!I451+'สกลนคร'!I451+'สุรินทร์'!I451+'หนองคาย'!I451+'หนองบัวลำภู'!I451+'อำนาจเจริญ'!I451+'อุดรธานี'!I451+'อุบลราชธานี'!I451</f>
        <v>75</v>
      </c>
      <c r="J451" s="222">
        <f>'กาฬสินธุ์'!J451+'ขอนแก่น'!J451+'ชัยภูมิ'!J451+'นครพนม'!J451+'นครราชสีมา'!J451+'บึงกาฬ'!J451+'บุรีรัมย์'!J451+'มหาสารคาม'!J451+'มุกดาหาร'!J451+'ยโสธร'!J451+'ร้อยเอ็ด'!J451+'เลย'!J451+'ศรีสะเกษ'!J451+'สกลนคร'!J451+'สุรินทร์'!J451+'หนองคาย'!J451+'หนองบัวลำภู'!J451+'อำนาจเจริญ'!J451+'อุดรธานี'!J451+'อุบลราชธานี'!J451</f>
        <v>75</v>
      </c>
      <c r="K451" s="196">
        <f t="shared" si="83"/>
        <v>100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'กาฬสินธุ์'!I452+'ขอนแก่น'!I452+'ชัยภูมิ'!I452+'นครพนม'!I452+'นครราชสีมา'!I452+'บึงกาฬ'!I452+'บุรีรัมย์'!I452+'มหาสารคาม'!I452+'มุกดาหาร'!I452+'ยโสธร'!I452+'ร้อยเอ็ด'!I452+'เลย'!I452+'ศรีสะเกษ'!I452+'สกลนคร'!I452+'สุรินทร์'!I452+'หนองคาย'!I452+'หนองบัวลำภู'!I452+'อำนาจเจริญ'!I452+'อุดรธานี'!I452+'อุบลราชธานี'!I452</f>
        <v>0</v>
      </c>
      <c r="J452" s="222">
        <f>'กาฬสินธุ์'!J452+'ขอนแก่น'!J452+'ชัยภูมิ'!J452+'นครพนม'!J452+'นครราชสีมา'!J452+'บึงกาฬ'!J452+'บุรีรัมย์'!J452+'มหาสารคาม'!J452+'มุกดาหาร'!J452+'ยโสธร'!J452+'ร้อยเอ็ด'!J452+'เลย'!J452+'ศรีสะเกษ'!J452+'สกลนคร'!J452+'สุรินทร์'!J452+'หนองคาย'!J452+'หนองบัวลำภู'!J452+'อำนาจเจริญ'!J452+'อุดรธานี'!J452+'อุบลราชธานี'!J452</f>
        <v>0</v>
      </c>
      <c r="K452" s="196">
        <f t="shared" si="83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'กาฬสินธุ์'!J453+'ขอนแก่น'!J453+'ชัยภูมิ'!J453+'นครพนม'!J453+'นครราชสีมา'!J453+'บึงกาฬ'!J453+'บุรีรัมย์'!J453+'มหาสารคาม'!J453+'มุกดาหาร'!J453+'ยโสธร'!J453+'ร้อยเอ็ด'!J453+'เลย'!J453+'ศรีสะเกษ'!J453+'สกลนคร'!J453+'สุรินทร์'!J453+'หนองคาย'!J453+'หนองบัวลำภู'!J453+'อำนาจเจริญ'!J453+'อุดรธานี'!J453+'อุบลราชธานี'!J453</f>
        <v>1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'กาฬสินธุ์'!J454+'ขอนแก่น'!J454+'ชัยภูมิ'!J454+'นครพนม'!J454+'นครราชสีมา'!J454+'บึงกาฬ'!J454+'บุรีรัมย์'!J454+'มหาสารคาม'!J454+'มุกดาหาร'!J454+'ยโสธร'!J454+'ร้อยเอ็ด'!J454+'เลย'!J454+'ศรีสะเกษ'!J454+'สกลนคร'!J454+'สุรินทร์'!J454+'หนองคาย'!J454+'หนองบัวลำภู'!J454+'อำนาจเจริญ'!J454+'อุดรธานี'!J454+'อุบลราชธานี'!J454</f>
        <v>1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'กาฬสินธุ์'!I455+'ขอนแก่น'!I455+'ชัยภูมิ'!I455+'นครพนม'!I455+'นครราชสีมา'!I455+'บึงกาฬ'!I455+'บุรีรัมย์'!I455+'มหาสารคาม'!I455+'มุกดาหาร'!I455+'ยโสธร'!I455+'ร้อยเอ็ด'!I455+'เลย'!I455+'ศรีสะเกษ'!I455+'สกลนคร'!I455+'สุรินทร์'!I455+'หนองคาย'!I455+'หนองบัวลำภู'!I455+'อำนาจเจริญ'!I455+'อุดรธานี'!I455+'อุบลราชธานี'!I455</f>
        <v>808886</v>
      </c>
      <c r="J455" s="404">
        <f>'กาฬสินธุ์'!J455+'ขอนแก่น'!J455+'ชัยภูมิ'!J455+'นครพนม'!J455+'นครราชสีมา'!J455+'บึงกาฬ'!J455+'บุรีรัมย์'!J455+'มหาสารคาม'!J455+'มุกดาหาร'!J455+'ยโสธร'!J455+'ร้อยเอ็ด'!J455+'เลย'!J455+'ศรีสะเกษ'!J455+'สกลนคร'!J455+'สุรินทร์'!J455+'หนองคาย'!J455+'หนองบัวลำภู'!J455+'อำนาจเจริญ'!J455+'อุดรธานี'!J455+'อุบลราชธานี'!J455</f>
        <v>0</v>
      </c>
      <c r="K455" s="405">
        <f>IF(I455&gt;0,J455*100/I455,0)</f>
        <v>0</v>
      </c>
      <c r="L455" s="406">
        <f>'กาฬสินธุ์'!L455+'ขอนแก่น'!L455+'ชัยภูมิ'!L455+'นครพนม'!L455+'นครราชสีมา'!L455+'บึงกาฬ'!L455+'บุรีรัมย์'!L455+'มหาสารคาม'!L455+'มุกดาหาร'!L455+'ยโสธร'!L455+'ร้อยเอ็ด'!L455+'เลย'!L455+'ศรีสะเกษ'!L455+'สกลนคร'!L455+'สุรินทร์'!L455+'หนองคาย'!L455+'หนองบัวลำภู'!L455+'อำนาจเจริญ'!L455+'อุดรธานี'!L455+'อุบลราชธานี'!L455</f>
        <v>10836169</v>
      </c>
      <c r="M455" s="406"/>
      <c r="N455" s="406">
        <f>'กาฬสินธุ์'!N455+'ขอนแก่น'!N455+'ชัยภูมิ'!N455+'นครพนม'!N455+'นครราชสีมา'!N455+'บึงกาฬ'!N455+'บุรีรัมย์'!N455+'มหาสารคาม'!N455+'มุกดาหาร'!N455+'ยโสธร'!N455+'ร้อยเอ็ด'!N455+'เลย'!N455+'ศรีสะเกษ'!N455+'สกลนคร'!N455+'สุรินทร์'!N455+'หนองคาย'!N455+'หนองบัวลำภู'!N455+'อำนาจเจริญ'!N455+'อุดรธานี'!N455+'อุบลราชธานี'!N455</f>
        <v>927457.74</v>
      </c>
      <c r="O455" s="406">
        <f t="shared" ref="O455:O459" si="84">+IF(L455&gt;0,N455*100/L455,0)</f>
        <v>8.558908042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'กาฬสินธุ์'!L456+'ขอนแก่น'!L456+'ชัยภูมิ'!L456+'นครพนม'!L456+'นครราชสีมา'!L456+'บึงกาฬ'!L456+'บุรีรัมย์'!L456+'มหาสารคาม'!L456+'มุกดาหาร'!L456+'ยโสธร'!L456+'ร้อยเอ็ด'!L456+'เลย'!L456+'ศรีสะเกษ'!L456+'สกลนคร'!L456+'สุรินทร์'!L456+'หนองคาย'!L456+'หนองบัวลำภู'!L456+'อำนาจเจริญ'!L456+'อุดรธานี'!L456+'อุบลราชธานี'!L456</f>
        <v>0</v>
      </c>
      <c r="M456" s="197"/>
      <c r="N456" s="203">
        <f>'กาฬสินธุ์'!N456+'ขอนแก่น'!N456+'ชัยภูมิ'!N456+'นครพนม'!N456+'นครราชสีมา'!N456+'บึงกาฬ'!N456+'บุรีรัมย์'!N456+'มหาสารคาม'!N456+'มุกดาหาร'!N456+'ยโสธร'!N456+'ร้อยเอ็ด'!N456+'เลย'!N456+'ศรีสะเกษ'!N456+'สกลนคร'!N456+'สุรินทร์'!N456+'หนองคาย'!N456+'หนองบัวลำภู'!N456+'อำนาจเจริญ'!N456+'อุดรธานี'!N456+'อุบลราชธานี'!N456</f>
        <v>0</v>
      </c>
      <c r="O456" s="203">
        <f t="shared" si="84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'กาฬสินธุ์'!L457+'ขอนแก่น'!L457+'ชัยภูมิ'!L457+'นครพนม'!L457+'นครราชสีมา'!L457+'บึงกาฬ'!L457+'บุรีรัมย์'!L457+'มหาสารคาม'!L457+'มุกดาหาร'!L457+'ยโสธร'!L457+'ร้อยเอ็ด'!L457+'เลย'!L457+'ศรีสะเกษ'!L457+'สกลนคร'!L457+'สุรินทร์'!L457+'หนองคาย'!L457+'หนองบัวลำภู'!L457+'อำนาจเจริญ'!L457+'อุดรธานี'!L457+'อุบลราชธานี'!L457</f>
        <v>10836169</v>
      </c>
      <c r="M457" s="198"/>
      <c r="N457" s="203">
        <f>'กาฬสินธุ์'!N457+'ขอนแก่น'!N457+'ชัยภูมิ'!N457+'นครพนม'!N457+'นครราชสีมา'!N457+'บึงกาฬ'!N457+'บุรีรัมย์'!N457+'มหาสารคาม'!N457+'มุกดาหาร'!N457+'ยโสธร'!N457+'ร้อยเอ็ด'!N457+'เลย'!N457+'ศรีสะเกษ'!N457+'สกลนคร'!N457+'สุรินทร์'!N457+'หนองคาย'!N457+'หนองบัวลำภู'!N457+'อำนาจเจริญ'!N457+'อุดรธานี'!N457+'อุบลราชธานี'!N457</f>
        <v>927457.74</v>
      </c>
      <c r="O457" s="203">
        <f t="shared" si="84"/>
        <v>8.558908042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'กาฬสินธุ์'!L458+'ขอนแก่น'!L458+'ชัยภูมิ'!L458+'นครพนม'!L458+'นครราชสีมา'!L458+'บึงกาฬ'!L458+'บุรีรัมย์'!L458+'มหาสารคาม'!L458+'มุกดาหาร'!L458+'ยโสธร'!L458+'ร้อยเอ็ด'!L458+'เลย'!L458+'ศรีสะเกษ'!L458+'สกลนคร'!L458+'สุรินทร์'!L458+'หนองคาย'!L458+'หนองบัวลำภู'!L458+'อำนาจเจริญ'!L458+'อุดรธานี'!L458+'อุบลราชธานี'!L458</f>
        <v>0</v>
      </c>
      <c r="M458" s="203"/>
      <c r="N458" s="203">
        <f>'กาฬสินธุ์'!N458+'ขอนแก่น'!N458+'ชัยภูมิ'!N458+'นครพนม'!N458+'นครราชสีมา'!N458+'บึงกาฬ'!N458+'บุรีรัมย์'!N458+'มหาสารคาม'!N458+'มุกดาหาร'!N458+'ยโสธร'!N458+'ร้อยเอ็ด'!N458+'เลย'!N458+'ศรีสะเกษ'!N458+'สกลนคร'!N458+'สุรินทร์'!N458+'หนองคาย'!N458+'หนองบัวลำภู'!N458+'อำนาจเจริญ'!N458+'อุดรธานี'!N458+'อุบลราชธานี'!N458</f>
        <v>0</v>
      </c>
      <c r="O458" s="203">
        <f t="shared" si="84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'กาฬสินธุ์'!L459+'ขอนแก่น'!L459+'ชัยภูมิ'!L459+'นครพนม'!L459+'นครราชสีมา'!L459+'บึงกาฬ'!L459+'บุรีรัมย์'!L459+'มหาสารคาม'!L459+'มุกดาหาร'!L459+'ยโสธร'!L459+'ร้อยเอ็ด'!L459+'เลย'!L459+'ศรีสะเกษ'!L459+'สกลนคร'!L459+'สุรินทร์'!L459+'หนองคาย'!L459+'หนองบัวลำภู'!L459+'อำนาจเจริญ'!L459+'อุดรธานี'!L459+'อุบลราชธานี'!L459</f>
        <v>10836169</v>
      </c>
      <c r="M459" s="203"/>
      <c r="N459" s="203">
        <f>'กาฬสินธุ์'!N459+'ขอนแก่น'!N459+'ชัยภูมิ'!N459+'นครพนม'!N459+'นครราชสีมา'!N459+'บึงกาฬ'!N459+'บุรีรัมย์'!N459+'มหาสารคาม'!N459+'มุกดาหาร'!N459+'ยโสธร'!N459+'ร้อยเอ็ด'!N459+'เลย'!N459+'ศรีสะเกษ'!N459+'สกลนคร'!N459+'สุรินทร์'!N459+'หนองคาย'!N459+'หนองบัวลำภู'!N459+'อำนาจเจริญ'!N459+'อุดรธานี'!N459+'อุบลราชธานี'!N459</f>
        <v>927457.74</v>
      </c>
      <c r="O459" s="203">
        <f t="shared" si="84"/>
        <v>8.558908042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'กาฬสินธุ์'!N460+'ขอนแก่น'!N460+'ชัยภูมิ'!N460+'นครพนม'!N460+'นครราชสีมา'!N460+'บึงกาฬ'!N460+'บุรีรัมย์'!N460+'มหาสารคาม'!N460+'มุกดาหาร'!N460+'ยโสธร'!N460+'ร้อยเอ็ด'!N460+'เลย'!N460+'ศรีสะเกษ'!N460+'สกลนคร'!N460+'สุรินทร์'!N460+'หนองคาย'!N460+'หนองบัวลำภู'!N460+'อำนาจเจริญ'!N460+'อุดรธานี'!N460+'อุบลราชธานี'!N460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'กาฬสินธุ์'!N461+'ขอนแก่น'!N461+'ชัยภูมิ'!N461+'นครพนม'!N461+'นครราชสีมา'!N461+'บึงกาฬ'!N461+'บุรีรัมย์'!N461+'มหาสารคาม'!N461+'มุกดาหาร'!N461+'ยโสธร'!N461+'ร้อยเอ็ด'!N461+'เลย'!N461+'ศรีสะเกษ'!N461+'สกลนคร'!N461+'สุรินทร์'!N461+'หนองคาย'!N461+'หนองบัวลำภู'!N461+'อำนาจเจริญ'!N461+'อุดรธานี'!N461+'อุบลราชธานี'!N461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'กาฬสินธุ์'!N462+'ขอนแก่น'!N462+'ชัยภูมิ'!N462+'นครพนม'!N462+'นครราชสีมา'!N462+'บึงกาฬ'!N462+'บุรีรัมย์'!N462+'มหาสารคาม'!N462+'มุกดาหาร'!N462+'ยโสธร'!N462+'ร้อยเอ็ด'!N462+'เลย'!N462+'ศรีสะเกษ'!N462+'สกลนคร'!N462+'สุรินทร์'!N462+'หนองคาย'!N462+'หนองบัวลำภู'!N462+'อำนาจเจริญ'!N462+'อุดรธานี'!N462+'อุบลราชธานี'!N462</f>
        <v>432475.99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'กาฬสินธุ์'!N463+'ขอนแก่น'!N463+'ชัยภูมิ'!N463+'นครพนม'!N463+'นครราชสีมา'!N463+'บึงกาฬ'!N463+'บุรีรัมย์'!N463+'มหาสารคาม'!N463+'มุกดาหาร'!N463+'ยโสธร'!N463+'ร้อยเอ็ด'!N463+'เลย'!N463+'ศรีสะเกษ'!N463+'สกลนคร'!N463+'สุรินทร์'!N463+'หนองคาย'!N463+'หนองบัวลำภู'!N463+'อำนาจเจริญ'!N463+'อุดรธานี'!N463+'อุบลราชธานี'!N463</f>
        <v>494981.75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'กาฬสินธุ์'!I464+'ขอนแก่น'!I464+'ชัยภูมิ'!I464+'นครพนม'!I464+'นครราชสีมา'!I464+'บึงกาฬ'!I464+'บุรีรัมย์'!I464+'มหาสารคาม'!I464+'มุกดาหาร'!I464+'ยโสธร'!I464+'ร้อยเอ็ด'!I464+'เลย'!I464+'ศรีสะเกษ'!I464+'สกลนคร'!I464+'สุรินทร์'!I464+'หนองคาย'!I464+'หนองบัวลำภู'!I464+'อำนาจเจริญ'!I464+'อุดรธานี'!I464+'อุบลราชธานี'!I464</f>
        <v>808886</v>
      </c>
      <c r="J464" s="301">
        <f>'กาฬสินธุ์'!J464+'ขอนแก่น'!J464+'ชัยภูมิ'!J464+'นครพนม'!J464+'นครราชสีมา'!J464+'บึงกาฬ'!J464+'บุรีรัมย์'!J464+'มหาสารคาม'!J464+'มุกดาหาร'!J464+'ยโสธร'!J464+'ร้อยเอ็ด'!J464+'เลย'!J464+'ศรีสะเกษ'!J464+'สกลนคร'!J464+'สุรินทร์'!J464+'หนองคาย'!J464+'หนองบัวลำภู'!J464+'อำนาจเจริญ'!J464+'อุดรธานี'!J464+'อุบลราชธานี'!J464</f>
        <v>0</v>
      </c>
      <c r="K464" s="302">
        <f t="shared" ref="K464:K515" si="85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'กาฬสินธุ์'!I465+'ขอนแก่น'!I465+'ชัยภูมิ'!I465+'นครพนม'!I465+'นครราชสีมา'!I465+'บึงกาฬ'!I465+'บุรีรัมย์'!I465+'มหาสารคาม'!I465+'มุกดาหาร'!I465+'ยโสธร'!I465+'ร้อยเอ็ด'!I465+'เลย'!I465+'ศรีสะเกษ'!I465+'สกลนคร'!I465+'สุรินทร์'!I465+'หนองคาย'!I465+'หนองบัวลำภู'!I465+'อำนาจเจริญ'!I465+'อุดรธานี'!I465+'อุบลราชธานี'!I465</f>
        <v>808886</v>
      </c>
      <c r="J465" s="453">
        <f>'กาฬสินธุ์'!J465+'ขอนแก่น'!J465+'ชัยภูมิ'!J465+'นครพนม'!J465+'นครราชสีมา'!J465+'บึงกาฬ'!J465+'บุรีรัมย์'!J465+'มหาสารคาม'!J465+'มุกดาหาร'!J465+'ยโสธร'!J465+'ร้อยเอ็ด'!J465+'เลย'!J465+'ศรีสะเกษ'!J465+'สกลนคร'!J465+'สุรินทร์'!J465+'หนองคาย'!J465+'หนองบัวลำภู'!J465+'อำนาจเจริญ'!J465+'อุดรธานี'!J465+'อุบลราชธานี'!J465</f>
        <v>397017.798</v>
      </c>
      <c r="K465" s="236">
        <f t="shared" si="85"/>
        <v>49.08204592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'กาฬสินธุ์'!I466+'ขอนแก่น'!I466+'ชัยภูมิ'!I466+'นครพนม'!I466+'นครราชสีมา'!I466+'บึงกาฬ'!I466+'บุรีรัมย์'!I466+'มหาสารคาม'!I466+'มุกดาหาร'!I466+'ยโสธร'!I466+'ร้อยเอ็ด'!I466+'เลย'!I466+'ศรีสะเกษ'!I466+'สกลนคร'!I466+'สุรินทร์'!I466+'หนองคาย'!I466+'หนองบัวลำภู'!I466+'อำนาจเจริญ'!I466+'อุดรธานี'!I466+'อุบลราชธานี'!I466</f>
        <v>102872</v>
      </c>
      <c r="J466" s="453">
        <f>'กาฬสินธุ์'!J466+'ขอนแก่น'!J466+'ชัยภูมิ'!J466+'นครพนม'!J466+'นครราชสีมา'!J466+'บึงกาฬ'!J466+'บุรีรัมย์'!J466+'มหาสารคาม'!J466+'มุกดาหาร'!J466+'ยโสธร'!J466+'ร้อยเอ็ด'!J466+'เลย'!J466+'ศรีสะเกษ'!J466+'สกลนคร'!J466+'สุรินทร์'!J466+'หนองคาย'!J466+'หนองบัวลำภู'!J466+'อำนาจเจริญ'!J466+'อุดรธานี'!J466+'อุบลราชธานี'!J466</f>
        <v>44546</v>
      </c>
      <c r="K466" s="236">
        <f t="shared" si="85"/>
        <v>43.30235633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'กาฬสินธุ์'!I467+'ขอนแก่น'!I467+'ชัยภูมิ'!I467+'นครพนม'!I467+'นครราชสีมา'!I467+'บึงกาฬ'!I467+'บุรีรัมย์'!I467+'มหาสารคาม'!I467+'มุกดาหาร'!I467+'ยโสธร'!I467+'ร้อยเอ็ด'!I467+'เลย'!I467+'ศรีสะเกษ'!I467+'สกลนคร'!I467+'สุรินทร์'!I467+'หนองคาย'!I467+'หนองบัวลำภู'!I467+'อำนาจเจริญ'!I467+'อุดรธานี'!I467+'อุบลราชธานี'!I467</f>
        <v>0</v>
      </c>
      <c r="J467" s="223">
        <f>'กาฬสินธุ์'!J467+'ขอนแก่น'!J467+'ชัยภูมิ'!J467+'นครพนม'!J467+'นครราชสีมา'!J467+'บึงกาฬ'!J467+'บุรีรัมย์'!J467+'มหาสารคาม'!J467+'มุกดาหาร'!J467+'ยโสธร'!J467+'ร้อยเอ็ด'!J467+'เลย'!J467+'ศรีสะเกษ'!J467+'สกลนคร'!J467+'สุรินทร์'!J467+'หนองคาย'!J467+'หนองบัวลำภู'!J467+'อำนาจเจริญ'!J467+'อุดรธานี'!J467+'อุบลราชธานี'!J467</f>
        <v>317057.2405</v>
      </c>
      <c r="K467" s="196">
        <f t="shared" si="85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'กาฬสินธุ์'!I468+'ขอนแก่น'!I468+'ชัยภูมิ'!I468+'นครพนม'!I468+'นครราชสีมา'!I468+'บึงกาฬ'!I468+'บุรีรัมย์'!I468+'มหาสารคาม'!I468+'มุกดาหาร'!I468+'ยโสธร'!I468+'ร้อยเอ็ด'!I468+'เลย'!I468+'ศรีสะเกษ'!I468+'สกลนคร'!I468+'สุรินทร์'!I468+'หนองคาย'!I468+'หนองบัวลำภู'!I468+'อำนาจเจริญ'!I468+'อุดรธานี'!I468+'อุบลราชธานี'!I468</f>
        <v>0</v>
      </c>
      <c r="J468" s="223">
        <f>'กาฬสินธุ์'!J468+'ขอนแก่น'!J468+'ชัยภูมิ'!J468+'นครพนม'!J468+'นครราชสีมา'!J468+'บึงกาฬ'!J468+'บุรีรัมย์'!J468+'มหาสารคาม'!J468+'มุกดาหาร'!J468+'ยโสธร'!J468+'ร้อยเอ็ด'!J468+'เลย'!J468+'ศรีสะเกษ'!J468+'สกลนคร'!J468+'สุรินทร์'!J468+'หนองคาย'!J468+'หนองบัวลำภู'!J468+'อำนาจเจริญ'!J468+'อุดรธานี'!J468+'อุบลราชธานี'!J468</f>
        <v>37386</v>
      </c>
      <c r="K468" s="196">
        <f t="shared" si="85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'กาฬสินธุ์'!I469+'ขอนแก่น'!I469+'ชัยภูมิ'!I469+'นครพนม'!I469+'นครราชสีมา'!I469+'บึงกาฬ'!I469+'บุรีรัมย์'!I469+'มหาสารคาม'!I469+'มุกดาหาร'!I469+'ยโสธร'!I469+'ร้อยเอ็ด'!I469+'เลย'!I469+'ศรีสะเกษ'!I469+'สกลนคร'!I469+'สุรินทร์'!I469+'หนองคาย'!I469+'หนองบัวลำภู'!I469+'อำนาจเจริญ'!I469+'อุดรธานี'!I469+'อุบลราชธานี'!I469</f>
        <v>0</v>
      </c>
      <c r="J469" s="223">
        <f>'กาฬสินธุ์'!J469+'ขอนแก่น'!J469+'ชัยภูมิ'!J469+'นครพนม'!J469+'นครราชสีมา'!J469+'บึงกาฬ'!J469+'บุรีรัมย์'!J469+'มหาสารคาม'!J469+'มุกดาหาร'!J469+'ยโสธร'!J469+'ร้อยเอ็ด'!J469+'เลย'!J469+'ศรีสะเกษ'!J469+'สกลนคร'!J469+'สุรินทร์'!J469+'หนองคาย'!J469+'หนองบัวลำภู'!J469+'อำนาจเจริญ'!J469+'อุดรธานี'!J469+'อุบลราชธานี'!J469</f>
        <v>68315.1425</v>
      </c>
      <c r="K469" s="196">
        <f t="shared" si="85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'กาฬสินธุ์'!I470+'ขอนแก่น'!I470+'ชัยภูมิ'!I470+'นครพนม'!I470+'นครราชสีมา'!I470+'บึงกาฬ'!I470+'บุรีรัมย์'!I470+'มหาสารคาม'!I470+'มุกดาหาร'!I470+'ยโสธร'!I470+'ร้อยเอ็ด'!I470+'เลย'!I470+'ศรีสะเกษ'!I470+'สกลนคร'!I470+'สุรินทร์'!I470+'หนองคาย'!I470+'หนองบัวลำภู'!I470+'อำนาจเจริญ'!I470+'อุดรธานี'!I470+'อุบลราชธานี'!I470</f>
        <v>0</v>
      </c>
      <c r="J470" s="223">
        <f>'กาฬสินธุ์'!J470+'ขอนแก่น'!J470+'ชัยภูมิ'!J470+'นครพนม'!J470+'นครราชสีมา'!J470+'บึงกาฬ'!J470+'บุรีรัมย์'!J470+'มหาสารคาม'!J470+'มุกดาหาร'!J470+'ยโสธร'!J470+'ร้อยเอ็ด'!J470+'เลย'!J470+'ศรีสะเกษ'!J470+'สกลนคร'!J470+'สุรินทร์'!J470+'หนองคาย'!J470+'หนองบัวลำภู'!J470+'อำนาจเจริญ'!J470+'อุดรธานี'!J470+'อุบลราชธานี'!J470</f>
        <v>6033</v>
      </c>
      <c r="K470" s="196">
        <f t="shared" si="85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'กาฬสินธุ์'!I471+'ขอนแก่น'!I471+'ชัยภูมิ'!I471+'นครพนม'!I471+'นครราชสีมา'!I471+'บึงกาฬ'!I471+'บุรีรัมย์'!I471+'มหาสารคาม'!I471+'มุกดาหาร'!I471+'ยโสธร'!I471+'ร้อยเอ็ด'!I471+'เลย'!I471+'ศรีสะเกษ'!I471+'สกลนคร'!I471+'สุรินทร์'!I471+'หนองคาย'!I471+'หนองบัวลำภู'!I471+'อำนาจเจริญ'!I471+'อุดรธานี'!I471+'อุบลราชธานี'!I471</f>
        <v>0</v>
      </c>
      <c r="J471" s="223">
        <f>'กาฬสินธุ์'!J471+'ขอนแก่น'!J471+'ชัยภูมิ'!J471+'นครพนม'!J471+'นครราชสีมา'!J471+'บึงกาฬ'!J471+'บุรีรัมย์'!J471+'มหาสารคาม'!J471+'มุกดาหาร'!J471+'ยโสธร'!J471+'ร้อยเอ็ด'!J471+'เลย'!J471+'ศรีสะเกษ'!J471+'สกลนคร'!J471+'สุรินทร์'!J471+'หนองคาย'!J471+'หนองบัวลำภู'!J471+'อำนาจเจริญ'!J471+'อุดรธานี'!J471+'อุบลราชธานี'!J471</f>
        <v>11645.415</v>
      </c>
      <c r="K471" s="196">
        <f t="shared" si="85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'กาฬสินธุ์'!I472+'ขอนแก่น'!I472+'ชัยภูมิ'!I472+'นครพนม'!I472+'นครราชสีมา'!I472+'บึงกาฬ'!I472+'บุรีรัมย์'!I472+'มหาสารคาม'!I472+'มุกดาหาร'!I472+'ยโสธร'!I472+'ร้อยเอ็ด'!I472+'เลย'!I472+'ศรีสะเกษ'!I472+'สกลนคร'!I472+'สุรินทร์'!I472+'หนองคาย'!I472+'หนองบัวลำภู'!I472+'อำนาจเจริญ'!I472+'อุดรธานี'!I472+'อุบลราชธานี'!I472</f>
        <v>0</v>
      </c>
      <c r="J472" s="223">
        <f>'กาฬสินธุ์'!J472+'ขอนแก่น'!J472+'ชัยภูมิ'!J472+'นครพนม'!J472+'นครราชสีมา'!J472+'บึงกาฬ'!J472+'บุรีรัมย์'!J472+'มหาสารคาม'!J472+'มุกดาหาร'!J472+'ยโสธร'!J472+'ร้อยเอ็ด'!J472+'เลย'!J472+'ศรีสะเกษ'!J472+'สกลนคร'!J472+'สุรินทร์'!J472+'หนองคาย'!J472+'หนองบัวลำภู'!J472+'อำนาจเจริญ'!J472+'อุดรธานี'!J472+'อุบลราชธานี'!J472</f>
        <v>1127</v>
      </c>
      <c r="K472" s="196">
        <f t="shared" si="85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'กาฬสินธุ์'!I473+'ขอนแก่น'!I473+'ชัยภูมิ'!I473+'นครพนม'!I473+'นครราชสีมา'!I473+'บึงกาฬ'!I473+'บุรีรัมย์'!I473+'มหาสารคาม'!I473+'มุกดาหาร'!I473+'ยโสธร'!I473+'ร้อยเอ็ด'!I473+'เลย'!I473+'ศรีสะเกษ'!I473+'สกลนคร'!I473+'สุรินทร์'!I473+'หนองคาย'!I473+'หนองบัวลำภู'!I473+'อำนาจเจริญ'!I473+'อุดรธานี'!I473+'อุบลราชธานี'!I473</f>
        <v>808886</v>
      </c>
      <c r="J473" s="453">
        <f>'กาฬสินธุ์'!J473+'ขอนแก่น'!J473+'ชัยภูมิ'!J473+'นครพนม'!J473+'นครราชสีมา'!J473+'บึงกาฬ'!J473+'บุรีรัมย์'!J473+'มหาสารคาม'!J473+'มุกดาหาร'!J473+'ยโสธร'!J473+'ร้อยเอ็ด'!J473+'เลย'!J473+'ศรีสะเกษ'!J473+'สกลนคร'!J473+'สุรินทร์'!J473+'หนองคาย'!J473+'หนองบัวลำภู'!J473+'อำนาจเจริญ'!J473+'อุดรธานี'!J473+'อุบลราชธานี'!J473</f>
        <v>42047</v>
      </c>
      <c r="K473" s="236">
        <f t="shared" si="85"/>
        <v>5.198136697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'กาฬสินธุ์'!I474+'ขอนแก่น'!I474+'ชัยภูมิ'!I474+'นครพนม'!I474+'นครราชสีมา'!I474+'บึงกาฬ'!I474+'บุรีรัมย์'!I474+'มหาสารคาม'!I474+'มุกดาหาร'!I474+'ยโสธร'!I474+'ร้อยเอ็ด'!I474+'เลย'!I474+'ศรีสะเกษ'!I474+'สกลนคร'!I474+'สุรินทร์'!I474+'หนองคาย'!I474+'หนองบัวลำภู'!I474+'อำนาจเจริญ'!I474+'อุดรธานี'!I474+'อุบลราชธานี'!I474</f>
        <v>102872</v>
      </c>
      <c r="J474" s="453">
        <f>'กาฬสินธุ์'!J474+'ขอนแก่น'!J474+'ชัยภูมิ'!J474+'นครพนม'!J474+'นครราชสีมา'!J474+'บึงกาฬ'!J474+'บุรีรัมย์'!J474+'มหาสารคาม'!J474+'มุกดาหาร'!J474+'ยโสธร'!J474+'ร้อยเอ็ด'!J474+'เลย'!J474+'ศรีสะเกษ'!J474+'สกลนคร'!J474+'สุรินทร์'!J474+'หนองคาย'!J474+'หนองบัวลำภู'!J474+'อำนาจเจริญ'!J474+'อุดรธานี'!J474+'อุบลราชธานี'!J474</f>
        <v>5816</v>
      </c>
      <c r="K474" s="196">
        <f t="shared" si="85"/>
        <v>5.653627809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'กาฬสินธุ์'!I475+'ขอนแก่น'!I475+'ชัยภูมิ'!I475+'นครพนม'!I475+'นครราชสีมา'!I475+'บึงกาฬ'!I475+'บุรีรัมย์'!I475+'มหาสารคาม'!I475+'มุกดาหาร'!I475+'ยโสธร'!I475+'ร้อยเอ็ด'!I475+'เลย'!I475+'ศรีสะเกษ'!I475+'สกลนคร'!I475+'สุรินทร์'!I475+'หนองคาย'!I475+'หนองบัวลำภู'!I475+'อำนาจเจริญ'!I475+'อุดรธานี'!I475+'อุบลราชธานี'!I475</f>
        <v>0</v>
      </c>
      <c r="J475" s="223">
        <f>'กาฬสินธุ์'!J475+'ขอนแก่น'!J475+'ชัยภูมิ'!J475+'นครพนม'!J475+'นครราชสีมา'!J475+'บึงกาฬ'!J475+'บุรีรัมย์'!J475+'มหาสารคาม'!J475+'มุกดาหาร'!J475+'ยโสธร'!J475+'ร้อยเอ็ด'!J475+'เลย'!J475+'ศรีสะเกษ'!J475+'สกลนคร'!J475+'สุรินทร์'!J475+'หนองคาย'!J475+'หนองบัวลำภู'!J475+'อำนาจเจริญ'!J475+'อุดรธานี'!J475+'อุบลราชธานี'!J475</f>
        <v>40100</v>
      </c>
      <c r="K475" s="196">
        <f t="shared" si="85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'กาฬสินธุ์'!I476+'ขอนแก่น'!I476+'ชัยภูมิ'!I476+'นครพนม'!I476+'นครราชสีมา'!I476+'บึงกาฬ'!I476+'บุรีรัมย์'!I476+'มหาสารคาม'!I476+'มุกดาหาร'!I476+'ยโสธร'!I476+'ร้อยเอ็ด'!I476+'เลย'!I476+'ศรีสะเกษ'!I476+'สกลนคร'!I476+'สุรินทร์'!I476+'หนองคาย'!I476+'หนองบัวลำภู'!I476+'อำนาจเจริญ'!I476+'อุดรธานี'!I476+'อุบลราชธานี'!I476</f>
        <v>0</v>
      </c>
      <c r="J476" s="223">
        <f>'กาฬสินธุ์'!J476+'ขอนแก่น'!J476+'ชัยภูมิ'!J476+'นครพนม'!J476+'นครราชสีมา'!J476+'บึงกาฬ'!J476+'บุรีรัมย์'!J476+'มหาสารคาม'!J476+'มุกดาหาร'!J476+'ยโสธร'!J476+'ร้อยเอ็ด'!J476+'เลย'!J476+'ศรีสะเกษ'!J476+'สกลนคร'!J476+'สุรินทร์'!J476+'หนองคาย'!J476+'หนองบัวลำภู'!J476+'อำนาจเจริญ'!J476+'อุดรธานี'!J476+'อุบลราชธานี'!J476</f>
        <v>5684</v>
      </c>
      <c r="K476" s="196">
        <f t="shared" si="85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'กาฬสินธุ์'!I477+'ขอนแก่น'!I477+'ชัยภูมิ'!I477+'นครพนม'!I477+'นครราชสีมา'!I477+'บึงกาฬ'!I477+'บุรีรัมย์'!I477+'มหาสารคาม'!I477+'มุกดาหาร'!I477+'ยโสธร'!I477+'ร้อยเอ็ด'!I477+'เลย'!I477+'ศรีสะเกษ'!I477+'สกลนคร'!I477+'สุรินทร์'!I477+'หนองคาย'!I477+'หนองบัวลำภู'!I477+'อำนาจเจริญ'!I477+'อุดรธานี'!I477+'อุบลราชธานี'!I477</f>
        <v>0</v>
      </c>
      <c r="J477" s="223">
        <f>'กาฬสินธุ์'!J477+'ขอนแก่น'!J477+'ชัยภูมิ'!J477+'นครพนม'!J477+'นครราชสีมา'!J477+'บึงกาฬ'!J477+'บุรีรัมย์'!J477+'มหาสารคาม'!J477+'มุกดาหาร'!J477+'ยโสธร'!J477+'ร้อยเอ็ด'!J477+'เลย'!J477+'ศรีสะเกษ'!J477+'สกลนคร'!J477+'สุรินทร์'!J477+'หนองคาย'!J477+'หนองบัวลำภู'!J477+'อำนาจเจริญ'!J477+'อุดรธานี'!J477+'อุบลราชธานี'!J477</f>
        <v>1947</v>
      </c>
      <c r="K477" s="196">
        <f t="shared" si="85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'กาฬสินธุ์'!I478+'ขอนแก่น'!I478+'ชัยภูมิ'!I478+'นครพนม'!I478+'นครราชสีมา'!I478+'บึงกาฬ'!I478+'บุรีรัมย์'!I478+'มหาสารคาม'!I478+'มุกดาหาร'!I478+'ยโสธร'!I478+'ร้อยเอ็ด'!I478+'เลย'!I478+'ศรีสะเกษ'!I478+'สกลนคร'!I478+'สุรินทร์'!I478+'หนองคาย'!I478+'หนองบัวลำภู'!I478+'อำนาจเจริญ'!I478+'อุดรธานี'!I478+'อุบลราชธานี'!I478</f>
        <v>0</v>
      </c>
      <c r="J478" s="223">
        <f>'กาฬสินธุ์'!J478+'ขอนแก่น'!J478+'ชัยภูมิ'!J478+'นครพนม'!J478+'นครราชสีมา'!J478+'บึงกาฬ'!J478+'บุรีรัมย์'!J478+'มหาสารคาม'!J478+'มุกดาหาร'!J478+'ยโสธร'!J478+'ร้อยเอ็ด'!J478+'เลย'!J478+'ศรีสะเกษ'!J478+'สกลนคร'!J478+'สุรินทร์'!J478+'หนองคาย'!J478+'หนองบัวลำภู'!J478+'อำนาจเจริญ'!J478+'อุดรธานี'!J478+'อุบลราชธานี'!J478</f>
        <v>132</v>
      </c>
      <c r="K478" s="196">
        <f t="shared" si="85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'กาฬสินธุ์'!I479+'ขอนแก่น'!I479+'ชัยภูมิ'!I479+'นครพนม'!I479+'นครราชสีมา'!I479+'บึงกาฬ'!I479+'บุรีรัมย์'!I479+'มหาสารคาม'!I479+'มุกดาหาร'!I479+'ยโสธร'!I479+'ร้อยเอ็ด'!I479+'เลย'!I479+'ศรีสะเกษ'!I479+'สกลนคร'!I479+'สุรินทร์'!I479+'หนองคาย'!I479+'หนองบัวลำภู'!I479+'อำนาจเจริญ'!I479+'อุดรธานี'!I479+'อุบลราชธานี'!I479</f>
        <v>0</v>
      </c>
      <c r="J479" s="223">
        <f>'กาฬสินธุ์'!J479+'ขอนแก่น'!J479+'ชัยภูมิ'!J479+'นครพนม'!J479+'นครราชสีมา'!J479+'บึงกาฬ'!J479+'บุรีรัมย์'!J479+'มหาสารคาม'!J479+'มุกดาหาร'!J479+'ยโสธร'!J479+'ร้อยเอ็ด'!J479+'เลย'!J479+'ศรีสะเกษ'!J479+'สกลนคร'!J479+'สุรินทร์'!J479+'หนองคาย'!J479+'หนองบัวลำภู'!J479+'อำนาจเจริญ'!J479+'อุดรธานี'!J479+'อุบลราชธานี'!J479</f>
        <v>0</v>
      </c>
      <c r="K479" s="196">
        <f t="shared" si="85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'กาฬสินธุ์'!I480+'ขอนแก่น'!I480+'ชัยภูมิ'!I480+'นครพนม'!I480+'นครราชสีมา'!I480+'บึงกาฬ'!I480+'บุรีรัมย์'!I480+'มหาสารคาม'!I480+'มุกดาหาร'!I480+'ยโสธร'!I480+'ร้อยเอ็ด'!I480+'เลย'!I480+'ศรีสะเกษ'!I480+'สกลนคร'!I480+'สุรินทร์'!I480+'หนองคาย'!I480+'หนองบัวลำภู'!I480+'อำนาจเจริญ'!I480+'อุดรธานี'!I480+'อุบลราชธานี'!I480</f>
        <v>0</v>
      </c>
      <c r="J480" s="223">
        <f>'กาฬสินธุ์'!J480+'ขอนแก่น'!J480+'ชัยภูมิ'!J480+'นครพนม'!J480+'นครราชสีมา'!J480+'บึงกาฬ'!J480+'บุรีรัมย์'!J480+'มหาสารคาม'!J480+'มุกดาหาร'!J480+'ยโสธร'!J480+'ร้อยเอ็ด'!J480+'เลย'!J480+'ศรีสะเกษ'!J480+'สกลนคร'!J480+'สุรินทร์'!J480+'หนองคาย'!J480+'หนองบัวลำภู'!J480+'อำนาจเจริญ'!J480+'อุดรธานี'!J480+'อุบลราชธานี'!J480</f>
        <v>0</v>
      </c>
      <c r="K480" s="196">
        <f t="shared" si="85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'กาฬสินธุ์'!I481+'ขอนแก่น'!I481+'ชัยภูมิ'!I481+'นครพนม'!I481+'นครราชสีมา'!I481+'บึงกาฬ'!I481+'บุรีรัมย์'!I481+'มหาสารคาม'!I481+'มุกดาหาร'!I481+'ยโสธร'!I481+'ร้อยเอ็ด'!I481+'เลย'!I481+'ศรีสะเกษ'!I481+'สกลนคร'!I481+'สุรินทร์'!I481+'หนองคาย'!I481+'หนองบัวลำภู'!I481+'อำนาจเจริญ'!I481+'อุดรธานี'!I481+'อุบลราชธานี'!I481</f>
        <v>808886</v>
      </c>
      <c r="J481" s="453">
        <f>'กาฬสินธุ์'!J481+'ขอนแก่น'!J481+'ชัยภูมิ'!J481+'นครพนม'!J481+'นครราชสีมา'!J481+'บึงกาฬ'!J481+'บุรีรัมย์'!J481+'มหาสารคาม'!J481+'มุกดาหาร'!J481+'ยโสธร'!J481+'ร้อยเอ็ด'!J481+'เลย'!J481+'ศรีสะเกษ'!J481+'สกลนคร'!J481+'สุรินทร์'!J481+'หนองคาย'!J481+'หนองบัวลำภู'!J481+'อำนาจเจริญ'!J481+'อุดรธานี'!J481+'อุบลราชธานี'!J481</f>
        <v>0</v>
      </c>
      <c r="K481" s="236">
        <f t="shared" si="85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'กาฬสินธุ์'!I482+'ขอนแก่น'!I482+'ชัยภูมิ'!I482+'นครพนม'!I482+'นครราชสีมา'!I482+'บึงกาฬ'!I482+'บุรีรัมย์'!I482+'มหาสารคาม'!I482+'มุกดาหาร'!I482+'ยโสธร'!I482+'ร้อยเอ็ด'!I482+'เลย'!I482+'ศรีสะเกษ'!I482+'สกลนคร'!I482+'สุรินทร์'!I482+'หนองคาย'!I482+'หนองบัวลำภู'!I482+'อำนาจเจริญ'!I482+'อุดรธานี'!I482+'อุบลราชธานี'!I482</f>
        <v>102872</v>
      </c>
      <c r="J482" s="453">
        <f>'กาฬสินธุ์'!J482+'ขอนแก่น'!J482+'ชัยภูมิ'!J482+'นครพนม'!J482+'นครราชสีมา'!J482+'บึงกาฬ'!J482+'บุรีรัมย์'!J482+'มหาสารคาม'!J482+'มุกดาหาร'!J482+'ยโสธร'!J482+'ร้อยเอ็ด'!J482+'เลย'!J482+'ศรีสะเกษ'!J482+'สกลนคร'!J482+'สุรินทร์'!J482+'หนองคาย'!J482+'หนองบัวลำภู'!J482+'อำนาจเจริญ'!J482+'อุดรธานี'!J482+'อุบลราชธานี'!J482</f>
        <v>0</v>
      </c>
      <c r="K482" s="196">
        <f t="shared" si="85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'กาฬสินธุ์'!I483+'ขอนแก่น'!I483+'ชัยภูมิ'!I483+'นครพนม'!I483+'นครราชสีมา'!I483+'บึงกาฬ'!I483+'บุรีรัมย์'!I483+'มหาสารคาม'!I483+'มุกดาหาร'!I483+'ยโสธร'!I483+'ร้อยเอ็ด'!I483+'เลย'!I483+'ศรีสะเกษ'!I483+'สกลนคร'!I483+'สุรินทร์'!I483+'หนองคาย'!I483+'หนองบัวลำภู'!I483+'อำนาจเจริญ'!I483+'อุดรธานี'!I483+'อุบลราชธานี'!I483</f>
        <v>0</v>
      </c>
      <c r="J483" s="223">
        <f>'กาฬสินธุ์'!J483+'ขอนแก่น'!J483+'ชัยภูมิ'!J483+'นครพนม'!J483+'นครราชสีมา'!J483+'บึงกาฬ'!J483+'บุรีรัมย์'!J483+'มหาสารคาม'!J483+'มุกดาหาร'!J483+'ยโสธร'!J483+'ร้อยเอ็ด'!J483+'เลย'!J483+'ศรีสะเกษ'!J483+'สกลนคร'!J483+'สุรินทร์'!J483+'หนองคาย'!J483+'หนองบัวลำภู'!J483+'อำนาจเจริญ'!J483+'อุดรธานี'!J483+'อุบลราชธานี'!J483</f>
        <v>0</v>
      </c>
      <c r="K483" s="196">
        <f t="shared" si="85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'กาฬสินธุ์'!I484+'ขอนแก่น'!I484+'ชัยภูมิ'!I484+'นครพนม'!I484+'นครราชสีมา'!I484+'บึงกาฬ'!I484+'บุรีรัมย์'!I484+'มหาสารคาม'!I484+'มุกดาหาร'!I484+'ยโสธร'!I484+'ร้อยเอ็ด'!I484+'เลย'!I484+'ศรีสะเกษ'!I484+'สกลนคร'!I484+'สุรินทร์'!I484+'หนองคาย'!I484+'หนองบัวลำภู'!I484+'อำนาจเจริญ'!I484+'อุดรธานี'!I484+'อุบลราชธานี'!I484</f>
        <v>0</v>
      </c>
      <c r="J484" s="223">
        <f>'กาฬสินธุ์'!J484+'ขอนแก่น'!J484+'ชัยภูมิ'!J484+'นครพนม'!J484+'นครราชสีมา'!J484+'บึงกาฬ'!J484+'บุรีรัมย์'!J484+'มหาสารคาม'!J484+'มุกดาหาร'!J484+'ยโสธร'!J484+'ร้อยเอ็ด'!J484+'เลย'!J484+'ศรีสะเกษ'!J484+'สกลนคร'!J484+'สุรินทร์'!J484+'หนองคาย'!J484+'หนองบัวลำภู'!J484+'อำนาจเจริญ'!J484+'อุดรธานี'!J484+'อุบลราชธานี'!J484</f>
        <v>0</v>
      </c>
      <c r="K484" s="196">
        <f t="shared" si="85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'กาฬสินธุ์'!I485+'ขอนแก่น'!I485+'ชัยภูมิ'!I485+'นครพนม'!I485+'นครราชสีมา'!I485+'บึงกาฬ'!I485+'บุรีรัมย์'!I485+'มหาสารคาม'!I485+'มุกดาหาร'!I485+'ยโสธร'!I485+'ร้อยเอ็ด'!I485+'เลย'!I485+'ศรีสะเกษ'!I485+'สกลนคร'!I485+'สุรินทร์'!I485+'หนองคาย'!I485+'หนองบัวลำภู'!I485+'อำนาจเจริญ'!I485+'อุดรธานี'!I485+'อุบลราชธานี'!I485</f>
        <v>0</v>
      </c>
      <c r="J485" s="223">
        <f>'กาฬสินธุ์'!J485+'ขอนแก่น'!J485+'ชัยภูมิ'!J485+'นครพนม'!J485+'นครราชสีมา'!J485+'บึงกาฬ'!J485+'บุรีรัมย์'!J485+'มหาสารคาม'!J485+'มุกดาหาร'!J485+'ยโสธร'!J485+'ร้อยเอ็ด'!J485+'เลย'!J485+'ศรีสะเกษ'!J485+'สกลนคร'!J485+'สุรินทร์'!J485+'หนองคาย'!J485+'หนองบัวลำภู'!J485+'อำนาจเจริญ'!J485+'อุดรธานี'!J485+'อุบลราชธานี'!J485</f>
        <v>0</v>
      </c>
      <c r="K485" s="196">
        <f t="shared" si="85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'กาฬสินธุ์'!I486+'ขอนแก่น'!I486+'ชัยภูมิ'!I486+'นครพนม'!I486+'นครราชสีมา'!I486+'บึงกาฬ'!I486+'บุรีรัมย์'!I486+'มหาสารคาม'!I486+'มุกดาหาร'!I486+'ยโสธร'!I486+'ร้อยเอ็ด'!I486+'เลย'!I486+'ศรีสะเกษ'!I486+'สกลนคร'!I486+'สุรินทร์'!I486+'หนองคาย'!I486+'หนองบัวลำภู'!I486+'อำนาจเจริญ'!I486+'อุดรธานี'!I486+'อุบลราชธานี'!I486</f>
        <v>0</v>
      </c>
      <c r="J486" s="223">
        <f>'กาฬสินธุ์'!J486+'ขอนแก่น'!J486+'ชัยภูมิ'!J486+'นครพนม'!J486+'นครราชสีมา'!J486+'บึงกาฬ'!J486+'บุรีรัมย์'!J486+'มหาสารคาม'!J486+'มุกดาหาร'!J486+'ยโสธร'!J486+'ร้อยเอ็ด'!J486+'เลย'!J486+'ศรีสะเกษ'!J486+'สกลนคร'!J486+'สุรินทร์'!J486+'หนองคาย'!J486+'หนองบัวลำภู'!J486+'อำนาจเจริญ'!J486+'อุดรธานี'!J486+'อุบลราชธานี'!J486</f>
        <v>0</v>
      </c>
      <c r="K486" s="196">
        <f t="shared" si="85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'กาฬสินธุ์'!I487+'ขอนแก่น'!I487+'ชัยภูมิ'!I487+'นครพนม'!I487+'นครราชสีมา'!I487+'บึงกาฬ'!I487+'บุรีรัมย์'!I487+'มหาสารคาม'!I487+'มุกดาหาร'!I487+'ยโสธร'!I487+'ร้อยเอ็ด'!I487+'เลย'!I487+'ศรีสะเกษ'!I487+'สกลนคร'!I487+'สุรินทร์'!I487+'หนองคาย'!I487+'หนองบัวลำภู'!I487+'อำนาจเจริญ'!I487+'อุดรธานี'!I487+'อุบลราชธานี'!I487</f>
        <v>0</v>
      </c>
      <c r="J487" s="453">
        <f>'กาฬสินธุ์'!J487+'ขอนแก่น'!J487+'ชัยภูมิ'!J487+'นครพนม'!J487+'นครราชสีมา'!J487+'บึงกาฬ'!J487+'บุรีรัมย์'!J487+'มหาสารคาม'!J487+'มุกดาหาร'!J487+'ยโสธร'!J487+'ร้อยเอ็ด'!J487+'เลย'!J487+'ศรีสะเกษ'!J487+'สกลนคร'!J487+'สุรินทร์'!J487+'หนองคาย'!J487+'หนองบัวลำภู'!J487+'อำนาจเจริญ'!J487+'อุดรธานี'!J487+'อุบลราชธานี'!J487</f>
        <v>0</v>
      </c>
      <c r="K487" s="196">
        <f t="shared" si="85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'กาฬสินธุ์'!I488+'ขอนแก่น'!I488+'ชัยภูมิ'!I488+'นครพนม'!I488+'นครราชสีมา'!I488+'บึงกาฬ'!I488+'บุรีรัมย์'!I488+'มหาสารคาม'!I488+'มุกดาหาร'!I488+'ยโสธร'!I488+'ร้อยเอ็ด'!I488+'เลย'!I488+'ศรีสะเกษ'!I488+'สกลนคร'!I488+'สุรินทร์'!I488+'หนองคาย'!I488+'หนองบัวลำภู'!I488+'อำนาจเจริญ'!I488+'อุดรธานี'!I488+'อุบลราชธานี'!I488</f>
        <v>0</v>
      </c>
      <c r="J488" s="453">
        <f>'กาฬสินธุ์'!J488+'ขอนแก่น'!J488+'ชัยภูมิ'!J488+'นครพนม'!J488+'นครราชสีมา'!J488+'บึงกาฬ'!J488+'บุรีรัมย์'!J488+'มหาสารคาม'!J488+'มุกดาหาร'!J488+'ยโสธร'!J488+'ร้อยเอ็ด'!J488+'เลย'!J488+'ศรีสะเกษ'!J488+'สกลนคร'!J488+'สุรินทร์'!J488+'หนองคาย'!J488+'หนองบัวลำภู'!J488+'อำนาจเจริญ'!J488+'อุดรธานี'!J488+'อุบลราชธานี'!J488</f>
        <v>0</v>
      </c>
      <c r="K488" s="196">
        <f t="shared" si="85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'กาฬสินธุ์'!I489+'ขอนแก่น'!I489+'ชัยภูมิ'!I489+'นครพนม'!I489+'นครราชสีมา'!I489+'บึงกาฬ'!I489+'บุรีรัมย์'!I489+'มหาสารคาม'!I489+'มุกดาหาร'!I489+'ยโสธร'!I489+'ร้อยเอ็ด'!I489+'เลย'!I489+'ศรีสะเกษ'!I489+'สกลนคร'!I489+'สุรินทร์'!I489+'หนองคาย'!I489+'หนองบัวลำภู'!I489+'อำนาจเจริญ'!I489+'อุดรธานี'!I489+'อุบลราชธานี'!I489</f>
        <v>0</v>
      </c>
      <c r="J489" s="223">
        <f>'กาฬสินธุ์'!J489+'ขอนแก่น'!J489+'ชัยภูมิ'!J489+'นครพนม'!J489+'นครราชสีมา'!J489+'บึงกาฬ'!J489+'บุรีรัมย์'!J489+'มหาสารคาม'!J489+'มุกดาหาร'!J489+'ยโสธร'!J489+'ร้อยเอ็ด'!J489+'เลย'!J489+'ศรีสะเกษ'!J489+'สกลนคร'!J489+'สุรินทร์'!J489+'หนองคาย'!J489+'หนองบัวลำภู'!J489+'อำนาจเจริญ'!J489+'อุดรธานี'!J489+'อุบลราชธานี'!J489</f>
        <v>0</v>
      </c>
      <c r="K489" s="196">
        <f t="shared" si="85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'กาฬสินธุ์'!I490+'ขอนแก่น'!I490+'ชัยภูมิ'!I490+'นครพนม'!I490+'นครราชสีมา'!I490+'บึงกาฬ'!I490+'บุรีรัมย์'!I490+'มหาสารคาม'!I490+'มุกดาหาร'!I490+'ยโสธร'!I490+'ร้อยเอ็ด'!I490+'เลย'!I490+'ศรีสะเกษ'!I490+'สกลนคร'!I490+'สุรินทร์'!I490+'หนองคาย'!I490+'หนองบัวลำภู'!I490+'อำนาจเจริญ'!I490+'อุดรธานี'!I490+'อุบลราชธานี'!I490</f>
        <v>0</v>
      </c>
      <c r="J490" s="223">
        <f>'กาฬสินธุ์'!J490+'ขอนแก่น'!J490+'ชัยภูมิ'!J490+'นครพนม'!J490+'นครราชสีมา'!J490+'บึงกาฬ'!J490+'บุรีรัมย์'!J490+'มหาสารคาม'!J490+'มุกดาหาร'!J490+'ยโสธร'!J490+'ร้อยเอ็ด'!J490+'เลย'!J490+'ศรีสะเกษ'!J490+'สกลนคร'!J490+'สุรินทร์'!J490+'หนองคาย'!J490+'หนองบัวลำภู'!J490+'อำนาจเจริญ'!J490+'อุดรธานี'!J490+'อุบลราชธานี'!J490</f>
        <v>0</v>
      </c>
      <c r="K490" s="196">
        <f t="shared" si="85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'กาฬสินธุ์'!I491+'ขอนแก่น'!I491+'ชัยภูมิ'!I491+'นครพนม'!I491+'นครราชสีมา'!I491+'บึงกาฬ'!I491+'บุรีรัมย์'!I491+'มหาสารคาม'!I491+'มุกดาหาร'!I491+'ยโสธร'!I491+'ร้อยเอ็ด'!I491+'เลย'!I491+'ศรีสะเกษ'!I491+'สกลนคร'!I491+'สุรินทร์'!I491+'หนองคาย'!I491+'หนองบัวลำภู'!I491+'อำนาจเจริญ'!I491+'อุดรธานี'!I491+'อุบลราชธานี'!I491</f>
        <v>0</v>
      </c>
      <c r="J491" s="223">
        <f>'กาฬสินธุ์'!J491+'ขอนแก่น'!J491+'ชัยภูมิ'!J491+'นครพนม'!J491+'นครราชสีมา'!J491+'บึงกาฬ'!J491+'บุรีรัมย์'!J491+'มหาสารคาม'!J491+'มุกดาหาร'!J491+'ยโสธร'!J491+'ร้อยเอ็ด'!J491+'เลย'!J491+'ศรีสะเกษ'!J491+'สกลนคร'!J491+'สุรินทร์'!J491+'หนองคาย'!J491+'หนองบัวลำภู'!J491+'อำนาจเจริญ'!J491+'อุดรธานี'!J491+'อุบลราชธานี'!J491</f>
        <v>0</v>
      </c>
      <c r="K491" s="196">
        <f t="shared" si="85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'กาฬสินธุ์'!I492+'ขอนแก่น'!I492+'ชัยภูมิ'!I492+'นครพนม'!I492+'นครราชสีมา'!I492+'บึงกาฬ'!I492+'บุรีรัมย์'!I492+'มหาสารคาม'!I492+'มุกดาหาร'!I492+'ยโสธร'!I492+'ร้อยเอ็ด'!I492+'เลย'!I492+'ศรีสะเกษ'!I492+'สกลนคร'!I492+'สุรินทร์'!I492+'หนองคาย'!I492+'หนองบัวลำภู'!I492+'อำนาจเจริญ'!I492+'อุดรธานี'!I492+'อุบลราชธานี'!I492</f>
        <v>0</v>
      </c>
      <c r="J492" s="223">
        <f>'กาฬสินธุ์'!J492+'ขอนแก่น'!J492+'ชัยภูมิ'!J492+'นครพนม'!J492+'นครราชสีมา'!J492+'บึงกาฬ'!J492+'บุรีรัมย์'!J492+'มหาสารคาม'!J492+'มุกดาหาร'!J492+'ยโสธร'!J492+'ร้อยเอ็ด'!J492+'เลย'!J492+'ศรีสะเกษ'!J492+'สกลนคร'!J492+'สุรินทร์'!J492+'หนองคาย'!J492+'หนองบัวลำภู'!J492+'อำนาจเจริญ'!J492+'อุดรธานี'!J492+'อุบลราชธานี'!J492</f>
        <v>0</v>
      </c>
      <c r="K492" s="196">
        <f t="shared" si="85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'กาฬสินธุ์'!I493+'ขอนแก่น'!I493+'ชัยภูมิ'!I493+'นครพนม'!I493+'นครราชสีมา'!I493+'บึงกาฬ'!I493+'บุรีรัมย์'!I493+'มหาสารคาม'!I493+'มุกดาหาร'!I493+'ยโสธร'!I493+'ร้อยเอ็ด'!I493+'เลย'!I493+'ศรีสะเกษ'!I493+'สกลนคร'!I493+'สุรินทร์'!I493+'หนองคาย'!I493+'หนองบัวลำภู'!I493+'อำนาจเจริญ'!I493+'อุดรธานี'!I493+'อุบลราชธานี'!I493</f>
        <v>0</v>
      </c>
      <c r="J493" s="223">
        <f>'กาฬสินธุ์'!J493+'ขอนแก่น'!J493+'ชัยภูมิ'!J493+'นครพนม'!J493+'นครราชสีมา'!J493+'บึงกาฬ'!J493+'บุรีรัมย์'!J493+'มหาสารคาม'!J493+'มุกดาหาร'!J493+'ยโสธร'!J493+'ร้อยเอ็ด'!J493+'เลย'!J493+'ศรีสะเกษ'!J493+'สกลนคร'!J493+'สุรินทร์'!J493+'หนองคาย'!J493+'หนองบัวลำภู'!J493+'อำนาจเจริญ'!J493+'อุดรธานี'!J493+'อุบลราชธานี'!J493</f>
        <v>0</v>
      </c>
      <c r="K493" s="196">
        <f t="shared" si="85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'กาฬสินธุ์'!I494+'ขอนแก่น'!I494+'ชัยภูมิ'!I494+'นครพนม'!I494+'นครราชสีมา'!I494+'บึงกาฬ'!I494+'บุรีรัมย์'!I494+'มหาสารคาม'!I494+'มุกดาหาร'!I494+'ยโสธร'!I494+'ร้อยเอ็ด'!I494+'เลย'!I494+'ศรีสะเกษ'!I494+'สกลนคร'!I494+'สุรินทร์'!I494+'หนองคาย'!I494+'หนองบัวลำภู'!I494+'อำนาจเจริญ'!I494+'อุดรธานี'!I494+'อุบลราชธานี'!I494</f>
        <v>0</v>
      </c>
      <c r="J494" s="469">
        <f>'กาฬสินธุ์'!J494+'ขอนแก่น'!J494+'ชัยภูมิ'!J494+'นครพนม'!J494+'นครราชสีมา'!J494+'บึงกาฬ'!J494+'บุรีรัมย์'!J494+'มหาสารคาม'!J494+'มุกดาหาร'!J494+'ยโสธร'!J494+'ร้อยเอ็ด'!J494+'เลย'!J494+'ศรีสะเกษ'!J494+'สกลนคร'!J494+'สุรินทร์'!J494+'หนองคาย'!J494+'หนองบัวลำภู'!J494+'อำนาจเจริญ'!J494+'อุดรธานี'!J494+'อุบลราชธานี'!J494</f>
        <v>0</v>
      </c>
      <c r="K494" s="321">
        <f t="shared" si="85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'กาฬสินธุ์'!I495+'ขอนแก่น'!I495+'ชัยภูมิ'!I495+'นครพนม'!I495+'นครราชสีมา'!I495+'บึงกาฬ'!I495+'บุรีรัมย์'!I495+'มหาสารคาม'!I495+'มุกดาหาร'!I495+'ยโสธร'!I495+'ร้อยเอ็ด'!I495+'เลย'!I495+'ศรีสะเกษ'!I495+'สกลนคร'!I495+'สุรินทร์'!I495+'หนองคาย'!I495+'หนองบัวลำภู'!I495+'อำนาจเจริญ'!I495+'อุดรธานี'!I495+'อุบลราชธานี'!I495</f>
        <v>0</v>
      </c>
      <c r="J495" s="469">
        <f>'กาฬสินธุ์'!J495+'ขอนแก่น'!J495+'ชัยภูมิ'!J495+'นครพนม'!J495+'นครราชสีมา'!J495+'บึงกาฬ'!J495+'บุรีรัมย์'!J495+'มหาสารคาม'!J495+'มุกดาหาร'!J495+'ยโสธร'!J495+'ร้อยเอ็ด'!J495+'เลย'!J495+'ศรีสะเกษ'!J495+'สกลนคร'!J495+'สุรินทร์'!J495+'หนองคาย'!J495+'หนองบัวลำภู'!J495+'อำนาจเจริญ'!J495+'อุดรธานี'!J495+'อุบลราชธานี'!J495</f>
        <v>0</v>
      </c>
      <c r="K495" s="196">
        <f t="shared" si="85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'กาฬสินธุ์'!I496+'ขอนแก่น'!I496+'ชัยภูมิ'!I496+'นครพนม'!I496+'นครราชสีมา'!I496+'บึงกาฬ'!I496+'บุรีรัมย์'!I496+'มหาสารคาม'!I496+'มุกดาหาร'!I496+'ยโสธร'!I496+'ร้อยเอ็ด'!I496+'เลย'!I496+'ศรีสะเกษ'!I496+'สกลนคร'!I496+'สุรินทร์'!I496+'หนองคาย'!I496+'หนองบัวลำภู'!I496+'อำนาจเจริญ'!I496+'อุดรธานี'!I496+'อุบลราชธานี'!I496</f>
        <v>0</v>
      </c>
      <c r="J496" s="469">
        <f>'กาฬสินธุ์'!J496+'ขอนแก่น'!J496+'ชัยภูมิ'!J496+'นครพนม'!J496+'นครราชสีมา'!J496+'บึงกาฬ'!J496+'บุรีรัมย์'!J496+'มหาสารคาม'!J496+'มุกดาหาร'!J496+'ยโสธร'!J496+'ร้อยเอ็ด'!J496+'เลย'!J496+'ศรีสะเกษ'!J496+'สกลนคร'!J496+'สุรินทร์'!J496+'หนองคาย'!J496+'หนองบัวลำภู'!J496+'อำนาจเจริญ'!J496+'อุดรธานี'!J496+'อุบลราชธานี'!J496</f>
        <v>0</v>
      </c>
      <c r="K496" s="321">
        <f t="shared" si="85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'กาฬสินธุ์'!I497+'ขอนแก่น'!I497+'ชัยภูมิ'!I497+'นครพนม'!I497+'นครราชสีมา'!I497+'บึงกาฬ'!I497+'บุรีรัมย์'!I497+'มหาสารคาม'!I497+'มุกดาหาร'!I497+'ยโสธร'!I497+'ร้อยเอ็ด'!I497+'เลย'!I497+'ศรีสะเกษ'!I497+'สกลนคร'!I497+'สุรินทร์'!I497+'หนองคาย'!I497+'หนองบัวลำภู'!I497+'อำนาจเจริญ'!I497+'อุดรธานี'!I497+'อุบลราชธานี'!I497</f>
        <v>88137</v>
      </c>
      <c r="J497" s="476">
        <f>'กาฬสินธุ์'!J497+'ขอนแก่น'!J497+'ชัยภูมิ'!J497+'นครพนม'!J497+'นครราชสีมา'!J497+'บึงกาฬ'!J497+'บุรีรัมย์'!J497+'มหาสารคาม'!J497+'มุกดาหาร'!J497+'ยโสธร'!J497+'ร้อยเอ็ด'!J497+'เลย'!J497+'ศรีสะเกษ'!J497+'สกลนคร'!J497+'สุรินทร์'!J497+'หนองคาย'!J497+'หนองบัวลำภู'!J497+'อำนาจเจริญ'!J497+'อุดรธานี'!J497+'อุบลราชธานี'!J497</f>
        <v>1661</v>
      </c>
      <c r="K497" s="477">
        <f t="shared" si="85"/>
        <v>1.884566073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'กาฬสินธุ์'!I498+'ขอนแก่น'!I498+'ชัยภูมิ'!I498+'นครพนม'!I498+'นครราชสีมา'!I498+'บึงกาฬ'!I498+'บุรีรัมย์'!I498+'มหาสารคาม'!I498+'มุกดาหาร'!I498+'ยโสธร'!I498+'ร้อยเอ็ด'!I498+'เลย'!I498+'ศรีสะเกษ'!I498+'สกลนคร'!I498+'สุรินทร์'!I498+'หนองคาย'!I498+'หนองบัวลำภู'!I498+'อำนาจเจริญ'!I498+'อุดรธานี'!I498+'อุบลราชธานี'!I498</f>
        <v>88137</v>
      </c>
      <c r="J498" s="453">
        <f>'กาฬสินธุ์'!J498+'ขอนแก่น'!J498+'ชัยภูมิ'!J498+'นครพนม'!J498+'นครราชสีมา'!J498+'บึงกาฬ'!J498+'บุรีรัมย์'!J498+'มหาสารคาม'!J498+'มุกดาหาร'!J498+'ยโสธร'!J498+'ร้อยเอ็ด'!J498+'เลย'!J498+'ศรีสะเกษ'!J498+'สกลนคร'!J498+'สุรินทร์'!J498+'หนองคาย'!J498+'หนองบัวลำภู'!J498+'อำนาจเจริญ'!J498+'อุดรธานี'!J498+'อุบลราชธานี'!J498</f>
        <v>1661</v>
      </c>
      <c r="K498" s="196">
        <f t="shared" si="85"/>
        <v>1.884566073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'กาฬสินธุ์'!I499+'ขอนแก่น'!I499+'ชัยภูมิ'!I499+'นครพนม'!I499+'นครราชสีมา'!I499+'บึงกาฬ'!I499+'บุรีรัมย์'!I499+'มหาสารคาม'!I499+'มุกดาหาร'!I499+'ยโสธร'!I499+'ร้อยเอ็ด'!I499+'เลย'!I499+'ศรีสะเกษ'!I499+'สกลนคร'!I499+'สุรินทร์'!I499+'หนองคาย'!I499+'หนองบัวลำภู'!I499+'อำนาจเจริญ'!I499+'อุดรธานี'!I499+'อุบลราชธานี'!I499</f>
        <v>9379</v>
      </c>
      <c r="J499" s="453">
        <f>'กาฬสินธุ์'!J499+'ขอนแก่น'!J499+'ชัยภูมิ'!J499+'นครพนม'!J499+'นครราชสีมา'!J499+'บึงกาฬ'!J499+'บุรีรัมย์'!J499+'มหาสารคาม'!J499+'มุกดาหาร'!J499+'ยโสธร'!J499+'ร้อยเอ็ด'!J499+'เลย'!J499+'ศรีสะเกษ'!J499+'สกลนคร'!J499+'สุรินทร์'!J499+'หนองคาย'!J499+'หนองบัวลำภู'!J499+'อำนาจเจริญ'!J499+'อุดรธานี'!J499+'อุบลราชธานี'!J499</f>
        <v>247</v>
      </c>
      <c r="K499" s="236">
        <f t="shared" si="85"/>
        <v>2.633543022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'กาฬสินธุ์'!I500+'ขอนแก่น'!I500+'ชัยภูมิ'!I500+'นครพนม'!I500+'นครราชสีมา'!I500+'บึงกาฬ'!I500+'บุรีรัมย์'!I500+'มหาสารคาม'!I500+'มุกดาหาร'!I500+'ยโสธร'!I500+'ร้อยเอ็ด'!I500+'เลย'!I500+'ศรีสะเกษ'!I500+'สกลนคร'!I500+'สุรินทร์'!I500+'หนองคาย'!I500+'หนองบัวลำภู'!I500+'อำนาจเจริญ'!I500+'อุดรธานี'!I500+'อุบลราชธานี'!I500</f>
        <v>0</v>
      </c>
      <c r="J500" s="195">
        <f>'กาฬสินธุ์'!J500+'ขอนแก่น'!J500+'ชัยภูมิ'!J500+'นครพนม'!J500+'นครราชสีมา'!J500+'บึงกาฬ'!J500+'บุรีรัมย์'!J500+'มหาสารคาม'!J500+'มุกดาหาร'!J500+'ยโสธร'!J500+'ร้อยเอ็ด'!J500+'เลย'!J500+'ศรีสะเกษ'!J500+'สกลนคร'!J500+'สุรินทร์'!J500+'หนองคาย'!J500+'หนองบัวลำภู'!J500+'อำนาจเจริญ'!J500+'อุดรธานี'!J500+'อุบลราชธานี'!J500</f>
        <v>1627</v>
      </c>
      <c r="K500" s="196">
        <f t="shared" si="85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'กาฬสินธุ์'!I501+'ขอนแก่น'!I501+'ชัยภูมิ'!I501+'นครพนม'!I501+'นครราชสีมา'!I501+'บึงกาฬ'!I501+'บุรีรัมย์'!I501+'มหาสารคาม'!I501+'มุกดาหาร'!I501+'ยโสธร'!I501+'ร้อยเอ็ด'!I501+'เลย'!I501+'ศรีสะเกษ'!I501+'สกลนคร'!I501+'สุรินทร์'!I501+'หนองคาย'!I501+'หนองบัวลำภู'!I501+'อำนาจเจริญ'!I501+'อุดรธานี'!I501+'อุบลราชธานี'!I501</f>
        <v>0</v>
      </c>
      <c r="J501" s="195">
        <f>'กาฬสินธุ์'!J501+'ขอนแก่น'!J501+'ชัยภูมิ'!J501+'นครพนม'!J501+'นครราชสีมา'!J501+'บึงกาฬ'!J501+'บุรีรัมย์'!J501+'มหาสารคาม'!J501+'มุกดาหาร'!J501+'ยโสธร'!J501+'ร้อยเอ็ด'!J501+'เลย'!J501+'ศรีสะเกษ'!J501+'สกลนคร'!J501+'สุรินทร์'!J501+'หนองคาย'!J501+'หนองบัวลำภู'!J501+'อำนาจเจริญ'!J501+'อุดรธานี'!J501+'อุบลราชธานี'!J501</f>
        <v>235</v>
      </c>
      <c r="K501" s="196">
        <f t="shared" si="85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'กาฬสินธุ์'!I502+'ขอนแก่น'!I502+'ชัยภูมิ'!I502+'นครพนม'!I502+'นครราชสีมา'!I502+'บึงกาฬ'!I502+'บุรีรัมย์'!I502+'มหาสารคาม'!I502+'มุกดาหาร'!I502+'ยโสธร'!I502+'ร้อยเอ็ด'!I502+'เลย'!I502+'ศรีสะเกษ'!I502+'สกลนคร'!I502+'สุรินทร์'!I502+'หนองคาย'!I502+'หนองบัวลำภู'!I502+'อำนาจเจริญ'!I502+'อุดรธานี'!I502+'อุบลราชธานี'!I502</f>
        <v>0</v>
      </c>
      <c r="J502" s="223">
        <f>'กาฬสินธุ์'!J502+'ขอนแก่น'!J502+'ชัยภูมิ'!J502+'นครพนม'!J502+'นครราชสีมา'!J502+'บึงกาฬ'!J502+'บุรีรัมย์'!J502+'มหาสารคาม'!J502+'มุกดาหาร'!J502+'ยโสธร'!J502+'ร้อยเอ็ด'!J502+'เลย'!J502+'ศรีสะเกษ'!J502+'สกลนคร'!J502+'สุรินทร์'!J502+'หนองคาย'!J502+'หนองบัวลำภู'!J502+'อำนาจเจริญ'!J502+'อุดรธานี'!J502+'อุบลราชธานี'!J502</f>
        <v>1491</v>
      </c>
      <c r="K502" s="196">
        <f t="shared" si="85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'กาฬสินธุ์'!I503+'ขอนแก่น'!I503+'ชัยภูมิ'!I503+'นครพนม'!I503+'นครราชสีมา'!I503+'บึงกาฬ'!I503+'บุรีรัมย์'!I503+'มหาสารคาม'!I503+'มุกดาหาร'!I503+'ยโสธร'!I503+'ร้อยเอ็ด'!I503+'เลย'!I503+'ศรีสะเกษ'!I503+'สกลนคร'!I503+'สุรินทร์'!I503+'หนองคาย'!I503+'หนองบัวลำภู'!I503+'อำนาจเจริญ'!I503+'อุดรธานี'!I503+'อุบลราชธานี'!I503</f>
        <v>0</v>
      </c>
      <c r="J503" s="232">
        <f>'กาฬสินธุ์'!J503+'ขอนแก่น'!J503+'ชัยภูมิ'!J503+'นครพนม'!J503+'นครราชสีมา'!J503+'บึงกาฬ'!J503+'บุรีรัมย์'!J503+'มหาสารคาม'!J503+'มุกดาหาร'!J503+'ยโสธร'!J503+'ร้อยเอ็ด'!J503+'เลย'!J503+'ศรีสะเกษ'!J503+'สกลนคร'!J503+'สุรินทร์'!J503+'หนองคาย'!J503+'หนองบัวลำภู'!J503+'อำนาจเจริญ'!J503+'อุดรธานี'!J503+'อุบลราชธานี'!J503</f>
        <v>196</v>
      </c>
      <c r="K503" s="196">
        <f t="shared" si="85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'กาฬสินธุ์'!I504+'ขอนแก่น'!I504+'ชัยภูมิ'!I504+'นครพนม'!I504+'นครราชสีมา'!I504+'บึงกาฬ'!I504+'บุรีรัมย์'!I504+'มหาสารคาม'!I504+'มุกดาหาร'!I504+'ยโสธร'!I504+'ร้อยเอ็ด'!I504+'เลย'!I504+'ศรีสะเกษ'!I504+'สกลนคร'!I504+'สุรินทร์'!I504+'หนองคาย'!I504+'หนองบัวลำภู'!I504+'อำนาจเจริญ'!I504+'อุดรธานี'!I504+'อุบลราชธานี'!I504</f>
        <v>0</v>
      </c>
      <c r="J504" s="223">
        <f>'กาฬสินธุ์'!J504+'ขอนแก่น'!J504+'ชัยภูมิ'!J504+'นครพนม'!J504+'นครราชสีมา'!J504+'บึงกาฬ'!J504+'บุรีรัมย์'!J504+'มหาสารคาม'!J504+'มุกดาหาร'!J504+'ยโสธร'!J504+'ร้อยเอ็ด'!J504+'เลย'!J504+'ศรีสะเกษ'!J504+'สกลนคร'!J504+'สุรินทร์'!J504+'หนองคาย'!J504+'หนองบัวลำภู'!J504+'อำนาจเจริญ'!J504+'อุดรธานี'!J504+'อุบลราชธานี'!J504</f>
        <v>136</v>
      </c>
      <c r="K504" s="196">
        <f t="shared" si="85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'กาฬสินธุ์'!I505+'ขอนแก่น'!I505+'ชัยภูมิ'!I505+'นครพนม'!I505+'นครราชสีมา'!I505+'บึงกาฬ'!I505+'บุรีรัมย์'!I505+'มหาสารคาม'!I505+'มุกดาหาร'!I505+'ยโสธร'!I505+'ร้อยเอ็ด'!I505+'เลย'!I505+'ศรีสะเกษ'!I505+'สกลนคร'!I505+'สุรินทร์'!I505+'หนองคาย'!I505+'หนองบัวลำภู'!I505+'อำนาจเจริญ'!I505+'อุดรธานี'!I505+'อุบลราชธานี'!I505</f>
        <v>0</v>
      </c>
      <c r="J505" s="232">
        <f>'กาฬสินธุ์'!J505+'ขอนแก่น'!J505+'ชัยภูมิ'!J505+'นครพนม'!J505+'นครราชสีมา'!J505+'บึงกาฬ'!J505+'บุรีรัมย์'!J505+'มหาสารคาม'!J505+'มุกดาหาร'!J505+'ยโสธร'!J505+'ร้อยเอ็ด'!J505+'เลย'!J505+'ศรีสะเกษ'!J505+'สกลนคร'!J505+'สุรินทร์'!J505+'หนองคาย'!J505+'หนองบัวลำภู'!J505+'อำนาจเจริญ'!J505+'อุดรธานี'!J505+'อุบลราชธานี'!J505</f>
        <v>39</v>
      </c>
      <c r="K505" s="196">
        <f t="shared" si="85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'กาฬสินธุ์'!I506+'ขอนแก่น'!I506+'ชัยภูมิ'!I506+'นครพนม'!I506+'นครราชสีมา'!I506+'บึงกาฬ'!I506+'บุรีรัมย์'!I506+'มหาสารคาม'!I506+'มุกดาหาร'!I506+'ยโสธร'!I506+'ร้อยเอ็ด'!I506+'เลย'!I506+'ศรีสะเกษ'!I506+'สกลนคร'!I506+'สุรินทร์'!I506+'หนองคาย'!I506+'หนองบัวลำภู'!I506+'อำนาจเจริญ'!I506+'อุดรธานี'!I506+'อุบลราชธานี'!I506</f>
        <v>0</v>
      </c>
      <c r="J506" s="223">
        <f>'กาฬสินธุ์'!J506+'ขอนแก่น'!J506+'ชัยภูมิ'!J506+'นครพนม'!J506+'นครราชสีมา'!J506+'บึงกาฬ'!J506+'บุรีรัมย์'!J506+'มหาสารคาม'!J506+'มุกดาหาร'!J506+'ยโสธร'!J506+'ร้อยเอ็ด'!J506+'เลย'!J506+'ศรีสะเกษ'!J506+'สกลนคร'!J506+'สุรินทร์'!J506+'หนองคาย'!J506+'หนองบัวลำภู'!J506+'อำนาจเจริญ'!J506+'อุดรธานี'!J506+'อุบลราชธานี'!J506</f>
        <v>0</v>
      </c>
      <c r="K506" s="196">
        <f t="shared" si="85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'กาฬสินธุ์'!I507+'ขอนแก่น'!I507+'ชัยภูมิ'!I507+'นครพนม'!I507+'นครราชสีมา'!I507+'บึงกาฬ'!I507+'บุรีรัมย์'!I507+'มหาสารคาม'!I507+'มุกดาหาร'!I507+'ยโสธร'!I507+'ร้อยเอ็ด'!I507+'เลย'!I507+'ศรีสะเกษ'!I507+'สกลนคร'!I507+'สุรินทร์'!I507+'หนองคาย'!I507+'หนองบัวลำภู'!I507+'อำนาจเจริญ'!I507+'อุดรธานี'!I507+'อุบลราชธานี'!I507</f>
        <v>0</v>
      </c>
      <c r="J507" s="232">
        <f>'กาฬสินธุ์'!J507+'ขอนแก่น'!J507+'ชัยภูมิ'!J507+'นครพนม'!J507+'นครราชสีมา'!J507+'บึงกาฬ'!J507+'บุรีรัมย์'!J507+'มหาสารคาม'!J507+'มุกดาหาร'!J507+'ยโสธร'!J507+'ร้อยเอ็ด'!J507+'เลย'!J507+'ศรีสะเกษ'!J507+'สกลนคร'!J507+'สุรินทร์'!J507+'หนองคาย'!J507+'หนองบัวลำภู'!J507+'อำนาจเจริญ'!J507+'อุดรธานี'!J507+'อุบลราชธานี'!J507</f>
        <v>0</v>
      </c>
      <c r="K507" s="196">
        <f t="shared" si="85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'กาฬสินธุ์'!I508+'ขอนแก่น'!I508+'ชัยภูมิ'!I508+'นครพนม'!I508+'นครราชสีมา'!I508+'บึงกาฬ'!I508+'บุรีรัมย์'!I508+'มหาสารคาม'!I508+'มุกดาหาร'!I508+'ยโสธร'!I508+'ร้อยเอ็ด'!I508+'เลย'!I508+'ศรีสะเกษ'!I508+'สกลนคร'!I508+'สุรินทร์'!I508+'หนองคาย'!I508+'หนองบัวลำภู'!I508+'อำนาจเจริญ'!I508+'อุดรธานี'!I508+'อุบลราชธานี'!I508</f>
        <v>0</v>
      </c>
      <c r="J508" s="195">
        <f>'กาฬสินธุ์'!J508+'ขอนแก่น'!J508+'ชัยภูมิ'!J508+'นครพนม'!J508+'นครราชสีมา'!J508+'บึงกาฬ'!J508+'บุรีรัมย์'!J508+'มหาสารคาม'!J508+'มุกดาหาร'!J508+'ยโสธร'!J508+'ร้อยเอ็ด'!J508+'เลย'!J508+'ศรีสะเกษ'!J508+'สกลนคร'!J508+'สุรินทร์'!J508+'หนองคาย'!J508+'หนองบัวลำภู'!J508+'อำนาจเจริญ'!J508+'อุดรธานี'!J508+'อุบลราชธานี'!J508</f>
        <v>34</v>
      </c>
      <c r="K508" s="196">
        <f t="shared" si="85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'กาฬสินธุ์'!I509+'ขอนแก่น'!I509+'ชัยภูมิ'!I509+'นครพนม'!I509+'นครราชสีมา'!I509+'บึงกาฬ'!I509+'บุรีรัมย์'!I509+'มหาสารคาม'!I509+'มุกดาหาร'!I509+'ยโสธร'!I509+'ร้อยเอ็ด'!I509+'เลย'!I509+'ศรีสะเกษ'!I509+'สกลนคร'!I509+'สุรินทร์'!I509+'หนองคาย'!I509+'หนองบัวลำภู'!I509+'อำนาจเจริญ'!I509+'อุดรธานี'!I509+'อุบลราชธานี'!I509</f>
        <v>0</v>
      </c>
      <c r="J509" s="195">
        <f>'กาฬสินธุ์'!J509+'ขอนแก่น'!J509+'ชัยภูมิ'!J509+'นครพนม'!J509+'นครราชสีมา'!J509+'บึงกาฬ'!J509+'บุรีรัมย์'!J509+'มหาสารคาม'!J509+'มุกดาหาร'!J509+'ยโสธร'!J509+'ร้อยเอ็ด'!J509+'เลย'!J509+'ศรีสะเกษ'!J509+'สกลนคร'!J509+'สุรินทร์'!J509+'หนองคาย'!J509+'หนองบัวลำภู'!J509+'อำนาจเจริญ'!J509+'อุดรธานี'!J509+'อุบลราชธานี'!J509</f>
        <v>12</v>
      </c>
      <c r="K509" s="196">
        <f t="shared" si="85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'กาฬสินธุ์'!I510+'ขอนแก่น'!I510+'ชัยภูมิ'!I510+'นครพนม'!I510+'นครราชสีมา'!I510+'บึงกาฬ'!I510+'บุรีรัมย์'!I510+'มหาสารคาม'!I510+'มุกดาหาร'!I510+'ยโสธร'!I510+'ร้อยเอ็ด'!I510+'เลย'!I510+'ศรีสะเกษ'!I510+'สกลนคร'!I510+'สุรินทร์'!I510+'หนองคาย'!I510+'หนองบัวลำภู'!I510+'อำนาจเจริญ'!I510+'อุดรธานี'!I510+'อุบลราชธานี'!I510</f>
        <v>0</v>
      </c>
      <c r="J510" s="232">
        <f>'กาฬสินธุ์'!J510+'ขอนแก่น'!J510+'ชัยภูมิ'!J510+'นครพนม'!J510+'นครราชสีมา'!J510+'บึงกาฬ'!J510+'บุรีรัมย์'!J510+'มหาสารคาม'!J510+'มุกดาหาร'!J510+'ยโสธร'!J510+'ร้อยเอ็ด'!J510+'เลย'!J510+'ศรีสะเกษ'!J510+'สกลนคร'!J510+'สุรินทร์'!J510+'หนองคาย'!J510+'หนองบัวลำภู'!J510+'อำนาจเจริญ'!J510+'อุดรธานี'!J510+'อุบลราชธานี'!J510</f>
        <v>0</v>
      </c>
      <c r="K510" s="196">
        <f t="shared" si="85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'กาฬสินธุ์'!I511+'ขอนแก่น'!I511+'ชัยภูมิ'!I511+'นครพนม'!I511+'นครราชสีมา'!I511+'บึงกาฬ'!I511+'บุรีรัมย์'!I511+'มหาสารคาม'!I511+'มุกดาหาร'!I511+'ยโสธร'!I511+'ร้อยเอ็ด'!I511+'เลย'!I511+'ศรีสะเกษ'!I511+'สกลนคร'!I511+'สุรินทร์'!I511+'หนองคาย'!I511+'หนองบัวลำภู'!I511+'อำนาจเจริญ'!I511+'อุดรธานี'!I511+'อุบลราชธานี'!I511</f>
        <v>0</v>
      </c>
      <c r="J511" s="232">
        <f>'กาฬสินธุ์'!J511+'ขอนแก่น'!J511+'ชัยภูมิ'!J511+'นครพนม'!J511+'นครราชสีมา'!J511+'บึงกาฬ'!J511+'บุรีรัมย์'!J511+'มหาสารคาม'!J511+'มุกดาหาร'!J511+'ยโสธร'!J511+'ร้อยเอ็ด'!J511+'เลย'!J511+'ศรีสะเกษ'!J511+'สกลนคร'!J511+'สุรินทร์'!J511+'หนองคาย'!J511+'หนองบัวลำภู'!J511+'อำนาจเจริญ'!J511+'อุดรธานี'!J511+'อุบลราชธานี'!J511</f>
        <v>12</v>
      </c>
      <c r="K511" s="196">
        <f t="shared" si="85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'กาฬสินธุ์'!I512+'ขอนแก่น'!I512+'ชัยภูมิ'!I512+'นครพนม'!I512+'นครราชสีมา'!I512+'บึงกาฬ'!I512+'บุรีรัมย์'!I512+'มหาสารคาม'!I512+'มุกดาหาร'!I512+'ยโสธร'!I512+'ร้อยเอ็ด'!I512+'เลย'!I512+'ศรีสะเกษ'!I512+'สกลนคร'!I512+'สุรินทร์'!I512+'หนองคาย'!I512+'หนองบัวลำภู'!I512+'อำนาจเจริญ'!I512+'อุดรธานี'!I512+'อุบลราชธานี'!I512</f>
        <v>0</v>
      </c>
      <c r="J512" s="232">
        <f>'กาฬสินธุ์'!J512+'ขอนแก่น'!J512+'ชัยภูมิ'!J512+'นครพนม'!J512+'นครราชสีมา'!J512+'บึงกาฬ'!J512+'บุรีรัมย์'!J512+'มหาสารคาม'!J512+'มุกดาหาร'!J512+'ยโสธร'!J512+'ร้อยเอ็ด'!J512+'เลย'!J512+'ศรีสะเกษ'!J512+'สกลนคร'!J512+'สุรินทร์'!J512+'หนองคาย'!J512+'หนองบัวลำภู'!J512+'อำนาจเจริญ'!J512+'อุดรธานี'!J512+'อุบลราชธานี'!J512</f>
        <v>34</v>
      </c>
      <c r="K512" s="196">
        <f t="shared" si="85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'กาฬสินธุ์'!I513+'ขอนแก่น'!I513+'ชัยภูมิ'!I513+'นครพนม'!I513+'นครราชสีมา'!I513+'บึงกาฬ'!I513+'บุรีรัมย์'!I513+'มหาสารคาม'!I513+'มุกดาหาร'!I513+'ยโสธร'!I513+'ร้อยเอ็ด'!I513+'เลย'!I513+'ศรีสะเกษ'!I513+'สกลนคร'!I513+'สุรินทร์'!I513+'หนองคาย'!I513+'หนองบัวลำภู'!I513+'อำนาจเจริญ'!I513+'อุดรธานี'!I513+'อุบลราชธานี'!I513</f>
        <v>0</v>
      </c>
      <c r="J513" s="232">
        <f>'กาฬสินธุ์'!J513+'ขอนแก่น'!J513+'ชัยภูมิ'!J513+'นครพนม'!J513+'นครราชสีมา'!J513+'บึงกาฬ'!J513+'บุรีรัมย์'!J513+'มหาสารคาม'!J513+'มุกดาหาร'!J513+'ยโสธร'!J513+'ร้อยเอ็ด'!J513+'เลย'!J513+'ศรีสะเกษ'!J513+'สกลนคร'!J513+'สุรินทร์'!J513+'หนองคาย'!J513+'หนองบัวลำภู'!J513+'อำนาจเจริญ'!J513+'อุดรธานี'!J513+'อุบลราชธานี'!J513</f>
        <v>0</v>
      </c>
      <c r="K513" s="196">
        <f t="shared" si="85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'กาฬสินธุ์'!I514+'ขอนแก่น'!I514+'ชัยภูมิ'!I514+'นครพนม'!I514+'นครราชสีมา'!I514+'บึงกาฬ'!I514+'บุรีรัมย์'!I514+'มหาสารคาม'!I514+'มุกดาหาร'!I514+'ยโสธร'!I514+'ร้อยเอ็ด'!I514+'เลย'!I514+'ศรีสะเกษ'!I514+'สกลนคร'!I514+'สุรินทร์'!I514+'หนองคาย'!I514+'หนองบัวลำภู'!I514+'อำนาจเจริญ'!I514+'อุดรธานี'!I514+'อุบลราชธานี'!I514</f>
        <v>0</v>
      </c>
      <c r="J514" s="232">
        <f>'กาฬสินธุ์'!J514+'ขอนแก่น'!J514+'ชัยภูมิ'!J514+'นครพนม'!J514+'นครราชสีมา'!J514+'บึงกาฬ'!J514+'บุรีรัมย์'!J514+'มหาสารคาม'!J514+'มุกดาหาร'!J514+'ยโสธร'!J514+'ร้อยเอ็ด'!J514+'เลย'!J514+'ศรีสะเกษ'!J514+'สกลนคร'!J514+'สุรินทร์'!J514+'หนองคาย'!J514+'หนองบัวลำภู'!J514+'อำนาจเจริญ'!J514+'อุดรธานี'!J514+'อุบลราชธานี'!J514</f>
        <v>0</v>
      </c>
      <c r="K514" s="196">
        <f t="shared" si="85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'กาฬสินธุ์'!I515+'ขอนแก่น'!I515+'ชัยภูมิ'!I515+'นครพนม'!I515+'นครราชสีมา'!I515+'บึงกาฬ'!I515+'บุรีรัมย์'!I515+'มหาสารคาม'!I515+'มุกดาหาร'!I515+'ยโสธร'!I515+'ร้อยเอ็ด'!I515+'เลย'!I515+'ศรีสะเกษ'!I515+'สกลนคร'!I515+'สุรินทร์'!I515+'หนองคาย'!I515+'หนองบัวลำภู'!I515+'อำนาจเจริญ'!I515+'อุดรธานี'!I515+'อุบลราชธานี'!I515</f>
        <v>0</v>
      </c>
      <c r="J515" s="232">
        <f>'กาฬสินธุ์'!J515+'ขอนแก่น'!J515+'ชัยภูมิ'!J515+'นครพนม'!J515+'นครราชสีมา'!J515+'บึงกาฬ'!J515+'บุรีรัมย์'!J515+'มหาสารคาม'!J515+'มุกดาหาร'!J515+'ยโสธร'!J515+'ร้อยเอ็ด'!J515+'เลย'!J515+'ศรีสะเกษ'!J515+'สกลนคร'!J515+'สุรินทร์'!J515+'หนองคาย'!J515+'หนองบัวลำภู'!J515+'อำนาจเจริญ'!J515+'อุดรธานี'!J515+'อุบลราชธานี'!J515</f>
        <v>0</v>
      </c>
      <c r="K515" s="196">
        <f t="shared" si="85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'กาฬสินธุ์'!I516+'ขอนแก่น'!I516+'ชัยภูมิ'!I516+'นครพนม'!I516+'นครราชสีมา'!I516+'บึงกาฬ'!I516+'บุรีรัมย์'!I516+'มหาสารคาม'!I516+'มุกดาหาร'!I516+'ยโสธร'!I516+'ร้อยเอ็ด'!I516+'เลย'!I516+'ศรีสะเกษ'!I516+'สกลนคร'!I516+'สุรินทร์'!I516+'หนองคาย'!I516+'หนองบัวลำภู'!I516+'อำนาจเจริญ'!I516+'อุดรธานี'!I516+'อุบลราชธานี'!I516</f>
        <v>0</v>
      </c>
      <c r="J516" s="301">
        <f>'กาฬสินธุ์'!J516+'ขอนแก่น'!J516+'ชัยภูมิ'!J516+'นครพนม'!J516+'นครราชสีมา'!J516+'บึงกาฬ'!J516+'บุรีรัมย์'!J516+'มหาสารคาม'!J516+'มุกดาหาร'!J516+'ยโสธร'!J516+'ร้อยเอ็ด'!J516+'เลย'!J516+'ศรีสะเกษ'!J516+'สกลนคร'!J516+'สุรินทร์'!J516+'หนองคาย'!J516+'หนองบัวลำภู'!J516+'อำนาจเจริญ'!J516+'อุดรธานี'!J516+'อุบลราชธานี'!J516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'กาฬสินธุ์'!I517+'ขอนแก่น'!I517+'ชัยภูมิ'!I517+'นครพนม'!I517+'นครราชสีมา'!I517+'บึงกาฬ'!I517+'บุรีรัมย์'!I517+'มหาสารคาม'!I517+'มุกดาหาร'!I517+'ยโสธร'!I517+'ร้อยเอ็ด'!I517+'เลย'!I517+'ศรีสะเกษ'!I517+'สกลนคร'!I517+'สุรินทร์'!I517+'หนองคาย'!I517+'หนองบัวลำภู'!I517+'อำนาจเจริญ'!I517+'อุดรธานี'!I517+'อุบลราชธานี'!I517</f>
        <v>0</v>
      </c>
      <c r="J517" s="317">
        <f>'กาฬสินธุ์'!J517+'ขอนแก่น'!J517+'ชัยภูมิ'!J517+'นครพนม'!J517+'นครราชสีมา'!J517+'บึงกาฬ'!J517+'บุรีรัมย์'!J517+'มหาสารคาม'!J517+'มุกดาหาร'!J517+'ยโสธร'!J517+'ร้อยเอ็ด'!J517+'เลย'!J517+'ศรีสะเกษ'!J517+'สกลนคร'!J517+'สุรินทร์'!J517+'หนองคาย'!J517+'หนองบัวลำภู'!J517+'อำนาจเจริญ'!J517+'อุดรธานี'!J517+'อุบลราชธานี'!J517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'กาฬสินธุ์'!I518+'ขอนแก่น'!I518+'ชัยภูมิ'!I518+'นครพนม'!I518+'นครราชสีมา'!I518+'บึงกาฬ'!I518+'บุรีรัมย์'!I518+'มหาสารคาม'!I518+'มุกดาหาร'!I518+'ยโสธร'!I518+'ร้อยเอ็ด'!I518+'เลย'!I518+'ศรีสะเกษ'!I518+'สกลนคร'!I518+'สุรินทร์'!I518+'หนองคาย'!I518+'หนองบัวลำภู'!I518+'อำนาจเจริญ'!I518+'อุดรธานี'!I518+'อุบลราชธานี'!I518</f>
        <v>0</v>
      </c>
      <c r="J518" s="317">
        <f>'กาฬสินธุ์'!J518+'ขอนแก่น'!J518+'ชัยภูมิ'!J518+'นครพนม'!J518+'นครราชสีมา'!J518+'บึงกาฬ'!J518+'บุรีรัมย์'!J518+'มหาสารคาม'!J518+'มุกดาหาร'!J518+'ยโสธร'!J518+'ร้อยเอ็ด'!J518+'เลย'!J518+'ศรีสะเกษ'!J518+'สกลนคร'!J518+'สุรินทร์'!J518+'หนองคาย'!J518+'หนองบัวลำภู'!J518+'อำนาจเจริญ'!J518+'อุดรธานี'!J518+'อุบลราชธานี'!J518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'กาฬสินธุ์'!I519+'ขอนแก่น'!I519+'ชัยภูมิ'!I519+'นครพนม'!I519+'นครราชสีมา'!I519+'บึงกาฬ'!I519+'บุรีรัมย์'!I519+'มหาสารคาม'!I519+'มุกดาหาร'!I519+'ยโสธร'!I519+'ร้อยเอ็ด'!I519+'เลย'!I519+'ศรีสะเกษ'!I519+'สกลนคร'!I519+'สุรินทร์'!I519+'หนองคาย'!I519+'หนองบัวลำภู'!I519+'อำนาจเจริญ'!I519+'อุดรธานี'!I519+'อุบลราชธานี'!I519</f>
        <v>0</v>
      </c>
      <c r="J519" s="222">
        <f>'กาฬสินธุ์'!J519+'ขอนแก่น'!J519+'ชัยภูมิ'!J519+'นครพนม'!J519+'นครราชสีมา'!J519+'บึงกาฬ'!J519+'บุรีรัมย์'!J519+'มหาสารคาม'!J519+'มุกดาหาร'!J519+'ยโสธร'!J519+'ร้อยเอ็ด'!J519+'เลย'!J519+'ศรีสะเกษ'!J519+'สกลนคร'!J519+'สุรินทร์'!J519+'หนองคาย'!J519+'หนองบัวลำภู'!J519+'อำนาจเจริญ'!J519+'อุดรธานี'!J519+'อุบลราชธานี'!J519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'กาฬสินธุ์'!I520+'ขอนแก่น'!I520+'ชัยภูมิ'!I520+'นครพนม'!I520+'นครราชสีมา'!I520+'บึงกาฬ'!I520+'บุรีรัมย์'!I520+'มหาสารคาม'!I520+'มุกดาหาร'!I520+'ยโสธร'!I520+'ร้อยเอ็ด'!I520+'เลย'!I520+'ศรีสะเกษ'!I520+'สกลนคร'!I520+'สุรินทร์'!I520+'หนองคาย'!I520+'หนองบัวลำภู'!I520+'อำนาจเจริญ'!I520+'อุดรธานี'!I520+'อุบลราชธานี'!I520</f>
        <v>0</v>
      </c>
      <c r="J520" s="222">
        <f>'กาฬสินธุ์'!J520+'ขอนแก่น'!J520+'ชัยภูมิ'!J520+'นครพนม'!J520+'นครราชสีมา'!J520+'บึงกาฬ'!J520+'บุรีรัมย์'!J520+'มหาสารคาม'!J520+'มุกดาหาร'!J520+'ยโสธร'!J520+'ร้อยเอ็ด'!J520+'เลย'!J520+'ศรีสะเกษ'!J520+'สกลนคร'!J520+'สุรินทร์'!J520+'หนองคาย'!J520+'หนองบัวลำภู'!J520+'อำนาจเจริญ'!J520+'อุดรธานี'!J520+'อุบลราชธานี'!J520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'กาฬสินธุ์'!I521+'ขอนแก่น'!I521+'ชัยภูมิ'!I521+'นครพนม'!I521+'นครราชสีมา'!I521+'บึงกาฬ'!I521+'บุรีรัมย์'!I521+'มหาสารคาม'!I521+'มุกดาหาร'!I521+'ยโสธร'!I521+'ร้อยเอ็ด'!I521+'เลย'!I521+'ศรีสะเกษ'!I521+'สกลนคร'!I521+'สุรินทร์'!I521+'หนองคาย'!I521+'หนองบัวลำภู'!I521+'อำนาจเจริญ'!I521+'อุดรธานี'!I521+'อุบลราชธานี'!I521</f>
        <v>0</v>
      </c>
      <c r="J521" s="222">
        <f>'กาฬสินธุ์'!J521+'ขอนแก่น'!J521+'ชัยภูมิ'!J521+'นครพนม'!J521+'นครราชสีมา'!J521+'บึงกาฬ'!J521+'บุรีรัมย์'!J521+'มหาสารคาม'!J521+'มุกดาหาร'!J521+'ยโสธร'!J521+'ร้อยเอ็ด'!J521+'เลย'!J521+'ศรีสะเกษ'!J521+'สกลนคร'!J521+'สุรินทร์'!J521+'หนองคาย'!J521+'หนองบัวลำภู'!J521+'อำนาจเจริญ'!J521+'อุดรธานี'!J521+'อุบลราชธานี'!J521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'กาฬสินธุ์'!I522+'ขอนแก่น'!I522+'ชัยภูมิ'!I522+'นครพนม'!I522+'นครราชสีมา'!I522+'บึงกาฬ'!I522+'บุรีรัมย์'!I522+'มหาสารคาม'!I522+'มุกดาหาร'!I522+'ยโสธร'!I522+'ร้อยเอ็ด'!I522+'เลย'!I522+'ศรีสะเกษ'!I522+'สกลนคร'!I522+'สุรินทร์'!I522+'หนองคาย'!I522+'หนองบัวลำภู'!I522+'อำนาจเจริญ'!I522+'อุดรธานี'!I522+'อุบลราชธานี'!I522</f>
        <v>0</v>
      </c>
      <c r="J522" s="222">
        <f>'กาฬสินธุ์'!J522+'ขอนแก่น'!J522+'ชัยภูมิ'!J522+'นครพนม'!J522+'นครราชสีมา'!J522+'บึงกาฬ'!J522+'บุรีรัมย์'!J522+'มหาสารคาม'!J522+'มุกดาหาร'!J522+'ยโสธร'!J522+'ร้อยเอ็ด'!J522+'เลย'!J522+'ศรีสะเกษ'!J522+'สกลนคร'!J522+'สุรินทร์'!J522+'หนองคาย'!J522+'หนองบัวลำภู'!J522+'อำนาจเจริญ'!J522+'อุดรธานี'!J522+'อุบลราชธานี'!J522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'กาฬสินธุ์'!I523+'ขอนแก่น'!I523+'ชัยภูมิ'!I523+'นครพนม'!I523+'นครราชสีมา'!I523+'บึงกาฬ'!I523+'บุรีรัมย์'!I523+'มหาสารคาม'!I523+'มุกดาหาร'!I523+'ยโสธร'!I523+'ร้อยเอ็ด'!I523+'เลย'!I523+'ศรีสะเกษ'!I523+'สกลนคร'!I523+'สุรินทร์'!I523+'หนองคาย'!I523+'หนองบัวลำภู'!I523+'อำนาจเจริญ'!I523+'อุดรธานี'!I523+'อุบลราชธานี'!I523</f>
        <v>0</v>
      </c>
      <c r="J523" s="222">
        <f>'กาฬสินธุ์'!J523+'ขอนแก่น'!J523+'ชัยภูมิ'!J523+'นครพนม'!J523+'นครราชสีมา'!J523+'บึงกาฬ'!J523+'บุรีรัมย์'!J523+'มหาสารคาม'!J523+'มุกดาหาร'!J523+'ยโสธร'!J523+'ร้อยเอ็ด'!J523+'เลย'!J523+'ศรีสะเกษ'!J523+'สกลนคร'!J523+'สุรินทร์'!J523+'หนองคาย'!J523+'หนองบัวลำภู'!J523+'อำนาจเจริญ'!J523+'อุดรธานี'!J523+'อุบลราชธานี'!J523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'กาฬสินธุ์'!I524+'ขอนแก่น'!I524+'ชัยภูมิ'!I524+'นครพนม'!I524+'นครราชสีมา'!I524+'บึงกาฬ'!I524+'บุรีรัมย์'!I524+'มหาสารคาม'!I524+'มุกดาหาร'!I524+'ยโสธร'!I524+'ร้อยเอ็ด'!I524+'เลย'!I524+'ศรีสะเกษ'!I524+'สกลนคร'!I524+'สุรินทร์'!I524+'หนองคาย'!I524+'หนองบัวลำภู'!I524+'อำนาจเจริญ'!I524+'อุดรธานี'!I524+'อุบลราชธานี'!I524</f>
        <v>0</v>
      </c>
      <c r="J524" s="222">
        <f>'กาฬสินธุ์'!J524+'ขอนแก่น'!J524+'ชัยภูมิ'!J524+'นครพนม'!J524+'นครราชสีมา'!J524+'บึงกาฬ'!J524+'บุรีรัมย์'!J524+'มหาสารคาม'!J524+'มุกดาหาร'!J524+'ยโสธร'!J524+'ร้อยเอ็ด'!J524+'เลย'!J524+'ศรีสะเกษ'!J524+'สกลนคร'!J524+'สุรินทร์'!J524+'หนองคาย'!J524+'หนองบัวลำภู'!J524+'อำนาจเจริญ'!J524+'อุดรธานี'!J524+'อุบลราชธานี'!J524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'กาฬสินธุ์'!I525+'ขอนแก่น'!I525+'ชัยภูมิ'!I525+'นครพนม'!I525+'นครราชสีมา'!I525+'บึงกาฬ'!I525+'บุรีรัมย์'!I525+'มหาสารคาม'!I525+'มุกดาหาร'!I525+'ยโสธร'!I525+'ร้อยเอ็ด'!I525+'เลย'!I525+'ศรีสะเกษ'!I525+'สกลนคร'!I525+'สุรินทร์'!I525+'หนองคาย'!I525+'หนองบัวลำภู'!I525+'อำนาจเจริญ'!I525+'อุดรธานี'!I525+'อุบลราชธานี'!I525</f>
        <v>0</v>
      </c>
      <c r="J525" s="317">
        <f>'กาฬสินธุ์'!J525+'ขอนแก่น'!J525+'ชัยภูมิ'!J525+'นครพนม'!J525+'นครราชสีมา'!J525+'บึงกาฬ'!J525+'บุรีรัมย์'!J525+'มหาสารคาม'!J525+'มุกดาหาร'!J525+'ยโสธร'!J525+'ร้อยเอ็ด'!J525+'เลย'!J525+'ศรีสะเกษ'!J525+'สกลนคร'!J525+'สุรินทร์'!J525+'หนองคาย'!J525+'หนองบัวลำภู'!J525+'อำนาจเจริญ'!J525+'อุดรธานี'!J525+'อุบลราชธานี'!J525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'กาฬสินธุ์'!I526+'ขอนแก่น'!I526+'ชัยภูมิ'!I526+'นครพนม'!I526+'นครราชสีมา'!I526+'บึงกาฬ'!I526+'บุรีรัมย์'!I526+'มหาสารคาม'!I526+'มุกดาหาร'!I526+'ยโสธร'!I526+'ร้อยเอ็ด'!I526+'เลย'!I526+'ศรีสะเกษ'!I526+'สกลนคร'!I526+'สุรินทร์'!I526+'หนองคาย'!I526+'หนองบัวลำภู'!I526+'อำนาจเจริญ'!I526+'อุดรธานี'!I526+'อุบลราชธานี'!I526</f>
        <v>0</v>
      </c>
      <c r="J526" s="317">
        <f>'กาฬสินธุ์'!J526+'ขอนแก่น'!J526+'ชัยภูมิ'!J526+'นครพนม'!J526+'นครราชสีมา'!J526+'บึงกาฬ'!J526+'บุรีรัมย์'!J526+'มหาสารคาม'!J526+'มุกดาหาร'!J526+'ยโสธร'!J526+'ร้อยเอ็ด'!J526+'เลย'!J526+'ศรีสะเกษ'!J526+'สกลนคร'!J526+'สุรินทร์'!J526+'หนองคาย'!J526+'หนองบัวลำภู'!J526+'อำนาจเจริญ'!J526+'อุดรธานี'!J526+'อุบลราชธานี'!J526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'กาฬสินธุ์'!I527+'ขอนแก่น'!I527+'ชัยภูมิ'!I527+'นครพนม'!I527+'นครราชสีมา'!I527+'บึงกาฬ'!I527+'บุรีรัมย์'!I527+'มหาสารคาม'!I527+'มุกดาหาร'!I527+'ยโสธร'!I527+'ร้อยเอ็ด'!I527+'เลย'!I527+'ศรีสะเกษ'!I527+'สกลนคร'!I527+'สุรินทร์'!I527+'หนองคาย'!I527+'หนองบัวลำภู'!I527+'อำนาจเจริญ'!I527+'อุดรธานี'!I527+'อุบลราชธานี'!I527</f>
        <v>0</v>
      </c>
      <c r="J527" s="232">
        <f>'กาฬสินธุ์'!J527+'ขอนแก่น'!J527+'ชัยภูมิ'!J527+'นครพนม'!J527+'นครราชสีมา'!J527+'บึงกาฬ'!J527+'บุรีรัมย์'!J527+'มหาสารคาม'!J527+'มุกดาหาร'!J527+'ยโสธร'!J527+'ร้อยเอ็ด'!J527+'เลย'!J527+'ศรีสะเกษ'!J527+'สกลนคร'!J527+'สุรินทร์'!J527+'หนองคาย'!J527+'หนองบัวลำภู'!J527+'อำนาจเจริญ'!J527+'อุดรธานี'!J527+'อุบลราชธานี'!J527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'กาฬสินธุ์'!I528+'ขอนแก่น'!I528+'ชัยภูมิ'!I528+'นครพนม'!I528+'นครราชสีมา'!I528+'บึงกาฬ'!I528+'บุรีรัมย์'!I528+'มหาสารคาม'!I528+'มุกดาหาร'!I528+'ยโสธร'!I528+'ร้อยเอ็ด'!I528+'เลย'!I528+'ศรีสะเกษ'!I528+'สกลนคร'!I528+'สุรินทร์'!I528+'หนองคาย'!I528+'หนองบัวลำภู'!I528+'อำนาจเจริญ'!I528+'อุดรธานี'!I528+'อุบลราชธานี'!I528</f>
        <v>0</v>
      </c>
      <c r="J528" s="232">
        <f>'กาฬสินธุ์'!J528+'ขอนแก่น'!J528+'ชัยภูมิ'!J528+'นครพนม'!J528+'นครราชสีมา'!J528+'บึงกาฬ'!J528+'บุรีรัมย์'!J528+'มหาสารคาม'!J528+'มุกดาหาร'!J528+'ยโสธร'!J528+'ร้อยเอ็ด'!J528+'เลย'!J528+'ศรีสะเกษ'!J528+'สกลนคร'!J528+'สุรินทร์'!J528+'หนองคาย'!J528+'หนองบัวลำภู'!J528+'อำนาจเจริญ'!J528+'อุดรธานี'!J528+'อุบลราชธานี'!J528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'กาฬสินธุ์'!I529+'ขอนแก่น'!I529+'ชัยภูมิ'!I529+'นครพนม'!I529+'นครราชสีมา'!I529+'บึงกาฬ'!I529+'บุรีรัมย์'!I529+'มหาสารคาม'!I529+'มุกดาหาร'!I529+'ยโสธร'!I529+'ร้อยเอ็ด'!I529+'เลย'!I529+'ศรีสะเกษ'!I529+'สกลนคร'!I529+'สุรินทร์'!I529+'หนองคาย'!I529+'หนองบัวลำภู'!I529+'อำนาจเจริญ'!I529+'อุดรธานี'!I529+'อุบลราชธานี'!I529</f>
        <v>0</v>
      </c>
      <c r="J529" s="232">
        <f>'กาฬสินธุ์'!J529+'ขอนแก่น'!J529+'ชัยภูมิ'!J529+'นครพนม'!J529+'นครราชสีมา'!J529+'บึงกาฬ'!J529+'บุรีรัมย์'!J529+'มหาสารคาม'!J529+'มุกดาหาร'!J529+'ยโสธร'!J529+'ร้อยเอ็ด'!J529+'เลย'!J529+'ศรีสะเกษ'!J529+'สกลนคร'!J529+'สุรินทร์'!J529+'หนองคาย'!J529+'หนองบัวลำภู'!J529+'อำนาจเจริญ'!J529+'อุดรธานี'!J529+'อุบลราชธานี'!J529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'กาฬสินธุ์'!I530+'ขอนแก่น'!I530+'ชัยภูมิ'!I530+'นครพนม'!I530+'นครราชสีมา'!I530+'บึงกาฬ'!I530+'บุรีรัมย์'!I530+'มหาสารคาม'!I530+'มุกดาหาร'!I530+'ยโสธร'!I530+'ร้อยเอ็ด'!I530+'เลย'!I530+'ศรีสะเกษ'!I530+'สกลนคร'!I530+'สุรินทร์'!I530+'หนองคาย'!I530+'หนองบัวลำภู'!I530+'อำนาจเจริญ'!I530+'อุดรธานี'!I530+'อุบลราชธานี'!I530</f>
        <v>0</v>
      </c>
      <c r="J530" s="232">
        <f>'กาฬสินธุ์'!J530+'ขอนแก่น'!J530+'ชัยภูมิ'!J530+'นครพนม'!J530+'นครราชสีมา'!J530+'บึงกาฬ'!J530+'บุรีรัมย์'!J530+'มหาสารคาม'!J530+'มุกดาหาร'!J530+'ยโสธร'!J530+'ร้อยเอ็ด'!J530+'เลย'!J530+'ศรีสะเกษ'!J530+'สกลนคร'!J530+'สุรินทร์'!J530+'หนองคาย'!J530+'หนองบัวลำภู'!J530+'อำนาจเจริญ'!J530+'อุดรธานี'!J530+'อุบลราชธานี'!J530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'กาฬสินธุ์'!I531+'ขอนแก่น'!I531+'ชัยภูมิ'!I531+'นครพนม'!I531+'นครราชสีมา'!I531+'บึงกาฬ'!I531+'บุรีรัมย์'!I531+'มหาสารคาม'!I531+'มุกดาหาร'!I531+'ยโสธร'!I531+'ร้อยเอ็ด'!I531+'เลย'!I531+'ศรีสะเกษ'!I531+'สกลนคร'!I531+'สุรินทร์'!I531+'หนองคาย'!I531+'หนองบัวลำภู'!I531+'อำนาจเจริญ'!I531+'อุดรธานี'!I531+'อุบลราชธานี'!I531</f>
        <v>0</v>
      </c>
      <c r="J531" s="232">
        <f>'กาฬสินธุ์'!J531+'ขอนแก่น'!J531+'ชัยภูมิ'!J531+'นครพนม'!J531+'นครราชสีมา'!J531+'บึงกาฬ'!J531+'บุรีรัมย์'!J531+'มหาสารคาม'!J531+'มุกดาหาร'!J531+'ยโสธร'!J531+'ร้อยเอ็ด'!J531+'เลย'!J531+'ศรีสะเกษ'!J531+'สกลนคร'!J531+'สุรินทร์'!J531+'หนองคาย'!J531+'หนองบัวลำภู'!J531+'อำนาจเจริญ'!J531+'อุดรธานี'!J531+'อุบลราชธานี'!J531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'กาฬสินธุ์'!I532+'ขอนแก่น'!I532+'ชัยภูมิ'!I532+'นครพนม'!I532+'นครราชสีมา'!I532+'บึงกาฬ'!I532+'บุรีรัมย์'!I532+'มหาสารคาม'!I532+'มุกดาหาร'!I532+'ยโสธร'!I532+'ร้อยเอ็ด'!I532+'เลย'!I532+'ศรีสะเกษ'!I532+'สกลนคร'!I532+'สุรินทร์'!I532+'หนองคาย'!I532+'หนองบัวลำภู'!I532+'อำนาจเจริญ'!I532+'อุดรธานี'!I532+'อุบลราชธานี'!I532</f>
        <v>0</v>
      </c>
      <c r="J532" s="499">
        <f>'กาฬสินธุ์'!J532+'ขอนแก่น'!J532+'ชัยภูมิ'!J532+'นครพนม'!J532+'นครราชสีมา'!J532+'บึงกาฬ'!J532+'บุรีรัมย์'!J532+'มหาสารคาม'!J532+'มุกดาหาร'!J532+'ยโสธร'!J532+'ร้อยเอ็ด'!J532+'เลย'!J532+'ศรีสะเกษ'!J532+'สกลนคร'!J532+'สุรินทร์'!J532+'หนองคาย'!J532+'หนองบัวลำภู'!J532+'อำนาจเจริญ'!J532+'อุดรธานี'!J532+'อุบลราชธานี'!J532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'กาฬสินธุ์'!I533+'ขอนแก่น'!I533+'ชัยภูมิ'!I533+'นครพนม'!I533+'นครราชสีมา'!I533+'บึงกาฬ'!I533+'บุรีรัมย์'!I533+'มหาสารคาม'!I533+'มุกดาหาร'!I533+'ยโสธร'!I533+'ร้อยเอ็ด'!I533+'เลย'!I533+'ศรีสะเกษ'!I533+'สกลนคร'!I533+'สุรินทร์'!I533+'หนองคาย'!I533+'หนองบัวลำภู'!I533+'อำนาจเจริญ'!I533+'อุดรธานี'!I533+'อุบลราชธานี'!I533</f>
        <v>462</v>
      </c>
      <c r="J533" s="443">
        <f>'กาฬสินธุ์'!J533+'ขอนแก่น'!J533+'ชัยภูมิ'!J533+'นครพนม'!J533+'นครราชสีมา'!J533+'บึงกาฬ'!J533+'บุรีรัมย์'!J533+'มหาสารคาม'!J533+'มุกดาหาร'!J533+'ยโสธร'!J533+'ร้อยเอ็ด'!J533+'เลย'!J533+'ศรีสะเกษ'!J533+'สกลนคร'!J533+'สุรินทร์'!J533+'หนองคาย'!J533+'หนองบัวลำภู'!J533+'อำนาจเจริญ'!J533+'อุดรธานี'!J533+'อุบลราชธานี'!J533</f>
        <v>398</v>
      </c>
      <c r="K533" s="444">
        <f>IF(I533&gt;0,J533*100/I533,0)</f>
        <v>86.14718615</v>
      </c>
      <c r="L533" s="445">
        <f>'กาฬสินธุ์'!L533+'ขอนแก่น'!L533+'ชัยภูมิ'!L533+'นครพนม'!L533+'นครราชสีมา'!L533+'บึงกาฬ'!L533+'บุรีรัมย์'!L533+'มหาสารคาม'!L533+'มุกดาหาร'!L533+'ยโสธร'!L533+'ร้อยเอ็ด'!L533+'เลย'!L533+'ศรีสะเกษ'!L533+'สกลนคร'!L533+'สุรินทร์'!L533+'หนองคาย'!L533+'หนองบัวลำภู'!L533+'อำนาจเจริญ'!L533+'อุดรธานี'!L533+'อุบลราชธานี'!L533</f>
        <v>705510</v>
      </c>
      <c r="M533" s="445"/>
      <c r="N533" s="445">
        <f>'กาฬสินธุ์'!N533+'ขอนแก่น'!N533+'ชัยภูมิ'!N533+'นครพนม'!N533+'นครราชสีมา'!N533+'บึงกาฬ'!N533+'บุรีรัมย์'!N533+'มหาสารคาม'!N533+'มุกดาหาร'!N533+'ยโสธร'!N533+'ร้อยเอ็ด'!N533+'เลย'!N533+'ศรีสะเกษ'!N533+'สกลนคร'!N533+'สุรินทร์'!N533+'หนองคาย'!N533+'หนองบัวลำภู'!N533+'อำนาจเจริญ'!N533+'อุดรธานี'!N533+'อุบลราชธานี'!N533</f>
        <v>465251.2</v>
      </c>
      <c r="O533" s="445">
        <f t="shared" ref="O533:O537" si="86">+IF(L533&gt;0,N533*100/L533,0)</f>
        <v>65.94537285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'กาฬสินธุ์'!L534+'ขอนแก่น'!L534+'ชัยภูมิ'!L534+'นครพนม'!L534+'นครราชสีมา'!L534+'บึงกาฬ'!L534+'บุรีรัมย์'!L534+'มหาสารคาม'!L534+'มุกดาหาร'!L534+'ยโสธร'!L534+'ร้อยเอ็ด'!L534+'เลย'!L534+'ศรีสะเกษ'!L534+'สกลนคร'!L534+'สุรินทร์'!L534+'หนองคาย'!L534+'หนองบัวลำภู'!L534+'อำนาจเจริญ'!L534+'อุดรธานี'!L534+'อุบลราชธานี'!L534</f>
        <v>0</v>
      </c>
      <c r="M534" s="197"/>
      <c r="N534" s="203">
        <f>'กาฬสินธุ์'!N534+'ขอนแก่น'!N534+'ชัยภูมิ'!N534+'นครพนม'!N534+'นครราชสีมา'!N534+'บึงกาฬ'!N534+'บุรีรัมย์'!N534+'มหาสารคาม'!N534+'มุกดาหาร'!N534+'ยโสธร'!N534+'ร้อยเอ็ด'!N534+'เลย'!N534+'ศรีสะเกษ'!N534+'สกลนคร'!N534+'สุรินทร์'!N534+'หนองคาย'!N534+'หนองบัวลำภู'!N534+'อำนาจเจริญ'!N534+'อุดรธานี'!N534+'อุบลราชธานี'!N534</f>
        <v>0</v>
      </c>
      <c r="O534" s="203">
        <f t="shared" si="86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'กาฬสินธุ์'!L535+'ขอนแก่น'!L535+'ชัยภูมิ'!L535+'นครพนม'!L535+'นครราชสีมา'!L535+'บึงกาฬ'!L535+'บุรีรัมย์'!L535+'มหาสารคาม'!L535+'มุกดาหาร'!L535+'ยโสธร'!L535+'ร้อยเอ็ด'!L535+'เลย'!L535+'ศรีสะเกษ'!L535+'สกลนคร'!L535+'สุรินทร์'!L535+'หนองคาย'!L535+'หนองบัวลำภู'!L535+'อำนาจเจริญ'!L535+'อุดรธานี'!L535+'อุบลราชธานี'!L535</f>
        <v>705510</v>
      </c>
      <c r="M535" s="198"/>
      <c r="N535" s="203">
        <f>'กาฬสินธุ์'!N535+'ขอนแก่น'!N535+'ชัยภูมิ'!N535+'นครพนม'!N535+'นครราชสีมา'!N535+'บึงกาฬ'!N535+'บุรีรัมย์'!N535+'มหาสารคาม'!N535+'มุกดาหาร'!N535+'ยโสธร'!N535+'ร้อยเอ็ด'!N535+'เลย'!N535+'ศรีสะเกษ'!N535+'สกลนคร'!N535+'สุรินทร์'!N535+'หนองคาย'!N535+'หนองบัวลำภู'!N535+'อำนาจเจริญ'!N535+'อุดรธานี'!N535+'อุบลราชธานี'!N535</f>
        <v>465251.2</v>
      </c>
      <c r="O535" s="203">
        <f t="shared" si="86"/>
        <v>65.94537285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'กาฬสินธุ์'!L536+'ขอนแก่น'!L536+'ชัยภูมิ'!L536+'นครพนม'!L536+'นครราชสีมา'!L536+'บึงกาฬ'!L536+'บุรีรัมย์'!L536+'มหาสารคาม'!L536+'มุกดาหาร'!L536+'ยโสธร'!L536+'ร้อยเอ็ด'!L536+'เลย'!L536+'ศรีสะเกษ'!L536+'สกลนคร'!L536+'สุรินทร์'!L536+'หนองคาย'!L536+'หนองบัวลำภู'!L536+'อำนาจเจริญ'!L536+'อุดรธานี'!L536+'อุบลราชธานี'!L536</f>
        <v>0</v>
      </c>
      <c r="M536" s="203"/>
      <c r="N536" s="203">
        <f>'กาฬสินธุ์'!N536+'ขอนแก่น'!N536+'ชัยภูมิ'!N536+'นครพนม'!N536+'นครราชสีมา'!N536+'บึงกาฬ'!N536+'บุรีรัมย์'!N536+'มหาสารคาม'!N536+'มุกดาหาร'!N536+'ยโสธร'!N536+'ร้อยเอ็ด'!N536+'เลย'!N536+'ศรีสะเกษ'!N536+'สกลนคร'!N536+'สุรินทร์'!N536+'หนองคาย'!N536+'หนองบัวลำภู'!N536+'อำนาจเจริญ'!N536+'อุดรธานี'!N536+'อุบลราชธานี'!N536</f>
        <v>0</v>
      </c>
      <c r="O536" s="203">
        <f t="shared" si="86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'กาฬสินธุ์'!L537+'ขอนแก่น'!L537+'ชัยภูมิ'!L537+'นครพนม'!L537+'นครราชสีมา'!L537+'บึงกาฬ'!L537+'บุรีรัมย์'!L537+'มหาสารคาม'!L537+'มุกดาหาร'!L537+'ยโสธร'!L537+'ร้อยเอ็ด'!L537+'เลย'!L537+'ศรีสะเกษ'!L537+'สกลนคร'!L537+'สุรินทร์'!L537+'หนองคาย'!L537+'หนองบัวลำภู'!L537+'อำนาจเจริญ'!L537+'อุดรธานี'!L537+'อุบลราชธานี'!L537</f>
        <v>705510</v>
      </c>
      <c r="M537" s="203"/>
      <c r="N537" s="203">
        <f>'กาฬสินธุ์'!N537+'ขอนแก่น'!N537+'ชัยภูมิ'!N537+'นครพนม'!N537+'นครราชสีมา'!N537+'บึงกาฬ'!N537+'บุรีรัมย์'!N537+'มหาสารคาม'!N537+'มุกดาหาร'!N537+'ยโสธร'!N537+'ร้อยเอ็ด'!N537+'เลย'!N537+'ศรีสะเกษ'!N537+'สกลนคร'!N537+'สุรินทร์'!N537+'หนองคาย'!N537+'หนองบัวลำภู'!N537+'อำนาจเจริญ'!N537+'อุดรธานี'!N537+'อุบลราชธานี'!N537</f>
        <v>465251.2</v>
      </c>
      <c r="O537" s="203">
        <f t="shared" si="86"/>
        <v>65.94537285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'กาฬสินธุ์'!N538+'ขอนแก่น'!N538+'ชัยภูมิ'!N538+'นครพนม'!N538+'นครราชสีมา'!N538+'บึงกาฬ'!N538+'บุรีรัมย์'!N538+'มหาสารคาม'!N538+'มุกดาหาร'!N538+'ยโสธร'!N538+'ร้อยเอ็ด'!N538+'เลย'!N538+'ศรีสะเกษ'!N538+'สกลนคร'!N538+'สุรินทร์'!N538+'หนองคาย'!N538+'หนองบัวลำภู'!N538+'อำนาจเจริญ'!N538+'อุดรธานี'!N538+'อุบลราชธานี'!N538</f>
        <v>297269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'กาฬสินธุ์'!N539+'ขอนแก่น'!N539+'ชัยภูมิ'!N539+'นครพนม'!N539+'นครราชสีมา'!N539+'บึงกาฬ'!N539+'บุรีรัมย์'!N539+'มหาสารคาม'!N539+'มุกดาหาร'!N539+'ยโสธร'!N539+'ร้อยเอ็ด'!N539+'เลย'!N539+'ศรีสะเกษ'!N539+'สกลนคร'!N539+'สุรินทร์'!N539+'หนองคาย'!N539+'หนองบัวลำภู'!N539+'อำนาจเจริญ'!N539+'อุดรธานี'!N539+'อุบลราชธานี'!N539</f>
        <v>32902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'กาฬสินธุ์'!N540+'ขอนแก่น'!N540+'ชัยภูมิ'!N540+'นครพนม'!N540+'นครราชสีมา'!N540+'บึงกาฬ'!N540+'บุรีรัมย์'!N540+'มหาสารคาม'!N540+'มุกดาหาร'!N540+'ยโสธร'!N540+'ร้อยเอ็ด'!N540+'เลย'!N540+'ศรีสะเกษ'!N540+'สกลนคร'!N540+'สุรินทร์'!N540+'หนองคาย'!N540+'หนองบัวลำภู'!N540+'อำนาจเจริญ'!N540+'อุดรธานี'!N540+'อุบลราชธานี'!N540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'กาฬสินธุ์'!N541+'ขอนแก่น'!N541+'ชัยภูมิ'!N541+'นครพนม'!N541+'นครราชสีมา'!N541+'บึงกาฬ'!N541+'บุรีรัมย์'!N541+'มหาสารคาม'!N541+'มุกดาหาร'!N541+'ยโสธร'!N541+'ร้อยเอ็ด'!N541+'เลย'!N541+'ศรีสะเกษ'!N541+'สกลนคร'!N541+'สุรินทร์'!N541+'หนองคาย'!N541+'หนองบัวลำภู'!N541+'อำนาจเจริญ'!N541+'อุดรธานี'!N541+'อุบลราชธานี'!N541</f>
        <v>135080.2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'กาฬสินธุ์'!J543+'ขอนแก่น'!J543+'ชัยภูมิ'!J543+'นครพนม'!J543+'นครราชสีมา'!J543+'บึงกาฬ'!J543+'บุรีรัมย์'!J543+'มหาสารคาม'!J543+'มุกดาหาร'!J543+'ยโสธร'!J543+'ร้อยเอ็ด'!J543+'เลย'!J543+'ศรีสะเกษ'!J543+'สกลนคร'!J543+'สุรินทร์'!J543+'หนองคาย'!J543+'หนองบัวลำภู'!J543+'อำนาจเจริญ'!J543+'อุดรธานี'!J543+'อุบลราชธานี'!J543</f>
        <v>1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'กาฬสินธุ์'!J544+'ขอนแก่น'!J544+'ชัยภูมิ'!J544+'นครพนม'!J544+'นครราชสีมา'!J544+'บึงกาฬ'!J544+'บุรีรัมย์'!J544+'มหาสารคาม'!J544+'มุกดาหาร'!J544+'ยโสธร'!J544+'ร้อยเอ็ด'!J544+'เลย'!J544+'ศรีสะเกษ'!J544+'สกลนคร'!J544+'สุรินทร์'!J544+'หนองคาย'!J544+'หนองบัวลำภู'!J544+'อำนาจเจริญ'!J544+'อุดรธานี'!J544+'อุบลราชธานี'!J544</f>
        <v>16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'กาฬสินธุ์'!J545+'ขอนแก่น'!J545+'ชัยภูมิ'!J545+'นครพนม'!J545+'นครราชสีมา'!J545+'บึงกาฬ'!J545+'บุรีรัมย์'!J545+'มหาสารคาม'!J545+'มุกดาหาร'!J545+'ยโสธร'!J545+'ร้อยเอ็ด'!J545+'เลย'!J545+'ศรีสะเกษ'!J545+'สกลนคร'!J545+'สุรินทร์'!J545+'หนองคาย'!J545+'หนองบัวลำภู'!J545+'อำนาจเจริญ'!J545+'อุดรธานี'!J545+'อุบลราชธานี'!J545</f>
        <v>15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'กาฬสินธุ์'!J546+'ขอนแก่น'!J546+'ชัยภูมิ'!J546+'นครพนม'!J546+'นครราชสีมา'!J546+'บึงกาฬ'!J546+'บุรีรัมย์'!J546+'มหาสารคาม'!J546+'มุกดาหาร'!J546+'ยโสธร'!J546+'ร้อยเอ็ด'!J546+'เลย'!J546+'ศรีสะเกษ'!J546+'สกลนคร'!J546+'สุรินทร์'!J546+'หนองคาย'!J546+'หนองบัวลำภู'!J546+'อำนาจเจริญ'!J546+'อุดรธานี'!J546+'อุบลราชธานี'!J546</f>
        <v>14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'กาฬสินธุ์'!I547+'ขอนแก่น'!I547+'ชัยภูมิ'!I547+'นครพนม'!I547+'นครราชสีมา'!I547+'บึงกาฬ'!I547+'บุรีรัมย์'!I547+'มหาสารคาม'!I547+'มุกดาหาร'!I547+'ยโสธร'!I547+'ร้อยเอ็ด'!I547+'เลย'!I547+'ศรีสะเกษ'!I547+'สกลนคร'!I547+'สุรินทร์'!I547+'หนองคาย'!I547+'หนองบัวลำภู'!I547+'อำนาจเจริญ'!I547+'อุดรธานี'!I547+'อุบลราชธานี'!I547</f>
        <v>462</v>
      </c>
      <c r="J547" s="223">
        <f>'กาฬสินธุ์'!J547+'ขอนแก่น'!J547+'ชัยภูมิ'!J547+'นครพนม'!J547+'นครราชสีมา'!J547+'บึงกาฬ'!J547+'บุรีรัมย์'!J547+'มหาสารคาม'!J547+'มุกดาหาร'!J547+'ยโสธร'!J547+'ร้อยเอ็ด'!J547+'เลย'!J547+'ศรีสะเกษ'!J547+'สกลนคร'!J547+'สุรินทร์'!J547+'หนองคาย'!J547+'หนองบัวลำภู'!J547+'อำนาจเจริญ'!J547+'อุดรธานี'!J547+'อุบลราชธานี'!J547</f>
        <v>398</v>
      </c>
      <c r="K547" s="196">
        <f t="shared" ref="K547:K548" si="87">IF(I547&gt;0,J547*100/I547,0)</f>
        <v>86.14718615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'กาฬสินธุ์'!J548+'ขอนแก่น'!J548+'ชัยภูมิ'!J548+'นครพนม'!J548+'นครราชสีมา'!J548+'บึงกาฬ'!J548+'บุรีรัมย์'!J548+'มหาสารคาม'!J548+'มุกดาหาร'!J548+'ยโสธร'!J548+'ร้อยเอ็ด'!J548+'เลย'!J548+'ศรีสะเกษ'!J548+'สกลนคร'!J548+'สุรินทร์'!J548+'หนองคาย'!J548+'หนองบัวลำภู'!J548+'อำนาจเจริญ'!J548+'อุดรธานี'!J548+'อุบลราชธานี'!J548</f>
        <v>0</v>
      </c>
      <c r="K548" s="196">
        <f t="shared" si="87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'กาฬสินธุ์'!J549+'ขอนแก่น'!J549+'ชัยภูมิ'!J549+'นครพนม'!J549+'นครราชสีมา'!J549+'บึงกาฬ'!J549+'บุรีรัมย์'!J549+'มหาสารคาม'!J549+'มุกดาหาร'!J549+'ยโสธร'!J549+'ร้อยเอ็ด'!J549+'เลย'!J549+'ศรีสะเกษ'!J549+'สกลนคร'!J549+'สุรินทร์'!J549+'หนองคาย'!J549+'หนองบัวลำภู'!J549+'อำนาจเจริญ'!J549+'อุดรธานี'!J549+'อุบลราชธานี'!J549</f>
        <v>2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'กาฬสินธุ์'!J550+'ขอนแก่น'!J550+'ชัยภูมิ'!J550+'นครพนม'!J550+'นครราชสีมา'!J550+'บึงกาฬ'!J550+'บุรีรัมย์'!J550+'มหาสารคาม'!J550+'มุกดาหาร'!J550+'ยโสธร'!J550+'ร้อยเอ็ด'!J550+'เลย'!J550+'ศรีสะเกษ'!J550+'สกลนคร'!J550+'สุรินทร์'!J550+'หนองคาย'!J550+'หนองบัวลำภู'!J550+'อำนาจเจริญ'!J550+'อุดรธานี'!J550+'อุบลราชธานี'!J550</f>
        <v>3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'กาฬสินธุ์'!I551+'ขอนแก่น'!I551+'ชัยภูมิ'!I551+'นครพนม'!I551+'นครราชสีมา'!I551+'บึงกาฬ'!I551+'บุรีรัมย์'!I551+'มหาสารคาม'!I551+'มุกดาหาร'!I551+'ยโสธร'!I551+'ร้อยเอ็ด'!I551+'เลย'!I551+'ศรีสะเกษ'!I551+'สกลนคร'!I551+'สุรินทร์'!I551+'หนองคาย'!I551+'หนองบัวลำภู'!I551+'อำนาจเจริญ'!I551+'อุดรธานี'!I551+'อุบลราชธานี'!I551</f>
        <v>25000</v>
      </c>
      <c r="J551" s="443">
        <f>'กาฬสินธุ์'!J551+'ขอนแก่น'!J551+'ชัยภูมิ'!J551+'นครพนม'!J551+'นครราชสีมา'!J551+'บึงกาฬ'!J551+'บุรีรัมย์'!J551+'มหาสารคาม'!J551+'มุกดาหาร'!J551+'ยโสธร'!J551+'ร้อยเอ็ด'!J551+'เลย'!J551+'ศรีสะเกษ'!J551+'สกลนคร'!J551+'สุรินทร์'!J551+'หนองคาย'!J551+'หนองบัวลำภู'!J551+'อำนาจเจริญ'!J551+'อุดรธานี'!J551+'อุบลราชธานี'!J551</f>
        <v>2365</v>
      </c>
      <c r="K551" s="444">
        <f>IF(I551&gt;0,J551*100/I551,0)</f>
        <v>9.46</v>
      </c>
      <c r="L551" s="445">
        <f>'กาฬสินธุ์'!L551+'ขอนแก่น'!L551+'ชัยภูมิ'!L551+'นครพนม'!L551+'นครราชสีมา'!L551+'บึงกาฬ'!L551+'บุรีรัมย์'!L551+'มหาสารคาม'!L551+'มุกดาหาร'!L551+'ยโสธร'!L551+'ร้อยเอ็ด'!L551+'เลย'!L551+'ศรีสะเกษ'!L551+'สกลนคร'!L551+'สุรินทร์'!L551+'หนองคาย'!L551+'หนองบัวลำภู'!L551+'อำนาจเจริญ'!L551+'อุดรธานี'!L551+'อุบลราชธานี'!L551</f>
        <v>1580000</v>
      </c>
      <c r="M551" s="445"/>
      <c r="N551" s="445">
        <f>'กาฬสินธุ์'!N551+'ขอนแก่น'!N551+'ชัยภูมิ'!N551+'นครพนม'!N551+'นครราชสีมา'!N551+'บึงกาฬ'!N551+'บุรีรัมย์'!N551+'มหาสารคาม'!N551+'มุกดาหาร'!N551+'ยโสธร'!N551+'ร้อยเอ็ด'!N551+'เลย'!N551+'ศรีสะเกษ'!N551+'สกลนคร'!N551+'สุรินทร์'!N551+'หนองคาย'!N551+'หนองบัวลำภู'!N551+'อำนาจเจริญ'!N551+'อุดรธานี'!N551+'อุบลราชธานี'!N551</f>
        <v>391219.88</v>
      </c>
      <c r="O551" s="445">
        <f t="shared" ref="O551:O555" si="88">+IF(L551&gt;0,N551*100/L551,0)</f>
        <v>24.7607519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'กาฬสินธุ์'!L552+'ขอนแก่น'!L552+'ชัยภูมิ'!L552+'นครพนม'!L552+'นครราชสีมา'!L552+'บึงกาฬ'!L552+'บุรีรัมย์'!L552+'มหาสารคาม'!L552+'มุกดาหาร'!L552+'ยโสธร'!L552+'ร้อยเอ็ด'!L552+'เลย'!L552+'ศรีสะเกษ'!L552+'สกลนคร'!L552+'สุรินทร์'!L552+'หนองคาย'!L552+'หนองบัวลำภู'!L552+'อำนาจเจริญ'!L552+'อุดรธานี'!L552+'อุบลราชธานี'!L552</f>
        <v>0</v>
      </c>
      <c r="M552" s="197"/>
      <c r="N552" s="203">
        <f>'กาฬสินธุ์'!N552+'ขอนแก่น'!N552+'ชัยภูมิ'!N552+'นครพนม'!N552+'นครราชสีมา'!N552+'บึงกาฬ'!N552+'บุรีรัมย์'!N552+'มหาสารคาม'!N552+'มุกดาหาร'!N552+'ยโสธร'!N552+'ร้อยเอ็ด'!N552+'เลย'!N552+'ศรีสะเกษ'!N552+'สกลนคร'!N552+'สุรินทร์'!N552+'หนองคาย'!N552+'หนองบัวลำภู'!N552+'อำนาจเจริญ'!N552+'อุดรธานี'!N552+'อุบลราชธานี'!N552</f>
        <v>0</v>
      </c>
      <c r="O552" s="203">
        <f t="shared" si="88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'กาฬสินธุ์'!L553+'ขอนแก่น'!L553+'ชัยภูมิ'!L553+'นครพนม'!L553+'นครราชสีมา'!L553+'บึงกาฬ'!L553+'บุรีรัมย์'!L553+'มหาสารคาม'!L553+'มุกดาหาร'!L553+'ยโสธร'!L553+'ร้อยเอ็ด'!L553+'เลย'!L553+'ศรีสะเกษ'!L553+'สกลนคร'!L553+'สุรินทร์'!L553+'หนองคาย'!L553+'หนองบัวลำภู'!L553+'อำนาจเจริญ'!L553+'อุดรธานี'!L553+'อุบลราชธานี'!L553</f>
        <v>1580000</v>
      </c>
      <c r="M553" s="198"/>
      <c r="N553" s="203">
        <f>'กาฬสินธุ์'!N553+'ขอนแก่น'!N553+'ชัยภูมิ'!N553+'นครพนม'!N553+'นครราชสีมา'!N553+'บึงกาฬ'!N553+'บุรีรัมย์'!N553+'มหาสารคาม'!N553+'มุกดาหาร'!N553+'ยโสธร'!N553+'ร้อยเอ็ด'!N553+'เลย'!N553+'ศรีสะเกษ'!N553+'สกลนคร'!N553+'สุรินทร์'!N553+'หนองคาย'!N553+'หนองบัวลำภู'!N553+'อำนาจเจริญ'!N553+'อุดรธานี'!N553+'อุบลราชธานี'!N553</f>
        <v>391219.88</v>
      </c>
      <c r="O553" s="203">
        <f t="shared" si="88"/>
        <v>24.7607519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'กาฬสินธุ์'!L554+'ขอนแก่น'!L554+'ชัยภูมิ'!L554+'นครพนม'!L554+'นครราชสีมา'!L554+'บึงกาฬ'!L554+'บุรีรัมย์'!L554+'มหาสารคาม'!L554+'มุกดาหาร'!L554+'ยโสธร'!L554+'ร้อยเอ็ด'!L554+'เลย'!L554+'ศรีสะเกษ'!L554+'สกลนคร'!L554+'สุรินทร์'!L554+'หนองคาย'!L554+'หนองบัวลำภู'!L554+'อำนาจเจริญ'!L554+'อุดรธานี'!L554+'อุบลราชธานี'!L554</f>
        <v>0</v>
      </c>
      <c r="M554" s="203"/>
      <c r="N554" s="203">
        <f>'กาฬสินธุ์'!N554+'ขอนแก่น'!N554+'ชัยภูมิ'!N554+'นครพนม'!N554+'นครราชสีมา'!N554+'บึงกาฬ'!N554+'บุรีรัมย์'!N554+'มหาสารคาม'!N554+'มุกดาหาร'!N554+'ยโสธร'!N554+'ร้อยเอ็ด'!N554+'เลย'!N554+'ศรีสะเกษ'!N554+'สกลนคร'!N554+'สุรินทร์'!N554+'หนองคาย'!N554+'หนองบัวลำภู'!N554+'อำนาจเจริญ'!N554+'อุดรธานี'!N554+'อุบลราชธานี'!N554</f>
        <v>0</v>
      </c>
      <c r="O554" s="203">
        <f t="shared" si="88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'กาฬสินธุ์'!L555+'ขอนแก่น'!L555+'ชัยภูมิ'!L555+'นครพนม'!L555+'นครราชสีมา'!L555+'บึงกาฬ'!L555+'บุรีรัมย์'!L555+'มหาสารคาม'!L555+'มุกดาหาร'!L555+'ยโสธร'!L555+'ร้อยเอ็ด'!L555+'เลย'!L555+'ศรีสะเกษ'!L555+'สกลนคร'!L555+'สุรินทร์'!L555+'หนองคาย'!L555+'หนองบัวลำภู'!L555+'อำนาจเจริญ'!L555+'อุดรธานี'!L555+'อุบลราชธานี'!L555</f>
        <v>1580000</v>
      </c>
      <c r="M555" s="203"/>
      <c r="N555" s="203">
        <f>'กาฬสินธุ์'!N555+'ขอนแก่น'!N555+'ชัยภูมิ'!N555+'นครพนม'!N555+'นครราชสีมา'!N555+'บึงกาฬ'!N555+'บุรีรัมย์'!N555+'มหาสารคาม'!N555+'มุกดาหาร'!N555+'ยโสธร'!N555+'ร้อยเอ็ด'!N555+'เลย'!N555+'ศรีสะเกษ'!N555+'สกลนคร'!N555+'สุรินทร์'!N555+'หนองคาย'!N555+'หนองบัวลำภู'!N555+'อำนาจเจริญ'!N555+'อุดรธานี'!N555+'อุบลราชธานี'!N555</f>
        <v>391219.88</v>
      </c>
      <c r="O555" s="203">
        <f t="shared" si="88"/>
        <v>24.7607519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'กาฬสินธุ์'!N556+'ขอนแก่น'!N556+'ชัยภูมิ'!N556+'นครพนม'!N556+'นครราชสีมา'!N556+'บึงกาฬ'!N556+'บุรีรัมย์'!N556+'มหาสารคาม'!N556+'มุกดาหาร'!N556+'ยโสธร'!N556+'ร้อยเอ็ด'!N556+'เลย'!N556+'ศรีสะเกษ'!N556+'สกลนคร'!N556+'สุรินทร์'!N556+'หนองคาย'!N556+'หนองบัวลำภู'!N556+'อำนาจเจริญ'!N556+'อุดรธานี'!N556+'อุบลราชธานี'!N556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'กาฬสินธุ์'!N557+'ขอนแก่น'!N557+'ชัยภูมิ'!N557+'นครพนม'!N557+'นครราชสีมา'!N557+'บึงกาฬ'!N557+'บุรีรัมย์'!N557+'มหาสารคาม'!N557+'มุกดาหาร'!N557+'ยโสธร'!N557+'ร้อยเอ็ด'!N557+'เลย'!N557+'ศรีสะเกษ'!N557+'สกลนคร'!N557+'สุรินทร์'!N557+'หนองคาย'!N557+'หนองบัวลำภู'!N557+'อำนาจเจริญ'!N557+'อุดรธานี'!N557+'อุบลราชธานี'!N557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'กาฬสินธุ์'!N558+'ขอนแก่น'!N558+'ชัยภูมิ'!N558+'นครพนม'!N558+'นครราชสีมา'!N558+'บึงกาฬ'!N558+'บุรีรัมย์'!N558+'มหาสารคาม'!N558+'มุกดาหาร'!N558+'ยโสธร'!N558+'ร้อยเอ็ด'!N558+'เลย'!N558+'ศรีสะเกษ'!N558+'สกลนคร'!N558+'สุรินทร์'!N558+'หนองคาย'!N558+'หนองบัวลำภู'!N558+'อำนาจเจริญ'!N558+'อุดรธานี'!N558+'อุบลราชธานี'!N558</f>
        <v>35164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'กาฬสินธุ์'!N559+'ขอนแก่น'!N559+'ชัยภูมิ'!N559+'นครพนม'!N559+'นครราชสีมา'!N559+'บึงกาฬ'!N559+'บุรีรัมย์'!N559+'มหาสารคาม'!N559+'มุกดาหาร'!N559+'ยโสธร'!N559+'ร้อยเอ็ด'!N559+'เลย'!N559+'ศรีสะเกษ'!N559+'สกลนคร'!N559+'สุรินทร์'!N559+'หนองคาย'!N559+'หนองบัวลำภู'!N559+'อำนาจเจริญ'!N559+'อุดรธานี'!N559+'อุบลราชธานี'!N559</f>
        <v>356055.88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'กาฬสินธุ์'!I560+'ขอนแก่น'!I560+'ชัยภูมิ'!I560+'นครพนม'!I560+'นครราชสีมา'!I560+'บึงกาฬ'!I560+'บุรีรัมย์'!I560+'มหาสารคาม'!I560+'มุกดาหาร'!I560+'ยโสธร'!I560+'ร้อยเอ็ด'!I560+'เลย'!I560+'ศรีสะเกษ'!I560+'สกลนคร'!I560+'สุรินทร์'!I560+'หนองคาย'!I560+'หนองบัวลำภู'!I560+'อำนาจเจริญ'!I560+'อุดรธานี'!I560+'อุบลราชธานี'!I560</f>
        <v>25000</v>
      </c>
      <c r="J560" s="195">
        <f>'กาฬสินธุ์'!J560+'ขอนแก่น'!J560+'ชัยภูมิ'!J560+'นครพนม'!J560+'นครราชสีมา'!J560+'บึงกาฬ'!J560+'บุรีรัมย์'!J560+'มหาสารคาม'!J560+'มุกดาหาร'!J560+'ยโสธร'!J560+'ร้อยเอ็ด'!J560+'เลย'!J560+'ศรีสะเกษ'!J560+'สกลนคร'!J560+'สุรินทร์'!J560+'หนองคาย'!J560+'หนองบัวลำภู'!J560+'อำนาจเจริญ'!J560+'อุดรธานี'!J560+'อุบลราชธานี'!J560</f>
        <v>2365</v>
      </c>
      <c r="K560" s="258">
        <f t="shared" ref="K560:K561" si="89">IF(I560&gt;0,J560*100/I560,0)</f>
        <v>9.46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'กาฬสินธุ์'!I561+'ขอนแก่น'!I561+'ชัยภูมิ'!I561+'นครพนม'!I561+'นครราชสีมา'!I561+'บึงกาฬ'!I561+'บุรีรัมย์'!I561+'มหาสารคาม'!I561+'มุกดาหาร'!I561+'ยโสธร'!I561+'ร้อยเอ็ด'!I561+'เลย'!I561+'ศรีสะเกษ'!I561+'สกลนคร'!I561+'สุรินทร์'!I561+'หนองคาย'!I561+'หนองบัวลำภู'!I561+'อำนาจเจริญ'!I561+'อุดรธานี'!I561+'อุบลราชธานี'!I561</f>
        <v>0</v>
      </c>
      <c r="J561" s="238">
        <f>'กาฬสินธุ์'!J561+'ขอนแก่น'!J561+'ชัยภูมิ'!J561+'นครพนม'!J561+'นครราชสีมา'!J561+'บึงกาฬ'!J561+'บุรีรัมย์'!J561+'มหาสารคาม'!J561+'มุกดาหาร'!J561+'ยโสธร'!J561+'ร้อยเอ็ด'!J561+'เลย'!J561+'ศรีสะเกษ'!J561+'สกลนคร'!J561+'สุรินทร์'!J561+'หนองคาย'!J561+'หนองบัวลำภู'!J561+'อำนาจเจริญ'!J561+'อุดรธานี'!J561+'อุบลราชธานี'!J561</f>
        <v>140</v>
      </c>
      <c r="K561" s="258">
        <f t="shared" si="89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IFERROR(__xludf.DUMMYFUNCTION("IMPORTRANGE(""https://docs.google.com/spreadsheets/d/1SX6NBoVAgQJ6U1MVXOaj8PK2l7WJ3RER9xtqwdhxkhw/edit?usp=sharing"",""กาญจนบุรี!I457"")"),"")</f>
        <v/>
      </c>
      <c r="J562" s="238" t="str">
        <f>IFERROR(__xludf.DUMMYFUNCTION("IMPORTRANGE(""https://docs.google.com/spreadsheets/d/1SX6NBoVAgQJ6U1MVXOaj8PK2l7WJ3RER9xtqwdhxkhw/edit?usp=sharing"",""กาญจนบุรี!J457"")"),"")</f>
        <v/>
      </c>
      <c r="K562" s="196"/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IFERROR(__xludf.DUMMYFUNCTION("IMPORTRANGE(""https://docs.google.com/spreadsheets/d/1SX6NBoVAgQJ6U1MVXOaj8PK2l7WJ3RER9xtqwdhxkhw/edit?usp=sharing"",""กาญจนบุรี!I458"")"),"")</f>
        <v/>
      </c>
      <c r="J563" s="222" t="str">
        <f>IFERROR(__xludf.DUMMYFUNCTION("IMPORTRANGE(""https://docs.google.com/spreadsheets/d/1SX6NBoVAgQJ6U1MVXOaj8PK2l7WJ3RER9xtqwdhxkhw/edit?usp=sharing"",""กาญจนบุรี!J458"")"),"")</f>
        <v/>
      </c>
      <c r="K563" s="196"/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'กาฬสินธุ์'!I564+'ขอนแก่น'!I564+'ชัยภูมิ'!I564+'นครพนม'!I564+'นครราชสีมา'!I564+'บึงกาฬ'!I564+'บุรีรัมย์'!I564+'มหาสารคาม'!I564+'มุกดาหาร'!I564+'ยโสธร'!I564+'ร้อยเอ็ด'!I564+'เลย'!I564+'ศรีสะเกษ'!I564+'สกลนคร'!I564+'สุรินทร์'!I564+'หนองคาย'!I564+'หนองบัวลำภู'!I564+'อำนาจเจริญ'!I564+'อุดรธานี'!I564+'อุบลราชธานี'!I564</f>
        <v>75510</v>
      </c>
      <c r="J564" s="404">
        <f>'กาฬสินธุ์'!J564+'ขอนแก่น'!J564+'ชัยภูมิ'!J564+'นครพนม'!J564+'นครราชสีมา'!J564+'บึงกาฬ'!J564+'บุรีรัมย์'!J564+'มหาสารคาม'!J564+'มุกดาหาร'!J564+'ยโสธร'!J564+'ร้อยเอ็ด'!J564+'เลย'!J564+'ศรีสะเกษ'!J564+'สกลนคร'!J564+'สุรินทร์'!J564+'หนองคาย'!J564+'หนองบัวลำภู'!J564+'อำนาจเจริญ'!J564+'อุดรธานี'!J564+'อุบลราชธานี'!J564</f>
        <v>35597</v>
      </c>
      <c r="K564" s="405">
        <f>IF(I564&gt;0,J564*100/I564,0)</f>
        <v>47.14210038</v>
      </c>
      <c r="L564" s="406">
        <f>'กาฬสินธุ์'!L564+'ขอนแก่น'!L564+'ชัยภูมิ'!L564+'นครพนม'!L564+'นครราชสีมา'!L564+'บึงกาฬ'!L564+'บุรีรัมย์'!L564+'มหาสารคาม'!L564+'มุกดาหาร'!L564+'ยโสธร'!L564+'ร้อยเอ็ด'!L564+'เลย'!L564+'ศรีสะเกษ'!L564+'สกลนคร'!L564+'สุรินทร์'!L564+'หนองคาย'!L564+'หนองบัวลำภู'!L564+'อำนาจเจริญ'!L564+'อุดรธานี'!L564+'อุบลราชธานี'!L564</f>
        <v>3178880</v>
      </c>
      <c r="M564" s="406"/>
      <c r="N564" s="406">
        <f>'กาฬสินธุ์'!N564+'ขอนแก่น'!N564+'ชัยภูมิ'!N564+'นครพนม'!N564+'นครราชสีมา'!N564+'บึงกาฬ'!N564+'บุรีรัมย์'!N564+'มหาสารคาม'!N564+'มุกดาหาร'!N564+'ยโสธร'!N564+'ร้อยเอ็ด'!N564+'เลย'!N564+'ศรีสะเกษ'!N564+'สกลนคร'!N564+'สุรินทร์'!N564+'หนองคาย'!N564+'หนองบัวลำภู'!N564+'อำนาจเจริญ'!N564+'อุดรธานี'!N564+'อุบลราชธานี'!N564</f>
        <v>789506.11</v>
      </c>
      <c r="O564" s="406">
        <f t="shared" ref="O564:O568" si="90">+IF(L564&gt;0,N564*100/L564,0)</f>
        <v>24.83598343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'กาฬสินธุ์'!L565+'ขอนแก่น'!L565+'ชัยภูมิ'!L565+'นครพนม'!L565+'นครราชสีมา'!L565+'บึงกาฬ'!L565+'บุรีรัมย์'!L565+'มหาสารคาม'!L565+'มุกดาหาร'!L565+'ยโสธร'!L565+'ร้อยเอ็ด'!L565+'เลย'!L565+'ศรีสะเกษ'!L565+'สกลนคร'!L565+'สุรินทร์'!L565+'หนองคาย'!L565+'หนองบัวลำภู'!L565+'อำนาจเจริญ'!L565+'อุดรธานี'!L565+'อุบลราชธานี'!L565</f>
        <v>0</v>
      </c>
      <c r="M565" s="197"/>
      <c r="N565" s="203">
        <f>'กาฬสินธุ์'!N565+'ขอนแก่น'!N565+'ชัยภูมิ'!N565+'นครพนม'!N565+'นครราชสีมา'!N565+'บึงกาฬ'!N565+'บุรีรัมย์'!N565+'มหาสารคาม'!N565+'มุกดาหาร'!N565+'ยโสธร'!N565+'ร้อยเอ็ด'!N565+'เลย'!N565+'ศรีสะเกษ'!N565+'สกลนคร'!N565+'สุรินทร์'!N565+'หนองคาย'!N565+'หนองบัวลำภู'!N565+'อำนาจเจริญ'!N565+'อุดรธานี'!N565+'อุบลราชธานี'!N565</f>
        <v>0</v>
      </c>
      <c r="O565" s="203">
        <f t="shared" si="90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'กาฬสินธุ์'!L566+'ขอนแก่น'!L566+'ชัยภูมิ'!L566+'นครพนม'!L566+'นครราชสีมา'!L566+'บึงกาฬ'!L566+'บุรีรัมย์'!L566+'มหาสารคาม'!L566+'มุกดาหาร'!L566+'ยโสธร'!L566+'ร้อยเอ็ด'!L566+'เลย'!L566+'ศรีสะเกษ'!L566+'สกลนคร'!L566+'สุรินทร์'!L566+'หนองคาย'!L566+'หนองบัวลำภู'!L566+'อำนาจเจริญ'!L566+'อุดรธานี'!L566+'อุบลราชธานี'!L566</f>
        <v>3178880</v>
      </c>
      <c r="M566" s="198"/>
      <c r="N566" s="203">
        <f>'กาฬสินธุ์'!N566+'ขอนแก่น'!N566+'ชัยภูมิ'!N566+'นครพนม'!N566+'นครราชสีมา'!N566+'บึงกาฬ'!N566+'บุรีรัมย์'!N566+'มหาสารคาม'!N566+'มุกดาหาร'!N566+'ยโสธร'!N566+'ร้อยเอ็ด'!N566+'เลย'!N566+'ศรีสะเกษ'!N566+'สกลนคร'!N566+'สุรินทร์'!N566+'หนองคาย'!N566+'หนองบัวลำภู'!N566+'อำนาจเจริญ'!N566+'อุดรธานี'!N566+'อุบลราชธานี'!N566</f>
        <v>789506.11</v>
      </c>
      <c r="O566" s="203">
        <f t="shared" si="90"/>
        <v>24.83598343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'กาฬสินธุ์'!L567+'ขอนแก่น'!L567+'ชัยภูมิ'!L567+'นครพนม'!L567+'นครราชสีมา'!L567+'บึงกาฬ'!L567+'บุรีรัมย์'!L567+'มหาสารคาม'!L567+'มุกดาหาร'!L567+'ยโสธร'!L567+'ร้อยเอ็ด'!L567+'เลย'!L567+'ศรีสะเกษ'!L567+'สกลนคร'!L567+'สุรินทร์'!L567+'หนองคาย'!L567+'หนองบัวลำภู'!L567+'อำนาจเจริญ'!L567+'อุดรธานี'!L567+'อุบลราชธานี'!L567</f>
        <v>0</v>
      </c>
      <c r="M567" s="203"/>
      <c r="N567" s="203">
        <f>'กาฬสินธุ์'!N567+'ขอนแก่น'!N567+'ชัยภูมิ'!N567+'นครพนม'!N567+'นครราชสีมา'!N567+'บึงกาฬ'!N567+'บุรีรัมย์'!N567+'มหาสารคาม'!N567+'มุกดาหาร'!N567+'ยโสธร'!N567+'ร้อยเอ็ด'!N567+'เลย'!N567+'ศรีสะเกษ'!N567+'สกลนคร'!N567+'สุรินทร์'!N567+'หนองคาย'!N567+'หนองบัวลำภู'!N567+'อำนาจเจริญ'!N567+'อุดรธานี'!N567+'อุบลราชธานี'!N567</f>
        <v>0</v>
      </c>
      <c r="O567" s="203">
        <f t="shared" si="90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'กาฬสินธุ์'!L568+'ขอนแก่น'!L568+'ชัยภูมิ'!L568+'นครพนม'!L568+'นครราชสีมา'!L568+'บึงกาฬ'!L568+'บุรีรัมย์'!L568+'มหาสารคาม'!L568+'มุกดาหาร'!L568+'ยโสธร'!L568+'ร้อยเอ็ด'!L568+'เลย'!L568+'ศรีสะเกษ'!L568+'สกลนคร'!L568+'สุรินทร์'!L568+'หนองคาย'!L568+'หนองบัวลำภู'!L568+'อำนาจเจริญ'!L568+'อุดรธานี'!L568+'อุบลราชธานี'!L568</f>
        <v>3178880</v>
      </c>
      <c r="M568" s="203"/>
      <c r="N568" s="203">
        <f>'กาฬสินธุ์'!N568+'ขอนแก่น'!N568+'ชัยภูมิ'!N568+'นครพนม'!N568+'นครราชสีมา'!N568+'บึงกาฬ'!N568+'บุรีรัมย์'!N568+'มหาสารคาม'!N568+'มุกดาหาร'!N568+'ยโสธร'!N568+'ร้อยเอ็ด'!N568+'เลย'!N568+'ศรีสะเกษ'!N568+'สกลนคร'!N568+'สุรินทร์'!N568+'หนองคาย'!N568+'หนองบัวลำภู'!N568+'อำนาจเจริญ'!N568+'อุดรธานี'!N568+'อุบลราชธานี'!N568</f>
        <v>789506.11</v>
      </c>
      <c r="O568" s="203">
        <f t="shared" si="90"/>
        <v>24.83598343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'กาฬสินธุ์'!N569+'ขอนแก่น'!N569+'ชัยภูมิ'!N569+'นครพนม'!N569+'นครราชสีมา'!N569+'บึงกาฬ'!N569+'บุรีรัมย์'!N569+'มหาสารคาม'!N569+'มุกดาหาร'!N569+'ยโสธร'!N569+'ร้อยเอ็ด'!N569+'เลย'!N569+'ศรีสะเกษ'!N569+'สกลนคร'!N569+'สุรินทร์'!N569+'หนองคาย'!N569+'หนองบัวลำภู'!N569+'อำนาจเจริญ'!N569+'อุดรธานี'!N569+'อุบลราชธานี'!N569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'กาฬสินธุ์'!N570+'ขอนแก่น'!N570+'ชัยภูมิ'!N570+'นครพนม'!N570+'นครราชสีมา'!N570+'บึงกาฬ'!N570+'บุรีรัมย์'!N570+'มหาสารคาม'!N570+'มุกดาหาร'!N570+'ยโสธร'!N570+'ร้อยเอ็ด'!N570+'เลย'!N570+'ศรีสะเกษ'!N570+'สกลนคร'!N570+'สุรินทร์'!N570+'หนองคาย'!N570+'หนองบัวลำภู'!N570+'อำนาจเจริญ'!N570+'อุดรธานี'!N570+'อุบลราชธานี'!N570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'กาฬสินธุ์'!N571+'ขอนแก่น'!N571+'ชัยภูมิ'!N571+'นครพนม'!N571+'นครราชสีมา'!N571+'บึงกาฬ'!N571+'บุรีรัมย์'!N571+'มหาสารคาม'!N571+'มุกดาหาร'!N571+'ยโสธร'!N571+'ร้อยเอ็ด'!N571+'เลย'!N571+'ศรีสะเกษ'!N571+'สกลนคร'!N571+'สุรินทร์'!N571+'หนองคาย'!N571+'หนองบัวลำภู'!N571+'อำนาจเจริญ'!N571+'อุดรธานี'!N571+'อุบลราชธานี'!N571</f>
        <v>537211.75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'กาฬสินธุ์'!N572+'ขอนแก่น'!N572+'ชัยภูมิ'!N572+'นครพนม'!N572+'นครราชสีมา'!N572+'บึงกาฬ'!N572+'บุรีรัมย์'!N572+'มหาสารคาม'!N572+'มุกดาหาร'!N572+'ยโสธร'!N572+'ร้อยเอ็ด'!N572+'เลย'!N572+'ศรีสะเกษ'!N572+'สกลนคร'!N572+'สุรินทร์'!N572+'หนองคาย'!N572+'หนองบัวลำภู'!N572+'อำนาจเจริญ'!N572+'อุดรธานี'!N572+'อุบลราชธานี'!N572</f>
        <v>252294.36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'กาฬสินธุ์'!I573+'ขอนแก่น'!I573+'ชัยภูมิ'!I573+'นครพนม'!I573+'นครราชสีมา'!I573+'บึงกาฬ'!I573+'บุรีรัมย์'!I573+'มหาสารคาม'!I573+'มุกดาหาร'!I573+'ยโสธร'!I573+'ร้อยเอ็ด'!I573+'เลย'!I573+'ศรีสะเกษ'!I573+'สกลนคร'!I573+'สุรินทร์'!I573+'หนองคาย'!I573+'หนองบัวลำภู'!I573+'อำนาจเจริญ'!I573+'อุดรธานี'!I573+'อุบลราชธานี'!I573</f>
        <v>75510</v>
      </c>
      <c r="J573" s="453">
        <f>'กาฬสินธุ์'!J573+'ขอนแก่น'!J573+'ชัยภูมิ'!J573+'นครพนม'!J573+'นครราชสีมา'!J573+'บึงกาฬ'!J573+'บุรีรัมย์'!J573+'มหาสารคาม'!J573+'มุกดาหาร'!J573+'ยโสธร'!J573+'ร้อยเอ็ด'!J573+'เลย'!J573+'ศรีสะเกษ'!J573+'สกลนคร'!J573+'สุรินทร์'!J573+'หนองคาย'!J573+'หนองบัวลำภู'!J573+'อำนาจเจริญ'!J573+'อุดรธานี'!J573+'อุบลราชธานี'!J573</f>
        <v>35597</v>
      </c>
      <c r="K573" s="236">
        <f>IF(I573&gt;0,J573*100/I573,0)</f>
        <v>47.14210038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'กาฬสินธุ์'!I575+'ขอนแก่น'!I575+'ชัยภูมิ'!I575+'นครพนม'!I575+'นครราชสีมา'!I575+'บึงกาฬ'!I575+'บุรีรัมย์'!I575+'มหาสารคาม'!I575+'มุกดาหาร'!I575+'ยโสธร'!I575+'ร้อยเอ็ด'!I575+'เลย'!I575+'ศรีสะเกษ'!I575+'สกลนคร'!I575+'สุรินทร์'!I575+'หนองคาย'!I575+'หนองบัวลำภู'!I575+'อำนาจเจริญ'!I575+'อุดรธานี'!I575+'อุบลราชธานี'!I575</f>
        <v>6</v>
      </c>
      <c r="J575" s="232">
        <f>'กาฬสินธุ์'!J575+'ขอนแก่น'!J575+'ชัยภูมิ'!J575+'นครพนม'!J575+'นครราชสีมา'!J575+'บึงกาฬ'!J575+'บุรีรัมย์'!J575+'มหาสารคาม'!J575+'มุกดาหาร'!J575+'ยโสธร'!J575+'ร้อยเอ็ด'!J575+'เลย'!J575+'ศรีสะเกษ'!J575+'สกลนคร'!J575+'สุรินทร์'!J575+'หนองคาย'!J575+'หนองบัวลำภู'!J575+'อำนาจเจริญ'!J575+'อุดรธานี'!J575+'อุบลราชธานี'!J575</f>
        <v>34</v>
      </c>
      <c r="K575" s="196">
        <f t="shared" ref="K575:K579" si="91">IF(I575&gt;0,J575*100/I575,0)</f>
        <v>566.6666667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'กาฬสินธุ์'!I576+'ขอนแก่น'!I576+'ชัยภูมิ'!I576+'นครพนม'!I576+'นครราชสีมา'!I576+'บึงกาฬ'!I576+'บุรีรัมย์'!I576+'มหาสารคาม'!I576+'มุกดาหาร'!I576+'ยโสธร'!I576+'ร้อยเอ็ด'!I576+'เลย'!I576+'ศรีสะเกษ'!I576+'สกลนคร'!I576+'สุรินทร์'!I576+'หนองคาย'!I576+'หนองบัวลำภู'!I576+'อำนาจเจริญ'!I576+'อุดรธานี'!I576+'อุบลราชธานี'!I576</f>
        <v>0</v>
      </c>
      <c r="J576" s="232">
        <f>'กาฬสินธุ์'!J576+'ขอนแก่น'!J576+'ชัยภูมิ'!J576+'นครพนม'!J576+'นครราชสีมา'!J576+'บึงกาฬ'!J576+'บุรีรัมย์'!J576+'มหาสารคาม'!J576+'มุกดาหาร'!J576+'ยโสธร'!J576+'ร้อยเอ็ด'!J576+'เลย'!J576+'ศรีสะเกษ'!J576+'สกลนคร'!J576+'สุรินทร์'!J576+'หนองคาย'!J576+'หนองบัวลำภู'!J576+'อำนาจเจริญ'!J576+'อุดรธานี'!J576+'อุบลราชธานี'!J576</f>
        <v>3444</v>
      </c>
      <c r="K576" s="196">
        <f t="shared" si="91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'กาฬสินธุ์'!I577+'ขอนแก่น'!I577+'ชัยภูมิ'!I577+'นครพนม'!I577+'นครราชสีมา'!I577+'บึงกาฬ'!I577+'บุรีรัมย์'!I577+'มหาสารคาม'!I577+'มุกดาหาร'!I577+'ยโสธร'!I577+'ร้อยเอ็ด'!I577+'เลย'!I577+'ศรีสะเกษ'!I577+'สกลนคร'!I577+'สุรินทร์'!I577+'หนองคาย'!I577+'หนองบัวลำภู'!I577+'อำนาจเจริญ'!I577+'อุดรธานี'!I577+'อุบลราชธานี'!I577</f>
        <v>0</v>
      </c>
      <c r="J577" s="223">
        <f>'กาฬสินธุ์'!J577+'ขอนแก่น'!J577+'ชัยภูมิ'!J577+'นครพนม'!J577+'นครราชสีมา'!J577+'บึงกาฬ'!J577+'บุรีรัมย์'!J577+'มหาสารคาม'!J577+'มุกดาหาร'!J577+'ยโสธร'!J577+'ร้อยเอ็ด'!J577+'เลย'!J577+'ศรีสะเกษ'!J577+'สกลนคร'!J577+'สุรินทร์'!J577+'หนองคาย'!J577+'หนองบัวลำภู'!J577+'อำนาจเจริญ'!J577+'อุดรธานี'!J577+'อุบลราชธานี'!J577</f>
        <v>32033</v>
      </c>
      <c r="K577" s="196">
        <f t="shared" si="91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'กาฬสินธุ์'!I578+'ขอนแก่น'!I578+'ชัยภูมิ'!I578+'นครพนม'!I578+'นครราชสีมา'!I578+'บึงกาฬ'!I578+'บุรีรัมย์'!I578+'มหาสารคาม'!I578+'มุกดาหาร'!I578+'ยโสธร'!I578+'ร้อยเอ็ด'!I578+'เลย'!I578+'ศรีสะเกษ'!I578+'สกลนคร'!I578+'สุรินทร์'!I578+'หนองคาย'!I578+'หนองบัวลำภู'!I578+'อำนาจเจริญ'!I578+'อุดรธานี'!I578+'อุบลราชธานี'!I578</f>
        <v>0</v>
      </c>
      <c r="J578" s="232">
        <f>'กาฬสินธุ์'!J578+'ขอนแก่น'!J578+'ชัยภูมิ'!J578+'นครพนม'!J578+'นครราชสีมา'!J578+'บึงกาฬ'!J578+'บุรีรัมย์'!J578+'มหาสารคาม'!J578+'มุกดาหาร'!J578+'ยโสธร'!J578+'ร้อยเอ็ด'!J578+'เลย'!J578+'ศรีสะเกษ'!J578+'สกลนคร'!J578+'สุรินทร์'!J578+'หนองคาย'!J578+'หนองบัวลำภู'!J578+'อำนาจเจริญ'!J578+'อุดรธานี'!J578+'อุบลราชธานี'!J578</f>
        <v>47</v>
      </c>
      <c r="K578" s="196">
        <f t="shared" si="91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'กาฬสินธุ์'!I579+'ขอนแก่น'!I579+'ชัยภูมิ'!I579+'นครพนม'!I579+'นครราชสีมา'!I579+'บึงกาฬ'!I579+'บุรีรัมย์'!I579+'มหาสารคาม'!I579+'มุกดาหาร'!I579+'ยโสธร'!I579+'ร้อยเอ็ด'!I579+'เลย'!I579+'ศรีสะเกษ'!I579+'สกลนคร'!I579+'สุรินทร์'!I579+'หนองคาย'!I579+'หนองบัวลำภู'!I579+'อำนาจเจริญ'!I579+'อุดรธานี'!I579+'อุบลราชธานี'!I579</f>
        <v>0</v>
      </c>
      <c r="J579" s="232">
        <f>'กาฬสินธุ์'!J579+'ขอนแก่น'!J579+'ชัยภูมิ'!J579+'นครพนม'!J579+'นครราชสีมา'!J579+'บึงกาฬ'!J579+'บุรีรัมย์'!J579+'มหาสารคาม'!J579+'มุกดาหาร'!J579+'ยโสธร'!J579+'ร้อยเอ็ด'!J579+'เลย'!J579+'ศรีสะเกษ'!J579+'สกลนคร'!J579+'สุรินทร์'!J579+'หนองคาย'!J579+'หนองบัวลำภู'!J579+'อำนาจเจริญ'!J579+'อุดรธานี'!J579+'อุบลราชธานี'!J579</f>
        <v>73</v>
      </c>
      <c r="K579" s="196">
        <f t="shared" si="91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'กาฬสินธุ์'!I580+'ขอนแก่น'!I580+'ชัยภูมิ'!I580+'นครพนม'!I580+'นครราชสีมา'!I580+'บึงกาฬ'!I580+'บุรีรัมย์'!I580+'มหาสารคาม'!I580+'มุกดาหาร'!I580+'ยโสธร'!I580+'ร้อยเอ็ด'!I580+'เลย'!I580+'ศรีสะเกษ'!I580+'สกลนคร'!I580+'สุรินทร์'!I580+'หนองคาย'!I580+'หนองบัวลำภู'!I580+'อำนาจเจริญ'!I580+'อุดรธานี'!I580+'อุบลราชธานี'!I580</f>
        <v>3582</v>
      </c>
      <c r="J580" s="404">
        <f>'กาฬสินธุ์'!J580+'ขอนแก่น'!J580+'ชัยภูมิ'!J580+'นครพนม'!J580+'นครราชสีมา'!J580+'บึงกาฬ'!J580+'บุรีรัมย์'!J580+'มหาสารคาม'!J580+'มุกดาหาร'!J580+'ยโสธร'!J580+'ร้อยเอ็ด'!J580+'เลย'!J580+'ศรีสะเกษ'!J580+'สกลนคร'!J580+'สุรินทร์'!J580+'หนองคาย'!J580+'หนองบัวลำภู'!J580+'อำนาจเจริญ'!J580+'อุดรธานี'!J580+'อุบลราชธานี'!J580</f>
        <v>60</v>
      </c>
      <c r="K580" s="405">
        <f>IF(I580&gt;0,J580*100/I580,0)</f>
        <v>1.675041876</v>
      </c>
      <c r="L580" s="406">
        <f>'กาฬสินธุ์'!L580+'ขอนแก่น'!L580+'ชัยภูมิ'!L580+'นครพนม'!L580+'นครราชสีมา'!L580+'บึงกาฬ'!L580+'บุรีรัมย์'!L580+'มหาสารคาม'!L580+'มุกดาหาร'!L580+'ยโสธร'!L580+'ร้อยเอ็ด'!L580+'เลย'!L580+'ศรีสะเกษ'!L580+'สกลนคร'!L580+'สุรินทร์'!L580+'หนองคาย'!L580+'หนองบัวลำภู'!L580+'อำนาจเจริญ'!L580+'อุดรธานี'!L580+'อุบลราชธานี'!L580</f>
        <v>5069674</v>
      </c>
      <c r="M580" s="406"/>
      <c r="N580" s="406">
        <f>'กาฬสินธุ์'!N580+'ขอนแก่น'!N580+'ชัยภูมิ'!N580+'นครพนม'!N580+'นครราชสีมา'!N580+'บึงกาฬ'!N580+'บุรีรัมย์'!N580+'มหาสารคาม'!N580+'มุกดาหาร'!N580+'ยโสธร'!N580+'ร้อยเอ็ด'!N580+'เลย'!N580+'ศรีสะเกษ'!N580+'สกลนคร'!N580+'สุรินทร์'!N580+'หนองคาย'!N580+'หนองบัวลำภู'!N580+'อำนาจเจริญ'!N580+'อุดรธานี'!N580+'อุบลราชธานี'!N580</f>
        <v>794015.88</v>
      </c>
      <c r="O580" s="406">
        <f t="shared" ref="O580:O584" si="92">+IF(L580&gt;0,N580*100/L580,0)</f>
        <v>15.66206979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'กาฬสินธุ์'!L581+'ขอนแก่น'!L581+'ชัยภูมิ'!L581+'นครพนม'!L581+'นครราชสีมา'!L581+'บึงกาฬ'!L581+'บุรีรัมย์'!L581+'มหาสารคาม'!L581+'มุกดาหาร'!L581+'ยโสธร'!L581+'ร้อยเอ็ด'!L581+'เลย'!L581+'ศรีสะเกษ'!L581+'สกลนคร'!L581+'สุรินทร์'!L581+'หนองคาย'!L581+'หนองบัวลำภู'!L581+'อำนาจเจริญ'!L581+'อุดรธานี'!L581+'อุบลราชธานี'!L581</f>
        <v>0</v>
      </c>
      <c r="M581" s="197"/>
      <c r="N581" s="203">
        <f>'กาฬสินธุ์'!N581+'ขอนแก่น'!N581+'ชัยภูมิ'!N581+'นครพนม'!N581+'นครราชสีมา'!N581+'บึงกาฬ'!N581+'บุรีรัมย์'!N581+'มหาสารคาม'!N581+'มุกดาหาร'!N581+'ยโสธร'!N581+'ร้อยเอ็ด'!N581+'เลย'!N581+'ศรีสะเกษ'!N581+'สกลนคร'!N581+'สุรินทร์'!N581+'หนองคาย'!N581+'หนองบัวลำภู'!N581+'อำนาจเจริญ'!N581+'อุดรธานี'!N581+'อุบลราชธานี'!N581</f>
        <v>0</v>
      </c>
      <c r="O581" s="203">
        <f t="shared" si="92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'กาฬสินธุ์'!L582+'ขอนแก่น'!L582+'ชัยภูมิ'!L582+'นครพนม'!L582+'นครราชสีมา'!L582+'บึงกาฬ'!L582+'บุรีรัมย์'!L582+'มหาสารคาม'!L582+'มุกดาหาร'!L582+'ยโสธร'!L582+'ร้อยเอ็ด'!L582+'เลย'!L582+'ศรีสะเกษ'!L582+'สกลนคร'!L582+'สุรินทร์'!L582+'หนองคาย'!L582+'หนองบัวลำภู'!L582+'อำนาจเจริญ'!L582+'อุดรธานี'!L582+'อุบลราชธานี'!L582</f>
        <v>5069674</v>
      </c>
      <c r="M582" s="198"/>
      <c r="N582" s="203">
        <f>'กาฬสินธุ์'!N582+'ขอนแก่น'!N582+'ชัยภูมิ'!N582+'นครพนม'!N582+'นครราชสีมา'!N582+'บึงกาฬ'!N582+'บุรีรัมย์'!N582+'มหาสารคาม'!N582+'มุกดาหาร'!N582+'ยโสธร'!N582+'ร้อยเอ็ด'!N582+'เลย'!N582+'ศรีสะเกษ'!N582+'สกลนคร'!N582+'สุรินทร์'!N582+'หนองคาย'!N582+'หนองบัวลำภู'!N582+'อำนาจเจริญ'!N582+'อุดรธานี'!N582+'อุบลราชธานี'!N582</f>
        <v>794015.88</v>
      </c>
      <c r="O582" s="203">
        <f t="shared" si="92"/>
        <v>15.66206979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'กาฬสินธุ์'!L583+'ขอนแก่น'!L583+'ชัยภูมิ'!L583+'นครพนม'!L583+'นครราชสีมา'!L583+'บึงกาฬ'!L583+'บุรีรัมย์'!L583+'มหาสารคาม'!L583+'มุกดาหาร'!L583+'ยโสธร'!L583+'ร้อยเอ็ด'!L583+'เลย'!L583+'ศรีสะเกษ'!L583+'สกลนคร'!L583+'สุรินทร์'!L583+'หนองคาย'!L583+'หนองบัวลำภู'!L583+'อำนาจเจริญ'!L583+'อุดรธานี'!L583+'อุบลราชธานี'!L583</f>
        <v>0</v>
      </c>
      <c r="M583" s="203"/>
      <c r="N583" s="203">
        <f>'กาฬสินธุ์'!N583+'ขอนแก่น'!N583+'ชัยภูมิ'!N583+'นครพนม'!N583+'นครราชสีมา'!N583+'บึงกาฬ'!N583+'บุรีรัมย์'!N583+'มหาสารคาม'!N583+'มุกดาหาร'!N583+'ยโสธร'!N583+'ร้อยเอ็ด'!N583+'เลย'!N583+'ศรีสะเกษ'!N583+'สกลนคร'!N583+'สุรินทร์'!N583+'หนองคาย'!N583+'หนองบัวลำภู'!N583+'อำนาจเจริญ'!N583+'อุดรธานี'!N583+'อุบลราชธานี'!N583</f>
        <v>0</v>
      </c>
      <c r="O583" s="203">
        <f t="shared" si="92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'กาฬสินธุ์'!L584+'ขอนแก่น'!L584+'ชัยภูมิ'!L584+'นครพนม'!L584+'นครราชสีมา'!L584+'บึงกาฬ'!L584+'บุรีรัมย์'!L584+'มหาสารคาม'!L584+'มุกดาหาร'!L584+'ยโสธร'!L584+'ร้อยเอ็ด'!L584+'เลย'!L584+'ศรีสะเกษ'!L584+'สกลนคร'!L584+'สุรินทร์'!L584+'หนองคาย'!L584+'หนองบัวลำภู'!L584+'อำนาจเจริญ'!L584+'อุดรธานี'!L584+'อุบลราชธานี'!L584</f>
        <v>5069674</v>
      </c>
      <c r="M584" s="203"/>
      <c r="N584" s="203">
        <f>'กาฬสินธุ์'!N584+'ขอนแก่น'!N584+'ชัยภูมิ'!N584+'นครพนม'!N584+'นครราชสีมา'!N584+'บึงกาฬ'!N584+'บุรีรัมย์'!N584+'มหาสารคาม'!N584+'มุกดาหาร'!N584+'ยโสธร'!N584+'ร้อยเอ็ด'!N584+'เลย'!N584+'ศรีสะเกษ'!N584+'สกลนคร'!N584+'สุรินทร์'!N584+'หนองคาย'!N584+'หนองบัวลำภู'!N584+'อำนาจเจริญ'!N584+'อุดรธานี'!N584+'อุบลราชธานี'!N584</f>
        <v>794015.88</v>
      </c>
      <c r="O584" s="203">
        <f t="shared" si="92"/>
        <v>15.66206979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'กาฬสินธุ์'!N585+'ขอนแก่น'!N585+'ชัยภูมิ'!N585+'นครพนม'!N585+'นครราชสีมา'!N585+'บึงกาฬ'!N585+'บุรีรัมย์'!N585+'มหาสารคาม'!N585+'มุกดาหาร'!N585+'ยโสธร'!N585+'ร้อยเอ็ด'!N585+'เลย'!N585+'ศรีสะเกษ'!N585+'สกลนคร'!N585+'สุรินทร์'!N585+'หนองคาย'!N585+'หนองบัวลำภู'!N585+'อำนาจเจริญ'!N585+'อุดรธานี'!N585+'อุบลราชธานี'!N585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'กาฬสินธุ์'!N586+'ขอนแก่น'!N586+'ชัยภูมิ'!N586+'นครพนม'!N586+'นครราชสีมา'!N586+'บึงกาฬ'!N586+'บุรีรัมย์'!N586+'มหาสารคาม'!N586+'มุกดาหาร'!N586+'ยโสธร'!N586+'ร้อยเอ็ด'!N586+'เลย'!N586+'ศรีสะเกษ'!N586+'สกลนคร'!N586+'สุรินทร์'!N586+'หนองคาย'!N586+'หนองบัวลำภู'!N586+'อำนาจเจริญ'!N586+'อุดรธานี'!N586+'อุบลราชธานี'!N586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'กาฬสินธุ์'!N587+'ขอนแก่น'!N587+'ชัยภูมิ'!N587+'นครพนม'!N587+'นครราชสีมา'!N587+'บึงกาฬ'!N587+'บุรีรัมย์'!N587+'มหาสารคาม'!N587+'มุกดาหาร'!N587+'ยโสธร'!N587+'ร้อยเอ็ด'!N587+'เลย'!N587+'ศรีสะเกษ'!N587+'สกลนคร'!N587+'สุรินทร์'!N587+'หนองคาย'!N587+'หนองบัวลำภู'!N587+'อำนาจเจริญ'!N587+'อุดรธานี'!N587+'อุบลราชธานี'!N587</f>
        <v>322492.19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'กาฬสินธุ์'!N588+'ขอนแก่น'!N588+'ชัยภูมิ'!N588+'นครพนม'!N588+'นครราชสีมา'!N588+'บึงกาฬ'!N588+'บุรีรัมย์'!N588+'มหาสารคาม'!N588+'มุกดาหาร'!N588+'ยโสธร'!N588+'ร้อยเอ็ด'!N588+'เลย'!N588+'ศรีสะเกษ'!N588+'สกลนคร'!N588+'สุรินทร์'!N588+'หนองคาย'!N588+'หนองบัวลำภู'!N588+'อำนาจเจริญ'!N588+'อุดรธานี'!N588+'อุบลราชธานี'!N588</f>
        <v>471523.69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'กาฬสินธุ์'!I589+'ขอนแก่น'!I589+'ชัยภูมิ'!I589+'นครพนม'!I589+'นครราชสีมา'!I589+'บึงกาฬ'!I589+'บุรีรัมย์'!I589+'มหาสารคาม'!I589+'มุกดาหาร'!I589+'ยโสธร'!I589+'ร้อยเอ็ด'!I589+'เลย'!I589+'ศรีสะเกษ'!I589+'สกลนคร'!I589+'สุรินทร์'!I589+'หนองคาย'!I589+'หนองบัวลำภู'!I589+'อำนาจเจริญ'!I589+'อุดรธานี'!I589+'อุบลราชธานี'!I589</f>
        <v>3582</v>
      </c>
      <c r="J589" s="222">
        <f>'กาฬสินธุ์'!J589+'ขอนแก่น'!J589+'ชัยภูมิ'!J589+'นครพนม'!J589+'นครราชสีมา'!J589+'บึงกาฬ'!J589+'บุรีรัมย์'!J589+'มหาสารคาม'!J589+'มุกดาหาร'!J589+'ยโสธร'!J589+'ร้อยเอ็ด'!J589+'เลย'!J589+'ศรีสะเกษ'!J589+'สกลนคร'!J589+'สุรินทร์'!J589+'หนองคาย'!J589+'หนองบัวลำภู'!J589+'อำนาจเจริญ'!J589+'อุดรธานี'!J589+'อุบลราชธานี'!J589</f>
        <v>584</v>
      </c>
      <c r="K589" s="196">
        <f t="shared" ref="K589:K596" si="93">IF(I589&gt;0,J589*100/I589,0)</f>
        <v>16.30374093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'กาฬสินธุ์'!I590+'ขอนแก่น'!I590+'ชัยภูมิ'!I590+'นครพนม'!I590+'นครราชสีมา'!I590+'บึงกาฬ'!I590+'บุรีรัมย์'!I590+'มหาสารคาม'!I590+'มุกดาหาร'!I590+'ยโสธร'!I590+'ร้อยเอ็ด'!I590+'เลย'!I590+'ศรีสะเกษ'!I590+'สกลนคร'!I590+'สุรินทร์'!I590+'หนองคาย'!I590+'หนองบัวลำภู'!I590+'อำนาจเจริญ'!I590+'อุดรธานี'!I590+'อุบลราชธานี'!I590</f>
        <v>0</v>
      </c>
      <c r="J590" s="222">
        <f>'กาฬสินธุ์'!J590+'ขอนแก่น'!J590+'ชัยภูมิ'!J590+'นครพนม'!J590+'นครราชสีมา'!J590+'บึงกาฬ'!J590+'บุรีรัมย์'!J590+'มหาสารคาม'!J590+'มุกดาหาร'!J590+'ยโสธร'!J590+'ร้อยเอ็ด'!J590+'เลย'!J590+'ศรีสะเกษ'!J590+'สกลนคร'!J590+'สุรินทร์'!J590+'หนองคาย'!J590+'หนองบัวลำภู'!J590+'อำนาจเจริญ'!J590+'อุดรธานี'!J590+'อุบลราชธานี'!J590</f>
        <v>405.4</v>
      </c>
      <c r="K590" s="512">
        <f t="shared" si="93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'กาฬสินธุ์'!I591+'ขอนแก่น'!I591+'ชัยภูมิ'!I591+'นครพนม'!I591+'นครราชสีมา'!I591+'บึงกาฬ'!I591+'บุรีรัมย์'!I591+'มหาสารคาม'!I591+'มุกดาหาร'!I591+'ยโสธร'!I591+'ร้อยเอ็ด'!I591+'เลย'!I591+'ศรีสะเกษ'!I591+'สกลนคร'!I591+'สุรินทร์'!I591+'หนองคาย'!I591+'หนองบัวลำภู'!I591+'อำนาจเจริญ'!I591+'อุดรธานี'!I591+'อุบลราชธานี'!I591</f>
        <v>3582</v>
      </c>
      <c r="J591" s="222">
        <f>'กาฬสินธุ์'!J591+'ขอนแก่น'!J591+'ชัยภูมิ'!J591+'นครพนม'!J591+'นครราชสีมา'!J591+'บึงกาฬ'!J591+'บุรีรัมย์'!J591+'มหาสารคาม'!J591+'มุกดาหาร'!J591+'ยโสธร'!J591+'ร้อยเอ็ด'!J591+'เลย'!J591+'ศรีสะเกษ'!J591+'สกลนคร'!J591+'สุรินทร์'!J591+'หนองคาย'!J591+'หนองบัวลำภู'!J591+'อำนาจเจริญ'!J591+'อุดรธานี'!J591+'อุบลราชธานี'!J591</f>
        <v>812</v>
      </c>
      <c r="K591" s="196">
        <f t="shared" si="93"/>
        <v>22.66890006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'กาฬสินธุ์'!I592+'ขอนแก่น'!I592+'ชัยภูมิ'!I592+'นครพนม'!I592+'นครราชสีมา'!I592+'บึงกาฬ'!I592+'บุรีรัมย์'!I592+'มหาสารคาม'!I592+'มุกดาหาร'!I592+'ยโสธร'!I592+'ร้อยเอ็ด'!I592+'เลย'!I592+'ศรีสะเกษ'!I592+'สกลนคร'!I592+'สุรินทร์'!I592+'หนองคาย'!I592+'หนองบัวลำภู'!I592+'อำนาจเจริญ'!I592+'อุดรธานี'!I592+'อุบลราชธานี'!I592</f>
        <v>0</v>
      </c>
      <c r="J592" s="222">
        <f>'กาฬสินธุ์'!J592+'ขอนแก่น'!J592+'ชัยภูมิ'!J592+'นครพนม'!J592+'นครราชสีมา'!J592+'บึงกาฬ'!J592+'บุรีรัมย์'!J592+'มหาสารคาม'!J592+'มุกดาหาร'!J592+'ยโสธร'!J592+'ร้อยเอ็ด'!J592+'เลย'!J592+'ศรีสะเกษ'!J592+'สกลนคร'!J592+'สุรินทร์'!J592+'หนองคาย'!J592+'หนองบัวลำภู'!J592+'อำนาจเจริญ'!J592+'อุดรธานี'!J592+'อุบลราชธานี'!J592</f>
        <v>445.59</v>
      </c>
      <c r="K592" s="375">
        <f t="shared" si="93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'กาฬสินธุ์'!I593+'ขอนแก่น'!I593+'ชัยภูมิ'!I593+'นครพนม'!I593+'นครราชสีมา'!I593+'บึงกาฬ'!I593+'บุรีรัมย์'!I593+'มหาสารคาม'!I593+'มุกดาหาร'!I593+'ยโสธร'!I593+'ร้อยเอ็ด'!I593+'เลย'!I593+'ศรีสะเกษ'!I593+'สกลนคร'!I593+'สุรินทร์'!I593+'หนองคาย'!I593+'หนองบัวลำภู'!I593+'อำนาจเจริญ'!I593+'อุดรธานี'!I593+'อุบลราชธานี'!I593</f>
        <v>3582</v>
      </c>
      <c r="J593" s="222">
        <f>'กาฬสินธุ์'!J593+'ขอนแก่น'!J593+'ชัยภูมิ'!J593+'นครพนม'!J593+'นครราชสีมา'!J593+'บึงกาฬ'!J593+'บุรีรัมย์'!J593+'มหาสารคาม'!J593+'มุกดาหาร'!J593+'ยโสธร'!J593+'ร้อยเอ็ด'!J593+'เลย'!J593+'ศรีสะเกษ'!J593+'สกลนคร'!J593+'สุรินทร์'!J593+'หนองคาย'!J593+'หนองบัวลำภู'!J593+'อำนาจเจริญ'!J593+'อุดรธานี'!J593+'อุบลราชธานี'!J593</f>
        <v>1</v>
      </c>
      <c r="K593" s="196">
        <f t="shared" si="93"/>
        <v>0.0279173646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'กาฬสินธุ์'!I594+'ขอนแก่น'!I594+'ชัยภูมิ'!I594+'นครพนม'!I594+'นครราชสีมา'!I594+'บึงกาฬ'!I594+'บุรีรัมย์'!I594+'มหาสารคาม'!I594+'มุกดาหาร'!I594+'ยโสธร'!I594+'ร้อยเอ็ด'!I594+'เลย'!I594+'ศรีสะเกษ'!I594+'สกลนคร'!I594+'สุรินทร์'!I594+'หนองคาย'!I594+'หนองบัวลำภู'!I594+'อำนาจเจริญ'!I594+'อุดรธานี'!I594+'อุบลราชธานี'!I594</f>
        <v>0</v>
      </c>
      <c r="J594" s="222">
        <f>'กาฬสินธุ์'!J594+'ขอนแก่น'!J594+'ชัยภูมิ'!J594+'นครพนม'!J594+'นครราชสีมา'!J594+'บึงกาฬ'!J594+'บุรีรัมย์'!J594+'มหาสารคาม'!J594+'มุกดาหาร'!J594+'ยโสธร'!J594+'ร้อยเอ็ด'!J594+'เลย'!J594+'ศรีสะเกษ'!J594+'สกลนคร'!J594+'สุรินทร์'!J594+'หนองคาย'!J594+'หนองบัวลำภู'!J594+'อำนาจเจริญ'!J594+'อุดรธานี'!J594+'อุบลราชธานี'!J594</f>
        <v>1.29</v>
      </c>
      <c r="K594" s="375">
        <f t="shared" si="93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'กาฬสินธุ์'!I595+'ขอนแก่น'!I595+'ชัยภูมิ'!I595+'นครพนม'!I595+'นครราชสีมา'!I595+'บึงกาฬ'!I595+'บุรีรัมย์'!I595+'มหาสารคาม'!I595+'มุกดาหาร'!I595+'ยโสธร'!I595+'ร้อยเอ็ด'!I595+'เลย'!I595+'ศรีสะเกษ'!I595+'สกลนคร'!I595+'สุรินทร์'!I595+'หนองคาย'!I595+'หนองบัวลำภู'!I595+'อำนาจเจริญ'!I595+'อุดรธานี'!I595+'อุบลราชธานี'!I595</f>
        <v>3582</v>
      </c>
      <c r="J595" s="222">
        <f>'กาฬสินธุ์'!J595+'ขอนแก่น'!J595+'ชัยภูมิ'!J595+'นครพนม'!J595+'นครราชสีมา'!J595+'บึงกาฬ'!J595+'บุรีรัมย์'!J595+'มหาสารคาม'!J595+'มุกดาหาร'!J595+'ยโสธร'!J595+'ร้อยเอ็ด'!J595+'เลย'!J595+'ศรีสะเกษ'!J595+'สกลนคร'!J595+'สุรินทร์'!J595+'หนองคาย'!J595+'หนองบัวลำภู'!J595+'อำนาจเจริญ'!J595+'อุดรธานี'!J595+'อุบลราชธานี'!J595</f>
        <v>60</v>
      </c>
      <c r="K595" s="196">
        <f t="shared" si="93"/>
        <v>1.675041876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'กาฬสินธุ์'!I596+'ขอนแก่น'!I596+'ชัยภูมิ'!I596+'นครพนม'!I596+'นครราชสีมา'!I596+'บึงกาฬ'!I596+'บุรีรัมย์'!I596+'มหาสารคาม'!I596+'มุกดาหาร'!I596+'ยโสธร'!I596+'ร้อยเอ็ด'!I596+'เลย'!I596+'ศรีสะเกษ'!I596+'สกลนคร'!I596+'สุรินทร์'!I596+'หนองคาย'!I596+'หนองบัวลำภู'!I596+'อำนาจเจริญ'!I596+'อุดรธานี'!I596+'อุบลราชธานี'!I596</f>
        <v>0</v>
      </c>
      <c r="J596" s="275">
        <f>'กาฬสินธุ์'!J596+'ขอนแก่น'!J596+'ชัยภูมิ'!J596+'นครพนม'!J596+'นครราชสีมา'!J596+'บึงกาฬ'!J596+'บุรีรัมย์'!J596+'มหาสารคาม'!J596+'มุกดาหาร'!J596+'ยโสธร'!J596+'ร้อยเอ็ด'!J596+'เลย'!J596+'ศรีสะเกษ'!J596+'สกลนคร'!J596+'สุรินทร์'!J596+'หนองคาย'!J596+'หนองบัวลำภู'!J596+'อำนาจเจริญ'!J596+'อุดรธานี'!J596+'อุบลราชธานี'!J596</f>
        <v>35.41</v>
      </c>
      <c r="K596" s="519">
        <f t="shared" si="93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'กาฬสินธุ์'!I597+'ขอนแก่น'!I597+'ชัยภูมิ'!I597+'นครพนม'!I597+'นครราชสีมา'!I597+'บึงกาฬ'!I597+'บุรีรัมย์'!I597+'มหาสารคาม'!I597+'มุกดาหาร'!I597+'ยโสธร'!I597+'ร้อยเอ็ด'!I597+'เลย'!I597+'ศรีสะเกษ'!I597+'สกลนคร'!I597+'สุรินทร์'!I597+'หนองคาย'!I597+'หนองบัวลำภู'!I597+'อำนาจเจริญ'!I597+'อุดรธานี'!I597+'อุบลราชธานี'!I597</f>
        <v>2270</v>
      </c>
      <c r="J597" s="520">
        <f>'กาฬสินธุ์'!J597+'ขอนแก่น'!J597+'ชัยภูมิ'!J597+'นครพนม'!J597+'นครราชสีมา'!J597+'บึงกาฬ'!J597+'บุรีรัมย์'!J597+'มหาสารคาม'!J597+'มุกดาหาร'!J597+'ยโสธร'!J597+'ร้อยเอ็ด'!J597+'เลย'!J597+'ศรีสะเกษ'!J597+'สกลนคร'!J597+'สุรินทร์'!J597+'หนองคาย'!J597+'หนองบัวลำภู'!J597+'อำนาจเจริญ'!J597+'อุดรธานี'!J597+'อุบลราชธานี'!J597</f>
        <v>0</v>
      </c>
      <c r="K597" s="444">
        <f>IF(I597&gt;0,J597*100/I597,0)</f>
        <v>0</v>
      </c>
      <c r="L597" s="445">
        <f>'กาฬสินธุ์'!L597+'ขอนแก่น'!L597+'ชัยภูมิ'!L597+'นครพนม'!L597+'นครราชสีมา'!L597+'บึงกาฬ'!L597+'บุรีรัมย์'!L597+'มหาสารคาม'!L597+'มุกดาหาร'!L597+'ยโสธร'!L597+'ร้อยเอ็ด'!L597+'เลย'!L597+'ศรีสะเกษ'!L597+'สกลนคร'!L597+'สุรินทร์'!L597+'หนองคาย'!L597+'หนองบัวลำภู'!L597+'อำนาจเจริญ'!L597+'อุดรธานี'!L597+'อุบลราชธานี'!L597</f>
        <v>223250</v>
      </c>
      <c r="M597" s="445"/>
      <c r="N597" s="445">
        <f>'กาฬสินธุ์'!N597+'ขอนแก่น'!N597+'ชัยภูมิ'!N597+'นครพนม'!N597+'นครราชสีมา'!N597+'บึงกาฬ'!N597+'บุรีรัมย์'!N597+'มหาสารคาม'!N597+'มุกดาหาร'!N597+'ยโสธร'!N597+'ร้อยเอ็ด'!N597+'เลย'!N597+'ศรีสะเกษ'!N597+'สกลนคร'!N597+'สุรินทร์'!N597+'หนองคาย'!N597+'หนองบัวลำภู'!N597+'อำนาจเจริญ'!N597+'อุดรธานี'!N597+'อุบลราชธานี'!N597</f>
        <v>34864</v>
      </c>
      <c r="O597" s="445">
        <f t="shared" ref="O597:O601" si="94">+IF(L597&gt;0,N597*100/L597,0)</f>
        <v>15.61657335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'กาฬสินธุ์'!L598+'ขอนแก่น'!L598+'ชัยภูมิ'!L598+'นครพนม'!L598+'นครราชสีมา'!L598+'บึงกาฬ'!L598+'บุรีรัมย์'!L598+'มหาสารคาม'!L598+'มุกดาหาร'!L598+'ยโสธร'!L598+'ร้อยเอ็ด'!L598+'เลย'!L598+'ศรีสะเกษ'!L598+'สกลนคร'!L598+'สุรินทร์'!L598+'หนองคาย'!L598+'หนองบัวลำภู'!L598+'อำนาจเจริญ'!L598+'อุดรธานี'!L598+'อุบลราชธานี'!L598</f>
        <v>0</v>
      </c>
      <c r="M598" s="197"/>
      <c r="N598" s="203">
        <f>'กาฬสินธุ์'!N598+'ขอนแก่น'!N598+'ชัยภูมิ'!N598+'นครพนม'!N598+'นครราชสีมา'!N598+'บึงกาฬ'!N598+'บุรีรัมย์'!N598+'มหาสารคาม'!N598+'มุกดาหาร'!N598+'ยโสธร'!N598+'ร้อยเอ็ด'!N598+'เลย'!N598+'ศรีสะเกษ'!N598+'สกลนคร'!N598+'สุรินทร์'!N598+'หนองคาย'!N598+'หนองบัวลำภู'!N598+'อำนาจเจริญ'!N598+'อุดรธานี'!N598+'อุบลราชธานี'!N598</f>
        <v>0</v>
      </c>
      <c r="O598" s="203">
        <f t="shared" si="94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'กาฬสินธุ์'!L599+'ขอนแก่น'!L599+'ชัยภูมิ'!L599+'นครพนม'!L599+'นครราชสีมา'!L599+'บึงกาฬ'!L599+'บุรีรัมย์'!L599+'มหาสารคาม'!L599+'มุกดาหาร'!L599+'ยโสธร'!L599+'ร้อยเอ็ด'!L599+'เลย'!L599+'ศรีสะเกษ'!L599+'สกลนคร'!L599+'สุรินทร์'!L599+'หนองคาย'!L599+'หนองบัวลำภู'!L599+'อำนาจเจริญ'!L599+'อุดรธานี'!L599+'อุบลราชธานี'!L599</f>
        <v>223250</v>
      </c>
      <c r="M599" s="198"/>
      <c r="N599" s="203">
        <f>'กาฬสินธุ์'!N599+'ขอนแก่น'!N599+'ชัยภูมิ'!N599+'นครพนม'!N599+'นครราชสีมา'!N599+'บึงกาฬ'!N599+'บุรีรัมย์'!N599+'มหาสารคาม'!N599+'มุกดาหาร'!N599+'ยโสธร'!N599+'ร้อยเอ็ด'!N599+'เลย'!N599+'ศรีสะเกษ'!N599+'สกลนคร'!N599+'สุรินทร์'!N599+'หนองคาย'!N599+'หนองบัวลำภู'!N599+'อำนาจเจริญ'!N599+'อุดรธานี'!N599+'อุบลราชธานี'!N599</f>
        <v>34864</v>
      </c>
      <c r="O599" s="203">
        <f t="shared" si="94"/>
        <v>15.61657335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'กาฬสินธุ์'!L600+'ขอนแก่น'!L600+'ชัยภูมิ'!L600+'นครพนม'!L600+'นครราชสีมา'!L600+'บึงกาฬ'!L600+'บุรีรัมย์'!L600+'มหาสารคาม'!L600+'มุกดาหาร'!L600+'ยโสธร'!L600+'ร้อยเอ็ด'!L600+'เลย'!L600+'ศรีสะเกษ'!L600+'สกลนคร'!L600+'สุรินทร์'!L600+'หนองคาย'!L600+'หนองบัวลำภู'!L600+'อำนาจเจริญ'!L600+'อุดรธานี'!L600+'อุบลราชธานี'!L600</f>
        <v>0</v>
      </c>
      <c r="M600" s="203"/>
      <c r="N600" s="203">
        <f>'กาฬสินธุ์'!N600+'ขอนแก่น'!N600+'ชัยภูมิ'!N600+'นครพนม'!N600+'นครราชสีมา'!N600+'บึงกาฬ'!N600+'บุรีรัมย์'!N600+'มหาสารคาม'!N600+'มุกดาหาร'!N600+'ยโสธร'!N600+'ร้อยเอ็ด'!N600+'เลย'!N600+'ศรีสะเกษ'!N600+'สกลนคร'!N600+'สุรินทร์'!N600+'หนองคาย'!N600+'หนองบัวลำภู'!N600+'อำนาจเจริญ'!N600+'อุดรธานี'!N600+'อุบลราชธานี'!N600</f>
        <v>0</v>
      </c>
      <c r="O600" s="203">
        <f t="shared" si="94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'กาฬสินธุ์'!L601+'ขอนแก่น'!L601+'ชัยภูมิ'!L601+'นครพนม'!L601+'นครราชสีมา'!L601+'บึงกาฬ'!L601+'บุรีรัมย์'!L601+'มหาสารคาม'!L601+'มุกดาหาร'!L601+'ยโสธร'!L601+'ร้อยเอ็ด'!L601+'เลย'!L601+'ศรีสะเกษ'!L601+'สกลนคร'!L601+'สุรินทร์'!L601+'หนองคาย'!L601+'หนองบัวลำภู'!L601+'อำนาจเจริญ'!L601+'อุดรธานี'!L601+'อุบลราชธานี'!L601</f>
        <v>223250</v>
      </c>
      <c r="M601" s="203"/>
      <c r="N601" s="203">
        <f>'กาฬสินธุ์'!N601+'ขอนแก่น'!N601+'ชัยภูมิ'!N601+'นครพนม'!N601+'นครราชสีมา'!N601+'บึงกาฬ'!N601+'บุรีรัมย์'!N601+'มหาสารคาม'!N601+'มุกดาหาร'!N601+'ยโสธร'!N601+'ร้อยเอ็ด'!N601+'เลย'!N601+'ศรีสะเกษ'!N601+'สกลนคร'!N601+'สุรินทร์'!N601+'หนองคาย'!N601+'หนองบัวลำภู'!N601+'อำนาจเจริญ'!N601+'อุดรธานี'!N601+'อุบลราชธานี'!N601</f>
        <v>34864</v>
      </c>
      <c r="O601" s="203">
        <f t="shared" si="94"/>
        <v>15.61657335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'กาฬสินธุ์'!N602+'ขอนแก่น'!N602+'ชัยภูมิ'!N602+'นครพนม'!N602+'นครราชสีมา'!N602+'บึงกาฬ'!N602+'บุรีรัมย์'!N602+'มหาสารคาม'!N602+'มุกดาหาร'!N602+'ยโสธร'!N602+'ร้อยเอ็ด'!N602+'เลย'!N602+'ศรีสะเกษ'!N602+'สกลนคร'!N602+'สุรินทร์'!N602+'หนองคาย'!N602+'หนองบัวลำภู'!N602+'อำนาจเจริญ'!N602+'อุดรธานี'!N602+'อุบลราชธานี'!N602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'กาฬสินธุ์'!N603+'ขอนแก่น'!N603+'ชัยภูมิ'!N603+'นครพนม'!N603+'นครราชสีมา'!N603+'บึงกาฬ'!N603+'บุรีรัมย์'!N603+'มหาสารคาม'!N603+'มุกดาหาร'!N603+'ยโสธร'!N603+'ร้อยเอ็ด'!N603+'เลย'!N603+'ศรีสะเกษ'!N603+'สกลนคร'!N603+'สุรินทร์'!N603+'หนองคาย'!N603+'หนองบัวลำภู'!N603+'อำนาจเจริญ'!N603+'อุดรธานี'!N603+'อุบลราชธานี'!N603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'กาฬสินธุ์'!N604+'ขอนแก่น'!N604+'ชัยภูมิ'!N604+'นครพนม'!N604+'นครราชสีมา'!N604+'บึงกาฬ'!N604+'บุรีรัมย์'!N604+'มหาสารคาม'!N604+'มุกดาหาร'!N604+'ยโสธร'!N604+'ร้อยเอ็ด'!N604+'เลย'!N604+'ศรีสะเกษ'!N604+'สกลนคร'!N604+'สุรินทร์'!N604+'หนองคาย'!N604+'หนองบัวลำภู'!N604+'อำนาจเจริญ'!N604+'อุดรธานี'!N604+'อุบลราชธานี'!N604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'กาฬสินธุ์'!N605+'ขอนแก่น'!N605+'ชัยภูมิ'!N605+'นครพนม'!N605+'นครราชสีมา'!N605+'บึงกาฬ'!N605+'บุรีรัมย์'!N605+'มหาสารคาม'!N605+'มุกดาหาร'!N605+'ยโสธร'!N605+'ร้อยเอ็ด'!N605+'เลย'!N605+'ศรีสะเกษ'!N605+'สกลนคร'!N605+'สุรินทร์'!N605+'หนองคาย'!N605+'หนองบัวลำภู'!N605+'อำนาจเจริญ'!N605+'อุดรธานี'!N605+'อุบลราชธานี'!N605</f>
        <v>34864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'กาฬสินธุ์'!J607+'ขอนแก่น'!J607+'ชัยภูมิ'!J607+'นครพนม'!J607+'นครราชสีมา'!J607+'บึงกาฬ'!J607+'บุรีรัมย์'!J607+'มหาสารคาม'!J607+'มุกดาหาร'!J607+'ยโสธร'!J607+'ร้อยเอ็ด'!J607+'เลย'!J607+'ศรีสะเกษ'!J607+'สกลนคร'!J607+'สุรินทร์'!J607+'หนองคาย'!J607+'หนองบัวลำภู'!J607+'อำนาจเจริญ'!J607+'อุดรธานี'!J607+'อุบลราชธานี'!J607</f>
        <v>1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'กาฬสินธุ์'!J608+'ขอนแก่น'!J608+'ชัยภูมิ'!J608+'นครพนม'!J608+'นครราชสีมา'!J608+'บึงกาฬ'!J608+'บุรีรัมย์'!J608+'มหาสารคาม'!J608+'มุกดาหาร'!J608+'ยโสธร'!J608+'ร้อยเอ็ด'!J608+'เลย'!J608+'ศรีสะเกษ'!J608+'สกลนคร'!J608+'สุรินทร์'!J608+'หนองคาย'!J608+'หนองบัวลำภู'!J608+'อำนาจเจริญ'!J608+'อุดรธานี'!J608+'อุบลราชธานี'!J608</f>
        <v>17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'กาฬสินธุ์'!J609+'ขอนแก่น'!J609+'ชัยภูมิ'!J609+'นครพนม'!J609+'นครราชสีมา'!J609+'บึงกาฬ'!J609+'บุรีรัมย์'!J609+'มหาสารคาม'!J609+'มุกดาหาร'!J609+'ยโสธร'!J609+'ร้อยเอ็ด'!J609+'เลย'!J609+'ศรีสะเกษ'!J609+'สกลนคร'!J609+'สุรินทร์'!J609+'หนองคาย'!J609+'หนองบัวลำภู'!J609+'อำนาจเจริญ'!J609+'อุดรธานี'!J609+'อุบลราชธานี'!J609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'กาฬสินธุ์'!J610+'ขอนแก่น'!J610+'ชัยภูมิ'!J610+'นครพนม'!J610+'นครราชสีมา'!J610+'บึงกาฬ'!J610+'บุรีรัมย์'!J610+'มหาสารคาม'!J610+'มุกดาหาร'!J610+'ยโสธร'!J610+'ร้อยเอ็ด'!J610+'เลย'!J610+'ศรีสะเกษ'!J610+'สกลนคร'!J610+'สุรินทร์'!J610+'หนองคาย'!J610+'หนองบัวลำภู'!J610+'อำนาจเจริญ'!J610+'อุดรธานี'!J610+'อุบลราชธานี'!J610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'กาฬสินธุ์'!I611+'ขอนแก่น'!I611+'ชัยภูมิ'!I611+'นครพนม'!I611+'นครราชสีมา'!I611+'บึงกาฬ'!I611+'บุรีรัมย์'!I611+'มหาสารคาม'!I611+'มุกดาหาร'!I611+'ยโสธร'!I611+'ร้อยเอ็ด'!I611+'เลย'!I611+'ศรีสะเกษ'!I611+'สกลนคร'!I611+'สุรินทร์'!I611+'หนองคาย'!I611+'หนองบัวลำภู'!I611+'อำนาจเจริญ'!I611+'อุดรธานี'!I611+'อุบลราชธานี'!I611</f>
        <v>2270</v>
      </c>
      <c r="J611" s="195">
        <f>'กาฬสินธุ์'!J611+'ขอนแก่น'!J611+'ชัยภูมิ'!J611+'นครพนม'!J611+'นครราชสีมา'!J611+'บึงกาฬ'!J611+'บุรีรัมย์'!J611+'มหาสารคาม'!J611+'มุกดาหาร'!J611+'ยโสธร'!J611+'ร้อยเอ็ด'!J611+'เลย'!J611+'ศรีสะเกษ'!J611+'สกลนคร'!J611+'สุรินทร์'!J611+'หนองคาย'!J611+'หนองบัวลำภู'!J611+'อำนาจเจริญ'!J611+'อุดรธานี'!J611+'อุบลราชธานี'!J611</f>
        <v>0</v>
      </c>
      <c r="K611" s="196">
        <f t="shared" ref="K611:K619" si="95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'กาฬสินธุ์'!I612+'ขอนแก่น'!I612+'ชัยภูมิ'!I612+'นครพนม'!I612+'นครราชสีมา'!I612+'บึงกาฬ'!I612+'บุรีรัมย์'!I612+'มหาสารคาม'!I612+'มุกดาหาร'!I612+'ยโสธร'!I612+'ร้อยเอ็ด'!I612+'เลย'!I612+'ศรีสะเกษ'!I612+'สกลนคร'!I612+'สุรินทร์'!I612+'หนองคาย'!I612+'หนองบัวลำภู'!I612+'อำนาจเจริญ'!I612+'อุดรธานี'!I612+'อุบลราชธานี'!I612</f>
        <v>0</v>
      </c>
      <c r="J612" s="232">
        <f>'กาฬสินธุ์'!J612+'ขอนแก่น'!J612+'ชัยภูมิ'!J612+'นครพนม'!J612+'นครราชสีมา'!J612+'บึงกาฬ'!J612+'บุรีรัมย์'!J612+'มหาสารคาม'!J612+'มุกดาหาร'!J612+'ยโสธร'!J612+'ร้อยเอ็ด'!J612+'เลย'!J612+'ศรีสะเกษ'!J612+'สกลนคร'!J612+'สุรินทร์'!J612+'หนองคาย'!J612+'หนองบัวลำภู'!J612+'อำนาจเจริญ'!J612+'อุดรธานี'!J612+'อุบลราชธานี'!J612</f>
        <v>815</v>
      </c>
      <c r="K612" s="196">
        <f t="shared" si="95"/>
        <v>35.9030837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'กาฬสินธุ์'!I613+'ขอนแก่น'!I613+'ชัยภูมิ'!I613+'นครพนม'!I613+'นครราชสีมา'!I613+'บึงกาฬ'!I613+'บุรีรัมย์'!I613+'มหาสารคาม'!I613+'มุกดาหาร'!I613+'ยโสธร'!I613+'ร้อยเอ็ด'!I613+'เลย'!I613+'ศรีสะเกษ'!I613+'สกลนคร'!I613+'สุรินทร์'!I613+'หนองคาย'!I613+'หนองบัวลำภู'!I613+'อำนาจเจริญ'!I613+'อุดรธานี'!I613+'อุบลราชธานี'!I613</f>
        <v>0</v>
      </c>
      <c r="J613" s="232">
        <f>'กาฬสินธุ์'!J613+'ขอนแก่น'!J613+'ชัยภูมิ'!J613+'นครพนม'!J613+'นครราชสีมา'!J613+'บึงกาฬ'!J613+'บุรีรัมย์'!J613+'มหาสารคาม'!J613+'มุกดาหาร'!J613+'ยโสธร'!J613+'ร้อยเอ็ด'!J613+'เลย'!J613+'ศรีสะเกษ'!J613+'สกลนคร'!J613+'สุรินทร์'!J613+'หนองคาย'!J613+'หนองบัวลำภู'!J613+'อำนาจเจริญ'!J613+'อุดรธานี'!J613+'อุบลราชธานี'!J613</f>
        <v>586</v>
      </c>
      <c r="K613" s="196">
        <f t="shared" si="95"/>
        <v>25.81497797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'กาฬสินธุ์'!I614+'ขอนแก่น'!I614+'ชัยภูมิ'!I614+'นครพนม'!I614+'นครราชสีมา'!I614+'บึงกาฬ'!I614+'บุรีรัมย์'!I614+'มหาสารคาม'!I614+'มุกดาหาร'!I614+'ยโสธร'!I614+'ร้อยเอ็ด'!I614+'เลย'!I614+'ศรีสะเกษ'!I614+'สกลนคร'!I614+'สุรินทร์'!I614+'หนองคาย'!I614+'หนองบัวลำภู'!I614+'อำนาจเจริญ'!I614+'อุดรธานี'!I614+'อุบลราชธานี'!I614</f>
        <v>0</v>
      </c>
      <c r="J614" s="232">
        <f>'กาฬสินธุ์'!J614+'ขอนแก่น'!J614+'ชัยภูมิ'!J614+'นครพนม'!J614+'นครราชสีมา'!J614+'บึงกาฬ'!J614+'บุรีรัมย์'!J614+'มหาสารคาม'!J614+'มุกดาหาร'!J614+'ยโสธร'!J614+'ร้อยเอ็ด'!J614+'เลย'!J614+'ศรีสะเกษ'!J614+'สกลนคร'!J614+'สุรินทร์'!J614+'หนองคาย'!J614+'หนองบัวลำภู'!J614+'อำนาจเจริญ'!J614+'อุดรธานี'!J614+'อุบลราชธานี'!J614</f>
        <v>413</v>
      </c>
      <c r="K614" s="196">
        <f t="shared" si="95"/>
        <v>18.1938326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'กาฬสินธุ์'!I615+'ขอนแก่น'!I615+'ชัยภูมิ'!I615+'นครพนม'!I615+'นครราชสีมา'!I615+'บึงกาฬ'!I615+'บุรีรัมย์'!I615+'มหาสารคาม'!I615+'มุกดาหาร'!I615+'ยโสธร'!I615+'ร้อยเอ็ด'!I615+'เลย'!I615+'ศรีสะเกษ'!I615+'สกลนคร'!I615+'สุรินทร์'!I615+'หนองคาย'!I615+'หนองบัวลำภู'!I615+'อำนาจเจริญ'!I615+'อุดรธานี'!I615+'อุบลราชธานี'!I615</f>
        <v>0</v>
      </c>
      <c r="J615" s="232">
        <f>'กาฬสินธุ์'!J615+'ขอนแก่น'!J615+'ชัยภูมิ'!J615+'นครพนม'!J615+'นครราชสีมา'!J615+'บึงกาฬ'!J615+'บุรีรัมย์'!J615+'มหาสารคาม'!J615+'มุกดาหาร'!J615+'ยโสธร'!J615+'ร้อยเอ็ด'!J615+'เลย'!J615+'ศรีสะเกษ'!J615+'สกลนคร'!J615+'สุรินทร์'!J615+'หนองคาย'!J615+'หนองบัวลำภู'!J615+'อำนาจเจริญ'!J615+'อุดรธานี'!J615+'อุบลราชธานี'!J615</f>
        <v>0</v>
      </c>
      <c r="K615" s="196">
        <f t="shared" si="95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'กาฬสินธุ์'!I616+'ขอนแก่น'!I616+'ชัยภูมิ'!I616+'นครพนม'!I616+'นครราชสีมา'!I616+'บึงกาฬ'!I616+'บุรีรัมย์'!I616+'มหาสารคาม'!I616+'มุกดาหาร'!I616+'ยโสธร'!I616+'ร้อยเอ็ด'!I616+'เลย'!I616+'ศรีสะเกษ'!I616+'สกลนคร'!I616+'สุรินทร์'!I616+'หนองคาย'!I616+'หนองบัวลำภู'!I616+'อำนาจเจริญ'!I616+'อุดรธานี'!I616+'อุบลราชธานี'!I616</f>
        <v>0</v>
      </c>
      <c r="J616" s="232">
        <f>'กาฬสินธุ์'!J616+'ขอนแก่น'!J616+'ชัยภูมิ'!J616+'นครพนม'!J616+'นครราชสีมา'!J616+'บึงกาฬ'!J616+'บุรีรัมย์'!J616+'มหาสารคาม'!J616+'มุกดาหาร'!J616+'ยโสธร'!J616+'ร้อยเอ็ด'!J616+'เลย'!J616+'ศรีสะเกษ'!J616+'สกลนคร'!J616+'สุรินทร์'!J616+'หนองคาย'!J616+'หนองบัวลำภู'!J616+'อำนาจเจริญ'!J616+'อุดรธานี'!J616+'อุบลราชธานี'!J616</f>
        <v>0</v>
      </c>
      <c r="K616" s="196">
        <f t="shared" si="95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'กาฬสินธุ์'!I617+'ขอนแก่น'!I617+'ชัยภูมิ'!I617+'นครพนม'!I617+'นครราชสีมา'!I617+'บึงกาฬ'!I617+'บุรีรัมย์'!I617+'มหาสารคาม'!I617+'มุกดาหาร'!I617+'ยโสธร'!I617+'ร้อยเอ็ด'!I617+'เลย'!I617+'ศรีสะเกษ'!I617+'สกลนคร'!I617+'สุรินทร์'!I617+'หนองคาย'!I617+'หนองบัวลำภู'!I617+'อำนาจเจริญ'!I617+'อุดรธานี'!I617+'อุบลราชธานี'!I617</f>
        <v>0</v>
      </c>
      <c r="J617" s="222">
        <f>'กาฬสินธุ์'!J617+'ขอนแก่น'!J617+'ชัยภูมิ'!J617+'นครพนม'!J617+'นครราชสีมา'!J617+'บึงกาฬ'!J617+'บุรีรัมย์'!J617+'มหาสารคาม'!J617+'มุกดาหาร'!J617+'ยโสธร'!J617+'ร้อยเอ็ด'!J617+'เลย'!J617+'ศรีสะเกษ'!J617+'สกลนคร'!J617+'สุรินทร์'!J617+'หนองคาย'!J617+'หนองบัวลำภู'!J617+'อำนาจเจริญ'!J617+'อุดรธานี'!J617+'อุบลราชธานี'!J617</f>
        <v>0</v>
      </c>
      <c r="K617" s="196">
        <f t="shared" si="95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'กาฬสินธุ์'!I618+'ขอนแก่น'!I618+'ชัยภูมิ'!I618+'นครพนม'!I618+'นครราชสีมา'!I618+'บึงกาฬ'!I618+'บุรีรัมย์'!I618+'มหาสารคาม'!I618+'มุกดาหาร'!I618+'ยโสธร'!I618+'ร้อยเอ็ด'!I618+'เลย'!I618+'ศรีสะเกษ'!I618+'สกลนคร'!I618+'สุรินทร์'!I618+'หนองคาย'!I618+'หนองบัวลำภู'!I618+'อำนาจเจริญ'!I618+'อุดรธานี'!I618+'อุบลราชธานี'!I618</f>
        <v>0</v>
      </c>
      <c r="J618" s="223">
        <f>'กาฬสินธุ์'!J618+'ขอนแก่น'!J618+'ชัยภูมิ'!J618+'นครพนม'!J618+'นครราชสีมา'!J618+'บึงกาฬ'!J618+'บุรีรัมย์'!J618+'มหาสารคาม'!J618+'มุกดาหาร'!J618+'ยโสธร'!J618+'ร้อยเอ็ด'!J618+'เลย'!J618+'ศรีสะเกษ'!J618+'สกลนคร'!J618+'สุรินทร์'!J618+'หนองคาย'!J618+'หนองบัวลำภู'!J618+'อำนาจเจริญ'!J618+'อุดรธานี'!J618+'อุบลราชธานี'!J618</f>
        <v>0</v>
      </c>
      <c r="K618" s="196">
        <f t="shared" si="95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'กาฬสินธุ์'!I619+'ขอนแก่น'!I619+'ชัยภูมิ'!I619+'นครพนม'!I619+'นครราชสีมา'!I619+'บึงกาฬ'!I619+'บุรีรัมย์'!I619+'มหาสารคาม'!I619+'มุกดาหาร'!I619+'ยโสธร'!I619+'ร้อยเอ็ด'!I619+'เลย'!I619+'ศรีสะเกษ'!I619+'สกลนคร'!I619+'สุรินทร์'!I619+'หนองคาย'!I619+'หนองบัวลำภู'!I619+'อำนาจเจริญ'!I619+'อุดรธานี'!I619+'อุบลราชธานี'!I619</f>
        <v>0</v>
      </c>
      <c r="J619" s="223">
        <f>'กาฬสินธุ์'!J619+'ขอนแก่น'!J619+'ชัยภูมิ'!J619+'นครพนม'!J619+'นครราชสีมา'!J619+'บึงกาฬ'!J619+'บุรีรัมย์'!J619+'มหาสารคาม'!J619+'มุกดาหาร'!J619+'ยโสธร'!J619+'ร้อยเอ็ด'!J619+'เลย'!J619+'ศรีสะเกษ'!J619+'สกลนคร'!J619+'สุรินทร์'!J619+'หนองคาย'!J619+'หนองบัวลำภู'!J619+'อำนาจเจริญ'!J619+'อุดรธานี'!J619+'อุบลราชธานี'!J619</f>
        <v>0</v>
      </c>
      <c r="K619" s="196">
        <f t="shared" si="95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'กาฬสินธุ์'!I620+'ขอนแก่น'!I620+'ชัยภูมิ'!I620+'นครพนม'!I620+'นครราชสีมา'!I620+'บึงกาฬ'!I620+'บุรีรัมย์'!I620+'มหาสารคาม'!I620+'มุกดาหาร'!I620+'ยโสธร'!I620+'ร้อยเอ็ด'!I620+'เลย'!I620+'ศรีสะเกษ'!I620+'สกลนคร'!I620+'สุรินทร์'!I620+'หนองคาย'!I620+'หนองบัวลำภู'!I620+'อำนาจเจริญ'!I620+'อุดรธานี'!I620+'อุบลราชธานี'!I620</f>
        <v>286</v>
      </c>
      <c r="J620" s="237">
        <f>'กาฬสินธุ์'!J620+'ขอนแก่น'!J620+'ชัยภูมิ'!J620+'นครพนม'!J620+'นครราชสีมา'!J620+'บึงกาฬ'!J620+'บุรีรัมย์'!J620+'มหาสารคาม'!J620+'มุกดาหาร'!J620+'ยโสธร'!J620+'ร้อยเอ็ด'!J620+'เลย'!J620+'ศรีสะเกษ'!J620+'สกลนคร'!J620+'สุรินทร์'!J620+'หนองคาย'!J620+'หนองบัวลำภู'!J620+'อำนาจเจริญ'!J620+'อุดรธานี'!J620+'อุบลราชธานี'!J620</f>
        <v>0</v>
      </c>
      <c r="K620" s="196">
        <f t="shared" ref="K620:K626" si="96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'กาฬสินธุ์'!I621+'ขอนแก่น'!I621+'ชัยภูมิ'!I621+'นครพนม'!I621+'นครราชสีมา'!I621+'บึงกาฬ'!I621+'บุรีรัมย์'!I621+'มหาสารคาม'!I621+'มุกดาหาร'!I621+'ยโสธร'!I621+'ร้อยเอ็ด'!I621+'เลย'!I621+'ศรีสะเกษ'!I621+'สกลนคร'!I621+'สุรินทร์'!I621+'หนองคาย'!I621+'หนองบัวลำภู'!I621+'อำนาจเจริญ'!I621+'อุดรธานี'!I621+'อุบลราชธานี'!I621</f>
        <v>0</v>
      </c>
      <c r="J621" s="237">
        <f>'กาฬสินธุ์'!J621+'ขอนแก่น'!J621+'ชัยภูมิ'!J621+'นครพนม'!J621+'นครราชสีมา'!J621+'บึงกาฬ'!J621+'บุรีรัมย์'!J621+'มหาสารคาม'!J621+'มุกดาหาร'!J621+'ยโสธร'!J621+'ร้อยเอ็ด'!J621+'เลย'!J621+'ศรีสะเกษ'!J621+'สกลนคร'!J621+'สุรินทร์'!J621+'หนองคาย'!J621+'หนองบัวลำภู'!J621+'อำนาจเจริญ'!J621+'อุดรธานี'!J621+'อุบลราชธานี'!J621</f>
        <v>0</v>
      </c>
      <c r="K621" s="196">
        <f t="shared" si="96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'กาฬสินธุ์'!I622+'ขอนแก่น'!I622+'ชัยภูมิ'!I622+'นครพนม'!I622+'นครราชสีมา'!I622+'บึงกาฬ'!I622+'บุรีรัมย์'!I622+'มหาสารคาม'!I622+'มุกดาหาร'!I622+'ยโสธร'!I622+'ร้อยเอ็ด'!I622+'เลย'!I622+'ศรีสะเกษ'!I622+'สกลนคร'!I622+'สุรินทร์'!I622+'หนองคาย'!I622+'หนองบัวลำภู'!I622+'อำนาจเจริญ'!I622+'อุดรธานี'!I622+'อุบลราชธานี'!I622</f>
        <v>0</v>
      </c>
      <c r="J622" s="223">
        <f>'กาฬสินธุ์'!J622+'ขอนแก่น'!J622+'ชัยภูมิ'!J622+'นครพนม'!J622+'นครราชสีมา'!J622+'บึงกาฬ'!J622+'บุรีรัมย์'!J622+'มหาสารคาม'!J622+'มุกดาหาร'!J622+'ยโสธร'!J622+'ร้อยเอ็ด'!J622+'เลย'!J622+'ศรีสะเกษ'!J622+'สกลนคร'!J622+'สุรินทร์'!J622+'หนองคาย'!J622+'หนองบัวลำภู'!J622+'อำนาจเจริญ'!J622+'อุดรธานี'!J622+'อุบลราชธานี'!J622</f>
        <v>0</v>
      </c>
      <c r="K622" s="196">
        <f t="shared" si="96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'กาฬสินธุ์'!I623+'ขอนแก่น'!I623+'ชัยภูมิ'!I623+'นครพนม'!I623+'นครราชสีมา'!I623+'บึงกาฬ'!I623+'บุรีรัมย์'!I623+'มหาสารคาม'!I623+'มุกดาหาร'!I623+'ยโสธร'!I623+'ร้อยเอ็ด'!I623+'เลย'!I623+'ศรีสะเกษ'!I623+'สกลนคร'!I623+'สุรินทร์'!I623+'หนองคาย'!I623+'หนองบัวลำภู'!I623+'อำนาจเจริญ'!I623+'อุดรธานี'!I623+'อุบลราชธานี'!I623</f>
        <v>0</v>
      </c>
      <c r="J623" s="223">
        <f>'กาฬสินธุ์'!J623+'ขอนแก่น'!J623+'ชัยภูมิ'!J623+'นครพนม'!J623+'นครราชสีมา'!J623+'บึงกาฬ'!J623+'บุรีรัมย์'!J623+'มหาสารคาม'!J623+'มุกดาหาร'!J623+'ยโสธร'!J623+'ร้อยเอ็ด'!J623+'เลย'!J623+'ศรีสะเกษ'!J623+'สกลนคร'!J623+'สุรินทร์'!J623+'หนองคาย'!J623+'หนองบัวลำภู'!J623+'อำนาจเจริญ'!J623+'อุดรธานี'!J623+'อุบลราชธานี'!J623</f>
        <v>0</v>
      </c>
      <c r="K623" s="196">
        <f t="shared" si="96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'กาฬสินธุ์'!I624+'ขอนแก่น'!I624+'ชัยภูมิ'!I624+'นครพนม'!I624+'นครราชสีมา'!I624+'บึงกาฬ'!I624+'บุรีรัมย์'!I624+'มหาสารคาม'!I624+'มุกดาหาร'!I624+'ยโสธร'!I624+'ร้อยเอ็ด'!I624+'เลย'!I624+'ศรีสะเกษ'!I624+'สกลนคร'!I624+'สุรินทร์'!I624+'หนองคาย'!I624+'หนองบัวลำภู'!I624+'อำนาจเจริญ'!I624+'อุดรธานี'!I624+'อุบลราชธานี'!I624</f>
        <v>0</v>
      </c>
      <c r="J624" s="222">
        <f>'กาฬสินธุ์'!J624+'ขอนแก่น'!J624+'ชัยภูมิ'!J624+'นครพนม'!J624+'นครราชสีมา'!J624+'บึงกาฬ'!J624+'บุรีรัมย์'!J624+'มหาสารคาม'!J624+'มุกดาหาร'!J624+'ยโสธร'!J624+'ร้อยเอ็ด'!J624+'เลย'!J624+'ศรีสะเกษ'!J624+'สกลนคร'!J624+'สุรินทร์'!J624+'หนองคาย'!J624+'หนองบัวลำภู'!J624+'อำนาจเจริญ'!J624+'อุดรธานี'!J624+'อุบลราชธานี'!J624</f>
        <v>0</v>
      </c>
      <c r="K624" s="196">
        <f t="shared" si="96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'กาฬสินธุ์'!I625+'ขอนแก่น'!I625+'ชัยภูมิ'!I625+'นครพนม'!I625+'นครราชสีมา'!I625+'บึงกาฬ'!I625+'บุรีรัมย์'!I625+'มหาสารคาม'!I625+'มุกดาหาร'!I625+'ยโสธร'!I625+'ร้อยเอ็ด'!I625+'เลย'!I625+'ศรีสะเกษ'!I625+'สกลนคร'!I625+'สุรินทร์'!I625+'หนองคาย'!I625+'หนองบัวลำภู'!I625+'อำนาจเจริญ'!I625+'อุดรธานี'!I625+'อุบลราชธานี'!I625</f>
        <v>0</v>
      </c>
      <c r="J625" s="223">
        <f>'กาฬสินธุ์'!J625+'ขอนแก่น'!J625+'ชัยภูมิ'!J625+'นครพนม'!J625+'นครราชสีมา'!J625+'บึงกาฬ'!J625+'บุรีรัมย์'!J625+'มหาสารคาม'!J625+'มุกดาหาร'!J625+'ยโสธร'!J625+'ร้อยเอ็ด'!J625+'เลย'!J625+'ศรีสะเกษ'!J625+'สกลนคร'!J625+'สุรินทร์'!J625+'หนองคาย'!J625+'หนองบัวลำภู'!J625+'อำนาจเจริญ'!J625+'อุดรธานี'!J625+'อุบลราชธานี'!J625</f>
        <v>0</v>
      </c>
      <c r="K625" s="196">
        <f t="shared" si="96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'กาฬสินธุ์'!I626+'ขอนแก่น'!I626+'ชัยภูมิ'!I626+'นครพนม'!I626+'นครราชสีมา'!I626+'บึงกาฬ'!I626+'บุรีรัมย์'!I626+'มหาสารคาม'!I626+'มุกดาหาร'!I626+'ยโสธร'!I626+'ร้อยเอ็ด'!I626+'เลย'!I626+'ศรีสะเกษ'!I626+'สกลนคร'!I626+'สุรินทร์'!I626+'หนองคาย'!I626+'หนองบัวลำภู'!I626+'อำนาจเจริญ'!I626+'อุดรธานี'!I626+'อุบลราชธานี'!I626</f>
        <v>0</v>
      </c>
      <c r="J626" s="223">
        <f>'กาฬสินธุ์'!J626+'ขอนแก่น'!J626+'ชัยภูมิ'!J626+'นครพนม'!J626+'นครราชสีมา'!J626+'บึงกาฬ'!J626+'บุรีรัมย์'!J626+'มหาสารคาม'!J626+'มุกดาหาร'!J626+'ยโสธร'!J626+'ร้อยเอ็ด'!J626+'เลย'!J626+'ศรีสะเกษ'!J626+'สกลนคร'!J626+'สุรินทร์'!J626+'หนองคาย'!J626+'หนองบัวลำภู'!J626+'อำนาจเจริญ'!J626+'อุดรธานี'!J626+'อุบลราชธานี'!J626</f>
        <v>0</v>
      </c>
      <c r="K626" s="196">
        <f t="shared" si="96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'กาฬสินธุ์'!I628+'ขอนแก่น'!I628+'ชัยภูมิ'!I628+'นครพนม'!I628+'นครราชสีมา'!I628+'บึงกาฬ'!I628+'บุรีรัมย์'!I628+'มหาสารคาม'!I628+'มุกดาหาร'!I628+'ยโสธร'!I628+'ร้อยเอ็ด'!I628+'เลย'!I628+'ศรีสะเกษ'!I628+'สกลนคร'!I628+'สุรินทร์'!I628+'หนองคาย'!I628+'หนองบัวลำภู'!I628+'อำนาจเจริญ'!I628+'อุดรธานี'!I628+'อุบลราชธานี'!I628</f>
        <v>126283653.5</v>
      </c>
      <c r="J628" s="374">
        <f>'กาฬสินธุ์'!J628+'ขอนแก่น'!J628+'ชัยภูมิ'!J628+'นครพนม'!J628+'นครราชสีมา'!J628+'บึงกาฬ'!J628+'บุรีรัมย์'!J628+'มหาสารคาม'!J628+'มุกดาหาร'!J628+'ยโสธร'!J628+'ร้อยเอ็ด'!J628+'เลย'!J628+'ศรีสะเกษ'!J628+'สกลนคร'!J628+'สุรินทร์'!J628+'หนองคาย'!J628+'หนองบัวลำภู'!J628+'อำนาจเจริญ'!J628+'อุดรธานี'!J628+'อุบลราชธานี'!J628</f>
        <v>12139731.17</v>
      </c>
      <c r="K628" s="375">
        <f t="shared" ref="K628:K635" si="97">IF(I628&gt;0,J628*100/I628,0)</f>
        <v>9.613066169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'กาฬสินธุ์'!I629+'ขอนแก่น'!I629+'ชัยภูมิ'!I629+'นครพนม'!I629+'นครราชสีมา'!I629+'บึงกาฬ'!I629+'บุรีรัมย์'!I629+'มหาสารคาม'!I629+'มุกดาหาร'!I629+'ยโสธร'!I629+'ร้อยเอ็ด'!I629+'เลย'!I629+'ศรีสะเกษ'!I629+'สกลนคร'!I629+'สุรินทร์'!I629+'หนองคาย'!I629+'หนองบัวลำภู'!I629+'อำนาจเจริญ'!I629+'อุดรธานี'!I629+'อุบลราชธานี'!I629</f>
        <v>8531</v>
      </c>
      <c r="J629" s="374">
        <f>'กาฬสินธุ์'!J629+'ขอนแก่น'!J629+'ชัยภูมิ'!J629+'นครพนม'!J629+'นครราชสีมา'!J629+'บึงกาฬ'!J629+'บุรีรัมย์'!J629+'มหาสารคาม'!J629+'มุกดาหาร'!J629+'ยโสธร'!J629+'ร้อยเอ็ด'!J629+'เลย'!J629+'ศรีสะเกษ'!J629+'สกลนคร'!J629+'สุรินทร์'!J629+'หนองคาย'!J629+'หนองบัวลำภู'!J629+'อำนาจเจริญ'!J629+'อุดรธานี'!J629+'อุบลราชธานี'!J629</f>
        <v>838</v>
      </c>
      <c r="K629" s="375">
        <f t="shared" si="97"/>
        <v>9.822998476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'กาฬสินธุ์'!I630+'ขอนแก่น'!I630+'ชัยภูมิ'!I630+'นครพนม'!I630+'นครราชสีมา'!I630+'บึงกาฬ'!I630+'บุรีรัมย์'!I630+'มหาสารคาม'!I630+'มุกดาหาร'!I630+'ยโสธร'!I630+'ร้อยเอ็ด'!I630+'เลย'!I630+'ศรีสะเกษ'!I630+'สกลนคร'!I630+'สุรินทร์'!I630+'หนองคาย'!I630+'หนองบัวลำภู'!I630+'อำนาจเจริญ'!I630+'อุดรธานี'!I630+'อุบลราชธานี'!I630</f>
        <v>180959936.5</v>
      </c>
      <c r="J630" s="374">
        <f>'กาฬสินธุ์'!J630+'ขอนแก่น'!J630+'ชัยภูมิ'!J630+'นครพนม'!J630+'นครราชสีมา'!J630+'บึงกาฬ'!J630+'บุรีรัมย์'!J630+'มหาสารคาม'!J630+'มุกดาหาร'!J630+'ยโสธร'!J630+'ร้อยเอ็ด'!J630+'เลย'!J630+'ศรีสะเกษ'!J630+'สกลนคร'!J630+'สุรินทร์'!J630+'หนองคาย'!J630+'หนองบัวลำภู'!J630+'อำนาจเจริญ'!J630+'อุดรธานี'!J630+'อุบลราชธานี'!J630</f>
        <v>10514777.05</v>
      </c>
      <c r="K630" s="375">
        <f t="shared" si="97"/>
        <v>5.810555227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'กาฬสินธุ์'!I631+'ขอนแก่น'!I631+'ชัยภูมิ'!I631+'นครพนม'!I631+'นครราชสีมา'!I631+'บึงกาฬ'!I631+'บุรีรัมย์'!I631+'มหาสารคาม'!I631+'มุกดาหาร'!I631+'ยโสธร'!I631+'ร้อยเอ็ด'!I631+'เลย'!I631+'ศรีสะเกษ'!I631+'สกลนคร'!I631+'สุรินทร์'!I631+'หนองคาย'!I631+'หนองบัวลำภู'!I631+'อำนาจเจริญ'!I631+'อุดรธานี'!I631+'อุบลราชธานี'!I631</f>
        <v>8097</v>
      </c>
      <c r="J631" s="374">
        <f>'กาฬสินธุ์'!J631+'ขอนแก่น'!J631+'ชัยภูมิ'!J631+'นครพนม'!J631+'นครราชสีมา'!J631+'บึงกาฬ'!J631+'บุรีรัมย์'!J631+'มหาสารคาม'!J631+'มุกดาหาร'!J631+'ยโสธร'!J631+'ร้อยเอ็ด'!J631+'เลย'!J631+'ศรีสะเกษ'!J631+'สกลนคร'!J631+'สุรินทร์'!J631+'หนองคาย'!J631+'หนองบัวลำภู'!J631+'อำนาจเจริญ'!J631+'อุดรธานี'!J631+'อุบลราชธานี'!J631</f>
        <v>1910</v>
      </c>
      <c r="K631" s="375">
        <f t="shared" si="97"/>
        <v>23.58898357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'กาฬสินธุ์'!I632+'ขอนแก่น'!I632+'ชัยภูมิ'!I632+'นครพนม'!I632+'นครราชสีมา'!I632+'บึงกาฬ'!I632+'บุรีรัมย์'!I632+'มหาสารคาม'!I632+'มุกดาหาร'!I632+'ยโสธร'!I632+'ร้อยเอ็ด'!I632+'เลย'!I632+'ศรีสะเกษ'!I632+'สกลนคร'!I632+'สุรินทร์'!I632+'หนองคาย'!I632+'หนองบัวลำภู'!I632+'อำนาจเจริญ'!I632+'อุดรธานี'!I632+'อุบลราชธานี'!I632</f>
        <v>10749625.81</v>
      </c>
      <c r="J632" s="374">
        <f>'กาฬสินธุ์'!J632+'ขอนแก่น'!J632+'ชัยภูมิ'!J632+'นครพนม'!J632+'นครราชสีมา'!J632+'บึงกาฬ'!J632+'บุรีรัมย์'!J632+'มหาสารคาม'!J632+'มุกดาหาร'!J632+'ยโสธร'!J632+'ร้อยเอ็ด'!J632+'เลย'!J632+'ศรีสะเกษ'!J632+'สกลนคร'!J632+'สุรินทร์'!J632+'หนองคาย'!J632+'หนองบัวลำภู'!J632+'อำนาจเจริญ'!J632+'อุดรธานี'!J632+'อุบลราชธานี'!J632</f>
        <v>2399070.9</v>
      </c>
      <c r="K632" s="375">
        <f t="shared" si="97"/>
        <v>22.31771545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'กาฬสินธุ์'!I633+'ขอนแก่น'!I633+'ชัยภูมิ'!I633+'นครพนม'!I633+'นครราชสีมา'!I633+'บึงกาฬ'!I633+'บุรีรัมย์'!I633+'มหาสารคาม'!I633+'มุกดาหาร'!I633+'ยโสธร'!I633+'ร้อยเอ็ด'!I633+'เลย'!I633+'ศรีสะเกษ'!I633+'สกลนคร'!I633+'สุรินทร์'!I633+'หนองคาย'!I633+'หนองบัวลำภู'!I633+'อำนาจเจริญ'!I633+'อุดรธานี'!I633+'อุบลราชธานี'!I633</f>
        <v>945</v>
      </c>
      <c r="J633" s="374">
        <f>'กาฬสินธุ์'!J633+'ขอนแก่น'!J633+'ชัยภูมิ'!J633+'นครพนม'!J633+'นครราชสีมา'!J633+'บึงกาฬ'!J633+'บุรีรัมย์'!J633+'มหาสารคาม'!J633+'มุกดาหาร'!J633+'ยโสธร'!J633+'ร้อยเอ็ด'!J633+'เลย'!J633+'ศรีสะเกษ'!J633+'สกลนคร'!J633+'สุรินทร์'!J633+'หนองคาย'!J633+'หนองบัวลำภู'!J633+'อำนาจเจริญ'!J633+'อุดรธานี'!J633+'อุบลราชธานี'!J633</f>
        <v>317</v>
      </c>
      <c r="K633" s="375">
        <f t="shared" si="97"/>
        <v>33.54497354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'กาฬสินธุ์'!I634+'ขอนแก่น'!I634+'ชัยภูมิ'!I634+'นครพนม'!I634+'นครราชสีมา'!I634+'บึงกาฬ'!I634+'บุรีรัมย์'!I634+'มหาสารคาม'!I634+'มุกดาหาร'!I634+'ยโสธร'!I634+'ร้อยเอ็ด'!I634+'เลย'!I634+'ศรีสะเกษ'!I634+'สกลนคร'!I634+'สุรินทร์'!I634+'หนองคาย'!I634+'หนองบัวลำภู'!I634+'อำนาจเจริญ'!I634+'อุดรธานี'!I634+'อุบลราชธานี'!I634</f>
        <v>120130000</v>
      </c>
      <c r="J634" s="374">
        <f>'กาฬสินธุ์'!J634+'ขอนแก่น'!J634+'ชัยภูมิ'!J634+'นครพนม'!J634+'นครราชสีมา'!J634+'บึงกาฬ'!J634+'บุรีรัมย์'!J634+'มหาสารคาม'!J634+'มุกดาหาร'!J634+'ยโสธร'!J634+'ร้อยเอ็ด'!J634+'เลย'!J634+'ศรีสะเกษ'!J634+'สกลนคร'!J634+'สุรินทร์'!J634+'หนองคาย'!J634+'หนองบัวลำภู'!J634+'อำนาจเจริญ'!J634+'อุดรธานี'!J634+'อุบลราชธานี'!J634</f>
        <v>1170000</v>
      </c>
      <c r="K634" s="375">
        <f t="shared" si="97"/>
        <v>0.973944893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'กาฬสินธุ์'!I635+'ขอนแก่น'!I635+'ชัยภูมิ'!I635+'นครพนม'!I635+'นครราชสีมา'!I635+'บึงกาฬ'!I635+'บุรีรัมย์'!I635+'มหาสารคาม'!I635+'มุกดาหาร'!I635+'ยโสธร'!I635+'ร้อยเอ็ด'!I635+'เลย'!I635+'ศรีสะเกษ'!I635+'สกลนคร'!I635+'สุรินทร์'!I635+'หนองคาย'!I635+'หนองบัวลำภู'!I635+'อำนาจเจริญ'!I635+'อุดรธานี'!I635+'อุบลราชธานี'!I635</f>
        <v>3206</v>
      </c>
      <c r="J635" s="544">
        <f>'กาฬสินธุ์'!J635+'ขอนแก่น'!J635+'ชัยภูมิ'!J635+'นครพนม'!J635+'นครราชสีมา'!J635+'บึงกาฬ'!J635+'บุรีรัมย์'!J635+'มหาสารคาม'!J635+'มุกดาหาร'!J635+'ยโสธร'!J635+'ร้อยเอ็ด'!J635+'เลย'!J635+'ศรีสะเกษ'!J635+'สกลนคร'!J635+'สุรินทร์'!J635+'หนองคาย'!J635+'หนองบัวลำภู'!J635+'อำนาจเจริญ'!J635+'อุดรธานี'!J635+'อุบลราชธานี'!J635</f>
        <v>40</v>
      </c>
      <c r="K635" s="519">
        <f t="shared" si="97"/>
        <v>1.247660636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5932383</v>
      </c>
      <c r="M8" s="41">
        <f t="shared" si="1"/>
        <v>1737885</v>
      </c>
      <c r="N8" s="41">
        <f t="shared" si="1"/>
        <v>1462039</v>
      </c>
      <c r="O8" s="40">
        <f t="shared" ref="O8:O16" si="3">IF(L8&gt;0,N8*100/L8,0)</f>
        <v>24.6450541</v>
      </c>
      <c r="P8" s="40">
        <f t="shared" ref="P8:P16" si="4">IF(M8&gt;0,N8*100/M8,0)</f>
        <v>84.1274883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5932383</v>
      </c>
      <c r="M10" s="48">
        <f t="shared" si="5"/>
        <v>1737885</v>
      </c>
      <c r="N10" s="48">
        <f t="shared" si="5"/>
        <v>1462039</v>
      </c>
      <c r="O10" s="47">
        <f t="shared" si="3"/>
        <v>24.6450541</v>
      </c>
      <c r="P10" s="47">
        <f t="shared" si="4"/>
        <v>84.1274883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5692983</v>
      </c>
      <c r="M12" s="58">
        <f t="shared" si="7"/>
        <v>1737885</v>
      </c>
      <c r="N12" s="58">
        <f t="shared" si="7"/>
        <v>1323039</v>
      </c>
      <c r="O12" s="58">
        <f t="shared" si="3"/>
        <v>23.23981997</v>
      </c>
      <c r="P12" s="58">
        <f t="shared" si="4"/>
        <v>76.12926057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1816700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3876283</v>
      </c>
      <c r="M14" s="58">
        <f t="shared" si="9"/>
        <v>0</v>
      </c>
      <c r="N14" s="58">
        <f t="shared" si="9"/>
        <v>381520</v>
      </c>
      <c r="O14" s="61">
        <f t="shared" si="3"/>
        <v>9.842418626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239400</v>
      </c>
      <c r="M16" s="58">
        <f t="shared" si="11"/>
        <v>0</v>
      </c>
      <c r="N16" s="58">
        <f t="shared" si="11"/>
        <v>139000</v>
      </c>
      <c r="O16" s="70">
        <f t="shared" si="3"/>
        <v>58.06182122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3420905</v>
      </c>
      <c r="M18" s="41">
        <f t="shared" si="12"/>
        <v>1737885</v>
      </c>
      <c r="N18" s="41">
        <f t="shared" si="12"/>
        <v>1080519</v>
      </c>
      <c r="O18" s="40">
        <f t="shared" ref="O18:O20" si="14">IF(L18&gt;0,N18*100/L18,0)</f>
        <v>31.58576459</v>
      </c>
      <c r="P18" s="40">
        <f t="shared" ref="P18:P26" si="15">IF(M18&gt;0,N18*100/M18,0)</f>
        <v>62.17436712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3420905</v>
      </c>
      <c r="M20" s="48">
        <f t="shared" si="16"/>
        <v>1737885</v>
      </c>
      <c r="N20" s="48">
        <f t="shared" si="16"/>
        <v>1080519</v>
      </c>
      <c r="O20" s="47">
        <f t="shared" si="14"/>
        <v>31.58576459</v>
      </c>
      <c r="P20" s="47">
        <f t="shared" si="15"/>
        <v>62.17436712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3181505</v>
      </c>
      <c r="M22" s="62">
        <f t="shared" si="18"/>
        <v>1737885</v>
      </c>
      <c r="N22" s="61">
        <f t="shared" si="18"/>
        <v>941519</v>
      </c>
      <c r="O22" s="61">
        <f t="shared" si="19"/>
        <v>29.59350999</v>
      </c>
      <c r="P22" s="61">
        <f t="shared" si="15"/>
        <v>54.17613939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1816700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1364805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239400</v>
      </c>
      <c r="M26" s="70">
        <f t="shared" si="23"/>
        <v>0</v>
      </c>
      <c r="N26" s="70">
        <f t="shared" si="23"/>
        <v>139000</v>
      </c>
      <c r="O26" s="70">
        <f t="shared" si="19"/>
        <v>58.06182122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2511478</v>
      </c>
      <c r="M28" s="41">
        <f t="shared" si="24"/>
        <v>0</v>
      </c>
      <c r="N28" s="41">
        <f t="shared" si="24"/>
        <v>381520</v>
      </c>
      <c r="O28" s="40">
        <f t="shared" ref="O28:O30" si="26">IF(L28&gt;0,N28*100/L28,0)</f>
        <v>15.19105483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2511478</v>
      </c>
      <c r="M30" s="48">
        <f t="shared" si="28"/>
        <v>0</v>
      </c>
      <c r="N30" s="48">
        <f t="shared" si="28"/>
        <v>381520</v>
      </c>
      <c r="O30" s="47">
        <f t="shared" si="26"/>
        <v>15.19105483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2511478</v>
      </c>
      <c r="M32" s="61">
        <f t="shared" si="30"/>
        <v>0</v>
      </c>
      <c r="N32" s="61">
        <f t="shared" si="30"/>
        <v>381520</v>
      </c>
      <c r="O32" s="61">
        <f t="shared" si="31"/>
        <v>15.19105483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2511478</v>
      </c>
      <c r="M34" s="61">
        <f t="shared" si="33"/>
        <v>0</v>
      </c>
      <c r="N34" s="61">
        <f t="shared" si="33"/>
        <v>381520</v>
      </c>
      <c r="O34" s="61">
        <f t="shared" si="31"/>
        <v>15.19105483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3420905</v>
      </c>
      <c r="M37" s="75">
        <f t="shared" si="34"/>
        <v>1737885</v>
      </c>
      <c r="N37" s="75">
        <f t="shared" si="34"/>
        <v>1080519</v>
      </c>
      <c r="O37" s="76">
        <f t="shared" si="31"/>
        <v>31.58576459</v>
      </c>
      <c r="P37" s="76">
        <f t="shared" si="27"/>
        <v>62.17436712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694100</v>
      </c>
      <c r="M41" s="102">
        <f t="shared" si="35"/>
        <v>347000</v>
      </c>
      <c r="N41" s="102">
        <f t="shared" si="35"/>
        <v>246240</v>
      </c>
      <c r="O41" s="101">
        <f t="shared" ref="O41:O43" si="37">IF(L41&gt;0,N41*100/L41,0)</f>
        <v>35.47615617</v>
      </c>
      <c r="P41" s="101">
        <f t="shared" ref="P41:P43" si="38">IF(M41&gt;0,N41*100/M41,0)</f>
        <v>70.96253602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694100</v>
      </c>
      <c r="M43" s="102">
        <f t="shared" si="39"/>
        <v>347000</v>
      </c>
      <c r="N43" s="102">
        <f t="shared" si="39"/>
        <v>246240</v>
      </c>
      <c r="O43" s="101">
        <f t="shared" si="37"/>
        <v>35.47615617</v>
      </c>
      <c r="P43" s="101">
        <f t="shared" si="38"/>
        <v>70.96253602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694100</v>
      </c>
      <c r="M45" s="115">
        <f>IFERROR(__xludf.DUMMYFUNCTION("IMPORTRANGE(""https://docs.google.com/spreadsheets/d/1Yj_ptqi66GCucihVvJfMjLAmec39IyEx_6qawtMGysU/edit?usp=sharing"",""สบก!Q46"")"),347000.0)</f>
        <v>347000</v>
      </c>
      <c r="N45" s="115">
        <f>IFERROR(__xludf.DUMMYFUNCTION("IMPORTRANGE(""https://docs.google.com/spreadsheets/d/1Yj_ptqi66GCucihVvJfMjLAmec39IyEx_6qawtMGysU/edit?usp=sharing"",""สบก!R46"")"),246240.0)</f>
        <v>246240</v>
      </c>
      <c r="O45" s="116">
        <f>IF(L45&gt;0,N45*100/L45,0)</f>
        <v>35.47615617</v>
      </c>
      <c r="P45" s="116">
        <f>IF(M45&gt;0,N45*100/M45,0)</f>
        <v>70.96253602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IFERROR(__xludf.DUMMYFUNCTION("IMPORTRANGE(""https://docs.google.com/spreadsheets/d/1Yj_ptqi66GCucihVvJfMjLAmec39IyEx_6qawtMGysU/edit?usp=sharing"",""สบก!M46"")"),694100.0)</f>
        <v>694100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IFERROR(__xludf.DUMMYFUNCTION("IMPORTRANGE(""https://docs.google.com/spreadsheets/d/1Yj_ptqi66GCucihVvJfMjLAmec39IyEx_6qawtMGysU/edit?usp=sharing"",""สบก!N46"")"),0.0)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IFERROR(__xludf.DUMMYFUNCTION("IMPORTRANGE(""https://docs.google.com/spreadsheets/d/1Yj_ptqi66GCucihVvJfMjLAmec39IyEx_6qawtMGysU/edit?usp=sharing"",""สบก!O46"")"),0.0)</f>
        <v>0</v>
      </c>
      <c r="M49" s="125"/>
      <c r="N49" s="115">
        <f>IFERROR(__xludf.DUMMYFUNCTION("IMPORTRANGE(""https://docs.google.com/spreadsheets/d/1Yj_ptqi66GCucihVvJfMjLAmec39IyEx_6qawtMGysU/edit?usp=sharing"",""สบก!S46"")"),0.0)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490800</v>
      </c>
      <c r="M53" s="151">
        <f t="shared" si="40"/>
        <v>245400</v>
      </c>
      <c r="N53" s="151">
        <f t="shared" si="40"/>
        <v>158265</v>
      </c>
      <c r="O53" s="150">
        <f t="shared" ref="O53:O55" si="42">IF(L53&gt;0,N53*100/L53,0)</f>
        <v>32.24633252</v>
      </c>
      <c r="P53" s="150">
        <f t="shared" ref="P53:P55" si="43">IF(M53&gt;0,N53*100/M53,0)</f>
        <v>64.49266504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490800</v>
      </c>
      <c r="M55" s="151">
        <f t="shared" si="44"/>
        <v>245400</v>
      </c>
      <c r="N55" s="151">
        <f t="shared" si="44"/>
        <v>158265</v>
      </c>
      <c r="O55" s="150">
        <f t="shared" si="42"/>
        <v>32.24633252</v>
      </c>
      <c r="P55" s="150">
        <f t="shared" si="43"/>
        <v>64.49266504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490800</v>
      </c>
      <c r="M57" s="115">
        <f>IFERROR(__xludf.DUMMYFUNCTION("IMPORTRANGE(""https://docs.google.com/spreadsheets/d/1Yj_ptqi66GCucihVvJfMjLAmec39IyEx_6qawtMGysU/edit?usp=sharing"",""สบก!Z46"")"),245400.0)</f>
        <v>245400</v>
      </c>
      <c r="N57" s="115">
        <f>IFERROR(__xludf.DUMMYFUNCTION("IMPORTRANGE(""https://docs.google.com/spreadsheets/d/1Yj_ptqi66GCucihVvJfMjLAmec39IyEx_6qawtMGysU/edit?usp=sharing"",""สบก!AA46"")"),158265.0)</f>
        <v>158265</v>
      </c>
      <c r="O57" s="116">
        <f>IF(L57&gt;0,N57*100/L57,0)</f>
        <v>32.24633252</v>
      </c>
      <c r="P57" s="116">
        <f>IF(M57&gt;0,N57*100/M57,0)</f>
        <v>64.49266504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IFERROR(__xludf.DUMMYFUNCTION("IMPORTRANGE(""https://docs.google.com/spreadsheets/d/1Yj_ptqi66GCucihVvJfMjLAmec39IyEx_6qawtMGysU/edit?usp=sharing"",""สบก!V46"")"),490800.0)</f>
        <v>490800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IFERROR(__xludf.DUMMYFUNCTION("IMPORTRANGE(""https://docs.google.com/spreadsheets/d/1Yj_ptqi66GCucihVvJfMjLAmec39IyEx_6qawtMGysU/edit?usp=sharing"",""สบก!W46"")"),0.0)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IFERROR(__xludf.DUMMYFUNCTION("IMPORTRANGE(""https://docs.google.com/spreadsheets/d/1Yj_ptqi66GCucihVvJfMjLAmec39IyEx_6qawtMGysU/edit?usp=sharing"",""สบก!X46"")"),0.0)</f>
        <v>0</v>
      </c>
      <c r="M61" s="125"/>
      <c r="N61" s="115">
        <f>IFERROR(__xludf.DUMMYFUNCTION("IMPORTRANGE(""https://docs.google.com/spreadsheets/d/1Yj_ptqi66GCucihVvJfMjLAmec39IyEx_6qawtMGysU/edit?usp=sharing"",""สบก!AB46"")"),0.0)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IFERROR(__xludf.DUMMYFUNCTION("IMPORTRANGE(""https://docs.google.com/spreadsheets/d/1XL5vhW3sbDhbH9Cz0tuDiY8C3ctxq1tqvaCgkFb8cCA/edit?usp=sharing"",""มุกดาหาร!I9"")"),2.0)</f>
        <v>2</v>
      </c>
      <c r="J64" s="172">
        <f>IFERROR(__xludf.DUMMYFUNCTION("IMPORTRANGE(""https://docs.google.com/spreadsheets/d/1XL5vhW3sbDhbH9Cz0tuDiY8C3ctxq1tqvaCgkFb8cCA/edit?usp=sharing"",""มุกดาหาร!J9"")"),0.0)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IFERROR(__xludf.DUMMYFUNCTION("IMPORTRANGE(""https://docs.google.com/spreadsheets/d/1XL5vhW3sbDhbH9Cz0tuDiY8C3ctxq1tqvaCgkFb8cCA/edit?usp=sharing"",""มุกดาหาร!I10"")"),80.0)</f>
        <v>80</v>
      </c>
      <c r="J65" s="172">
        <f>IFERROR(__xludf.DUMMYFUNCTION("IMPORTRANGE(""https://docs.google.com/spreadsheets/d/1XL5vhW3sbDhbH9Cz0tuDiY8C3ctxq1tqvaCgkFb8cCA/edit?usp=sharing"",""มุกดาหาร!J10"")"),0.0)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875800</v>
      </c>
      <c r="M66" s="183">
        <f t="shared" si="46"/>
        <v>510400</v>
      </c>
      <c r="N66" s="183">
        <f t="shared" si="46"/>
        <v>167823</v>
      </c>
      <c r="O66" s="182">
        <f t="shared" ref="O66:O68" si="48">IF(L66&gt;0,N66*100/L66,0)</f>
        <v>19.16225166</v>
      </c>
      <c r="P66" s="182">
        <f t="shared" ref="P66:P68" si="49">IF(M66&gt;0,N66*100/M66,0)</f>
        <v>32.88068182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875800</v>
      </c>
      <c r="M68" s="188">
        <f t="shared" si="50"/>
        <v>510400</v>
      </c>
      <c r="N68" s="188">
        <f t="shared" si="50"/>
        <v>167823</v>
      </c>
      <c r="O68" s="187">
        <f t="shared" si="48"/>
        <v>19.16225166</v>
      </c>
      <c r="P68" s="187">
        <f t="shared" si="49"/>
        <v>32.88068182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875800</v>
      </c>
      <c r="M70" s="201">
        <f>IFERROR(__xludf.DUMMYFUNCTION("IMPORTRANGE(""https://docs.google.com/spreadsheets/d/1Yj_ptqi66GCucihVvJfMjLAmec39IyEx_6qawtMGysU/edit?usp=sharing"",""สบก!AI46"")"),510400.0)</f>
        <v>510400</v>
      </c>
      <c r="N70" s="202">
        <f>IFERROR(__xludf.DUMMYFUNCTION("IMPORTRANGE(""https://docs.google.com/spreadsheets/d/1Yj_ptqi66GCucihVvJfMjLAmec39IyEx_6qawtMGysU/edit?usp=sharing"",""สบก!AJ46"")"),167823.0)</f>
        <v>167823</v>
      </c>
      <c r="O70" s="203">
        <f>IF(L70&gt;0,N70*100/L70,0)</f>
        <v>19.16225166</v>
      </c>
      <c r="P70" s="203">
        <f>IF(M70&gt;0,N70*100/M70,0)</f>
        <v>32.88068182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IFERROR(__xludf.DUMMYFUNCTION("IMPORTRANGE(""https://docs.google.com/spreadsheets/d/1Yj_ptqi66GCucihVvJfMjLAmec39IyEx_6qawtMGysU/edit?usp=sharing"",""สบก!AE46"")"),193800.0)</f>
        <v>193800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IFERROR(__xludf.DUMMYFUNCTION("IMPORTRANGE(""https://docs.google.com/spreadsheets/d/1Yj_ptqi66GCucihVvJfMjLAmec39IyEx_6qawtMGysU/edit?usp=sharing"",""สบก!AF46"")"),682000.0)</f>
        <v>682000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IFERROR(__xludf.DUMMYFUNCTION("IMPORTRANGE(""https://docs.google.com/spreadsheets/d/1Yj_ptqi66GCucihVvJfMjLAmec39IyEx_6qawtMGysU/edit?usp=sharing"",""สบก!AG46"")"),0.0)</f>
        <v>0</v>
      </c>
      <c r="M74" s="125"/>
      <c r="N74" s="115">
        <f>IFERROR(__xludf.DUMMYFUNCTION("IMPORTRANGE(""https://docs.google.com/spreadsheets/d/1Yj_ptqi66GCucihVvJfMjLAmec39IyEx_6qawtMGysU/edit?usp=sharing"",""สบก!AK46"")"),0.0)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IFERROR(__xludf.DUMMYFUNCTION("IMPORTRANGE(""https://docs.google.com/spreadsheets/d/1XL5vhW3sbDhbH9Cz0tuDiY8C3ctxq1tqvaCgkFb8cCA/edit?usp=sharing"",""มุกดาหาร!J16"")"),0.0)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IFERROR(__xludf.DUMMYFUNCTION("IMPORTRANGE(""https://docs.google.com/spreadsheets/d/1XL5vhW3sbDhbH9Cz0tuDiY8C3ctxq1tqvaCgkFb8cCA/edit?usp=sharing"",""มุกดาหาร!J17"")"),1.0)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IFERROR(__xludf.DUMMYFUNCTION("IMPORTRANGE(""https://docs.google.com/spreadsheets/d/1XL5vhW3sbDhbH9Cz0tuDiY8C3ctxq1tqvaCgkFb8cCA/edit?usp=sharing"",""มุกดาหาร!J18"")"),1.0)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IFERROR(__xludf.DUMMYFUNCTION("IMPORTRANGE(""https://docs.google.com/spreadsheets/d/1XL5vhW3sbDhbH9Cz0tuDiY8C3ctxq1tqvaCgkFb8cCA/edit?usp=sharing"",""มุกดาหาร!J19"")"),1.0)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IFERROR(__xludf.DUMMYFUNCTION("IMPORTRANGE(""https://docs.google.com/spreadsheets/d/1XL5vhW3sbDhbH9Cz0tuDiY8C3ctxq1tqvaCgkFb8cCA/edit?usp=sharing"",""มุกดาหาร!I20"")"),2.0)</f>
        <v>2</v>
      </c>
      <c r="J80" s="235">
        <f>IFERROR(__xludf.DUMMYFUNCTION("IMPORTRANGE(""https://docs.google.com/spreadsheets/d/1XL5vhW3sbDhbH9Cz0tuDiY8C3ctxq1tqvaCgkFb8cCA/edit?usp=sharing"",""มุกดาหาร!J20"")"),0.0)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IFERROR(__xludf.DUMMYFUNCTION("IMPORTRANGE(""https://docs.google.com/spreadsheets/d/1XL5vhW3sbDhbH9Cz0tuDiY8C3ctxq1tqvaCgkFb8cCA/edit?usp=sharing"",""มุกดาหาร!I21"")"),80.0)</f>
        <v>80</v>
      </c>
      <c r="J81" s="235">
        <f>IFERROR(__xludf.DUMMYFUNCTION("IMPORTRANGE(""https://docs.google.com/spreadsheets/d/1XL5vhW3sbDhbH9Cz0tuDiY8C3ctxq1tqvaCgkFb8cCA/edit?usp=sharing"",""มุกดาหาร!J21"")"),0.0)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IFERROR(__xludf.DUMMYFUNCTION("IMPORTRANGE(""https://docs.google.com/spreadsheets/d/1XL5vhW3sbDhbH9Cz0tuDiY8C3ctxq1tqvaCgkFb8cCA/edit?usp=sharing"",""มุกดาหาร!I22"")"),0.0)</f>
        <v>0</v>
      </c>
      <c r="J82" s="238">
        <f>IFERROR(__xludf.DUMMYFUNCTION("IMPORTRANGE(""https://docs.google.com/spreadsheets/d/1XL5vhW3sbDhbH9Cz0tuDiY8C3ctxq1tqvaCgkFb8cCA/edit?usp=sharing"",""มุกดาหาร!J22"")"),0.0)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IFERROR(__xludf.DUMMYFUNCTION("IMPORTRANGE(""https://docs.google.com/spreadsheets/d/1XL5vhW3sbDhbH9Cz0tuDiY8C3ctxq1tqvaCgkFb8cCA/edit?usp=sharing"",""มุกดาหาร!I23"")"),0.0)</f>
        <v>0</v>
      </c>
      <c r="J83" s="238">
        <f>IFERROR(__xludf.DUMMYFUNCTION("IMPORTRANGE(""https://docs.google.com/spreadsheets/d/1XL5vhW3sbDhbH9Cz0tuDiY8C3ctxq1tqvaCgkFb8cCA/edit?usp=sharing"",""มุกดาหาร!J23"")"),0.0)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IFERROR(__xludf.DUMMYFUNCTION("IMPORTRANGE(""https://docs.google.com/spreadsheets/d/1XL5vhW3sbDhbH9Cz0tuDiY8C3ctxq1tqvaCgkFb8cCA/edit?usp=sharing"",""มุกดาหาร!I24"")"),1.0)</f>
        <v>1</v>
      </c>
      <c r="J84" s="223">
        <f>IFERROR(__xludf.DUMMYFUNCTION("IMPORTRANGE(""https://docs.google.com/spreadsheets/d/1XL5vhW3sbDhbH9Cz0tuDiY8C3ctxq1tqvaCgkFb8cCA/edit?usp=sharing"",""มุกดาหาร!J24"")"),0.0)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IFERROR(__xludf.DUMMYFUNCTION("IMPORTRANGE(""https://docs.google.com/spreadsheets/d/1XL5vhW3sbDhbH9Cz0tuDiY8C3ctxq1tqvaCgkFb8cCA/edit?usp=sharing"",""มุกดาหาร!I25"")"),30.0)</f>
        <v>30</v>
      </c>
      <c r="J85" s="223">
        <f>IFERROR(__xludf.DUMMYFUNCTION("IMPORTRANGE(""https://docs.google.com/spreadsheets/d/1XL5vhW3sbDhbH9Cz0tuDiY8C3ctxq1tqvaCgkFb8cCA/edit?usp=sharing"",""มุกดาหาร!J25"")"),0.0)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IFERROR(__xludf.DUMMYFUNCTION("IMPORTRANGE(""https://docs.google.com/spreadsheets/d/1XL5vhW3sbDhbH9Cz0tuDiY8C3ctxq1tqvaCgkFb8cCA/edit?usp=sharing"",""มุกดาหาร!I26"")"),1.0)</f>
        <v>1</v>
      </c>
      <c r="J86" s="238">
        <f>IFERROR(__xludf.DUMMYFUNCTION("IMPORTRANGE(""https://docs.google.com/spreadsheets/d/1XL5vhW3sbDhbH9Cz0tuDiY8C3ctxq1tqvaCgkFb8cCA/edit?usp=sharing"",""มุกดาหาร!J26"")"),0.0)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IFERROR(__xludf.DUMMYFUNCTION("IMPORTRANGE(""https://docs.google.com/spreadsheets/d/1XL5vhW3sbDhbH9Cz0tuDiY8C3ctxq1tqvaCgkFb8cCA/edit?usp=sharing"",""มุกดาหาร!I27"")"),50.0)</f>
        <v>50</v>
      </c>
      <c r="J87" s="238">
        <f>IFERROR(__xludf.DUMMYFUNCTION("IMPORTRANGE(""https://docs.google.com/spreadsheets/d/1XL5vhW3sbDhbH9Cz0tuDiY8C3ctxq1tqvaCgkFb8cCA/edit?usp=sharing"",""มุกดาหาร!J27"")"),0.0)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IFERROR(__xludf.DUMMYFUNCTION("IMPORTRANGE(""https://docs.google.com/spreadsheets/d/1XL5vhW3sbDhbH9Cz0tuDiY8C3ctxq1tqvaCgkFb8cCA/edit?usp=sharing"",""มุกดาหาร!I28"")"),0.0)</f>
        <v>0</v>
      </c>
      <c r="J88" s="238">
        <f>IFERROR(__xludf.DUMMYFUNCTION("IMPORTRANGE(""https://docs.google.com/spreadsheets/d/1XL5vhW3sbDhbH9Cz0tuDiY8C3ctxq1tqvaCgkFb8cCA/edit?usp=sharing"",""มุกดาหาร!J28"")"),0.0)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IFERROR(__xludf.DUMMYFUNCTION("IMPORTRANGE(""https://docs.google.com/spreadsheets/d/1XL5vhW3sbDhbH9Cz0tuDiY8C3ctxq1tqvaCgkFb8cCA/edit?usp=sharing"",""มุกดาหาร!J29"")"),0.0)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IFERROR(__xludf.DUMMYFUNCTION("IMPORTRANGE(""https://docs.google.com/spreadsheets/d/1XL5vhW3sbDhbH9Cz0tuDiY8C3ctxq1tqvaCgkFb8cCA/edit?usp=sharing"",""มุกดาหาร!J30"")"),0.0)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IFERROR(__xludf.DUMMYFUNCTION("IMPORTRANGE(""https://docs.google.com/spreadsheets/d/1XL5vhW3sbDhbH9Cz0tuDiY8C3ctxq1tqvaCgkFb8cCA/edit?usp=sharing"",""มุกดาหาร!I32"")"),4.0)</f>
        <v>4</v>
      </c>
      <c r="J92" s="172">
        <f>IFERROR(__xludf.DUMMYFUNCTION("IMPORTRANGE(""https://docs.google.com/spreadsheets/d/1XL5vhW3sbDhbH9Cz0tuDiY8C3ctxq1tqvaCgkFb8cCA/edit?usp=sharing"",""มุกดาหาร!J32"")"),0.0)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IFERROR(__xludf.DUMMYFUNCTION("IMPORTRANGE(""https://docs.google.com/spreadsheets/d/1XL5vhW3sbDhbH9Cz0tuDiY8C3ctxq1tqvaCgkFb8cCA/edit?usp=sharing"",""มุกดาหาร!I33"")"),1.0)</f>
        <v>1</v>
      </c>
      <c r="J93" s="172">
        <f>IFERROR(__xludf.DUMMYFUNCTION("IMPORTRANGE(""https://docs.google.com/spreadsheets/d/1XL5vhW3sbDhbH9Cz0tuDiY8C3ctxq1tqvaCgkFb8cCA/edit?usp=sharing"",""มุกดาหาร!J33"")"),0.0)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41428</v>
      </c>
      <c r="O94" s="182">
        <f t="shared" ref="O94:O96" si="55">IF(L94&gt;0,N94*100/L94,0)</f>
        <v>19.31375291</v>
      </c>
      <c r="P94" s="182">
        <f t="shared" ref="P94:P96" si="56">IF(M94&gt;0,N94*100/M94,0)</f>
        <v>60.27644406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41428</v>
      </c>
      <c r="O96" s="187">
        <f t="shared" si="55"/>
        <v>19.31375291</v>
      </c>
      <c r="P96" s="187">
        <f t="shared" si="56"/>
        <v>60.27644406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IFERROR(__xludf.DUMMYFUNCTION("IMPORTRANGE(""https://docs.google.com/spreadsheets/d/1Yj_ptqi66GCucihVvJfMjLAmec39IyEx_6qawtMGysU/edit?usp=sharing"",""สบก!AR46"")"),68730.0)</f>
        <v>68730</v>
      </c>
      <c r="N98" s="202">
        <f>IFERROR(__xludf.DUMMYFUNCTION("IMPORTRANGE(""https://docs.google.com/spreadsheets/d/1Yj_ptqi66GCucihVvJfMjLAmec39IyEx_6qawtMGysU/edit?usp=sharing"",""สบก!AS46"")"),41428.0)</f>
        <v>41428</v>
      </c>
      <c r="O98" s="203">
        <f>IF(L98&gt;0,N98*100/L98,0)</f>
        <v>33.92956593</v>
      </c>
      <c r="P98" s="203">
        <f>IF(M98&gt;0,N98*100/M98,0)</f>
        <v>60.27644406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IFERROR(__xludf.DUMMYFUNCTION("IMPORTRANGE(""https://docs.google.com/spreadsheets/d/1Yj_ptqi66GCucihVvJfMjLAmec39IyEx_6qawtMGysU/edit?usp=sharing"",""สบก!AN46"")"),0.0)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IFERROR(__xludf.DUMMYFUNCTION("IMPORTRANGE(""https://docs.google.com/spreadsheets/d/1Yj_ptqi66GCucihVvJfMjLAmec39IyEx_6qawtMGysU/edit?usp=sharing"",""สบก!AO46"")"),122100.0)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IFERROR(__xludf.DUMMYFUNCTION("IMPORTRANGE(""https://docs.google.com/spreadsheets/d/1Yj_ptqi66GCucihVvJfMjLAmec39IyEx_6qawtMGysU/edit?usp=sharing"",""สบก!AP46"")"),92400.0)</f>
        <v>92400</v>
      </c>
      <c r="M102" s="125"/>
      <c r="N102" s="115">
        <f>IFERROR(__xludf.DUMMYFUNCTION("IMPORTRANGE(""https://docs.google.com/spreadsheets/d/1Yj_ptqi66GCucihVvJfMjLAmec39IyEx_6qawtMGysU/edit?usp=sharing"",""สบก!AT46"")"),0.0)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IFERROR(__xludf.DUMMYFUNCTION("IMPORTRANGE(""https://docs.google.com/spreadsheets/d/1XL5vhW3sbDhbH9Cz0tuDiY8C3ctxq1tqvaCgkFb8cCA/edit?usp=sharing"",""มุกดาหาร!J39"")"),0.0)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IFERROR(__xludf.DUMMYFUNCTION("IMPORTRANGE(""https://docs.google.com/spreadsheets/d/1XL5vhW3sbDhbH9Cz0tuDiY8C3ctxq1tqvaCgkFb8cCA/edit?usp=sharing"",""มุกดาหาร!J40"")"),1.0)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IFERROR(__xludf.DUMMYFUNCTION("IMPORTRANGE(""https://docs.google.com/spreadsheets/d/1XL5vhW3sbDhbH9Cz0tuDiY8C3ctxq1tqvaCgkFb8cCA/edit?usp=sharing"",""มุกดาหาร!J41"")"),0.0)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IFERROR(__xludf.DUMMYFUNCTION("IMPORTRANGE(""https://docs.google.com/spreadsheets/d/1XL5vhW3sbDhbH9Cz0tuDiY8C3ctxq1tqvaCgkFb8cCA/edit?usp=sharing"",""มุกดาหาร!J42"")"),0.0)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IFERROR(__xludf.DUMMYFUNCTION("IMPORTRANGE(""https://docs.google.com/spreadsheets/d/1XL5vhW3sbDhbH9Cz0tuDiY8C3ctxq1tqvaCgkFb8cCA/edit?usp=sharing"",""มุกดาหาร!I43"")"),1.0)</f>
        <v>1</v>
      </c>
      <c r="J108" s="238">
        <f>IFERROR(__xludf.DUMMYFUNCTION("IMPORTRANGE(""https://docs.google.com/spreadsheets/d/1XL5vhW3sbDhbH9Cz0tuDiY8C3ctxq1tqvaCgkFb8cCA/edit?usp=sharing"",""มุกดาหาร!J43"")"),0.0)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IFERROR(__xludf.DUMMYFUNCTION("IMPORTRANGE(""https://docs.google.com/spreadsheets/d/1XL5vhW3sbDhbH9Cz0tuDiY8C3ctxq1tqvaCgkFb8cCA/edit?usp=sharing"",""มุกดาหาร!I44"")"),4.0)</f>
        <v>4</v>
      </c>
      <c r="J109" s="238">
        <f>IFERROR(__xludf.DUMMYFUNCTION("IMPORTRANGE(""https://docs.google.com/spreadsheets/d/1XL5vhW3sbDhbH9Cz0tuDiY8C3ctxq1tqvaCgkFb8cCA/edit?usp=sharing"",""มุกดาหาร!J44"")"),0.0)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IFERROR(__xludf.DUMMYFUNCTION("IMPORTRANGE(""https://docs.google.com/spreadsheets/d/1XL5vhW3sbDhbH9Cz0tuDiY8C3ctxq1tqvaCgkFb8cCA/edit?usp=sharing"",""มุกดาหาร!I45"")"),4.0)</f>
        <v>4</v>
      </c>
      <c r="J110" s="238">
        <f>IFERROR(__xludf.DUMMYFUNCTION("IMPORTRANGE(""https://docs.google.com/spreadsheets/d/1XL5vhW3sbDhbH9Cz0tuDiY8C3ctxq1tqvaCgkFb8cCA/edit?usp=sharing"",""มุกดาหาร!J45"")"),0.0)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IFERROR(__xludf.DUMMYFUNCTION("IMPORTRANGE(""https://docs.google.com/spreadsheets/d/1XL5vhW3sbDhbH9Cz0tuDiY8C3ctxq1tqvaCgkFb8cCA/edit?usp=sharing"",""มุกดาหาร!I46"")"),4.0)</f>
        <v>4</v>
      </c>
      <c r="J111" s="238">
        <f>IFERROR(__xludf.DUMMYFUNCTION("IMPORTRANGE(""https://docs.google.com/spreadsheets/d/1XL5vhW3sbDhbH9Cz0tuDiY8C3ctxq1tqvaCgkFb8cCA/edit?usp=sharing"",""มุกดาหาร!J46"")"),0.0)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IFERROR(__xludf.DUMMYFUNCTION("IMPORTRANGE(""https://docs.google.com/spreadsheets/d/1XL5vhW3sbDhbH9Cz0tuDiY8C3ctxq1tqvaCgkFb8cCA/edit?usp=sharing"",""มุกดาหาร!I47"")"),4.0)</f>
        <v>4</v>
      </c>
      <c r="J112" s="238">
        <f>IFERROR(__xludf.DUMMYFUNCTION("IMPORTRANGE(""https://docs.google.com/spreadsheets/d/1XL5vhW3sbDhbH9Cz0tuDiY8C3ctxq1tqvaCgkFb8cCA/edit?usp=sharing"",""มุกดาหาร!J47"")"),0.0)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IFERROR(__xludf.DUMMYFUNCTION("IMPORTRANGE(""https://docs.google.com/spreadsheets/d/1XL5vhW3sbDhbH9Cz0tuDiY8C3ctxq1tqvaCgkFb8cCA/edit?usp=sharing"",""มุกดาหาร!I48"")"),1.0)</f>
        <v>1</v>
      </c>
      <c r="J113" s="238">
        <f>IFERROR(__xludf.DUMMYFUNCTION("IMPORTRANGE(""https://docs.google.com/spreadsheets/d/1XL5vhW3sbDhbH9Cz0tuDiY8C3ctxq1tqvaCgkFb8cCA/edit?usp=sharing"",""มุกดาหาร!J48"")"),0.0)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IFERROR(__xludf.DUMMYFUNCTION("IMPORTRANGE(""https://docs.google.com/spreadsheets/d/1XL5vhW3sbDhbH9Cz0tuDiY8C3ctxq1tqvaCgkFb8cCA/edit?usp=sharing"",""มุกดาหาร!J49"")"),0.0)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IFERROR(__xludf.DUMMYFUNCTION("IMPORTRANGE(""https://docs.google.com/spreadsheets/d/1XL5vhW3sbDhbH9Cz0tuDiY8C3ctxq1tqvaCgkFb8cCA/edit?usp=sharing"",""มุกดาหาร!J50"")"),0.0)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IFERROR(__xludf.DUMMYFUNCTION("IMPORTRANGE(""https://docs.google.com/spreadsheets/d/1XL5vhW3sbDhbH9Cz0tuDiY8C3ctxq1tqvaCgkFb8cCA/edit?usp=sharing"",""มุกดาหาร!I52"")"),0.0)</f>
        <v>0</v>
      </c>
      <c r="J117" s="172">
        <f>IFERROR(__xludf.DUMMYFUNCTION("IMPORTRANGE(""https://docs.google.com/spreadsheets/d/1XL5vhW3sbDhbH9Cz0tuDiY8C3ctxq1tqvaCgkFb8cCA/edit?usp=sharing"",""มุกดาหาร!J52"")"),0.0)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IFERROR(__xludf.DUMMYFUNCTION("IMPORTRANGE(""https://docs.google.com/spreadsheets/d/1Yj_ptqi66GCucihVvJfMjLAmec39IyEx_6qawtMGysU/edit?usp=sharing"",""สบก!BA46"")"),0.0)</f>
        <v>0</v>
      </c>
      <c r="N122" s="202">
        <f>IFERROR(__xludf.DUMMYFUNCTION("IMPORTRANGE(""https://docs.google.com/spreadsheets/d/1Yj_ptqi66GCucihVvJfMjLAmec39IyEx_6qawtMGysU/edit?usp=sharing"",""สบก!BB46"")"),0.0)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IFERROR(__xludf.DUMMYFUNCTION("IMPORTRANGE(""https://docs.google.com/spreadsheets/d/1Yj_ptqi66GCucihVvJfMjLAmec39IyEx_6qawtMGysU/edit?usp=sharing"",""สบก!AW46"")"),0.0)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IFERROR(__xludf.DUMMYFUNCTION("IMPORTRANGE(""https://docs.google.com/spreadsheets/d/1Yj_ptqi66GCucihVvJfMjLAmec39IyEx_6qawtMGysU/edit?usp=sharing"",""สบก!AX46"")"),0.0)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IFERROR(__xludf.DUMMYFUNCTION("IMPORTRANGE(""https://docs.google.com/spreadsheets/d/1Yj_ptqi66GCucihVvJfMjLAmec39IyEx_6qawtMGysU/edit?usp=sharing"",""สบก!AY46"")"),0.0)</f>
        <v>0</v>
      </c>
      <c r="M126" s="125"/>
      <c r="N126" s="115">
        <f>IFERROR(__xludf.DUMMYFUNCTION("IMPORTRANGE(""https://docs.google.com/spreadsheets/d/1Yj_ptqi66GCucihVvJfMjLAmec39IyEx_6qawtMGysU/edit?usp=sharing"",""สบก!BC46"")"),0.0)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256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IFERROR(__xludf.DUMMYFUNCTION("IMPORTRANGE(""https://docs.google.com/spreadsheets/d/1XL5vhW3sbDhbH9Cz0tuDiY8C3ctxq1tqvaCgkFb8cCA/edit?usp=sharing"",""มุกดาหาร!J58"")"),0.0)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IFERROR(__xludf.DUMMYFUNCTION("IMPORTRANGE(""https://docs.google.com/spreadsheets/d/1XL5vhW3sbDhbH9Cz0tuDiY8C3ctxq1tqvaCgkFb8cCA/edit?usp=sharing"",""มุกดาหาร!J59"")"),0.0)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IFERROR(__xludf.DUMMYFUNCTION("IMPORTRANGE(""https://docs.google.com/spreadsheets/d/1XL5vhW3sbDhbH9Cz0tuDiY8C3ctxq1tqvaCgkFb8cCA/edit?usp=sharing"",""มุกดาหาร!J60"")"),0.0)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IFERROR(__xludf.DUMMYFUNCTION("IMPORTRANGE(""https://docs.google.com/spreadsheets/d/1XL5vhW3sbDhbH9Cz0tuDiY8C3ctxq1tqvaCgkFb8cCA/edit?usp=sharing"",""มุกดาหาร!J61"")"),0.0)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IFERROR(__xludf.DUMMYFUNCTION("IMPORTRANGE(""https://docs.google.com/spreadsheets/d/1XL5vhW3sbDhbH9Cz0tuDiY8C3ctxq1tqvaCgkFb8cCA/edit?usp=sharing"",""มุกดาหาร!I62"")"),0.0)</f>
        <v>0</v>
      </c>
      <c r="J132" s="238">
        <f>IFERROR(__xludf.DUMMYFUNCTION("IMPORTRANGE(""https://docs.google.com/spreadsheets/d/1XL5vhW3sbDhbH9Cz0tuDiY8C3ctxq1tqvaCgkFb8cCA/edit?usp=sharing"",""มุกดาหาร!J62"")"),0.0)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IFERROR(__xludf.DUMMYFUNCTION("IMPORTRANGE(""https://docs.google.com/spreadsheets/d/1XL5vhW3sbDhbH9Cz0tuDiY8C3ctxq1tqvaCgkFb8cCA/edit?usp=sharing"",""มุกดาหาร!I63"")"),0.0)</f>
        <v>0</v>
      </c>
      <c r="J133" s="238">
        <f>IFERROR(__xludf.DUMMYFUNCTION("IMPORTRANGE(""https://docs.google.com/spreadsheets/d/1XL5vhW3sbDhbH9Cz0tuDiY8C3ctxq1tqvaCgkFb8cCA/edit?usp=sharing"",""มุกดาหาร!J63"")"),0.0)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IFERROR(__xludf.DUMMYFUNCTION("IMPORTRANGE(""https://docs.google.com/spreadsheets/d/1XL5vhW3sbDhbH9Cz0tuDiY8C3ctxq1tqvaCgkFb8cCA/edit?usp=sharing"",""มุกดาหาร!J64"")"),0.0)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IFERROR(__xludf.DUMMYFUNCTION("IMPORTRANGE(""https://docs.google.com/spreadsheets/d/1XL5vhW3sbDhbH9Cz0tuDiY8C3ctxq1tqvaCgkFb8cCA/edit?usp=sharing"",""มุกดาหาร!J65"")"),0.0)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IFERROR(__xludf.DUMMYFUNCTION("IMPORTRANGE(""https://docs.google.com/spreadsheets/d/1XL5vhW3sbDhbH9Cz0tuDiY8C3ctxq1tqvaCgkFb8cCA/edit?usp=sharing"",""มุกดาหาร!I68"")"),15.0)</f>
        <v>15</v>
      </c>
      <c r="J138" s="301">
        <f>IFERROR(__xludf.DUMMYFUNCTION("IMPORTRANGE(""https://docs.google.com/spreadsheets/d/1XL5vhW3sbDhbH9Cz0tuDiY8C3ctxq1tqvaCgkFb8cCA/edit?usp=sharing"",""มุกดาหาร!J68"")"),0.0)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227500</v>
      </c>
      <c r="M140" s="183">
        <f t="shared" si="65"/>
        <v>136750</v>
      </c>
      <c r="N140" s="183">
        <f t="shared" si="65"/>
        <v>68260</v>
      </c>
      <c r="O140" s="182">
        <f t="shared" ref="O140:O142" si="67">IF(L140&gt;0,N140*100/L140,0)</f>
        <v>30.0043956</v>
      </c>
      <c r="P140" s="182">
        <f t="shared" ref="P140:P142" si="68">IF(M140&gt;0,N140*100/M140,0)</f>
        <v>49.91590494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227500</v>
      </c>
      <c r="M142" s="188">
        <f t="shared" si="69"/>
        <v>136750</v>
      </c>
      <c r="N142" s="188">
        <f t="shared" si="69"/>
        <v>68260</v>
      </c>
      <c r="O142" s="187">
        <f t="shared" si="67"/>
        <v>30.0043956</v>
      </c>
      <c r="P142" s="187">
        <f t="shared" si="68"/>
        <v>49.91590494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227500</v>
      </c>
      <c r="M144" s="201">
        <f>IFERROR(__xludf.DUMMYFUNCTION("IMPORTRANGE(""https://docs.google.com/spreadsheets/d/1Yj_ptqi66GCucihVvJfMjLAmec39IyEx_6qawtMGysU/edit?usp=sharing"",""สบก!BJ46"")"),136750.0)</f>
        <v>136750</v>
      </c>
      <c r="N144" s="202">
        <f>IFERROR(__xludf.DUMMYFUNCTION("IMPORTRANGE(""https://docs.google.com/spreadsheets/d/1Yj_ptqi66GCucihVvJfMjLAmec39IyEx_6qawtMGysU/edit?usp=sharing"",""สบก!BK46"")"),68260.0)</f>
        <v>68260</v>
      </c>
      <c r="O144" s="203">
        <f>IF(L144&gt;0,N144*100/L144,0)</f>
        <v>30.0043956</v>
      </c>
      <c r="P144" s="203">
        <f>IF(M144&gt;0,N144*100/M144,0)</f>
        <v>49.91590494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IFERROR(__xludf.DUMMYFUNCTION("IMPORTRANGE(""https://docs.google.com/spreadsheets/d/1Yj_ptqi66GCucihVvJfMjLAmec39IyEx_6qawtMGysU/edit?usp=sharing"",""สบก!BF46"")"),132000.0)</f>
        <v>132000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IFERROR(__xludf.DUMMYFUNCTION("IMPORTRANGE(""https://docs.google.com/spreadsheets/d/1Yj_ptqi66GCucihVvJfMjLAmec39IyEx_6qawtMGysU/edit?usp=sharing"",""สบก!BG46"")"),95500.0)</f>
        <v>95500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IFERROR(__xludf.DUMMYFUNCTION("IMPORTRANGE(""https://docs.google.com/spreadsheets/d/1Yj_ptqi66GCucihVvJfMjLAmec39IyEx_6qawtMGysU/edit?usp=sharing"",""สบก!BH46"")"),0.0)</f>
        <v>0</v>
      </c>
      <c r="M148" s="125"/>
      <c r="N148" s="115">
        <f>IFERROR(__xludf.DUMMYFUNCTION("IMPORTRANGE(""https://docs.google.com/spreadsheets/d/1Yj_ptqi66GCucihVvJfMjLAmec39IyEx_6qawtMGysU/edit?usp=sharing"",""สบก!BL46"")"),0.0)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IFERROR(__xludf.DUMMYFUNCTION("IMPORTRANGE(""https://docs.google.com/spreadsheets/d/1XL5vhW3sbDhbH9Cz0tuDiY8C3ctxq1tqvaCgkFb8cCA/edit?usp=sharing"",""มุกดาหาร!I74"")"),4.0)</f>
        <v>4</v>
      </c>
      <c r="J149" s="309">
        <f>IFERROR(__xludf.DUMMYFUNCTION("IMPORTRANGE(""https://docs.google.com/spreadsheets/d/1XL5vhW3sbDhbH9Cz0tuDiY8C3ctxq1tqvaCgkFb8cCA/edit?usp=sharing"",""มุกดาหาร!J74"")"),0.0)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IFERROR(__xludf.DUMMYFUNCTION("IMPORTRANGE(""https://docs.google.com/spreadsheets/d/1XL5vhW3sbDhbH9Cz0tuDiY8C3ctxq1tqvaCgkFb8cCA/edit?usp=sharing"",""มุกดาหาร!J79"")"),0.0)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IFERROR(__xludf.DUMMYFUNCTION("IMPORTRANGE(""https://docs.google.com/spreadsheets/d/1XL5vhW3sbDhbH9Cz0tuDiY8C3ctxq1tqvaCgkFb8cCA/edit?usp=sharing"",""มุกดาหาร!J80"")"),1.0)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IFERROR(__xludf.DUMMYFUNCTION("IMPORTRANGE(""https://docs.google.com/spreadsheets/d/1XL5vhW3sbDhbH9Cz0tuDiY8C3ctxq1tqvaCgkFb8cCA/edit?usp=sharing"",""มุกดาหาร!J81"")"),0.0)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IFERROR(__xludf.DUMMYFUNCTION("IMPORTRANGE(""https://docs.google.com/spreadsheets/d/1XL5vhW3sbDhbH9Cz0tuDiY8C3ctxq1tqvaCgkFb8cCA/edit?usp=sharing"",""มุกดาหาร!J82"")"),0.0)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IFERROR(__xludf.DUMMYFUNCTION("IMPORTRANGE(""https://docs.google.com/spreadsheets/d/1XL5vhW3sbDhbH9Cz0tuDiY8C3ctxq1tqvaCgkFb8cCA/edit?usp=sharing"",""มุกดาหาร!I83"")"),4.0)</f>
        <v>4</v>
      </c>
      <c r="J158" s="223">
        <f>IFERROR(__xludf.DUMMYFUNCTION("IMPORTRANGE(""https://docs.google.com/spreadsheets/d/1XL5vhW3sbDhbH9Cz0tuDiY8C3ctxq1tqvaCgkFb8cCA/edit?usp=sharing"",""มุกดาหาร!J83"")"),0.0)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IFERROR(__xludf.DUMMYFUNCTION("IMPORTRANGE(""https://docs.google.com/spreadsheets/d/1XL5vhW3sbDhbH9Cz0tuDiY8C3ctxq1tqvaCgkFb8cCA/edit?usp=sharing"",""มุกดาหาร!J84"")"),0.0)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IFERROR(__xludf.DUMMYFUNCTION("IMPORTRANGE(""https://docs.google.com/spreadsheets/d/1XL5vhW3sbDhbH9Cz0tuDiY8C3ctxq1tqvaCgkFb8cCA/edit?usp=sharing"",""มุกดาหาร!J85"")"),0.0)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IFERROR(__xludf.DUMMYFUNCTION("IMPORTRANGE(""https://docs.google.com/spreadsheets/d/1XL5vhW3sbDhbH9Cz0tuDiY8C3ctxq1tqvaCgkFb8cCA/edit?usp=sharing"",""มุกดาหาร!J86"")"),0.0)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IFERROR(__xludf.DUMMYFUNCTION("IMPORTRANGE(""https://docs.google.com/spreadsheets/d/1XL5vhW3sbDhbH9Cz0tuDiY8C3ctxq1tqvaCgkFb8cCA/edit?usp=sharing"",""มุกดาหาร!J87"")"),0.0)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IFERROR(__xludf.DUMMYFUNCTION("IMPORTRANGE(""https://docs.google.com/spreadsheets/d/1XL5vhW3sbDhbH9Cz0tuDiY8C3ctxq1tqvaCgkFb8cCA/edit?usp=sharing"",""มุกดาหาร!J88"")"),0.0)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IFERROR(__xludf.DUMMYFUNCTION("IMPORTRANGE(""https://docs.google.com/spreadsheets/d/1XL5vhW3sbDhbH9Cz0tuDiY8C3ctxq1tqvaCgkFb8cCA/edit?usp=sharing"",""มุกดาหาร!I89"")"),3.0)</f>
        <v>3</v>
      </c>
      <c r="J164" s="317">
        <f>IFERROR(__xludf.DUMMYFUNCTION("IMPORTRANGE(""https://docs.google.com/spreadsheets/d/1XL5vhW3sbDhbH9Cz0tuDiY8C3ctxq1tqvaCgkFb8cCA/edit?usp=sharing"",""มุกดาหาร!J89"")"),0.0)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IFERROR(__xludf.DUMMYFUNCTION("IMPORTRANGE(""https://docs.google.com/spreadsheets/d/1XL5vhW3sbDhbH9Cz0tuDiY8C3ctxq1tqvaCgkFb8cCA/edit?usp=sharing"",""มุกดาหาร!J94"")"),0.0)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IFERROR(__xludf.DUMMYFUNCTION("IMPORTRANGE(""https://docs.google.com/spreadsheets/d/1XL5vhW3sbDhbH9Cz0tuDiY8C3ctxq1tqvaCgkFb8cCA/edit?usp=sharing"",""มุกดาหาร!J95"")"),1.0)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IFERROR(__xludf.DUMMYFUNCTION("IMPORTRANGE(""https://docs.google.com/spreadsheets/d/1XL5vhW3sbDhbH9Cz0tuDiY8C3ctxq1tqvaCgkFb8cCA/edit?usp=sharing"",""มุกดาหาร!J96"")"),1.0)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IFERROR(__xludf.DUMMYFUNCTION("IMPORTRANGE(""https://docs.google.com/spreadsheets/d/1XL5vhW3sbDhbH9Cz0tuDiY8C3ctxq1tqvaCgkFb8cCA/edit?usp=sharing"",""มุกดาหาร!J97"")"),0.0)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IFERROR(__xludf.DUMMYFUNCTION("IMPORTRANGE(""https://docs.google.com/spreadsheets/d/1XL5vhW3sbDhbH9Cz0tuDiY8C3ctxq1tqvaCgkFb8cCA/edit?usp=sharing"",""มุกดาหาร!I98"")"),3.0)</f>
        <v>3</v>
      </c>
      <c r="J173" s="223">
        <f>IFERROR(__xludf.DUMMYFUNCTION("IMPORTRANGE(""https://docs.google.com/spreadsheets/d/1XL5vhW3sbDhbH9Cz0tuDiY8C3ctxq1tqvaCgkFb8cCA/edit?usp=sharing"",""มุกดาหาร!J98"")"),0.0)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IFERROR(__xludf.DUMMYFUNCTION("IMPORTRANGE(""https://docs.google.com/spreadsheets/d/1XL5vhW3sbDhbH9Cz0tuDiY8C3ctxq1tqvaCgkFb8cCA/edit?usp=sharing"",""มุกดาหาร!J99"")"),0.0)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IFERROR(__xludf.DUMMYFUNCTION("IMPORTRANGE(""https://docs.google.com/spreadsheets/d/1XL5vhW3sbDhbH9Cz0tuDiY8C3ctxq1tqvaCgkFb8cCA/edit?usp=sharing"",""มุกดาหาร!J100"")"),0.0)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IFERROR(__xludf.DUMMYFUNCTION("IMPORTRANGE(""https://docs.google.com/spreadsheets/d/1XL5vhW3sbDhbH9Cz0tuDiY8C3ctxq1tqvaCgkFb8cCA/edit?usp=sharing"",""มุกดาหาร!I101"")"),1.0)</f>
        <v>1</v>
      </c>
      <c r="J176" s="317">
        <f>IFERROR(__xludf.DUMMYFUNCTION("IMPORTRANGE(""https://docs.google.com/spreadsheets/d/1XL5vhW3sbDhbH9Cz0tuDiY8C3ctxq1tqvaCgkFb8cCA/edit?usp=sharing"",""มุกดาหาร!J101"")"),0.0)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 t="str">
        <f>IFERROR(__xludf.DUMMYFUNCTION("IMPORTRANGE(""https://docs.google.com/spreadsheets/d/1XL5vhW3sbDhbH9Cz0tuDiY8C3ctxq1tqvaCgkFb8cCA/edit?usp=sharing"",""มุกดาหาร!J106"")"),"")</f>
        <v/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IFERROR(__xludf.DUMMYFUNCTION("IMPORTRANGE(""https://docs.google.com/spreadsheets/d/1XL5vhW3sbDhbH9Cz0tuDiY8C3ctxq1tqvaCgkFb8cCA/edit?usp=sharing"",""มุกดาหาร!J107"")"),1.0)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IFERROR(__xludf.DUMMYFUNCTION("IMPORTRANGE(""https://docs.google.com/spreadsheets/d/1XL5vhW3sbDhbH9Cz0tuDiY8C3ctxq1tqvaCgkFb8cCA/edit?usp=sharing"",""มุกดาหาร!J108"")"),1.0)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 t="str">
        <f>IFERROR(__xludf.DUMMYFUNCTION("IMPORTRANGE(""https://docs.google.com/spreadsheets/d/1XL5vhW3sbDhbH9Cz0tuDiY8C3ctxq1tqvaCgkFb8cCA/edit?usp=sharing"",""มุกดาหาร!J109"")"),"")</f>
        <v/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IFERROR(__xludf.DUMMYFUNCTION("IMPORTRANGE(""https://docs.google.com/spreadsheets/d/1XL5vhW3sbDhbH9Cz0tuDiY8C3ctxq1tqvaCgkFb8cCA/edit?usp=sharing"",""มุกดาหาร!I110"")"),1.0)</f>
        <v>1</v>
      </c>
      <c r="J185" s="238">
        <f>IFERROR(__xludf.DUMMYFUNCTION("IMPORTRANGE(""https://docs.google.com/spreadsheets/d/1XL5vhW3sbDhbH9Cz0tuDiY8C3ctxq1tqvaCgkFb8cCA/edit?usp=sharing"",""มุกดาหาร!J110"")"),0.0)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IFERROR(__xludf.DUMMYFUNCTION("IMPORTRANGE(""https://docs.google.com/spreadsheets/d/1XL5vhW3sbDhbH9Cz0tuDiY8C3ctxq1tqvaCgkFb8cCA/edit?usp=sharing"",""มุกดาหาร!I111"")"),1.0)</f>
        <v>1</v>
      </c>
      <c r="J186" s="238">
        <f>IFERROR(__xludf.DUMMYFUNCTION("IMPORTRANGE(""https://docs.google.com/spreadsheets/d/1XL5vhW3sbDhbH9Cz0tuDiY8C3ctxq1tqvaCgkFb8cCA/edit?usp=sharing"",""มุกดาหาร!J111"")"),0.0)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IFERROR(__xludf.DUMMYFUNCTION("IMPORTRANGE(""https://docs.google.com/spreadsheets/d/1XL5vhW3sbDhbH9Cz0tuDiY8C3ctxq1tqvaCgkFb8cCA/edit?usp=sharing"",""มุกดาหาร!J112"")"),0.0)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IFERROR(__xludf.DUMMYFUNCTION("IMPORTRANGE(""https://docs.google.com/spreadsheets/d/1XL5vhW3sbDhbH9Cz0tuDiY8C3ctxq1tqvaCgkFb8cCA/edit?usp=sharing"",""มุกดาหาร!J113"")"),0.0)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IFERROR(__xludf.DUMMYFUNCTION("IMPORTRANGE(""https://docs.google.com/spreadsheets/d/1XL5vhW3sbDhbH9Cz0tuDiY8C3ctxq1tqvaCgkFb8cCA/edit?usp=sharing"",""มุกดาหาร!I114"")"),40000.0)</f>
        <v>40000</v>
      </c>
      <c r="J189" s="317">
        <f>IFERROR(__xludf.DUMMYFUNCTION("IMPORTRANGE(""https://docs.google.com/spreadsheets/d/1XL5vhW3sbDhbH9Cz0tuDiY8C3ctxq1tqvaCgkFb8cCA/edit?usp=sharing"",""มุกดาหาร!J114"")"),0.0)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 t="str">
        <f>IFERROR(__xludf.DUMMYFUNCTION("IMPORTRANGE(""https://docs.google.com/spreadsheets/d/1XL5vhW3sbDhbH9Cz0tuDiY8C3ctxq1tqvaCgkFb8cCA/edit?usp=sharing"",""มุกดาหาร!J119"")"),"")</f>
        <v/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IFERROR(__xludf.DUMMYFUNCTION("IMPORTRANGE(""https://docs.google.com/spreadsheets/d/1XL5vhW3sbDhbH9Cz0tuDiY8C3ctxq1tqvaCgkFb8cCA/edit?usp=sharing"",""มุกดาหาร!J120"")"),1.0)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IFERROR(__xludf.DUMMYFUNCTION("IMPORTRANGE(""https://docs.google.com/spreadsheets/d/1XL5vhW3sbDhbH9Cz0tuDiY8C3ctxq1tqvaCgkFb8cCA/edit?usp=sharing"",""มุกดาหาร!J121"")"),1.0)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 t="str">
        <f>IFERROR(__xludf.DUMMYFUNCTION("IMPORTRANGE(""https://docs.google.com/spreadsheets/d/1XL5vhW3sbDhbH9Cz0tuDiY8C3ctxq1tqvaCgkFb8cCA/edit?usp=sharing"",""มุกดาหาร!J122"")"),"")</f>
        <v/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IFERROR(__xludf.DUMMYFUNCTION("IMPORTRANGE(""https://docs.google.com/spreadsheets/d/1XL5vhW3sbDhbH9Cz0tuDiY8C3ctxq1tqvaCgkFb8cCA/edit?usp=sharing"",""มุกดาหาร!I124"")"),40000.0)</f>
        <v>40000</v>
      </c>
      <c r="J199" s="223">
        <f>IFERROR(__xludf.DUMMYFUNCTION("IMPORTRANGE(""https://docs.google.com/spreadsheets/d/1XL5vhW3sbDhbH9Cz0tuDiY8C3ctxq1tqvaCgkFb8cCA/edit?usp=sharing"",""มุกดาหาร!J124"")"),0.0)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IFERROR(__xludf.DUMMYFUNCTION("IMPORTRANGE(""https://docs.google.com/spreadsheets/d/1XL5vhW3sbDhbH9Cz0tuDiY8C3ctxq1tqvaCgkFb8cCA/edit?usp=sharing"",""มุกดาหาร!I125"")"),40000.0)</f>
        <v>40000</v>
      </c>
      <c r="J200" s="223">
        <f>IFERROR(__xludf.DUMMYFUNCTION("IMPORTRANGE(""https://docs.google.com/spreadsheets/d/1XL5vhW3sbDhbH9Cz0tuDiY8C3ctxq1tqvaCgkFb8cCA/edit?usp=sharing"",""มุกดาหาร!J125"")"),0.0)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IFERROR(__xludf.DUMMYFUNCTION("IMPORTRANGE(""https://docs.google.com/spreadsheets/d/1XL5vhW3sbDhbH9Cz0tuDiY8C3ctxq1tqvaCgkFb8cCA/edit?usp=sharing"",""มุกดาหาร!I126"")"),15.0)</f>
        <v>15</v>
      </c>
      <c r="J201" s="223" t="str">
        <f>IFERROR(__xludf.DUMMYFUNCTION("IMPORTRANGE(""https://docs.google.com/spreadsheets/d/1XL5vhW3sbDhbH9Cz0tuDiY8C3ctxq1tqvaCgkFb8cCA/edit?usp=sharing"",""มุกดาหาร!J126"")"),"")</f>
        <v/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IFERROR(__xludf.DUMMYFUNCTION("IMPORTRANGE(""https://docs.google.com/spreadsheets/d/1XL5vhW3sbDhbH9Cz0tuDiY8C3ctxq1tqvaCgkFb8cCA/edit?usp=sharing"",""มุกดาหาร!J127"")"),0.0)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IFERROR(__xludf.DUMMYFUNCTION("IMPORTRANGE(""https://docs.google.com/spreadsheets/d/1XL5vhW3sbDhbH9Cz0tuDiY8C3ctxq1tqvaCgkFb8cCA/edit?usp=sharing"",""มุกดาหาร!J128"")"),0.0)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IFERROR(__xludf.DUMMYFUNCTION("IMPORTRANGE(""https://docs.google.com/spreadsheets/d/1XL5vhW3sbDhbH9Cz0tuDiY8C3ctxq1tqvaCgkFb8cCA/edit?usp=sharing"",""มุกดาหาร!I129"")"),0.0)</f>
        <v>0</v>
      </c>
      <c r="J204" s="317">
        <f>IFERROR(__xludf.DUMMYFUNCTION("IMPORTRANGE(""https://docs.google.com/spreadsheets/d/1XL5vhW3sbDhbH9Cz0tuDiY8C3ctxq1tqvaCgkFb8cCA/edit?usp=sharing"",""มุกดาหาร!J129"")"),0.0)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IFERROR(__xludf.DUMMYFUNCTION("IMPORTRANGE(""https://docs.google.com/spreadsheets/d/1XL5vhW3sbDhbH9Cz0tuDiY8C3ctxq1tqvaCgkFb8cCA/edit?usp=sharing"",""มุกดาหาร!J134"")"),0.0)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IFERROR(__xludf.DUMMYFUNCTION("IMPORTRANGE(""https://docs.google.com/spreadsheets/d/1XL5vhW3sbDhbH9Cz0tuDiY8C3ctxq1tqvaCgkFb8cCA/edit?usp=sharing"",""มุกดาหาร!J135"")"),1.0)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IFERROR(__xludf.DUMMYFUNCTION("IMPORTRANGE(""https://docs.google.com/spreadsheets/d/1XL5vhW3sbDhbH9Cz0tuDiY8C3ctxq1tqvaCgkFb8cCA/edit?usp=sharing"",""มุกดาหาร!J136"")"),1.0)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 t="str">
        <f>IFERROR(__xludf.DUMMYFUNCTION("IMPORTRANGE(""https://docs.google.com/spreadsheets/d/1XL5vhW3sbDhbH9Cz0tuDiY8C3ctxq1tqvaCgkFb8cCA/edit?usp=sharing"",""มุกดาหาร!J137"")"),"")</f>
        <v/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IFERROR(__xludf.DUMMYFUNCTION("IMPORTRANGE(""https://docs.google.com/spreadsheets/d/1XL5vhW3sbDhbH9Cz0tuDiY8C3ctxq1tqvaCgkFb8cCA/edit?usp=sharing"",""มุกดาหาร!I138"")"),0.0)</f>
        <v>0</v>
      </c>
      <c r="J213" s="238">
        <f>IFERROR(__xludf.DUMMYFUNCTION("IMPORTRANGE(""https://docs.google.com/spreadsheets/d/1XL5vhW3sbDhbH9Cz0tuDiY8C3ctxq1tqvaCgkFb8cCA/edit?usp=sharing"",""มุกดาหาร!J138"")"),0.0)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IFERROR(__xludf.DUMMYFUNCTION("IMPORTRANGE(""https://docs.google.com/spreadsheets/d/1XL5vhW3sbDhbH9Cz0tuDiY8C3ctxq1tqvaCgkFb8cCA/edit?usp=sharing"",""มุกดาหาร!I140"")"),0.0)</f>
        <v>0</v>
      </c>
      <c r="J215" s="238">
        <f>IFERROR(__xludf.DUMMYFUNCTION("IMPORTRANGE(""https://docs.google.com/spreadsheets/d/1XL5vhW3sbDhbH9Cz0tuDiY8C3ctxq1tqvaCgkFb8cCA/edit?usp=sharing"",""มุกดาหาร!J140"")"),0.0)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IFERROR(__xludf.DUMMYFUNCTION("IMPORTRANGE(""https://docs.google.com/spreadsheets/d/1XL5vhW3sbDhbH9Cz0tuDiY8C3ctxq1tqvaCgkFb8cCA/edit?usp=sharing"",""มุกดาหาร!I141"")"),0.0)</f>
        <v>0</v>
      </c>
      <c r="J216" s="238">
        <f>IFERROR(__xludf.DUMMYFUNCTION("IMPORTRANGE(""https://docs.google.com/spreadsheets/d/1XL5vhW3sbDhbH9Cz0tuDiY8C3ctxq1tqvaCgkFb8cCA/edit?usp=sharing"",""มุกดาหาร!J141"")"),0.0)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IFERROR(__xludf.DUMMYFUNCTION("IMPORTRANGE(""https://docs.google.com/spreadsheets/d/1XL5vhW3sbDhbH9Cz0tuDiY8C3ctxq1tqvaCgkFb8cCA/edit?usp=sharing"",""มุกดาหาร!J142"")"),0.0)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IFERROR(__xludf.DUMMYFUNCTION("IMPORTRANGE(""https://docs.google.com/spreadsheets/d/1XL5vhW3sbDhbH9Cz0tuDiY8C3ctxq1tqvaCgkFb8cCA/edit?usp=sharing"",""มุกดาหาร!J143"")"),0.0)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IFERROR(__xludf.DUMMYFUNCTION("IMPORTRANGE(""https://docs.google.com/spreadsheets/d/1XL5vhW3sbDhbH9Cz0tuDiY8C3ctxq1tqvaCgkFb8cCA/edit?usp=sharing"",""มุกดาหาร!I144"")"),13.0)</f>
        <v>13</v>
      </c>
      <c r="J219" s="301">
        <f>IFERROR(__xludf.DUMMYFUNCTION("IMPORTRANGE(""https://docs.google.com/spreadsheets/d/1XL5vhW3sbDhbH9Cz0tuDiY8C3ctxq1tqvaCgkFb8cCA/edit?usp=sharing"",""มุกดาหาร!J144"")"),13.0)</f>
        <v>13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19295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19295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1">
        <f>IFERROR(__xludf.DUMMYFUNCTION("IMPORTRANGE(""https://docs.google.com/spreadsheets/d/1Yj_ptqi66GCucihVvJfMjLAmec39IyEx_6qawtMGysU/edit?usp=sharing"",""สบก!BS46"")"),19295.0)</f>
        <v>19295</v>
      </c>
      <c r="N224" s="202">
        <f>IFERROR(__xludf.DUMMYFUNCTION("IMPORTRANGE(""https://docs.google.com/spreadsheets/d/1Yj_ptqi66GCucihVvJfMjLAmec39IyEx_6qawtMGysU/edit?usp=sharing"",""สบก!BT46"")"),19295.0)</f>
        <v>19295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IFERROR(__xludf.DUMMYFUNCTION("IMPORTRANGE(""https://docs.google.com/spreadsheets/d/1Yj_ptqi66GCucihVvJfMjLAmec39IyEx_6qawtMGysU/edit?usp=sharing"",""สบก!BO46"")"),0.0)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IFERROR(__xludf.DUMMYFUNCTION("IMPORTRANGE(""https://docs.google.com/spreadsheets/d/1Yj_ptqi66GCucihVvJfMjLAmec39IyEx_6qawtMGysU/edit?usp=sharing"",""สบก!BP46"")"),19295.0)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IFERROR(__xludf.DUMMYFUNCTION("IMPORTRANGE(""https://docs.google.com/spreadsheets/d/1Yj_ptqi66GCucihVvJfMjLAmec39IyEx_6qawtMGysU/edit?usp=sharing"",""สบก!BQ46"")"),0.0)</f>
        <v>0</v>
      </c>
      <c r="M228" s="125"/>
      <c r="N228" s="115">
        <f>IFERROR(__xludf.DUMMYFUNCTION("IMPORTRANGE(""https://docs.google.com/spreadsheets/d/1Yj_ptqi66GCucihVvJfMjLAmec39IyEx_6qawtMGysU/edit?usp=sharing"",""สบก!BU46"")"),0.0)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IFERROR(__xludf.DUMMYFUNCTION("IMPORTRANGE(""https://docs.google.com/spreadsheets/d/1XL5vhW3sbDhbH9Cz0tuDiY8C3ctxq1tqvaCgkFb8cCA/edit?usp=sharing"",""มุกดาหาร!I149"")"),13.0)</f>
        <v>13</v>
      </c>
      <c r="J229" s="301">
        <f>IFERROR(__xludf.DUMMYFUNCTION("IMPORTRANGE(""https://docs.google.com/spreadsheets/d/1XL5vhW3sbDhbH9Cz0tuDiY8C3ctxq1tqvaCgkFb8cCA/edit?usp=sharing"",""มุกดาหาร!J149"")"),13.0)</f>
        <v>13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IFERROR(__xludf.DUMMYFUNCTION("IMPORTRANGE(""https://docs.google.com/spreadsheets/d/1XL5vhW3sbDhbH9Cz0tuDiY8C3ctxq1tqvaCgkFb8cCA/edit?usp=sharing"",""มุกดาหาร!J151"")"),0.0)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IFERROR(__xludf.DUMMYFUNCTION("IMPORTRANGE(""https://docs.google.com/spreadsheets/d/1XL5vhW3sbDhbH9Cz0tuDiY8C3ctxq1tqvaCgkFb8cCA/edit?usp=sharing"",""มุกดาหาร!J152"")"),1.0)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IFERROR(__xludf.DUMMYFUNCTION("IMPORTRANGE(""https://docs.google.com/spreadsheets/d/1XL5vhW3sbDhbH9Cz0tuDiY8C3ctxq1tqvaCgkFb8cCA/edit?usp=sharing"",""มุกดาหาร!J153"")"),1.0)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IFERROR(__xludf.DUMMYFUNCTION("IMPORTRANGE(""https://docs.google.com/spreadsheets/d/1XL5vhW3sbDhbH9Cz0tuDiY8C3ctxq1tqvaCgkFb8cCA/edit?usp=sharing"",""มุกดาหาร!J154"")"),1.0)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IFERROR(__xludf.DUMMYFUNCTION("IMPORTRANGE(""https://docs.google.com/spreadsheets/d/1XL5vhW3sbDhbH9Cz0tuDiY8C3ctxq1tqvaCgkFb8cCA/edit?usp=sharing"",""มุกดาหาร!I155"")"),13.0)</f>
        <v>13</v>
      </c>
      <c r="J235" s="223">
        <f>IFERROR(__xludf.DUMMYFUNCTION("IMPORTRANGE(""https://docs.google.com/spreadsheets/d/1XL5vhW3sbDhbH9Cz0tuDiY8C3ctxq1tqvaCgkFb8cCA/edit?usp=sharing"",""มุกดาหาร!J155"")"),13.0)</f>
        <v>13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IFERROR(__xludf.DUMMYFUNCTION("IMPORTRANGE(""https://docs.google.com/spreadsheets/d/1XL5vhW3sbDhbH9Cz0tuDiY8C3ctxq1tqvaCgkFb8cCA/edit?usp=sharing"",""มุกดาหาร!J156"")"),0.0)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IFERROR(__xludf.DUMMYFUNCTION("IMPORTRANGE(""https://docs.google.com/spreadsheets/d/1XL5vhW3sbDhbH9Cz0tuDiY8C3ctxq1tqvaCgkFb8cCA/edit?usp=sharing"",""มุกดาหาร!J157"")"),0.0)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IFERROR(__xludf.DUMMYFUNCTION("IMPORTRANGE(""https://docs.google.com/spreadsheets/d/1XL5vhW3sbDhbH9Cz0tuDiY8C3ctxq1tqvaCgkFb8cCA/edit?usp=sharing"",""มุกดาหาร!I158"")"),0.0)</f>
        <v>0</v>
      </c>
      <c r="J238" s="301">
        <f>IFERROR(__xludf.DUMMYFUNCTION("IMPORTRANGE(""https://docs.google.com/spreadsheets/d/1XL5vhW3sbDhbH9Cz0tuDiY8C3ctxq1tqvaCgkFb8cCA/edit?usp=sharing"",""มุกดาหาร!J158"")"),0.0)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IFERROR(__xludf.DUMMYFUNCTION("IMPORTRANGE(""https://docs.google.com/spreadsheets/d/1XL5vhW3sbDhbH9Cz0tuDiY8C3ctxq1tqvaCgkFb8cCA/edit?usp=sharing"",""มุกดาหาร!J159"")"),"")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IFERROR(__xludf.DUMMYFUNCTION("IMPORTRANGE(""https://docs.google.com/spreadsheets/d/1XL5vhW3sbDhbH9Cz0tuDiY8C3ctxq1tqvaCgkFb8cCA/edit?usp=sharing"",""มุกดาหาร!J161"")"),0.0)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IFERROR(__xludf.DUMMYFUNCTION("IMPORTRANGE(""https://docs.google.com/spreadsheets/d/1XL5vhW3sbDhbH9Cz0tuDiY8C3ctxq1tqvaCgkFb8cCA/edit?usp=sharing"",""มุกดาหาร!J162"")"),0.0)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IFERROR(__xludf.DUMMYFUNCTION("IMPORTRANGE(""https://docs.google.com/spreadsheets/d/1XL5vhW3sbDhbH9Cz0tuDiY8C3ctxq1tqvaCgkFb8cCA/edit?usp=sharing"",""มุกดาหาร!J163"")"),0.0)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IFERROR(__xludf.DUMMYFUNCTION("IMPORTRANGE(""https://docs.google.com/spreadsheets/d/1XL5vhW3sbDhbH9Cz0tuDiY8C3ctxq1tqvaCgkFb8cCA/edit?usp=sharing"",""มุกดาหาร!I164"")"),0.0)</f>
        <v>0</v>
      </c>
      <c r="J244" s="222">
        <f>IFERROR(__xludf.DUMMYFUNCTION("IMPORTRANGE(""https://docs.google.com/spreadsheets/d/1XL5vhW3sbDhbH9Cz0tuDiY8C3ctxq1tqvaCgkFb8cCA/edit?usp=sharing"",""มุกดาหาร!J164"")"),0.0)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IFERROR(__xludf.DUMMYFUNCTION("IMPORTRANGE(""https://docs.google.com/spreadsheets/d/1XL5vhW3sbDhbH9Cz0tuDiY8C3ctxq1tqvaCgkFb8cCA/edit?usp=sharing"",""มุกดาหาร!J165"")"),0.0)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IFERROR(__xludf.DUMMYFUNCTION("IMPORTRANGE(""https://docs.google.com/spreadsheets/d/1XL5vhW3sbDhbH9Cz0tuDiY8C3ctxq1tqvaCgkFb8cCA/edit?usp=sharing"",""มุกดาหาร!J166"")"),0.0)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IFERROR(__xludf.DUMMYFUNCTION("IMPORTRANGE(""https://docs.google.com/spreadsheets/d/1XL5vhW3sbDhbH9Cz0tuDiY8C3ctxq1tqvaCgkFb8cCA/edit?usp=sharing"",""มุกดาหาร!I169"")"),0.0)</f>
        <v>0</v>
      </c>
      <c r="J249" s="349">
        <f>IFERROR(__xludf.DUMMYFUNCTION("IMPORTRANGE(""https://docs.google.com/spreadsheets/d/1XL5vhW3sbDhbH9Cz0tuDiY8C3ctxq1tqvaCgkFb8cCA/edit?usp=sharing"",""มุกดาหาร!J169"")"),0.0)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IFERROR(__xludf.DUMMYFUNCTION("IMPORTRANGE(""https://docs.google.com/spreadsheets/d/1Yj_ptqi66GCucihVvJfMjLAmec39IyEx_6qawtMGysU/edit?usp=sharing"",""สบก!CB46"")"),0.0)</f>
        <v>0</v>
      </c>
      <c r="N254" s="202">
        <f>IFERROR(__xludf.DUMMYFUNCTION("IMPORTRANGE(""https://docs.google.com/spreadsheets/d/1Yj_ptqi66GCucihVvJfMjLAmec39IyEx_6qawtMGysU/edit?usp=sharing"",""สบก!CC46"")"),0.0)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IFERROR(__xludf.DUMMYFUNCTION("IMPORTRANGE(""https://docs.google.com/spreadsheets/d/1Yj_ptqi66GCucihVvJfMjLAmec39IyEx_6qawtMGysU/edit?usp=sharing"",""สบก!BX46"")"),0.0)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IFERROR(__xludf.DUMMYFUNCTION("IMPORTRANGE(""https://docs.google.com/spreadsheets/d/1Yj_ptqi66GCucihVvJfMjLAmec39IyEx_6qawtMGysU/edit?usp=sharing"",""สบก!BY46"")"),0.0)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IFERROR(__xludf.DUMMYFUNCTION("IMPORTRANGE(""https://docs.google.com/spreadsheets/d/1Yj_ptqi66GCucihVvJfMjLAmec39IyEx_6qawtMGysU/edit?usp=sharing"",""สบก!BZ46"")"),0.0)</f>
        <v>0</v>
      </c>
      <c r="M258" s="125"/>
      <c r="N258" s="115">
        <f>IFERROR(__xludf.DUMMYFUNCTION("IMPORTRANGE(""https://docs.google.com/spreadsheets/d/1Yj_ptqi66GCucihVvJfMjLAmec39IyEx_6qawtMGysU/edit?usp=sharing"",""สบก!CD46"")"),0.0)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IFERROR(__xludf.DUMMYFUNCTION("IMPORTRANGE(""https://docs.google.com/spreadsheets/d/1XL5vhW3sbDhbH9Cz0tuDiY8C3ctxq1tqvaCgkFb8cCA/edit?usp=sharing"",""มุกดาหาร!J175"")"),0.0)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IFERROR(__xludf.DUMMYFUNCTION("IMPORTRANGE(""https://docs.google.com/spreadsheets/d/1XL5vhW3sbDhbH9Cz0tuDiY8C3ctxq1tqvaCgkFb8cCA/edit?usp=sharing"",""มุกดาหาร!J176"")"),0.0)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IFERROR(__xludf.DUMMYFUNCTION("IMPORTRANGE(""https://docs.google.com/spreadsheets/d/1XL5vhW3sbDhbH9Cz0tuDiY8C3ctxq1tqvaCgkFb8cCA/edit?usp=sharing"",""มุกดาหาร!J177"")"),0.0)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IFERROR(__xludf.DUMMYFUNCTION("IMPORTRANGE(""https://docs.google.com/spreadsheets/d/1XL5vhW3sbDhbH9Cz0tuDiY8C3ctxq1tqvaCgkFb8cCA/edit?usp=sharing"",""มุกดาหาร!J178"")"),0.0)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IFERROR(__xludf.DUMMYFUNCTION("IMPORTRANGE(""https://docs.google.com/spreadsheets/d/1XL5vhW3sbDhbH9Cz0tuDiY8C3ctxq1tqvaCgkFb8cCA/edit?usp=sharing"",""มุกดาหาร!I179"")"),0.0)</f>
        <v>0</v>
      </c>
      <c r="J264" s="223">
        <f>IFERROR(__xludf.DUMMYFUNCTION("IMPORTRANGE(""https://docs.google.com/spreadsheets/d/1XL5vhW3sbDhbH9Cz0tuDiY8C3ctxq1tqvaCgkFb8cCA/edit?usp=sharing"",""มุกดาหาร!J179"")"),0.0)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IFERROR(__xludf.DUMMYFUNCTION("IMPORTRANGE(""https://docs.google.com/spreadsheets/d/1XL5vhW3sbDhbH9Cz0tuDiY8C3ctxq1tqvaCgkFb8cCA/edit?usp=sharing"",""มุกดาหาร!I180"")"),0.0)</f>
        <v>0</v>
      </c>
      <c r="J265" s="223">
        <f>IFERROR(__xludf.DUMMYFUNCTION("IMPORTRANGE(""https://docs.google.com/spreadsheets/d/1XL5vhW3sbDhbH9Cz0tuDiY8C3ctxq1tqvaCgkFb8cCA/edit?usp=sharing"",""มุกดาหาร!J180"")"),0.0)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IFERROR(__xludf.DUMMYFUNCTION("IMPORTRANGE(""https://docs.google.com/spreadsheets/d/1XL5vhW3sbDhbH9Cz0tuDiY8C3ctxq1tqvaCgkFb8cCA/edit?usp=sharing"",""มุกดาหาร!I181"")"),0.0)</f>
        <v>0</v>
      </c>
      <c r="J266" s="223">
        <f>IFERROR(__xludf.DUMMYFUNCTION("IMPORTRANGE(""https://docs.google.com/spreadsheets/d/1XL5vhW3sbDhbH9Cz0tuDiY8C3ctxq1tqvaCgkFb8cCA/edit?usp=sharing"",""มุกดาหาร!J181"")"),0.0)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IFERROR(__xludf.DUMMYFUNCTION("IMPORTRANGE(""https://docs.google.com/spreadsheets/d/1XL5vhW3sbDhbH9Cz0tuDiY8C3ctxq1tqvaCgkFb8cCA/edit?usp=sharing"",""มุกดาหาร!I182"")"),0.0)</f>
        <v>0</v>
      </c>
      <c r="J267" s="223">
        <f>IFERROR(__xludf.DUMMYFUNCTION("IMPORTRANGE(""https://docs.google.com/spreadsheets/d/1XL5vhW3sbDhbH9Cz0tuDiY8C3ctxq1tqvaCgkFb8cCA/edit?usp=sharing"",""มุกดาหาร!J182"")"),0.0)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IFERROR(__xludf.DUMMYFUNCTION("IMPORTRANGE(""https://docs.google.com/spreadsheets/d/1XL5vhW3sbDhbH9Cz0tuDiY8C3ctxq1tqvaCgkFb8cCA/edit?usp=sharing"",""มุกดาหาร!J183"")"),0.0)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IFERROR(__xludf.DUMMYFUNCTION("IMPORTRANGE(""https://docs.google.com/spreadsheets/d/1XL5vhW3sbDhbH9Cz0tuDiY8C3ctxq1tqvaCgkFb8cCA/edit?usp=sharing"",""มุกดาหาร!J184"")"),0.0)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IFERROR(__xludf.DUMMYFUNCTION("IMPORTRANGE(""https://docs.google.com/spreadsheets/d/1XL5vhW3sbDhbH9Cz0tuDiY8C3ctxq1tqvaCgkFb8cCA/edit?usp=sharing"",""มุกดาหาร!I185"")"),15.0)</f>
        <v>15</v>
      </c>
      <c r="J270" s="349">
        <f>IFERROR(__xludf.DUMMYFUNCTION("IMPORTRANGE(""https://docs.google.com/spreadsheets/d/1XL5vhW3sbDhbH9Cz0tuDiY8C3ctxq1tqvaCgkFb8cCA/edit?usp=sharing"",""มุกดาหาร!J185"")"),0.0)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18860</v>
      </c>
      <c r="O271" s="182">
        <f t="shared" ref="O271:O273" si="86">IF(L271&gt;0,N271*100/L271,0)</f>
        <v>34.16666667</v>
      </c>
      <c r="P271" s="182">
        <f t="shared" ref="P271:P273" si="87">IF(M271&gt;0,N271*100/M271,0)</f>
        <v>58.48062016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18860</v>
      </c>
      <c r="O273" s="187">
        <f t="shared" si="86"/>
        <v>34.16666667</v>
      </c>
      <c r="P273" s="187">
        <f t="shared" si="87"/>
        <v>58.48062016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IFERROR(__xludf.DUMMYFUNCTION("IMPORTRANGE(""https://docs.google.com/spreadsheets/d/1Yj_ptqi66GCucihVvJfMjLAmec39IyEx_6qawtMGysU/edit?usp=sharing"",""สบก!CK46"")"),32250.0)</f>
        <v>32250</v>
      </c>
      <c r="N275" s="202">
        <f>IFERROR(__xludf.DUMMYFUNCTION("IMPORTRANGE(""https://docs.google.com/spreadsheets/d/1Yj_ptqi66GCucihVvJfMjLAmec39IyEx_6qawtMGysU/edit?usp=sharing"",""สบก!CL46"")"),18860.0)</f>
        <v>18860</v>
      </c>
      <c r="O275" s="203">
        <f>IF(L275&gt;0,N275*100/L275,0)</f>
        <v>34.16666667</v>
      </c>
      <c r="P275" s="203">
        <f>IF(M275&gt;0,N275*100/M275,0)</f>
        <v>58.48062016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IFERROR(__xludf.DUMMYFUNCTION("IMPORTRANGE(""https://docs.google.com/spreadsheets/d/1Yj_ptqi66GCucihVvJfMjLAmec39IyEx_6qawtMGysU/edit?usp=sharing"",""สบก!CG46"")"),0.0)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IFERROR(__xludf.DUMMYFUNCTION("IMPORTRANGE(""https://docs.google.com/spreadsheets/d/1Yj_ptqi66GCucihVvJfMjLAmec39IyEx_6qawtMGysU/edit?usp=sharing"",""สบก!CH46"")"),55200.0)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IFERROR(__xludf.DUMMYFUNCTION("IMPORTRANGE(""https://docs.google.com/spreadsheets/d/1Yj_ptqi66GCucihVvJfMjLAmec39IyEx_6qawtMGysU/edit?usp=sharing"",""สบก!CI46"")"),0.0)</f>
        <v>0</v>
      </c>
      <c r="M279" s="125"/>
      <c r="N279" s="115">
        <f>IFERROR(__xludf.DUMMYFUNCTION("IMPORTRANGE(""https://docs.google.com/spreadsheets/d/1Yj_ptqi66GCucihVvJfMjLAmec39IyEx_6qawtMGysU/edit?usp=sharing"",""สบก!CM46"")"),0.0)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IFERROR(__xludf.DUMMYFUNCTION("IMPORTRANGE(""https://docs.google.com/spreadsheets/d/1XL5vhW3sbDhbH9Cz0tuDiY8C3ctxq1tqvaCgkFb8cCA/edit?usp=sharing"",""มุกดาหาร!J191"")"),0.0)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IFERROR(__xludf.DUMMYFUNCTION("IMPORTRANGE(""https://docs.google.com/spreadsheets/d/1XL5vhW3sbDhbH9Cz0tuDiY8C3ctxq1tqvaCgkFb8cCA/edit?usp=sharing"",""มุกดาหาร!J192"")"),1.0)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IFERROR(__xludf.DUMMYFUNCTION("IMPORTRANGE(""https://docs.google.com/spreadsheets/d/1XL5vhW3sbDhbH9Cz0tuDiY8C3ctxq1tqvaCgkFb8cCA/edit?usp=sharing"",""มุกดาหาร!J193"")"),0.0)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IFERROR(__xludf.DUMMYFUNCTION("IMPORTRANGE(""https://docs.google.com/spreadsheets/d/1XL5vhW3sbDhbH9Cz0tuDiY8C3ctxq1tqvaCgkFb8cCA/edit?usp=sharing"",""มุกดาหาร!J194"")"),0.0)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IFERROR(__xludf.DUMMYFUNCTION("IMPORTRANGE(""https://docs.google.com/spreadsheets/d/1XL5vhW3sbDhbH9Cz0tuDiY8C3ctxq1tqvaCgkFb8cCA/edit?usp=sharing"",""มุกดาหาร!I195"")"),15.0)</f>
        <v>15</v>
      </c>
      <c r="J285" s="223">
        <f>IFERROR(__xludf.DUMMYFUNCTION("IMPORTRANGE(""https://docs.google.com/spreadsheets/d/1XL5vhW3sbDhbH9Cz0tuDiY8C3ctxq1tqvaCgkFb8cCA/edit?usp=sharing"",""มุกดาหาร!J195"")"),0.0)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IFERROR(__xludf.DUMMYFUNCTION("IMPORTRANGE(""https://docs.google.com/spreadsheets/d/1XL5vhW3sbDhbH9Cz0tuDiY8C3ctxq1tqvaCgkFb8cCA/edit?usp=sharing"",""มุกดาหาร!J196"")"),0.0)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IFERROR(__xludf.DUMMYFUNCTION("IMPORTRANGE(""https://docs.google.com/spreadsheets/d/1XL5vhW3sbDhbH9Cz0tuDiY8C3ctxq1tqvaCgkFb8cCA/edit?usp=sharing"",""มุกดาหาร!J197"")"),0.0)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IFERROR(__xludf.DUMMYFUNCTION("IMPORTRANGE(""https://docs.google.com/spreadsheets/d/1XL5vhW3sbDhbH9Cz0tuDiY8C3ctxq1tqvaCgkFb8cCA/edit?usp=sharing"",""มุกดาหาร!I199"")"),0.0)</f>
        <v>0</v>
      </c>
      <c r="J289" s="349">
        <f>IFERROR(__xludf.DUMMYFUNCTION("IMPORTRANGE(""https://docs.google.com/spreadsheets/d/1XL5vhW3sbDhbH9Cz0tuDiY8C3ctxq1tqvaCgkFb8cCA/edit?usp=sharing"",""มุกดาหาร!J199"")"),0.0)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IFERROR(__xludf.DUMMYFUNCTION("IMPORTRANGE(""https://docs.google.com/spreadsheets/d/1Yj_ptqi66GCucihVvJfMjLAmec39IyEx_6qawtMGysU/edit?usp=sharing"",""สบก!CT46"")"),0.0)</f>
        <v>0</v>
      </c>
      <c r="N294" s="202">
        <f>IFERROR(__xludf.DUMMYFUNCTION("IMPORTRANGE(""https://docs.google.com/spreadsheets/d/1Yj_ptqi66GCucihVvJfMjLAmec39IyEx_6qawtMGysU/edit?usp=sharing"",""สบก!CU46"")"),0.0)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IFERROR(__xludf.DUMMYFUNCTION("IMPORTRANGE(""https://docs.google.com/spreadsheets/d/1Yj_ptqi66GCucihVvJfMjLAmec39IyEx_6qawtMGysU/edit?usp=sharing"",""สบก!CP46"")"),0.0)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IFERROR(__xludf.DUMMYFUNCTION("IMPORTRANGE(""https://docs.google.com/spreadsheets/d/1Yj_ptqi66GCucihVvJfMjLAmec39IyEx_6qawtMGysU/edit?usp=sharing"",""สบก!CQ46"")"),0.0)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IFERROR(__xludf.DUMMYFUNCTION("IMPORTRANGE(""https://docs.google.com/spreadsheets/d/1Yj_ptqi66GCucihVvJfMjLAmec39IyEx_6qawtMGysU/edit?usp=sharing"",""สบก!CR46"")"),0.0)</f>
        <v>0</v>
      </c>
      <c r="M298" s="125"/>
      <c r="N298" s="115">
        <f>IFERROR(__xludf.DUMMYFUNCTION("IMPORTRANGE(""https://docs.google.com/spreadsheets/d/1Yj_ptqi66GCucihVvJfMjLAmec39IyEx_6qawtMGysU/edit?usp=sharing"",""สบก!CV46"")"),0.0)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IFERROR(__xludf.DUMMYFUNCTION("IMPORTRANGE(""https://docs.google.com/spreadsheets/d/1XL5vhW3sbDhbH9Cz0tuDiY8C3ctxq1tqvaCgkFb8cCA/edit?usp=sharing"",""มุกดาหาร!J205"")"),0.0)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IFERROR(__xludf.DUMMYFUNCTION("IMPORTRANGE(""https://docs.google.com/spreadsheets/d/1XL5vhW3sbDhbH9Cz0tuDiY8C3ctxq1tqvaCgkFb8cCA/edit?usp=sharing"",""มุกดาหาร!J206"")"),0.0)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IFERROR(__xludf.DUMMYFUNCTION("IMPORTRANGE(""https://docs.google.com/spreadsheets/d/1XL5vhW3sbDhbH9Cz0tuDiY8C3ctxq1tqvaCgkFb8cCA/edit?usp=sharing"",""มุกดาหาร!J207"")"),0.0)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IFERROR(__xludf.DUMMYFUNCTION("IMPORTRANGE(""https://docs.google.com/spreadsheets/d/1XL5vhW3sbDhbH9Cz0tuDiY8C3ctxq1tqvaCgkFb8cCA/edit?usp=sharing"",""มุกดาหาร!J208"")"),0.0)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IFERROR(__xludf.DUMMYFUNCTION("IMPORTRANGE(""https://docs.google.com/spreadsheets/d/1XL5vhW3sbDhbH9Cz0tuDiY8C3ctxq1tqvaCgkFb8cCA/edit?usp=sharing"",""มุกดาหาร!I209"")"),0.0)</f>
        <v>0</v>
      </c>
      <c r="J304" s="238">
        <f>IFERROR(__xludf.DUMMYFUNCTION("IMPORTRANGE(""https://docs.google.com/spreadsheets/d/1XL5vhW3sbDhbH9Cz0tuDiY8C3ctxq1tqvaCgkFb8cCA/edit?usp=sharing"",""มุกดาหาร!J209"")"),0.0)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IFERROR(__xludf.DUMMYFUNCTION("IMPORTRANGE(""https://docs.google.com/spreadsheets/d/1XL5vhW3sbDhbH9Cz0tuDiY8C3ctxq1tqvaCgkFb8cCA/edit?usp=sharing"",""มุกดาหาร!I211"")"),0.0)</f>
        <v>0</v>
      </c>
      <c r="J306" s="238">
        <f>IFERROR(__xludf.DUMMYFUNCTION("IMPORTRANGE(""https://docs.google.com/spreadsheets/d/1XL5vhW3sbDhbH9Cz0tuDiY8C3ctxq1tqvaCgkFb8cCA/edit?usp=sharing"",""มุกดาหาร!J211"")"),0.0)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IFERROR(__xludf.DUMMYFUNCTION("IMPORTRANGE(""https://docs.google.com/spreadsheets/d/1XL5vhW3sbDhbH9Cz0tuDiY8C3ctxq1tqvaCgkFb8cCA/edit?usp=sharing"",""มุกดาหาร!J212"")"),0.0)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IFERROR(__xludf.DUMMYFUNCTION("IMPORTRANGE(""https://docs.google.com/spreadsheets/d/1XL5vhW3sbDhbH9Cz0tuDiY8C3ctxq1tqvaCgkFb8cCA/edit?usp=sharing"",""มุกดาหาร!J213"")"),0.0)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IFERROR(__xludf.DUMMYFUNCTION("IMPORTRANGE(""https://docs.google.com/spreadsheets/d/1XL5vhW3sbDhbH9Cz0tuDiY8C3ctxq1tqvaCgkFb8cCA/edit?usp=sharing"",""มุกดาหาร!I214"")"),0.0)</f>
        <v>0</v>
      </c>
      <c r="J309" s="366">
        <f>IFERROR(__xludf.DUMMYFUNCTION("IMPORTRANGE(""https://docs.google.com/spreadsheets/d/1XL5vhW3sbDhbH9Cz0tuDiY8C3ctxq1tqvaCgkFb8cCA/edit?usp=sharing"",""มุกดาหาร!J214"")"),0.0)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IFERROR(__xludf.DUMMYFUNCTION("IMPORTRANGE(""https://docs.google.com/spreadsheets/d/1Yj_ptqi66GCucihVvJfMjLAmec39IyEx_6qawtMGysU/edit?usp=sharing"",""สบก!DC46"")"),0.0)</f>
        <v>0</v>
      </c>
      <c r="N314" s="202">
        <f>IFERROR(__xludf.DUMMYFUNCTION("IMPORTRANGE(""https://docs.google.com/spreadsheets/d/1Yj_ptqi66GCucihVvJfMjLAmec39IyEx_6qawtMGysU/edit?usp=sharing"",""สบก!DD46"")"),0.0)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IFERROR(__xludf.DUMMYFUNCTION("IMPORTRANGE(""https://docs.google.com/spreadsheets/d/1Yj_ptqi66GCucihVvJfMjLAmec39IyEx_6qawtMGysU/edit?usp=sharing"",""สบก!CY46"")"),0.0)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IFERROR(__xludf.DUMMYFUNCTION("IMPORTRANGE(""https://docs.google.com/spreadsheets/d/1Yj_ptqi66GCucihVvJfMjLAmec39IyEx_6qawtMGysU/edit?usp=sharing"",""สบก!CZ46"")"),0.0)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IFERROR(__xludf.DUMMYFUNCTION("IMPORTRANGE(""https://docs.google.com/spreadsheets/d/1Yj_ptqi66GCucihVvJfMjLAmec39IyEx_6qawtMGysU/edit?usp=sharing"",""สบก!DA46"")"),0.0)</f>
        <v>0</v>
      </c>
      <c r="M318" s="125"/>
      <c r="N318" s="115">
        <f>IFERROR(__xludf.DUMMYFUNCTION("IMPORTRANGE(""https://docs.google.com/spreadsheets/d/1Yj_ptqi66GCucihVvJfMjLAmec39IyEx_6qawtMGysU/edit?usp=sharing"",""สบก!DE46"")"),0.0)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IFERROR(__xludf.DUMMYFUNCTION("IMPORTRANGE(""https://docs.google.com/spreadsheets/d/1XL5vhW3sbDhbH9Cz0tuDiY8C3ctxq1tqvaCgkFb8cCA/edit?usp=sharing"",""มุกดาหาร!J220"")"),0.0)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IFERROR(__xludf.DUMMYFUNCTION("IMPORTRANGE(""https://docs.google.com/spreadsheets/d/1XL5vhW3sbDhbH9Cz0tuDiY8C3ctxq1tqvaCgkFb8cCA/edit?usp=sharing"",""มุกดาหาร!J221"")"),0.0)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IFERROR(__xludf.DUMMYFUNCTION("IMPORTRANGE(""https://docs.google.com/spreadsheets/d/1XL5vhW3sbDhbH9Cz0tuDiY8C3ctxq1tqvaCgkFb8cCA/edit?usp=sharing"",""มุกดาหาร!J222"")"),0.0)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IFERROR(__xludf.DUMMYFUNCTION("IMPORTRANGE(""https://docs.google.com/spreadsheets/d/1XL5vhW3sbDhbH9Cz0tuDiY8C3ctxq1tqvaCgkFb8cCA/edit?usp=sharing"",""มุกดาหาร!J223"")"),0.0)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IFERROR(__xludf.DUMMYFUNCTION("IMPORTRANGE(""https://docs.google.com/spreadsheets/d/1XL5vhW3sbDhbH9Cz0tuDiY8C3ctxq1tqvaCgkFb8cCA/edit?usp=sharing"",""มุกดาหาร!I224"")"),0.0)</f>
        <v>0</v>
      </c>
      <c r="J324" s="238">
        <f>IFERROR(__xludf.DUMMYFUNCTION("IMPORTRANGE(""https://docs.google.com/spreadsheets/d/1XL5vhW3sbDhbH9Cz0tuDiY8C3ctxq1tqvaCgkFb8cCA/edit?usp=sharing"",""มุกดาหาร!J224"")"),0.0)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IFERROR(__xludf.DUMMYFUNCTION("IMPORTRANGE(""https://docs.google.com/spreadsheets/d/1XL5vhW3sbDhbH9Cz0tuDiY8C3ctxq1tqvaCgkFb8cCA/edit?usp=sharing"",""มุกดาหาร!J225"")"),0.0)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IFERROR(__xludf.DUMMYFUNCTION("IMPORTRANGE(""https://docs.google.com/spreadsheets/d/1XL5vhW3sbDhbH9Cz0tuDiY8C3ctxq1tqvaCgkFb8cCA/edit?usp=sharing"",""มุกดาหาร!J226"")"),0.0)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IFERROR(__xludf.DUMMYFUNCTION("IMPORTRANGE(""https://docs.google.com/spreadsheets/d/1XL5vhW3sbDhbH9Cz0tuDiY8C3ctxq1tqvaCgkFb8cCA/edit?usp=sharing"",""มุกดาหาร!I228"")"),225.0)</f>
        <v>225</v>
      </c>
      <c r="J328" s="372">
        <f>IFERROR(__xludf.DUMMYFUNCTION("IMPORTRANGE(""https://docs.google.com/spreadsheets/d/1XL5vhW3sbDhbH9Cz0tuDiY8C3ctxq1tqvaCgkFb8cCA/edit?usp=sharing"",""มุกดาหาร!J228"")"),6.0)</f>
        <v>6</v>
      </c>
      <c r="K328" s="350">
        <f>IF(I328&gt;0,J328*100/I328,0)</f>
        <v>2.666666667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843710</v>
      </c>
      <c r="M329" s="183">
        <f t="shared" si="99"/>
        <v>378060</v>
      </c>
      <c r="N329" s="183">
        <f t="shared" si="99"/>
        <v>360348</v>
      </c>
      <c r="O329" s="182">
        <f t="shared" ref="O329:O331" si="101">IF(L329&gt;0,N329*100/L329,0)</f>
        <v>42.70993588</v>
      </c>
      <c r="P329" s="182">
        <f t="shared" ref="P329:P331" si="102">IF(M329&gt;0,N329*100/M329,0)</f>
        <v>95.31502936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843710</v>
      </c>
      <c r="M331" s="188">
        <f t="shared" si="103"/>
        <v>378060</v>
      </c>
      <c r="N331" s="188">
        <f t="shared" si="103"/>
        <v>360348</v>
      </c>
      <c r="O331" s="187">
        <f t="shared" si="101"/>
        <v>42.70993588</v>
      </c>
      <c r="P331" s="187">
        <f t="shared" si="102"/>
        <v>95.31502936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696710</v>
      </c>
      <c r="M333" s="201">
        <f>IFERROR(__xludf.DUMMYFUNCTION("IMPORTRANGE(""https://docs.google.com/spreadsheets/d/1Yj_ptqi66GCucihVvJfMjLAmec39IyEx_6qawtMGysU/edit?usp=sharing"",""สบก!DL46"")"),378060.0)</f>
        <v>378060</v>
      </c>
      <c r="N333" s="202">
        <f>IFERROR(__xludf.DUMMYFUNCTION("IMPORTRANGE(""https://docs.google.com/spreadsheets/d/1Yj_ptqi66GCucihVvJfMjLAmec39IyEx_6qawtMGysU/edit?usp=sharing"",""สบก!DM46"")"),221348.0)</f>
        <v>221348</v>
      </c>
      <c r="O333" s="203">
        <f>IF(L333&gt;0,N333*100/L333,0)</f>
        <v>31.77046404</v>
      </c>
      <c r="P333" s="203">
        <f>IF(M333&gt;0,N333*100/M333,0)</f>
        <v>58.54837856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IFERROR(__xludf.DUMMYFUNCTION("IMPORTRANGE(""https://docs.google.com/spreadsheets/d/1Yj_ptqi66GCucihVvJfMjLAmec39IyEx_6qawtMGysU/edit?usp=sharing"",""สบก!DH46"")"),306000.0)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IFERROR(__xludf.DUMMYFUNCTION("IMPORTRANGE(""https://docs.google.com/spreadsheets/d/1Yj_ptqi66GCucihVvJfMjLAmec39IyEx_6qawtMGysU/edit?usp=sharing"",""สบก!DI46"")"),390710.0)</f>
        <v>390710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IFERROR(__xludf.DUMMYFUNCTION("IMPORTRANGE(""https://docs.google.com/spreadsheets/d/1Yj_ptqi66GCucihVvJfMjLAmec39IyEx_6qawtMGysU/edit?usp=sharing"",""สบก!DJ46"")"),147000.0)</f>
        <v>147000</v>
      </c>
      <c r="M337" s="125"/>
      <c r="N337" s="115">
        <f>IFERROR(__xludf.DUMMYFUNCTION("IMPORTRANGE(""https://docs.google.com/spreadsheets/d/1Yj_ptqi66GCucihVvJfMjLAmec39IyEx_6qawtMGysU/edit?usp=sharing"",""สบก!DN46"")"),139000.0)</f>
        <v>139000</v>
      </c>
      <c r="O337" s="125">
        <f>IF(L337&gt;0,N337*100/L337,0)</f>
        <v>94.55782313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IFERROR(__xludf.DUMMYFUNCTION("IMPORTRANGE(""https://docs.google.com/spreadsheets/d/1XL5vhW3sbDhbH9Cz0tuDiY8C3ctxq1tqvaCgkFb8cCA/edit?usp=sharing"",""มุกดาหาร!I234"")"),0.0)</f>
        <v>0</v>
      </c>
      <c r="J339" s="222">
        <f>IFERROR(__xludf.DUMMYFUNCTION("IMPORTRANGE(""https://docs.google.com/spreadsheets/d/1XL5vhW3sbDhbH9Cz0tuDiY8C3ctxq1tqvaCgkFb8cCA/edit?usp=sharing"",""มุกดาหาร!J234"")"),52.0)</f>
        <v>52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IFERROR(__xludf.DUMMYFUNCTION("IMPORTRANGE(""https://docs.google.com/spreadsheets/d/1XL5vhW3sbDhbH9Cz0tuDiY8C3ctxq1tqvaCgkFb8cCA/edit?usp=sharing"",""มุกดาหาร!I235"")"),1800.0)</f>
        <v>1800</v>
      </c>
      <c r="J340" s="222">
        <f>IFERROR(__xludf.DUMMYFUNCTION("IMPORTRANGE(""https://docs.google.com/spreadsheets/d/1XL5vhW3sbDhbH9Cz0tuDiY8C3ctxq1tqvaCgkFb8cCA/edit?usp=sharing"",""มุกดาหาร!J235"")"),396.65)</f>
        <v>396.65</v>
      </c>
      <c r="K340" s="375">
        <f t="shared" si="104"/>
        <v>22.03611111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IFERROR(__xludf.DUMMYFUNCTION("IMPORTRANGE(""https://docs.google.com/spreadsheets/d/1XL5vhW3sbDhbH9Cz0tuDiY8C3ctxq1tqvaCgkFb8cCA/edit?usp=sharing"",""มุกดาหาร!I236"")"),225.0)</f>
        <v>225</v>
      </c>
      <c r="J341" s="222">
        <f>IFERROR(__xludf.DUMMYFUNCTION("IMPORTRANGE(""https://docs.google.com/spreadsheets/d/1XL5vhW3sbDhbH9Cz0tuDiY8C3ctxq1tqvaCgkFb8cCA/edit?usp=sharing"",""มุกดาหาร!J236"")"),50.0)</f>
        <v>50</v>
      </c>
      <c r="K341" s="375">
        <f t="shared" si="104"/>
        <v>22.22222222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IFERROR(__xludf.DUMMYFUNCTION("IMPORTRANGE(""https://docs.google.com/spreadsheets/d/1XL5vhW3sbDhbH9Cz0tuDiY8C3ctxq1tqvaCgkFb8cCA/edit?usp=sharing"",""มุกดาหาร!I237"")"),0.0)</f>
        <v>0</v>
      </c>
      <c r="J342" s="222">
        <f>IFERROR(__xludf.DUMMYFUNCTION("IMPORTRANGE(""https://docs.google.com/spreadsheets/d/1XL5vhW3sbDhbH9Cz0tuDiY8C3ctxq1tqvaCgkFb8cCA/edit?usp=sharing"",""มุกดาหาร!J237"")"),357.8)</f>
        <v>357.8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IFERROR(__xludf.DUMMYFUNCTION("IMPORTRANGE(""https://docs.google.com/spreadsheets/d/1XL5vhW3sbDhbH9Cz0tuDiY8C3ctxq1tqvaCgkFb8cCA/edit?usp=sharing"",""มุกดาหาร!I238"")"),225.0)</f>
        <v>225</v>
      </c>
      <c r="J343" s="222">
        <f>IFERROR(__xludf.DUMMYFUNCTION("IMPORTRANGE(""https://docs.google.com/spreadsheets/d/1XL5vhW3sbDhbH9Cz0tuDiY8C3ctxq1tqvaCgkFb8cCA/edit?usp=sharing"",""มุกดาหาร!J238"")"),0.0)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IFERROR(__xludf.DUMMYFUNCTION("IMPORTRANGE(""https://docs.google.com/spreadsheets/d/1XL5vhW3sbDhbH9Cz0tuDiY8C3ctxq1tqvaCgkFb8cCA/edit?usp=sharing"",""มุกดาหาร!I239"")"),0.0)</f>
        <v>0</v>
      </c>
      <c r="J344" s="222">
        <f>IFERROR(__xludf.DUMMYFUNCTION("IMPORTRANGE(""https://docs.google.com/spreadsheets/d/1XL5vhW3sbDhbH9Cz0tuDiY8C3ctxq1tqvaCgkFb8cCA/edit?usp=sharing"",""มุกดาหาร!J239"")"),0.0)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IFERROR(__xludf.DUMMYFUNCTION("IMPORTRANGE(""https://docs.google.com/spreadsheets/d/1XL5vhW3sbDhbH9Cz0tuDiY8C3ctxq1tqvaCgkFb8cCA/edit?usp=sharing"",""มุกดาหาร!I240"")"),225.0)</f>
        <v>225</v>
      </c>
      <c r="J345" s="222">
        <f>IFERROR(__xludf.DUMMYFUNCTION("IMPORTRANGE(""https://docs.google.com/spreadsheets/d/1XL5vhW3sbDhbH9Cz0tuDiY8C3ctxq1tqvaCgkFb8cCA/edit?usp=sharing"",""มุกดาหาร!J240"")"),6.0)</f>
        <v>6</v>
      </c>
      <c r="K345" s="375">
        <f t="shared" si="104"/>
        <v>2.666666667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IFERROR(__xludf.DUMMYFUNCTION("IMPORTRANGE(""https://docs.google.com/spreadsheets/d/1XL5vhW3sbDhbH9Cz0tuDiY8C3ctxq1tqvaCgkFb8cCA/edit?usp=sharing"",""มุกดาหาร!I241"")"),0.0)</f>
        <v>0</v>
      </c>
      <c r="J346" s="222">
        <f>IFERROR(__xludf.DUMMYFUNCTION("IMPORTRANGE(""https://docs.google.com/spreadsheets/d/1XL5vhW3sbDhbH9Cz0tuDiY8C3ctxq1tqvaCgkFb8cCA/edit?usp=sharing"",""มุกดาหาร!J241"")"),35.81)</f>
        <v>35.81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IFERROR(__xludf.DUMMYFUNCTION("IMPORTRANGE(""https://docs.google.com/spreadsheets/d/1XL5vhW3sbDhbH9Cz0tuDiY8C3ctxq1tqvaCgkFb8cCA/edit?usp=sharing"",""มุกดาหาร!L242"")"),2511478.0)</f>
        <v>2511478</v>
      </c>
      <c r="M347" s="391"/>
      <c r="N347" s="391">
        <f>IFERROR(__xludf.DUMMYFUNCTION("IMPORTRANGE(""https://docs.google.com/spreadsheets/d/1XL5vhW3sbDhbH9Cz0tuDiY8C3ctxq1tqvaCgkFb8cCA/edit?usp=sharing"",""มุกดาหาร!M242"")"),381520.0)</f>
        <v>381520</v>
      </c>
      <c r="O347" s="391">
        <f>+IF(L347&gt;0,N347*100/L347,0)</f>
        <v>15.19105483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IFERROR(__xludf.DUMMYFUNCTION("IMPORTRANGE(""https://docs.google.com/spreadsheets/d/1XL5vhW3sbDhbH9Cz0tuDiY8C3ctxq1tqvaCgkFb8cCA/edit?usp=sharing"",""มุกดาหาร!I244"")"),190.0)</f>
        <v>190</v>
      </c>
      <c r="J349" s="404">
        <f>IFERROR(__xludf.DUMMYFUNCTION("IMPORTRANGE(""https://docs.google.com/spreadsheets/d/1XL5vhW3sbDhbH9Cz0tuDiY8C3ctxq1tqvaCgkFb8cCA/edit?usp=sharing"",""มุกดาหาร!J244"")"),0.0)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IFERROR(__xludf.DUMMYFUNCTION("IMPORTRANGE(""https://docs.google.com/spreadsheets/d/1XL5vhW3sbDhbH9Cz0tuDiY8C3ctxq1tqvaCgkFb8cCA/edit?usp=sharing"",""มุกดาหาร!L244"")"),445930.0)</f>
        <v>445930</v>
      </c>
      <c r="M349" s="406"/>
      <c r="N349" s="406">
        <f>IFERROR(__xludf.DUMMYFUNCTION("IMPORTRANGE(""https://docs.google.com/spreadsheets/d/1XL5vhW3sbDhbH9Cz0tuDiY8C3ctxq1tqvaCgkFb8cCA/edit?usp=sharing"",""มุกดาหาร!M244"")"),86103.0)</f>
        <v>86103</v>
      </c>
      <c r="O349" s="406">
        <f>+IF(L349&gt;0,N349*100/L349,0)</f>
        <v>19.30863588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IFERROR(__xludf.DUMMYFUNCTION("IMPORTRANGE(""https://docs.google.com/spreadsheets/d/1XL5vhW3sbDhbH9Cz0tuDiY8C3ctxq1tqvaCgkFb8cCA/edit?usp=sharing"",""มุกดาหาร!I245"")"),65.0)</f>
        <v>65</v>
      </c>
      <c r="J350" s="404">
        <f>IFERROR(__xludf.DUMMYFUNCTION("IMPORTRANGE(""https://docs.google.com/spreadsheets/d/1XL5vhW3sbDhbH9Cz0tuDiY8C3ctxq1tqvaCgkFb8cCA/edit?usp=sharing"",""มุกดาหาร!J245"")"),0.0)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IFERROR(__xludf.DUMMYFUNCTION("IMPORTRANGE(""https://docs.google.com/spreadsheets/d/1XL5vhW3sbDhbH9Cz0tuDiY8C3ctxq1tqvaCgkFb8cCA/edit?usp=sharing"",""มุกดาหาร!L246"")"),0.0)</f>
        <v>0</v>
      </c>
      <c r="M351" s="197"/>
      <c r="N351" s="197">
        <f>IFERROR(__xludf.DUMMYFUNCTION("IMPORTRANGE(""https://docs.google.com/spreadsheets/d/1XL5vhW3sbDhbH9Cz0tuDiY8C3ctxq1tqvaCgkFb8cCA/edit?usp=sharing"",""มุกดาหาร!M246"")"),0.0)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IFERROR(__xludf.DUMMYFUNCTION("IMPORTRANGE(""https://docs.google.com/spreadsheets/d/1XL5vhW3sbDhbH9Cz0tuDiY8C3ctxq1tqvaCgkFb8cCA/edit?usp=sharing"",""มุกดาหาร!L247"")"),445930.0)</f>
        <v>445930</v>
      </c>
      <c r="M352" s="198"/>
      <c r="N352" s="197">
        <f>IFERROR(__xludf.DUMMYFUNCTION("IMPORTRANGE(""https://docs.google.com/spreadsheets/d/1XL5vhW3sbDhbH9Cz0tuDiY8C3ctxq1tqvaCgkFb8cCA/edit?usp=sharing"",""มุกดาหาร!M247"")"),86103.0)</f>
        <v>86103</v>
      </c>
      <c r="O352" s="198">
        <f t="shared" si="106"/>
        <v>19.30863588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IFERROR(__xludf.DUMMYFUNCTION("IMPORTRANGE(""https://docs.google.com/spreadsheets/d/1XL5vhW3sbDhbH9Cz0tuDiY8C3ctxq1tqvaCgkFb8cCA/edit?usp=sharing"",""มุกดาหาร!L248"")"),0.0)</f>
        <v>0</v>
      </c>
      <c r="M353" s="203"/>
      <c r="N353" s="203">
        <f>IFERROR(__xludf.DUMMYFUNCTION("IMPORTRANGE(""https://docs.google.com/spreadsheets/d/1XL5vhW3sbDhbH9Cz0tuDiY8C3ctxq1tqvaCgkFb8cCA/edit?usp=sharing"",""มุกดาหาร!M248"")"),0.0)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IFERROR(__xludf.DUMMYFUNCTION("IMPORTRANGE(""https://docs.google.com/spreadsheets/d/1XL5vhW3sbDhbH9Cz0tuDiY8C3ctxq1tqvaCgkFb8cCA/edit?usp=sharing"",""มุกดาหาร!L249"")"),445930.0)</f>
        <v>445930</v>
      </c>
      <c r="M354" s="203"/>
      <c r="N354" s="200">
        <f>IFERROR(__xludf.DUMMYFUNCTION("IMPORTRANGE(""https://docs.google.com/spreadsheets/d/1XL5vhW3sbDhbH9Cz0tuDiY8C3ctxq1tqvaCgkFb8cCA/edit?usp=sharing"",""มุกดาหาร!M249"")"),86103.0)</f>
        <v>86103</v>
      </c>
      <c r="O354" s="203">
        <f t="shared" si="106"/>
        <v>19.30863588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IFERROR(__xludf.DUMMYFUNCTION("IMPORTRANGE(""https://docs.google.com/spreadsheets/d/1XL5vhW3sbDhbH9Cz0tuDiY8C3ctxq1tqvaCgkFb8cCA/edit?usp=sharing"",""มุกดาหาร!M250"")"),40630.0)</f>
        <v>40630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IFERROR(__xludf.DUMMYFUNCTION("IMPORTRANGE(""https://docs.google.com/spreadsheets/d/1XL5vhW3sbDhbH9Cz0tuDiY8C3ctxq1tqvaCgkFb8cCA/edit?usp=sharing"",""มุกดาหาร!M251"")"),0.0)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IFERROR(__xludf.DUMMYFUNCTION("IMPORTRANGE(""https://docs.google.com/spreadsheets/d/1XL5vhW3sbDhbH9Cz0tuDiY8C3ctxq1tqvaCgkFb8cCA/edit?usp=sharing"",""มุกดาหาร!M252"")"),31533.0)</f>
        <v>31533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IFERROR(__xludf.DUMMYFUNCTION("IMPORTRANGE(""https://docs.google.com/spreadsheets/d/1XL5vhW3sbDhbH9Cz0tuDiY8C3ctxq1tqvaCgkFb8cCA/edit?usp=sharing"",""มุกดาหาร!M253"")"),13940.0)</f>
        <v>13940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IFERROR(__xludf.DUMMYFUNCTION("IMPORTRANGE(""https://docs.google.com/spreadsheets/d/1XL5vhW3sbDhbH9Cz0tuDiY8C3ctxq1tqvaCgkFb8cCA/edit?usp=sharing"",""มุกดาหาร!J255"")"),0.0)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IFERROR(__xludf.DUMMYFUNCTION("IMPORTRANGE(""https://docs.google.com/spreadsheets/d/1XL5vhW3sbDhbH9Cz0tuDiY8C3ctxq1tqvaCgkFb8cCA/edit?usp=sharing"",""มุกดาหาร!J256"")"),1.0)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IFERROR(__xludf.DUMMYFUNCTION("IMPORTRANGE(""https://docs.google.com/spreadsheets/d/1XL5vhW3sbDhbH9Cz0tuDiY8C3ctxq1tqvaCgkFb8cCA/edit?usp=sharing"",""มุกดาหาร!J257"")"),1.0)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IFERROR(__xludf.DUMMYFUNCTION("IMPORTRANGE(""https://docs.google.com/spreadsheets/d/1XL5vhW3sbDhbH9Cz0tuDiY8C3ctxq1tqvaCgkFb8cCA/edit?usp=sharing"",""มุกดาหาร!J258"")"),1.0)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IFERROR(__xludf.DUMMYFUNCTION("IMPORTRANGE(""https://docs.google.com/spreadsheets/d/1XL5vhW3sbDhbH9Cz0tuDiY8C3ctxq1tqvaCgkFb8cCA/edit?usp=sharing"",""มุกดาหาร!J166"")"),0.0)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IFERROR(__xludf.DUMMYFUNCTION("IMPORTRANGE(""https://docs.google.com/spreadsheets/d/1XL5vhW3sbDhbH9Cz0tuDiY8C3ctxq1tqvaCgkFb8cCA/edit?usp=sharing"",""มุกดาหาร!J166"")"),0.0)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IFERROR(__xludf.DUMMYFUNCTION("IMPORTRANGE(""https://docs.google.com/spreadsheets/d/1XL5vhW3sbDhbH9Cz0tuDiY8C3ctxq1tqvaCgkFb8cCA/edit?usp=sharing"",""มุกดาหาร!J166"")"),0.0)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IFERROR(__xludf.DUMMYFUNCTION("IMPORTRANGE(""https://docs.google.com/spreadsheets/d/1XL5vhW3sbDhbH9Cz0tuDiY8C3ctxq1tqvaCgkFb8cCA/edit?usp=sharing"",""มุกดาหาร!J166"")"),0.0)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IFERROR(__xludf.DUMMYFUNCTION("IMPORTRANGE(""https://docs.google.com/spreadsheets/d/1XL5vhW3sbDhbH9Cz0tuDiY8C3ctxq1tqvaCgkFb8cCA/edit?usp=sharing"",""มุกดาหาร!I263"")"),65.0)</f>
        <v>65</v>
      </c>
      <c r="J368" s="222">
        <f>IFERROR(__xludf.DUMMYFUNCTION("IMPORTRANGE(""https://docs.google.com/spreadsheets/d/1XL5vhW3sbDhbH9Cz0tuDiY8C3ctxq1tqvaCgkFb8cCA/edit?usp=sharing"",""มุกดาหาร!J263"")"),0.0)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IFERROR(__xludf.DUMMYFUNCTION("IMPORTRANGE(""https://docs.google.com/spreadsheets/d/1XL5vhW3sbDhbH9Cz0tuDiY8C3ctxq1tqvaCgkFb8cCA/edit?usp=sharing"",""มุกดาหาร!I164"")"),0.0)</f>
        <v>0</v>
      </c>
      <c r="J369" s="238">
        <f>IFERROR(__xludf.DUMMYFUNCTION("IMPORTRANGE(""https://docs.google.com/spreadsheets/d/1XL5vhW3sbDhbH9Cz0tuDiY8C3ctxq1tqvaCgkFb8cCA/edit?usp=sharing"",""มุกดาหาร!J164"")"),0.0)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IFERROR(__xludf.DUMMYFUNCTION("IMPORTRANGE(""https://docs.google.com/spreadsheets/d/1XL5vhW3sbDhbH9Cz0tuDiY8C3ctxq1tqvaCgkFb8cCA/edit?usp=sharing"",""มุกดาหาร!I265"")"),65.0)</f>
        <v>65</v>
      </c>
      <c r="J370" s="238">
        <f>IFERROR(__xludf.DUMMYFUNCTION("IMPORTRANGE(""https://docs.google.com/spreadsheets/d/1XL5vhW3sbDhbH9Cz0tuDiY8C3ctxq1tqvaCgkFb8cCA/edit?usp=sharing"",""มุกดาหาร!J265"")"),35.0)</f>
        <v>35</v>
      </c>
      <c r="K370" s="196">
        <f t="shared" si="107"/>
        <v>53.84615385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IFERROR(__xludf.DUMMYFUNCTION("IMPORTRANGE(""https://docs.google.com/spreadsheets/d/1XL5vhW3sbDhbH9Cz0tuDiY8C3ctxq1tqvaCgkFb8cCA/edit?usp=sharing"",""มุกดาหาร!I164"")"),0.0)</f>
        <v>0</v>
      </c>
      <c r="J371" s="223">
        <f>IFERROR(__xludf.DUMMYFUNCTION("IMPORTRANGE(""https://docs.google.com/spreadsheets/d/1XL5vhW3sbDhbH9Cz0tuDiY8C3ctxq1tqvaCgkFb8cCA/edit?usp=sharing"",""มุกดาหาร!J164"")"),0.0)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IFERROR(__xludf.DUMMYFUNCTION("IMPORTRANGE(""https://docs.google.com/spreadsheets/d/1XL5vhW3sbDhbH9Cz0tuDiY8C3ctxq1tqvaCgkFb8cCA/edit?usp=sharing"",""มุกดาหาร!I267"")"),65.0)</f>
        <v>65</v>
      </c>
      <c r="J372" s="223">
        <f>IFERROR(__xludf.DUMMYFUNCTION("IMPORTRANGE(""https://docs.google.com/spreadsheets/d/1XL5vhW3sbDhbH9Cz0tuDiY8C3ctxq1tqvaCgkFb8cCA/edit?usp=sharing"",""มุกดาหาร!J267"")"),0.0)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IFERROR(__xludf.DUMMYFUNCTION("IMPORTRANGE(""https://docs.google.com/spreadsheets/d/1XL5vhW3sbDhbH9Cz0tuDiY8C3ctxq1tqvaCgkFb8cCA/edit?usp=sharing"",""มุกดาหาร!I164"")"),0.0)</f>
        <v>0</v>
      </c>
      <c r="J373" s="238">
        <f>IFERROR(__xludf.DUMMYFUNCTION("IMPORTRANGE(""https://docs.google.com/spreadsheets/d/1XL5vhW3sbDhbH9Cz0tuDiY8C3ctxq1tqvaCgkFb8cCA/edit?usp=sharing"",""มุกดาหาร!J164"")"),0.0)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IFERROR(__xludf.DUMMYFUNCTION("IMPORTRANGE(""https://docs.google.com/spreadsheets/d/1XL5vhW3sbDhbH9Cz0tuDiY8C3ctxq1tqvaCgkFb8cCA/edit?usp=sharing"",""มุกดาหาร!I164"")"),0.0)</f>
        <v>0</v>
      </c>
      <c r="J374" s="222">
        <f>IFERROR(__xludf.DUMMYFUNCTION("IMPORTRANGE(""https://docs.google.com/spreadsheets/d/1XL5vhW3sbDhbH9Cz0tuDiY8C3ctxq1tqvaCgkFb8cCA/edit?usp=sharing"",""มุกดาหาร!J164"")"),0.0)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IFERROR(__xludf.DUMMYFUNCTION("IMPORTRANGE(""https://docs.google.com/spreadsheets/d/1XL5vhW3sbDhbH9Cz0tuDiY8C3ctxq1tqvaCgkFb8cCA/edit?usp=sharing"",""มุกดาหาร!I270"")"),190.0)</f>
        <v>190</v>
      </c>
      <c r="J375" s="222">
        <f>IFERROR(__xludf.DUMMYFUNCTION("IMPORTRANGE(""https://docs.google.com/spreadsheets/d/1XL5vhW3sbDhbH9Cz0tuDiY8C3ctxq1tqvaCgkFb8cCA/edit?usp=sharing"",""มุกดาหาร!J270"")"),0.0)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IFERROR(__xludf.DUMMYFUNCTION("IMPORTRANGE(""https://docs.google.com/spreadsheets/d/1XL5vhW3sbDhbH9Cz0tuDiY8C3ctxq1tqvaCgkFb8cCA/edit?usp=sharing"",""มุกดาหาร!I271"")"),100.0)</f>
        <v>100</v>
      </c>
      <c r="J376" s="223">
        <f>IFERROR(__xludf.DUMMYFUNCTION("IMPORTRANGE(""https://docs.google.com/spreadsheets/d/1XL5vhW3sbDhbH9Cz0tuDiY8C3ctxq1tqvaCgkFb8cCA/edit?usp=sharing"",""มุกดาหาร!J271"")"),0.0)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IFERROR(__xludf.DUMMYFUNCTION("IMPORTRANGE(""https://docs.google.com/spreadsheets/d/1XL5vhW3sbDhbH9Cz0tuDiY8C3ctxq1tqvaCgkFb8cCA/edit?usp=sharing"",""มุกดาหาร!I272"")"),90.0)</f>
        <v>90</v>
      </c>
      <c r="J377" s="238">
        <f>IFERROR(__xludf.DUMMYFUNCTION("IMPORTRANGE(""https://docs.google.com/spreadsheets/d/1XL5vhW3sbDhbH9Cz0tuDiY8C3ctxq1tqvaCgkFb8cCA/edit?usp=sharing"",""มุกดาหาร!J272"")"),0.0)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IFERROR(__xludf.DUMMYFUNCTION("IMPORTRANGE(""https://docs.google.com/spreadsheets/d/1XL5vhW3sbDhbH9Cz0tuDiY8C3ctxq1tqvaCgkFb8cCA/edit?usp=sharing"",""มุกดาหาร!J273"")"),0.0)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IFERROR(__xludf.DUMMYFUNCTION("IMPORTRANGE(""https://docs.google.com/spreadsheets/d/1XL5vhW3sbDhbH9Cz0tuDiY8C3ctxq1tqvaCgkFb8cCA/edit?usp=sharing"",""มุกดาหาร!J274"")"),0.0)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IFERROR(__xludf.DUMMYFUNCTION("IMPORTRANGE(""https://docs.google.com/spreadsheets/d/1XL5vhW3sbDhbH9Cz0tuDiY8C3ctxq1tqvaCgkFb8cCA/edit?usp=sharing"",""มุกดาหาร!I275"")"),1000.0)</f>
        <v>1000</v>
      </c>
      <c r="J380" s="404">
        <f>IFERROR(__xludf.DUMMYFUNCTION("IMPORTRANGE(""https://docs.google.com/spreadsheets/d/1XL5vhW3sbDhbH9Cz0tuDiY8C3ctxq1tqvaCgkFb8cCA/edit?usp=sharing"",""มุกดาหาร!J275"")"),0.0)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IFERROR(__xludf.DUMMYFUNCTION("IMPORTRANGE(""https://docs.google.com/spreadsheets/d/1XL5vhW3sbDhbH9Cz0tuDiY8C3ctxq1tqvaCgkFb8cCA/edit?usp=sharing"",""มุกดาหาร!L275"")"),1028520.0)</f>
        <v>1028520</v>
      </c>
      <c r="M380" s="406"/>
      <c r="N380" s="406">
        <f>IFERROR(__xludf.DUMMYFUNCTION("IMPORTRANGE(""https://docs.google.com/spreadsheets/d/1XL5vhW3sbDhbH9Cz0tuDiY8C3ctxq1tqvaCgkFb8cCA/edit?usp=sharing"",""มุกดาหาร!M275"")"),131535.0)</f>
        <v>131535</v>
      </c>
      <c r="O380" s="406">
        <f>+IF(L380&gt;0,N380*100/L380,0)</f>
        <v>12.78876444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IFERROR(__xludf.DUMMYFUNCTION("IMPORTRANGE(""https://docs.google.com/spreadsheets/d/1XL5vhW3sbDhbH9Cz0tuDiY8C3ctxq1tqvaCgkFb8cCA/edit?usp=sharing"",""มุกดาหาร!I276"")"),100.0)</f>
        <v>100</v>
      </c>
      <c r="J381" s="404">
        <f>IFERROR(__xludf.DUMMYFUNCTION("IMPORTRANGE(""https://docs.google.com/spreadsheets/d/1XL5vhW3sbDhbH9Cz0tuDiY8C3ctxq1tqvaCgkFb8cCA/edit?usp=sharing"",""มุกดาหาร!J276"")"),0.0)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IFERROR(__xludf.DUMMYFUNCTION("IMPORTRANGE(""https://docs.google.com/spreadsheets/d/1XL5vhW3sbDhbH9Cz0tuDiY8C3ctxq1tqvaCgkFb8cCA/edit?usp=sharing"",""มุกดาหาร!L277"")"),0.0)</f>
        <v>0</v>
      </c>
      <c r="M382" s="197"/>
      <c r="N382" s="197">
        <f>IFERROR(__xludf.DUMMYFUNCTION("IMPORTRANGE(""https://docs.google.com/spreadsheets/d/1XL5vhW3sbDhbH9Cz0tuDiY8C3ctxq1tqvaCgkFb8cCA/edit?usp=sharing"",""มุกดาหาร!M277"")"),0.0)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IFERROR(__xludf.DUMMYFUNCTION("IMPORTRANGE(""https://docs.google.com/spreadsheets/d/1XL5vhW3sbDhbH9Cz0tuDiY8C3ctxq1tqvaCgkFb8cCA/edit?usp=sharing"",""มุกดาหาร!L278"")"),1028520.0)</f>
        <v>1028520</v>
      </c>
      <c r="M383" s="198"/>
      <c r="N383" s="198">
        <f>IFERROR(__xludf.DUMMYFUNCTION("IMPORTRANGE(""https://docs.google.com/spreadsheets/d/1XL5vhW3sbDhbH9Cz0tuDiY8C3ctxq1tqvaCgkFb8cCA/edit?usp=sharing"",""มุกดาหาร!M278"")"),131535.0)</f>
        <v>131535</v>
      </c>
      <c r="O383" s="198">
        <f t="shared" si="110"/>
        <v>12.78876444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IFERROR(__xludf.DUMMYFUNCTION("IMPORTRANGE(""https://docs.google.com/spreadsheets/d/1XL5vhW3sbDhbH9Cz0tuDiY8C3ctxq1tqvaCgkFb8cCA/edit?usp=sharing"",""มุกดาหาร!L279"")"),0.0)</f>
        <v>0</v>
      </c>
      <c r="M384" s="203"/>
      <c r="N384" s="203">
        <f>IFERROR(__xludf.DUMMYFUNCTION("IMPORTRANGE(""https://docs.google.com/spreadsheets/d/1XL5vhW3sbDhbH9Cz0tuDiY8C3ctxq1tqvaCgkFb8cCA/edit?usp=sharing"",""มุกดาหาร!M279"")"),0.0)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IFERROR(__xludf.DUMMYFUNCTION("IMPORTRANGE(""https://docs.google.com/spreadsheets/d/1XL5vhW3sbDhbH9Cz0tuDiY8C3ctxq1tqvaCgkFb8cCA/edit?usp=sharing"",""มุกดาหาร!L280"")"),1028520.0)</f>
        <v>1028520</v>
      </c>
      <c r="M385" s="203"/>
      <c r="N385" s="200">
        <f>IFERROR(__xludf.DUMMYFUNCTION("IMPORTRANGE(""https://docs.google.com/spreadsheets/d/1XL5vhW3sbDhbH9Cz0tuDiY8C3ctxq1tqvaCgkFb8cCA/edit?usp=sharing"",""มุกดาหาร!M280"")"),131535.0)</f>
        <v>131535</v>
      </c>
      <c r="O385" s="203">
        <f t="shared" si="110"/>
        <v>12.78876444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IFERROR(__xludf.DUMMYFUNCTION("IMPORTRANGE(""https://docs.google.com/spreadsheets/d/1XL5vhW3sbDhbH9Cz0tuDiY8C3ctxq1tqvaCgkFb8cCA/edit?usp=sharing"",""มุกดาหาร!M281"")"),94800.0)</f>
        <v>94800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IFERROR(__xludf.DUMMYFUNCTION("IMPORTRANGE(""https://docs.google.com/spreadsheets/d/1XL5vhW3sbDhbH9Cz0tuDiY8C3ctxq1tqvaCgkFb8cCA/edit?usp=sharing"",""มุกดาหาร!M282"")"),0.0)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IFERROR(__xludf.DUMMYFUNCTION("IMPORTRANGE(""https://docs.google.com/spreadsheets/d/1XL5vhW3sbDhbH9Cz0tuDiY8C3ctxq1tqvaCgkFb8cCA/edit?usp=sharing"",""มุกดาหาร!M283"")"),31533.0)</f>
        <v>31533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IFERROR(__xludf.DUMMYFUNCTION("IMPORTRANGE(""https://docs.google.com/spreadsheets/d/1XL5vhW3sbDhbH9Cz0tuDiY8C3ctxq1tqvaCgkFb8cCA/edit?usp=sharing"",""มุกดาหาร!M284"")"),5202.0)</f>
        <v>5202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IFERROR(__xludf.DUMMYFUNCTION("IMPORTRANGE(""https://docs.google.com/spreadsheets/d/1XL5vhW3sbDhbH9Cz0tuDiY8C3ctxq1tqvaCgkFb8cCA/edit?usp=sharing"",""มุกดาหาร!J286"")"),0.0)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IFERROR(__xludf.DUMMYFUNCTION("IMPORTRANGE(""https://docs.google.com/spreadsheets/d/1XL5vhW3sbDhbH9Cz0tuDiY8C3ctxq1tqvaCgkFb8cCA/edit?usp=sharing"",""มุกดาหาร!J287"")"),1.0)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IFERROR(__xludf.DUMMYFUNCTION("IMPORTRANGE(""https://docs.google.com/spreadsheets/d/1XL5vhW3sbDhbH9Cz0tuDiY8C3ctxq1tqvaCgkFb8cCA/edit?usp=sharing"",""มุกดาหาร!J288"")"),1.0)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IFERROR(__xludf.DUMMYFUNCTION("IMPORTRANGE(""https://docs.google.com/spreadsheets/d/1XL5vhW3sbDhbH9Cz0tuDiY8C3ctxq1tqvaCgkFb8cCA/edit?usp=sharing"",""มุกดาหาร!J289"")"),1.0)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IFERROR(__xludf.DUMMYFUNCTION("IMPORTRANGE(""https://docs.google.com/spreadsheets/d/1XL5vhW3sbDhbH9Cz0tuDiY8C3ctxq1tqvaCgkFb8cCA/edit?usp=sharing"",""มุกดาหาร!I291"")"),100.0)</f>
        <v>100</v>
      </c>
      <c r="J396" s="232">
        <f>IFERROR(__xludf.DUMMYFUNCTION("IMPORTRANGE(""https://docs.google.com/spreadsheets/d/1XL5vhW3sbDhbH9Cz0tuDiY8C3ctxq1tqvaCgkFb8cCA/edit?usp=sharing"",""มุกดาหาร!J291"")"),0.0)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IFERROR(__xludf.DUMMYFUNCTION("IMPORTRANGE(""https://docs.google.com/spreadsheets/d/1XL5vhW3sbDhbH9Cz0tuDiY8C3ctxq1tqvaCgkFb8cCA/edit?usp=sharing"",""มุกดาหาร!I292"")"),1000.0)</f>
        <v>1000</v>
      </c>
      <c r="J397" s="232">
        <f>IFERROR(__xludf.DUMMYFUNCTION("IMPORTRANGE(""https://docs.google.com/spreadsheets/d/1XL5vhW3sbDhbH9Cz0tuDiY8C3ctxq1tqvaCgkFb8cCA/edit?usp=sharing"",""มุกดาหาร!J292"")"),0.0)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IFERROR(__xludf.DUMMYFUNCTION("IMPORTRANGE(""https://docs.google.com/spreadsheets/d/1XL5vhW3sbDhbH9Cz0tuDiY8C3ctxq1tqvaCgkFb8cCA/edit?usp=sharing"",""มุกดาหาร!I293"")"),100.0)</f>
        <v>100</v>
      </c>
      <c r="J398" s="232">
        <f>IFERROR(__xludf.DUMMYFUNCTION("IMPORTRANGE(""https://docs.google.com/spreadsheets/d/1XL5vhW3sbDhbH9Cz0tuDiY8C3ctxq1tqvaCgkFb8cCA/edit?usp=sharing"",""มุกดาหาร!J293"")"),0.0)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IFERROR(__xludf.DUMMYFUNCTION("IMPORTRANGE(""https://docs.google.com/spreadsheets/d/1XL5vhW3sbDhbH9Cz0tuDiY8C3ctxq1tqvaCgkFb8cCA/edit?usp=sharing"",""มุกดาหาร!J294"")"),0.0)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IFERROR(__xludf.DUMMYFUNCTION("IMPORTRANGE(""https://docs.google.com/spreadsheets/d/1XL5vhW3sbDhbH9Cz0tuDiY8C3ctxq1tqvaCgkFb8cCA/edit?usp=sharing"",""มุกดาหาร!J295"")"),0.0)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IFERROR(__xludf.DUMMYFUNCTION("IMPORTRANGE(""https://docs.google.com/spreadsheets/d/1XL5vhW3sbDhbH9Cz0tuDiY8C3ctxq1tqvaCgkFb8cCA/edit?usp=sharing"",""มุกดาหาร!I296"")"),135.0)</f>
        <v>135</v>
      </c>
      <c r="J401" s="404">
        <f>IFERROR(__xludf.DUMMYFUNCTION("IMPORTRANGE(""https://docs.google.com/spreadsheets/d/1XL5vhW3sbDhbH9Cz0tuDiY8C3ctxq1tqvaCgkFb8cCA/edit?usp=sharing"",""มุกดาหาร!J296"")"),0.0)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IFERROR(__xludf.DUMMYFUNCTION("IMPORTRANGE(""https://docs.google.com/spreadsheets/d/1XL5vhW3sbDhbH9Cz0tuDiY8C3ctxq1tqvaCgkFb8cCA/edit?usp=sharing"",""มุกดาหาร!L296"")"),159950.0)</f>
        <v>159950</v>
      </c>
      <c r="M401" s="406"/>
      <c r="N401" s="406">
        <f>IFERROR(__xludf.DUMMYFUNCTION("IMPORTRANGE(""https://docs.google.com/spreadsheets/d/1XL5vhW3sbDhbH9Cz0tuDiY8C3ctxq1tqvaCgkFb8cCA/edit?usp=sharing"",""มุกดาหาร!M296"")"),0.0)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IFERROR(__xludf.DUMMYFUNCTION("IMPORTRANGE(""https://docs.google.com/spreadsheets/d/1XL5vhW3sbDhbH9Cz0tuDiY8C3ctxq1tqvaCgkFb8cCA/edit?usp=sharing"",""มุกดาหาร!I297"")"),45.0)</f>
        <v>45</v>
      </c>
      <c r="J402" s="404">
        <f>IFERROR(__xludf.DUMMYFUNCTION("IMPORTRANGE(""https://docs.google.com/spreadsheets/d/1XL5vhW3sbDhbH9Cz0tuDiY8C3ctxq1tqvaCgkFb8cCA/edit?usp=sharing"",""มุกดาหาร!J297"")"),0.0)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IFERROR(__xludf.DUMMYFUNCTION("IMPORTRANGE(""https://docs.google.com/spreadsheets/d/1XL5vhW3sbDhbH9Cz0tuDiY8C3ctxq1tqvaCgkFb8cCA/edit?usp=sharing"",""มุกดาหาร!L298"")"),0.0)</f>
        <v>0</v>
      </c>
      <c r="M403" s="197"/>
      <c r="N403" s="203">
        <f>IFERROR(__xludf.DUMMYFUNCTION("IMPORTRANGE(""https://docs.google.com/spreadsheets/d/1XL5vhW3sbDhbH9Cz0tuDiY8C3ctxq1tqvaCgkFb8cCA/edit?usp=sharing"",""มุกดาหาร!M298"")"),0.0)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IFERROR(__xludf.DUMMYFUNCTION("IMPORTRANGE(""https://docs.google.com/spreadsheets/d/1XL5vhW3sbDhbH9Cz0tuDiY8C3ctxq1tqvaCgkFb8cCA/edit?usp=sharing"",""มุกดาหาร!L299"")"),159950.0)</f>
        <v>159950</v>
      </c>
      <c r="M404" s="198"/>
      <c r="N404" s="203">
        <f>IFERROR(__xludf.DUMMYFUNCTION("IMPORTRANGE(""https://docs.google.com/spreadsheets/d/1XL5vhW3sbDhbH9Cz0tuDiY8C3ctxq1tqvaCgkFb8cCA/edit?usp=sharing"",""มุกดาหาร!M299"")"),0.0)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IFERROR(__xludf.DUMMYFUNCTION("IMPORTRANGE(""https://docs.google.com/spreadsheets/d/1XL5vhW3sbDhbH9Cz0tuDiY8C3ctxq1tqvaCgkFb8cCA/edit?usp=sharing"",""มุกดาหาร!L300"")"),0.0)</f>
        <v>0</v>
      </c>
      <c r="M405" s="203"/>
      <c r="N405" s="203">
        <f>IFERROR(__xludf.DUMMYFUNCTION("IMPORTRANGE(""https://docs.google.com/spreadsheets/d/1XL5vhW3sbDhbH9Cz0tuDiY8C3ctxq1tqvaCgkFb8cCA/edit?usp=sharing"",""มุกดาหาร!M300"")"),0.0)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IFERROR(__xludf.DUMMYFUNCTION("IMPORTRANGE(""https://docs.google.com/spreadsheets/d/1XL5vhW3sbDhbH9Cz0tuDiY8C3ctxq1tqvaCgkFb8cCA/edit?usp=sharing"",""มุกดาหาร!L301"")"),159950.0)</f>
        <v>159950</v>
      </c>
      <c r="M406" s="203"/>
      <c r="N406" s="203">
        <f>IFERROR(__xludf.DUMMYFUNCTION("IMPORTRANGE(""https://docs.google.com/spreadsheets/d/1XL5vhW3sbDhbH9Cz0tuDiY8C3ctxq1tqvaCgkFb8cCA/edit?usp=sharing"",""มุกดาหาร!M301"")"),0.0)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IFERROR(__xludf.DUMMYFUNCTION("IMPORTRANGE(""https://docs.google.com/spreadsheets/d/1XL5vhW3sbDhbH9Cz0tuDiY8C3ctxq1tqvaCgkFb8cCA/edit?usp=sharing"",""มุกดาหาร!M302"")"),0.0)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IFERROR(__xludf.DUMMYFUNCTION("IMPORTRANGE(""https://docs.google.com/spreadsheets/d/1XL5vhW3sbDhbH9Cz0tuDiY8C3ctxq1tqvaCgkFb8cCA/edit?usp=sharing"",""มุกดาหาร!M303"")"),0.0)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IFERROR(__xludf.DUMMYFUNCTION("IMPORTRANGE(""https://docs.google.com/spreadsheets/d/1XL5vhW3sbDhbH9Cz0tuDiY8C3ctxq1tqvaCgkFb8cCA/edit?usp=sharing"",""มุกดาหาร!M304"")"),0.0)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IFERROR(__xludf.DUMMYFUNCTION("IMPORTRANGE(""https://docs.google.com/spreadsheets/d/1XL5vhW3sbDhbH9Cz0tuDiY8C3ctxq1tqvaCgkFb8cCA/edit?usp=sharing"",""มุกดาหาร!M305"")"),0.0)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IFERROR(__xludf.DUMMYFUNCTION("IMPORTRANGE(""https://docs.google.com/spreadsheets/d/1XL5vhW3sbDhbH9Cz0tuDiY8C3ctxq1tqvaCgkFb8cCA/edit?usp=sharing"",""มุกดาหาร!J307"")"),1.0)</f>
        <v>1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IFERROR(__xludf.DUMMYFUNCTION("IMPORTRANGE(""https://docs.google.com/spreadsheets/d/1XL5vhW3sbDhbH9Cz0tuDiY8C3ctxq1tqvaCgkFb8cCA/edit?usp=sharing"",""มุกดาหาร!J308"")"),1.0)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IFERROR(__xludf.DUMMYFUNCTION("IMPORTRANGE(""https://docs.google.com/spreadsheets/d/1XL5vhW3sbDhbH9Cz0tuDiY8C3ctxq1tqvaCgkFb8cCA/edit?usp=sharing"",""มุกดาหาร!J309"")"),1.0)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IFERROR(__xludf.DUMMYFUNCTION("IMPORTRANGE(""https://docs.google.com/spreadsheets/d/1XL5vhW3sbDhbH9Cz0tuDiY8C3ctxq1tqvaCgkFb8cCA/edit?usp=sharing"",""มุกดาหาร!J310"")"),1.0)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IFERROR(__xludf.DUMMYFUNCTION("IMPORTRANGE(""https://docs.google.com/spreadsheets/d/1XL5vhW3sbDhbH9Cz0tuDiY8C3ctxq1tqvaCgkFb8cCA/edit?usp=sharing"",""มุกดาหาร!I311"")"),45.0)</f>
        <v>45</v>
      </c>
      <c r="J416" s="235">
        <f>IFERROR(__xludf.DUMMYFUNCTION("IMPORTRANGE(""https://docs.google.com/spreadsheets/d/1XL5vhW3sbDhbH9Cz0tuDiY8C3ctxq1tqvaCgkFb8cCA/edit?usp=sharing"",""มุกดาหาร!J311"")"),0.0)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IFERROR(__xludf.DUMMYFUNCTION("IMPORTRANGE(""https://docs.google.com/spreadsheets/d/1XL5vhW3sbDhbH9Cz0tuDiY8C3ctxq1tqvaCgkFb8cCA/edit?usp=sharing"",""มุกดาหาร!I312"")"),10.0)</f>
        <v>10</v>
      </c>
      <c r="J417" s="425">
        <f>IFERROR(__xludf.DUMMYFUNCTION("IMPORTRANGE(""https://docs.google.com/spreadsheets/d/1XL5vhW3sbDhbH9Cz0tuDiY8C3ctxq1tqvaCgkFb8cCA/edit?usp=sharing"",""มุกดาหาร!J312"")"),0.0)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IFERROR(__xludf.DUMMYFUNCTION("IMPORTRANGE(""https://docs.google.com/spreadsheets/d/1XL5vhW3sbDhbH9Cz0tuDiY8C3ctxq1tqvaCgkFb8cCA/edit?usp=sharing"",""มุกดาหาร!I313"")"),30.0)</f>
        <v>30</v>
      </c>
      <c r="J418" s="426">
        <f>IFERROR(__xludf.DUMMYFUNCTION("IMPORTRANGE(""https://docs.google.com/spreadsheets/d/1XL5vhW3sbDhbH9Cz0tuDiY8C3ctxq1tqvaCgkFb8cCA/edit?usp=sharing"",""มุกดาหาร!J313"")"),0.0)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IFERROR(__xludf.DUMMYFUNCTION("IMPORTRANGE(""https://docs.google.com/spreadsheets/d/1XL5vhW3sbDhbH9Cz0tuDiY8C3ctxq1tqvaCgkFb8cCA/edit?usp=sharing"",""มุกดาหาร!I314"")"),10.0)</f>
        <v>10</v>
      </c>
      <c r="J419" s="427">
        <f>IFERROR(__xludf.DUMMYFUNCTION("IMPORTRANGE(""https://docs.google.com/spreadsheets/d/1XL5vhW3sbDhbH9Cz0tuDiY8C3ctxq1tqvaCgkFb8cCA/edit?usp=sharing"",""มุกดาหาร!J314"")"),0.0)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IFERROR(__xludf.DUMMYFUNCTION("IMPORTRANGE(""https://docs.google.com/spreadsheets/d/1XL5vhW3sbDhbH9Cz0tuDiY8C3ctxq1tqvaCgkFb8cCA/edit?usp=sharing"",""มุกดาหาร!I315"")"),10.0)</f>
        <v>10</v>
      </c>
      <c r="J420" s="427">
        <f>IFERROR(__xludf.DUMMYFUNCTION("IMPORTRANGE(""https://docs.google.com/spreadsheets/d/1XL5vhW3sbDhbH9Cz0tuDiY8C3ctxq1tqvaCgkFb8cCA/edit?usp=sharing"",""มุกดาหาร!J315"")"),0.0)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IFERROR(__xludf.DUMMYFUNCTION("IMPORTRANGE(""https://docs.google.com/spreadsheets/d/1XL5vhW3sbDhbH9Cz0tuDiY8C3ctxq1tqvaCgkFb8cCA/edit?usp=sharing"",""มุกดาหาร!I316"")"),25.0)</f>
        <v>25</v>
      </c>
      <c r="J421" s="425">
        <f>IFERROR(__xludf.DUMMYFUNCTION("IMPORTRANGE(""https://docs.google.com/spreadsheets/d/1XL5vhW3sbDhbH9Cz0tuDiY8C3ctxq1tqvaCgkFb8cCA/edit?usp=sharing"",""มุกดาหาร!J316"")"),0.0)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IFERROR(__xludf.DUMMYFUNCTION("IMPORTRANGE(""https://docs.google.com/spreadsheets/d/1XL5vhW3sbDhbH9Cz0tuDiY8C3ctxq1tqvaCgkFb8cCA/edit?usp=sharing"",""มุกดาหาร!I317"")"),75.0)</f>
        <v>75</v>
      </c>
      <c r="J422" s="426">
        <f>IFERROR(__xludf.DUMMYFUNCTION("IMPORTRANGE(""https://docs.google.com/spreadsheets/d/1XL5vhW3sbDhbH9Cz0tuDiY8C3ctxq1tqvaCgkFb8cCA/edit?usp=sharing"",""มุกดาหาร!J317"")"),0.0)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IFERROR(__xludf.DUMMYFUNCTION("IMPORTRANGE(""https://docs.google.com/spreadsheets/d/1XL5vhW3sbDhbH9Cz0tuDiY8C3ctxq1tqvaCgkFb8cCA/edit?usp=sharing"",""มุกดาหาร!I318"")"),25.0)</f>
        <v>25</v>
      </c>
      <c r="J423" s="427">
        <f>IFERROR(__xludf.DUMMYFUNCTION("IMPORTRANGE(""https://docs.google.com/spreadsheets/d/1XL5vhW3sbDhbH9Cz0tuDiY8C3ctxq1tqvaCgkFb8cCA/edit?usp=sharing"",""มุกดาหาร!J318"")"),0.0)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IFERROR(__xludf.DUMMYFUNCTION("IMPORTRANGE(""https://docs.google.com/spreadsheets/d/1XL5vhW3sbDhbH9Cz0tuDiY8C3ctxq1tqvaCgkFb8cCA/edit?usp=sharing"",""มุกดาหาร!I319"")"),25.0)</f>
        <v>25</v>
      </c>
      <c r="J424" s="427">
        <f>IFERROR(__xludf.DUMMYFUNCTION("IMPORTRANGE(""https://docs.google.com/spreadsheets/d/1XL5vhW3sbDhbH9Cz0tuDiY8C3ctxq1tqvaCgkFb8cCA/edit?usp=sharing"",""มุกดาหาร!J319"")"),0.0)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IFERROR(__xludf.DUMMYFUNCTION("IMPORTRANGE(""https://docs.google.com/spreadsheets/d/1XL5vhW3sbDhbH9Cz0tuDiY8C3ctxq1tqvaCgkFb8cCA/edit?usp=sharing"",""มุกดาหาร!I320"")"),25.0)</f>
        <v>25</v>
      </c>
      <c r="J425" s="427">
        <f>IFERROR(__xludf.DUMMYFUNCTION("IMPORTRANGE(""https://docs.google.com/spreadsheets/d/1XL5vhW3sbDhbH9Cz0tuDiY8C3ctxq1tqvaCgkFb8cCA/edit?usp=sharing"",""มุกดาหาร!J320"")"),0.0)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IFERROR(__xludf.DUMMYFUNCTION("IMPORTRANGE(""https://docs.google.com/spreadsheets/d/1XL5vhW3sbDhbH9Cz0tuDiY8C3ctxq1tqvaCgkFb8cCA/edit?usp=sharing"",""มุกดาหาร!I321"")"),10.0)</f>
        <v>10</v>
      </c>
      <c r="J426" s="425">
        <f>IFERROR(__xludf.DUMMYFUNCTION("IMPORTRANGE(""https://docs.google.com/spreadsheets/d/1XL5vhW3sbDhbH9Cz0tuDiY8C3ctxq1tqvaCgkFb8cCA/edit?usp=sharing"",""มุกดาหาร!J321"")"),0.0)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IFERROR(__xludf.DUMMYFUNCTION("IMPORTRANGE(""https://docs.google.com/spreadsheets/d/1XL5vhW3sbDhbH9Cz0tuDiY8C3ctxq1tqvaCgkFb8cCA/edit?usp=sharing"",""มุกดาหาร!I322"")"),30.0)</f>
        <v>30</v>
      </c>
      <c r="J427" s="426">
        <f>IFERROR(__xludf.DUMMYFUNCTION("IMPORTRANGE(""https://docs.google.com/spreadsheets/d/1XL5vhW3sbDhbH9Cz0tuDiY8C3ctxq1tqvaCgkFb8cCA/edit?usp=sharing"",""มุกดาหาร!J322"")"),0.0)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IFERROR(__xludf.DUMMYFUNCTION("IMPORTRANGE(""https://docs.google.com/spreadsheets/d/1XL5vhW3sbDhbH9Cz0tuDiY8C3ctxq1tqvaCgkFb8cCA/edit?usp=sharing"",""มุกดาหาร!I323"")"),10.0)</f>
        <v>10</v>
      </c>
      <c r="J428" s="427">
        <f>IFERROR(__xludf.DUMMYFUNCTION("IMPORTRANGE(""https://docs.google.com/spreadsheets/d/1XL5vhW3sbDhbH9Cz0tuDiY8C3ctxq1tqvaCgkFb8cCA/edit?usp=sharing"",""มุกดาหาร!J323"")"),0.0)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IFERROR(__xludf.DUMMYFUNCTION("IMPORTRANGE(""https://docs.google.com/spreadsheets/d/1XL5vhW3sbDhbH9Cz0tuDiY8C3ctxq1tqvaCgkFb8cCA/edit?usp=sharing"",""มุกดาหาร!I324"")"),10.0)</f>
        <v>10</v>
      </c>
      <c r="J429" s="427">
        <f>IFERROR(__xludf.DUMMYFUNCTION("IMPORTRANGE(""https://docs.google.com/spreadsheets/d/1XL5vhW3sbDhbH9Cz0tuDiY8C3ctxq1tqvaCgkFb8cCA/edit?usp=sharing"",""มุกดาหาร!J324"")"),0.0)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IFERROR(__xludf.DUMMYFUNCTION("IMPORTRANGE(""https://docs.google.com/spreadsheets/d/1XL5vhW3sbDhbH9Cz0tuDiY8C3ctxq1tqvaCgkFb8cCA/edit?usp=sharing"",""มุกดาหาร!I325"")"),35.0)</f>
        <v>35</v>
      </c>
      <c r="J430" s="425">
        <f>IFERROR(__xludf.DUMMYFUNCTION("IMPORTRANGE(""https://docs.google.com/spreadsheets/d/1XL5vhW3sbDhbH9Cz0tuDiY8C3ctxq1tqvaCgkFb8cCA/edit?usp=sharing"",""มุกดาหาร!J325"")"),0.0)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IFERROR(__xludf.DUMMYFUNCTION("IMPORTRANGE(""https://docs.google.com/spreadsheets/d/1XL5vhW3sbDhbH9Cz0tuDiY8C3ctxq1tqvaCgkFb8cCA/edit?usp=sharing"",""มุกดาหาร!I326"")"),10.0)</f>
        <v>10</v>
      </c>
      <c r="J431" s="427">
        <f>IFERROR(__xludf.DUMMYFUNCTION("IMPORTRANGE(""https://docs.google.com/spreadsheets/d/1XL5vhW3sbDhbH9Cz0tuDiY8C3ctxq1tqvaCgkFb8cCA/edit?usp=sharing"",""มุกดาหาร!J326"")"),0.0)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IFERROR(__xludf.DUMMYFUNCTION("IMPORTRANGE(""https://docs.google.com/spreadsheets/d/1XL5vhW3sbDhbH9Cz0tuDiY8C3ctxq1tqvaCgkFb8cCA/edit?usp=sharing"",""มุกดาหาร!I327"")"),25.0)</f>
        <v>25</v>
      </c>
      <c r="J432" s="427">
        <f>IFERROR(__xludf.DUMMYFUNCTION("IMPORTRANGE(""https://docs.google.com/spreadsheets/d/1XL5vhW3sbDhbH9Cz0tuDiY8C3ctxq1tqvaCgkFb8cCA/edit?usp=sharing"",""มุกดาหาร!J327"")"),0.0)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IFERROR(__xludf.DUMMYFUNCTION("IMPORTRANGE(""https://docs.google.com/spreadsheets/d/1XL5vhW3sbDhbH9Cz0tuDiY8C3ctxq1tqvaCgkFb8cCA/edit?usp=sharing"",""มุกดาหาร!J328"")"),0.0)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IFERROR(__xludf.DUMMYFUNCTION("IMPORTRANGE(""https://docs.google.com/spreadsheets/d/1XL5vhW3sbDhbH9Cz0tuDiY8C3ctxq1tqvaCgkFb8cCA/edit?usp=sharing"",""มุกดาหาร!J329"")"),0.0)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IFERROR(__xludf.DUMMYFUNCTION("IMPORTRANGE(""https://docs.google.com/spreadsheets/d/1XL5vhW3sbDhbH9Cz0tuDiY8C3ctxq1tqvaCgkFb8cCA/edit?usp=sharing"",""มุกดาหาร!I330"")"),30.0)</f>
        <v>30</v>
      </c>
      <c r="J435" s="443">
        <f>IFERROR(__xludf.DUMMYFUNCTION("IMPORTRANGE(""https://docs.google.com/spreadsheets/d/1XL5vhW3sbDhbH9Cz0tuDiY8C3ctxq1tqvaCgkFb8cCA/edit?usp=sharing"",""มุกดาหาร!J330"")"),0.0)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IFERROR(__xludf.DUMMYFUNCTION("IMPORTRANGE(""https://docs.google.com/spreadsheets/d/1XL5vhW3sbDhbH9Cz0tuDiY8C3ctxq1tqvaCgkFb8cCA/edit?usp=sharing"",""มุกดาหาร!L330"")"),116000.0)</f>
        <v>116000</v>
      </c>
      <c r="M435" s="445"/>
      <c r="N435" s="445">
        <f>IFERROR(__xludf.DUMMYFUNCTION("IMPORTRANGE(""https://docs.google.com/spreadsheets/d/1XL5vhW3sbDhbH9Cz0tuDiY8C3ctxq1tqvaCgkFb8cCA/edit?usp=sharing"",""มุกดาหาร!M330"")"),7600.0)</f>
        <v>7600</v>
      </c>
      <c r="O435" s="445">
        <f t="shared" ref="O435:O439" si="115">+IF(L435&gt;0,N435*100/L435,0)</f>
        <v>6.551724138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IFERROR(__xludf.DUMMYFUNCTION("IMPORTRANGE(""https://docs.google.com/spreadsheets/d/1XL5vhW3sbDhbH9Cz0tuDiY8C3ctxq1tqvaCgkFb8cCA/edit?usp=sharing"",""มุกดาหาร!L331"")"),0.0)</f>
        <v>0</v>
      </c>
      <c r="M436" s="197"/>
      <c r="N436" s="203">
        <f>IFERROR(__xludf.DUMMYFUNCTION("IMPORTRANGE(""https://docs.google.com/spreadsheets/d/1XL5vhW3sbDhbH9Cz0tuDiY8C3ctxq1tqvaCgkFb8cCA/edit?usp=sharing"",""มุกดาหาร!M331"")"),0.0)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IFERROR(__xludf.DUMMYFUNCTION("IMPORTRANGE(""https://docs.google.com/spreadsheets/d/1XL5vhW3sbDhbH9Cz0tuDiY8C3ctxq1tqvaCgkFb8cCA/edit?usp=sharing"",""มุกดาหาร!L332"")"),116000.0)</f>
        <v>116000</v>
      </c>
      <c r="M437" s="198"/>
      <c r="N437" s="203">
        <f>IFERROR(__xludf.DUMMYFUNCTION("IMPORTRANGE(""https://docs.google.com/spreadsheets/d/1XL5vhW3sbDhbH9Cz0tuDiY8C3ctxq1tqvaCgkFb8cCA/edit?usp=sharing"",""มุกดาหาร!M332"")"),7600.0)</f>
        <v>7600</v>
      </c>
      <c r="O437" s="203">
        <f t="shared" si="115"/>
        <v>6.551724138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IFERROR(__xludf.DUMMYFUNCTION("IMPORTRANGE(""https://docs.google.com/spreadsheets/d/1XL5vhW3sbDhbH9Cz0tuDiY8C3ctxq1tqvaCgkFb8cCA/edit?usp=sharing"",""มุกดาหาร!L333"")"),0.0)</f>
        <v>0</v>
      </c>
      <c r="M438" s="203"/>
      <c r="N438" s="203">
        <f>IFERROR(__xludf.DUMMYFUNCTION("IMPORTRANGE(""https://docs.google.com/spreadsheets/d/1XL5vhW3sbDhbH9Cz0tuDiY8C3ctxq1tqvaCgkFb8cCA/edit?usp=sharing"",""มุกดาหาร!M333"")"),0.0)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IFERROR(__xludf.DUMMYFUNCTION("IMPORTRANGE(""https://docs.google.com/spreadsheets/d/1XL5vhW3sbDhbH9Cz0tuDiY8C3ctxq1tqvaCgkFb8cCA/edit?usp=sharing"",""มุกดาหาร!L334"")"),116000.0)</f>
        <v>116000</v>
      </c>
      <c r="M439" s="203"/>
      <c r="N439" s="203">
        <f>IFERROR(__xludf.DUMMYFUNCTION("IMPORTRANGE(""https://docs.google.com/spreadsheets/d/1XL5vhW3sbDhbH9Cz0tuDiY8C3ctxq1tqvaCgkFb8cCA/edit?usp=sharing"",""มุกดาหาร!M334"")"),7600.0)</f>
        <v>7600</v>
      </c>
      <c r="O439" s="203">
        <f t="shared" si="115"/>
        <v>6.551724138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IFERROR(__xludf.DUMMYFUNCTION("IMPORTRANGE(""https://docs.google.com/spreadsheets/d/1XL5vhW3sbDhbH9Cz0tuDiY8C3ctxq1tqvaCgkFb8cCA/edit?usp=sharing"",""มุกดาหาร!M335"")"),0.0)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IFERROR(__xludf.DUMMYFUNCTION("IMPORTRANGE(""https://docs.google.com/spreadsheets/d/1XL5vhW3sbDhbH9Cz0tuDiY8C3ctxq1tqvaCgkFb8cCA/edit?usp=sharing"",""มุกดาหาร!M336"")"),0.0)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IFERROR(__xludf.DUMMYFUNCTION("IMPORTRANGE(""https://docs.google.com/spreadsheets/d/1XL5vhW3sbDhbH9Cz0tuDiY8C3ctxq1tqvaCgkFb8cCA/edit?usp=sharing"",""มุกดาหาร!M337"")"),0.0)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IFERROR(__xludf.DUMMYFUNCTION("IMPORTRANGE(""https://docs.google.com/spreadsheets/d/1XL5vhW3sbDhbH9Cz0tuDiY8C3ctxq1tqvaCgkFb8cCA/edit?usp=sharing"",""มุกดาหาร!M338"")"),7600.0)</f>
        <v>7600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IFERROR(__xludf.DUMMYFUNCTION("IMPORTRANGE(""https://docs.google.com/spreadsheets/d/1XL5vhW3sbDhbH9Cz0tuDiY8C3ctxq1tqvaCgkFb8cCA/edit?usp=sharing"",""มุกดาหาร!J340"")"),0.0)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IFERROR(__xludf.DUMMYFUNCTION("IMPORTRANGE(""https://docs.google.com/spreadsheets/d/1XL5vhW3sbDhbH9Cz0tuDiY8C3ctxq1tqvaCgkFb8cCA/edit?usp=sharing"",""มุกดาหาร!J341"")"),1.0)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IFERROR(__xludf.DUMMYFUNCTION("IMPORTRANGE(""https://docs.google.com/spreadsheets/d/1XL5vhW3sbDhbH9Cz0tuDiY8C3ctxq1tqvaCgkFb8cCA/edit?usp=sharing"",""มุกดาหาร!J342"")"),0.0)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IFERROR(__xludf.DUMMYFUNCTION("IMPORTRANGE(""https://docs.google.com/spreadsheets/d/1XL5vhW3sbDhbH9Cz0tuDiY8C3ctxq1tqvaCgkFb8cCA/edit?usp=sharing"",""มุกดาหาร!J343"")"),0.0)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IFERROR(__xludf.DUMMYFUNCTION("IMPORTRANGE(""https://docs.google.com/spreadsheets/d/1XL5vhW3sbDhbH9Cz0tuDiY8C3ctxq1tqvaCgkFb8cCA/edit?usp=sharing"",""มุกดาหาร!I344"")"),30.0)</f>
        <v>30</v>
      </c>
      <c r="J449" s="235">
        <f>IFERROR(__xludf.DUMMYFUNCTION("IMPORTRANGE(""https://docs.google.com/spreadsheets/d/1XL5vhW3sbDhbH9Cz0tuDiY8C3ctxq1tqvaCgkFb8cCA/edit?usp=sharing"",""มุกดาหาร!J344"")"),0.0)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IFERROR(__xludf.DUMMYFUNCTION("IMPORTRANGE(""https://docs.google.com/spreadsheets/d/1XL5vhW3sbDhbH9Cz0tuDiY8C3ctxq1tqvaCgkFb8cCA/edit?usp=sharing"",""มุกดาหาร!I345"")"),30.0)</f>
        <v>30</v>
      </c>
      <c r="J450" s="223">
        <f>IFERROR(__xludf.DUMMYFUNCTION("IMPORTRANGE(""https://docs.google.com/spreadsheets/d/1XL5vhW3sbDhbH9Cz0tuDiY8C3ctxq1tqvaCgkFb8cCA/edit?usp=sharing"",""มุกดาหาร!J345"")"),0.0)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IFERROR(__xludf.DUMMYFUNCTION("IMPORTRANGE(""https://docs.google.com/spreadsheets/d/1XL5vhW3sbDhbH9Cz0tuDiY8C3ctxq1tqvaCgkFb8cCA/edit?usp=sharing"",""มุกดาหาร!I346"")"),0.0)</f>
        <v>0</v>
      </c>
      <c r="J451" s="222">
        <f>IFERROR(__xludf.DUMMYFUNCTION("IMPORTRANGE(""https://docs.google.com/spreadsheets/d/1XL5vhW3sbDhbH9Cz0tuDiY8C3ctxq1tqvaCgkFb8cCA/edit?usp=sharing"",""มุกดาหาร!J346"")"),0.0)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IFERROR(__xludf.DUMMYFUNCTION("IMPORTRANGE(""https://docs.google.com/spreadsheets/d/1XL5vhW3sbDhbH9Cz0tuDiY8C3ctxq1tqvaCgkFb8cCA/edit?usp=sharing"",""มุกดาหาร!I347"")"),0.0)</f>
        <v>0</v>
      </c>
      <c r="J452" s="222">
        <f>IFERROR(__xludf.DUMMYFUNCTION("IMPORTRANGE(""https://docs.google.com/spreadsheets/d/1XL5vhW3sbDhbH9Cz0tuDiY8C3ctxq1tqvaCgkFb8cCA/edit?usp=sharing"",""มุกดาหาร!J347"")"),0.0)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IFERROR(__xludf.DUMMYFUNCTION("IMPORTRANGE(""https://docs.google.com/spreadsheets/d/1XL5vhW3sbDhbH9Cz0tuDiY8C3ctxq1tqvaCgkFb8cCA/edit?usp=sharing"",""มุกดาหาร!J348"")"),0.0)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IFERROR(__xludf.DUMMYFUNCTION("IMPORTRANGE(""https://docs.google.com/spreadsheets/d/1XL5vhW3sbDhbH9Cz0tuDiY8C3ctxq1tqvaCgkFb8cCA/edit?usp=sharing"",""มุกดาหาร!J349"")"),0.0)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IFERROR(__xludf.DUMMYFUNCTION("IMPORTRANGE(""https://docs.google.com/spreadsheets/d/1XL5vhW3sbDhbH9Cz0tuDiY8C3ctxq1tqvaCgkFb8cCA/edit?usp=sharing"",""มุกดาหาร!I350"")"),36508.0)</f>
        <v>36508</v>
      </c>
      <c r="J455" s="404">
        <f>IFERROR(__xludf.DUMMYFUNCTION("IMPORTRANGE(""https://docs.google.com/spreadsheets/d/1XL5vhW3sbDhbH9Cz0tuDiY8C3ctxq1tqvaCgkFb8cCA/edit?usp=sharing"",""มุกดาหาร!J350"")"),0.0)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IFERROR(__xludf.DUMMYFUNCTION("IMPORTRANGE(""https://docs.google.com/spreadsheets/d/1XL5vhW3sbDhbH9Cz0tuDiY8C3ctxq1tqvaCgkFb8cCA/edit?usp=sharing"",""มุกดาหาร!L350"")"),447718.0)</f>
        <v>447718</v>
      </c>
      <c r="M455" s="406"/>
      <c r="N455" s="406">
        <f>IFERROR(__xludf.DUMMYFUNCTION("IMPORTRANGE(""https://docs.google.com/spreadsheets/d/1XL5vhW3sbDhbH9Cz0tuDiY8C3ctxq1tqvaCgkFb8cCA/edit?usp=sharing"",""มุกดาหาร!M350"")"),74589.0)</f>
        <v>74589</v>
      </c>
      <c r="O455" s="406">
        <f t="shared" ref="O455:O459" si="117">+IF(L455&gt;0,N455*100/L455,0)</f>
        <v>16.65981712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IFERROR(__xludf.DUMMYFUNCTION("IMPORTRANGE(""https://docs.google.com/spreadsheets/d/1XL5vhW3sbDhbH9Cz0tuDiY8C3ctxq1tqvaCgkFb8cCA/edit?usp=sharing"",""มุกดาหาร!L351"")"),0.0)</f>
        <v>0</v>
      </c>
      <c r="M456" s="197"/>
      <c r="N456" s="203">
        <f>IFERROR(__xludf.DUMMYFUNCTION("IMPORTRANGE(""https://docs.google.com/spreadsheets/d/1XL5vhW3sbDhbH9Cz0tuDiY8C3ctxq1tqvaCgkFb8cCA/edit?usp=sharing"",""มุกดาหาร!M351"")"),0.0)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IFERROR(__xludf.DUMMYFUNCTION("IMPORTRANGE(""https://docs.google.com/spreadsheets/d/1XL5vhW3sbDhbH9Cz0tuDiY8C3ctxq1tqvaCgkFb8cCA/edit?usp=sharing"",""มุกดาหาร!L352"")"),447718.0)</f>
        <v>447718</v>
      </c>
      <c r="M457" s="198"/>
      <c r="N457" s="203">
        <f>IFERROR(__xludf.DUMMYFUNCTION("IMPORTRANGE(""https://docs.google.com/spreadsheets/d/1XL5vhW3sbDhbH9Cz0tuDiY8C3ctxq1tqvaCgkFb8cCA/edit?usp=sharing"",""มุกดาหาร!M352"")"),74589.0)</f>
        <v>74589</v>
      </c>
      <c r="O457" s="203">
        <f t="shared" si="117"/>
        <v>16.65981712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IFERROR(__xludf.DUMMYFUNCTION("IMPORTRANGE(""https://docs.google.com/spreadsheets/d/1XL5vhW3sbDhbH9Cz0tuDiY8C3ctxq1tqvaCgkFb8cCA/edit?usp=sharing"",""มุกดาหาร!L353"")"),0.0)</f>
        <v>0</v>
      </c>
      <c r="M458" s="203"/>
      <c r="N458" s="203">
        <f>IFERROR(__xludf.DUMMYFUNCTION("IMPORTRANGE(""https://docs.google.com/spreadsheets/d/1XL5vhW3sbDhbH9Cz0tuDiY8C3ctxq1tqvaCgkFb8cCA/edit?usp=sharing"",""มุกดาหาร!M353"")"),0.0)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IFERROR(__xludf.DUMMYFUNCTION("IMPORTRANGE(""https://docs.google.com/spreadsheets/d/1XL5vhW3sbDhbH9Cz0tuDiY8C3ctxq1tqvaCgkFb8cCA/edit?usp=sharing"",""มุกดาหาร!L354"")"),447718.0)</f>
        <v>447718</v>
      </c>
      <c r="M459" s="203"/>
      <c r="N459" s="203">
        <f>IFERROR(__xludf.DUMMYFUNCTION("IMPORTRANGE(""https://docs.google.com/spreadsheets/d/1XL5vhW3sbDhbH9Cz0tuDiY8C3ctxq1tqvaCgkFb8cCA/edit?usp=sharing"",""มุกดาหาร!M354"")"),74589.0)</f>
        <v>74589</v>
      </c>
      <c r="O459" s="203">
        <f t="shared" si="117"/>
        <v>16.65981712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IFERROR(__xludf.DUMMYFUNCTION("IMPORTRANGE(""https://docs.google.com/spreadsheets/d/1XL5vhW3sbDhbH9Cz0tuDiY8C3ctxq1tqvaCgkFb8cCA/edit?usp=sharing"",""มุกดาหาร!M355"")"),0.0)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IFERROR(__xludf.DUMMYFUNCTION("IMPORTRANGE(""https://docs.google.com/spreadsheets/d/1XL5vhW3sbDhbH9Cz0tuDiY8C3ctxq1tqvaCgkFb8cCA/edit?usp=sharing"",""มุกดาหาร!M356"")"),0.0)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IFERROR(__xludf.DUMMYFUNCTION("IMPORTRANGE(""https://docs.google.com/spreadsheets/d/1XL5vhW3sbDhbH9Cz0tuDiY8C3ctxq1tqvaCgkFb8cCA/edit?usp=sharing"",""มุกดาหาร!M357"")"),30800.0)</f>
        <v>30800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IFERROR(__xludf.DUMMYFUNCTION("IMPORTRANGE(""https://docs.google.com/spreadsheets/d/1XL5vhW3sbDhbH9Cz0tuDiY8C3ctxq1tqvaCgkFb8cCA/edit?usp=sharing"",""มุกดาหาร!M358"")"),43789.0)</f>
        <v>43789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IFERROR(__xludf.DUMMYFUNCTION("IMPORTRANGE(""https://docs.google.com/spreadsheets/d/1XL5vhW3sbDhbH9Cz0tuDiY8C3ctxq1tqvaCgkFb8cCA/edit?usp=sharing"",""มุกดาหาร!I359"")"),36508.0)</f>
        <v>36508</v>
      </c>
      <c r="J464" s="301">
        <f>IFERROR(__xludf.DUMMYFUNCTION("IMPORTRANGE(""https://docs.google.com/spreadsheets/d/1XL5vhW3sbDhbH9Cz0tuDiY8C3ctxq1tqvaCgkFb8cCA/edit?usp=sharing"",""มุกดาหาร!J359"")"),0.0)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IFERROR(__xludf.DUMMYFUNCTION("IMPORTRANGE(""https://docs.google.com/spreadsheets/d/1XL5vhW3sbDhbH9Cz0tuDiY8C3ctxq1tqvaCgkFb8cCA/edit?usp=sharing"",""มุกดาหาร!I360"")"),36508.0)</f>
        <v>36508</v>
      </c>
      <c r="J465" s="453">
        <f>IFERROR(__xludf.DUMMYFUNCTION("IMPORTRANGE(""https://docs.google.com/spreadsheets/d/1XL5vhW3sbDhbH9Cz0tuDiY8C3ctxq1tqvaCgkFb8cCA/edit?usp=sharing"",""มุกดาหาร!J360"")"),0.0)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IFERROR(__xludf.DUMMYFUNCTION("IMPORTRANGE(""https://docs.google.com/spreadsheets/d/1XL5vhW3sbDhbH9Cz0tuDiY8C3ctxq1tqvaCgkFb8cCA/edit?usp=sharing"",""มุกดาหาร!I361"")"),4715.0)</f>
        <v>4715</v>
      </c>
      <c r="J466" s="453">
        <f>IFERROR(__xludf.DUMMYFUNCTION("IMPORTRANGE(""https://docs.google.com/spreadsheets/d/1XL5vhW3sbDhbH9Cz0tuDiY8C3ctxq1tqvaCgkFb8cCA/edit?usp=sharing"",""มุกดาหาร!J361"")"),0.0)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IFERROR(__xludf.DUMMYFUNCTION("IMPORTRANGE(""https://docs.google.com/spreadsheets/d/1XL5vhW3sbDhbH9Cz0tuDiY8C3ctxq1tqvaCgkFb8cCA/edit?usp=sharing"",""มุกดาหาร!I362"")"),0.0)</f>
        <v>0</v>
      </c>
      <c r="J467" s="223">
        <f>IFERROR(__xludf.DUMMYFUNCTION("IMPORTRANGE(""https://docs.google.com/spreadsheets/d/1XL5vhW3sbDhbH9Cz0tuDiY8C3ctxq1tqvaCgkFb8cCA/edit?usp=sharing"",""มุกดาหาร!J362"")"),0.0)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IFERROR(__xludf.DUMMYFUNCTION("IMPORTRANGE(""https://docs.google.com/spreadsheets/d/1XL5vhW3sbDhbH9Cz0tuDiY8C3ctxq1tqvaCgkFb8cCA/edit?usp=sharing"",""มุกดาหาร!I363"")"),0.0)</f>
        <v>0</v>
      </c>
      <c r="J468" s="223">
        <f>IFERROR(__xludf.DUMMYFUNCTION("IMPORTRANGE(""https://docs.google.com/spreadsheets/d/1XL5vhW3sbDhbH9Cz0tuDiY8C3ctxq1tqvaCgkFb8cCA/edit?usp=sharing"",""มุกดาหาร!J363"")"),0.0)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IFERROR(__xludf.DUMMYFUNCTION("IMPORTRANGE(""https://docs.google.com/spreadsheets/d/1XL5vhW3sbDhbH9Cz0tuDiY8C3ctxq1tqvaCgkFb8cCA/edit?usp=sharing"",""มุกดาหาร!I364"")"),0.0)</f>
        <v>0</v>
      </c>
      <c r="J469" s="223">
        <f>IFERROR(__xludf.DUMMYFUNCTION("IMPORTRANGE(""https://docs.google.com/spreadsheets/d/1XL5vhW3sbDhbH9Cz0tuDiY8C3ctxq1tqvaCgkFb8cCA/edit?usp=sharing"",""มุกดาหาร!J364"")"),0.0)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IFERROR(__xludf.DUMMYFUNCTION("IMPORTRANGE(""https://docs.google.com/spreadsheets/d/1XL5vhW3sbDhbH9Cz0tuDiY8C3ctxq1tqvaCgkFb8cCA/edit?usp=sharing"",""มุกดาหาร!I365"")"),0.0)</f>
        <v>0</v>
      </c>
      <c r="J470" s="223">
        <f>IFERROR(__xludf.DUMMYFUNCTION("IMPORTRANGE(""https://docs.google.com/spreadsheets/d/1XL5vhW3sbDhbH9Cz0tuDiY8C3ctxq1tqvaCgkFb8cCA/edit?usp=sharing"",""มุกดาหาร!J365"")"),0.0)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IFERROR(__xludf.DUMMYFUNCTION("IMPORTRANGE(""https://docs.google.com/spreadsheets/d/1XL5vhW3sbDhbH9Cz0tuDiY8C3ctxq1tqvaCgkFb8cCA/edit?usp=sharing"",""มุกดาหาร!I366"")"),0.0)</f>
        <v>0</v>
      </c>
      <c r="J471" s="223">
        <f>IFERROR(__xludf.DUMMYFUNCTION("IMPORTRANGE(""https://docs.google.com/spreadsheets/d/1XL5vhW3sbDhbH9Cz0tuDiY8C3ctxq1tqvaCgkFb8cCA/edit?usp=sharing"",""มุกดาหาร!J366"")"),0.0)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IFERROR(__xludf.DUMMYFUNCTION("IMPORTRANGE(""https://docs.google.com/spreadsheets/d/1XL5vhW3sbDhbH9Cz0tuDiY8C3ctxq1tqvaCgkFb8cCA/edit?usp=sharing"",""มุกดาหาร!I367"")"),0.0)</f>
        <v>0</v>
      </c>
      <c r="J472" s="223">
        <f>IFERROR(__xludf.DUMMYFUNCTION("IMPORTRANGE(""https://docs.google.com/spreadsheets/d/1XL5vhW3sbDhbH9Cz0tuDiY8C3ctxq1tqvaCgkFb8cCA/edit?usp=sharing"",""มุกดาหาร!J367"")"),0.0)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IFERROR(__xludf.DUMMYFUNCTION("IMPORTRANGE(""https://docs.google.com/spreadsheets/d/1XL5vhW3sbDhbH9Cz0tuDiY8C3ctxq1tqvaCgkFb8cCA/edit?usp=sharing"",""มุกดาหาร!I368"")"),36508.0)</f>
        <v>36508</v>
      </c>
      <c r="J473" s="453">
        <f>IFERROR(__xludf.DUMMYFUNCTION("IMPORTRANGE(""https://docs.google.com/spreadsheets/d/1XL5vhW3sbDhbH9Cz0tuDiY8C3ctxq1tqvaCgkFb8cCA/edit?usp=sharing"",""มุกดาหาร!J368"")"),0.0)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IFERROR(__xludf.DUMMYFUNCTION("IMPORTRANGE(""https://docs.google.com/spreadsheets/d/1XL5vhW3sbDhbH9Cz0tuDiY8C3ctxq1tqvaCgkFb8cCA/edit?usp=sharing"",""มุกดาหาร!I369"")"),4715.0)</f>
        <v>4715</v>
      </c>
      <c r="J474" s="453">
        <f>IFERROR(__xludf.DUMMYFUNCTION("IMPORTRANGE(""https://docs.google.com/spreadsheets/d/1XL5vhW3sbDhbH9Cz0tuDiY8C3ctxq1tqvaCgkFb8cCA/edit?usp=sharing"",""มุกดาหาร!J369"")"),0.0)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IFERROR(__xludf.DUMMYFUNCTION("IMPORTRANGE(""https://docs.google.com/spreadsheets/d/1XL5vhW3sbDhbH9Cz0tuDiY8C3ctxq1tqvaCgkFb8cCA/edit?usp=sharing"",""มุกดาหาร!I370"")"),0.0)</f>
        <v>0</v>
      </c>
      <c r="J475" s="223">
        <f>IFERROR(__xludf.DUMMYFUNCTION("IMPORTRANGE(""https://docs.google.com/spreadsheets/d/1XL5vhW3sbDhbH9Cz0tuDiY8C3ctxq1tqvaCgkFb8cCA/edit?usp=sharing"",""มุกดาหาร!J370"")"),0.0)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IFERROR(__xludf.DUMMYFUNCTION("IMPORTRANGE(""https://docs.google.com/spreadsheets/d/1XL5vhW3sbDhbH9Cz0tuDiY8C3ctxq1tqvaCgkFb8cCA/edit?usp=sharing"",""มุกดาหาร!I371"")"),0.0)</f>
        <v>0</v>
      </c>
      <c r="J476" s="223">
        <f>IFERROR(__xludf.DUMMYFUNCTION("IMPORTRANGE(""https://docs.google.com/spreadsheets/d/1XL5vhW3sbDhbH9Cz0tuDiY8C3ctxq1tqvaCgkFb8cCA/edit?usp=sharing"",""มุกดาหาร!J371"")"),0.0)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IFERROR(__xludf.DUMMYFUNCTION("IMPORTRANGE(""https://docs.google.com/spreadsheets/d/1XL5vhW3sbDhbH9Cz0tuDiY8C3ctxq1tqvaCgkFb8cCA/edit?usp=sharing"",""มุกดาหาร!I372"")"),0.0)</f>
        <v>0</v>
      </c>
      <c r="J477" s="223">
        <f>IFERROR(__xludf.DUMMYFUNCTION("IMPORTRANGE(""https://docs.google.com/spreadsheets/d/1XL5vhW3sbDhbH9Cz0tuDiY8C3ctxq1tqvaCgkFb8cCA/edit?usp=sharing"",""มุกดาหาร!J372"")"),0.0)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IFERROR(__xludf.DUMMYFUNCTION("IMPORTRANGE(""https://docs.google.com/spreadsheets/d/1XL5vhW3sbDhbH9Cz0tuDiY8C3ctxq1tqvaCgkFb8cCA/edit?usp=sharing"",""มุกดาหาร!I373"")"),0.0)</f>
        <v>0</v>
      </c>
      <c r="J478" s="223">
        <f>IFERROR(__xludf.DUMMYFUNCTION("IMPORTRANGE(""https://docs.google.com/spreadsheets/d/1XL5vhW3sbDhbH9Cz0tuDiY8C3ctxq1tqvaCgkFb8cCA/edit?usp=sharing"",""มุกดาหาร!J373"")"),0.0)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IFERROR(__xludf.DUMMYFUNCTION("IMPORTRANGE(""https://docs.google.com/spreadsheets/d/1XL5vhW3sbDhbH9Cz0tuDiY8C3ctxq1tqvaCgkFb8cCA/edit?usp=sharing"",""มุกดาหาร!I374"")"),0.0)</f>
        <v>0</v>
      </c>
      <c r="J479" s="223">
        <f>IFERROR(__xludf.DUMMYFUNCTION("IMPORTRANGE(""https://docs.google.com/spreadsheets/d/1XL5vhW3sbDhbH9Cz0tuDiY8C3ctxq1tqvaCgkFb8cCA/edit?usp=sharing"",""มุกดาหาร!J374"")"),0.0)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IFERROR(__xludf.DUMMYFUNCTION("IMPORTRANGE(""https://docs.google.com/spreadsheets/d/1XL5vhW3sbDhbH9Cz0tuDiY8C3ctxq1tqvaCgkFb8cCA/edit?usp=sharing"",""มุกดาหาร!I375"")"),0.0)</f>
        <v>0</v>
      </c>
      <c r="J480" s="223">
        <f>IFERROR(__xludf.DUMMYFUNCTION("IMPORTRANGE(""https://docs.google.com/spreadsheets/d/1XL5vhW3sbDhbH9Cz0tuDiY8C3ctxq1tqvaCgkFb8cCA/edit?usp=sharing"",""มุกดาหาร!J375"")"),0.0)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IFERROR(__xludf.DUMMYFUNCTION("IMPORTRANGE(""https://docs.google.com/spreadsheets/d/1XL5vhW3sbDhbH9Cz0tuDiY8C3ctxq1tqvaCgkFb8cCA/edit?usp=sharing"",""มุกดาหาร!I376"")"),36508.0)</f>
        <v>36508</v>
      </c>
      <c r="J481" s="453">
        <f>IFERROR(__xludf.DUMMYFUNCTION("IMPORTRANGE(""https://docs.google.com/spreadsheets/d/1XL5vhW3sbDhbH9Cz0tuDiY8C3ctxq1tqvaCgkFb8cCA/edit?usp=sharing"",""มุกดาหาร!J376"")"),0.0)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IFERROR(__xludf.DUMMYFUNCTION("IMPORTRANGE(""https://docs.google.com/spreadsheets/d/1XL5vhW3sbDhbH9Cz0tuDiY8C3ctxq1tqvaCgkFb8cCA/edit?usp=sharing"",""มุกดาหาร!I377"")"),4715.0)</f>
        <v>4715</v>
      </c>
      <c r="J482" s="453">
        <f>IFERROR(__xludf.DUMMYFUNCTION("IMPORTRANGE(""https://docs.google.com/spreadsheets/d/1XL5vhW3sbDhbH9Cz0tuDiY8C3ctxq1tqvaCgkFb8cCA/edit?usp=sharing"",""มุกดาหาร!J377"")"),0.0)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IFERROR(__xludf.DUMMYFUNCTION("IMPORTRANGE(""https://docs.google.com/spreadsheets/d/1XL5vhW3sbDhbH9Cz0tuDiY8C3ctxq1tqvaCgkFb8cCA/edit?usp=sharing"",""มุกดาหาร!I378"")"),0.0)</f>
        <v>0</v>
      </c>
      <c r="J483" s="223">
        <f>IFERROR(__xludf.DUMMYFUNCTION("IMPORTRANGE(""https://docs.google.com/spreadsheets/d/1XL5vhW3sbDhbH9Cz0tuDiY8C3ctxq1tqvaCgkFb8cCA/edit?usp=sharing"",""มุกดาหาร!J378"")"),0.0)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IFERROR(__xludf.DUMMYFUNCTION("IMPORTRANGE(""https://docs.google.com/spreadsheets/d/1XL5vhW3sbDhbH9Cz0tuDiY8C3ctxq1tqvaCgkFb8cCA/edit?usp=sharing"",""มุกดาหาร!I379"")"),0.0)</f>
        <v>0</v>
      </c>
      <c r="J484" s="223">
        <f>IFERROR(__xludf.DUMMYFUNCTION("IMPORTRANGE(""https://docs.google.com/spreadsheets/d/1XL5vhW3sbDhbH9Cz0tuDiY8C3ctxq1tqvaCgkFb8cCA/edit?usp=sharing"",""มุกดาหาร!J379"")"),0.0)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IFERROR(__xludf.DUMMYFUNCTION("IMPORTRANGE(""https://docs.google.com/spreadsheets/d/1XL5vhW3sbDhbH9Cz0tuDiY8C3ctxq1tqvaCgkFb8cCA/edit?usp=sharing"",""มุกดาหาร!I380"")"),0.0)</f>
        <v>0</v>
      </c>
      <c r="J485" s="223">
        <f>IFERROR(__xludf.DUMMYFUNCTION("IMPORTRANGE(""https://docs.google.com/spreadsheets/d/1XL5vhW3sbDhbH9Cz0tuDiY8C3ctxq1tqvaCgkFb8cCA/edit?usp=sharing"",""มุกดาหาร!J380"")"),0.0)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IFERROR(__xludf.DUMMYFUNCTION("IMPORTRANGE(""https://docs.google.com/spreadsheets/d/1XL5vhW3sbDhbH9Cz0tuDiY8C3ctxq1tqvaCgkFb8cCA/edit?usp=sharing"",""มุกดาหาร!I381"")"),0.0)</f>
        <v>0</v>
      </c>
      <c r="J486" s="223">
        <f>IFERROR(__xludf.DUMMYFUNCTION("IMPORTRANGE(""https://docs.google.com/spreadsheets/d/1XL5vhW3sbDhbH9Cz0tuDiY8C3ctxq1tqvaCgkFb8cCA/edit?usp=sharing"",""มุกดาหาร!J381"")"),0.0)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IFERROR(__xludf.DUMMYFUNCTION("IMPORTRANGE(""https://docs.google.com/spreadsheets/d/1XL5vhW3sbDhbH9Cz0tuDiY8C3ctxq1tqvaCgkFb8cCA/edit?usp=sharing"",""มุกดาหาร!I382"")"),0.0)</f>
        <v>0</v>
      </c>
      <c r="J487" s="453">
        <f>IFERROR(__xludf.DUMMYFUNCTION("IMPORTRANGE(""https://docs.google.com/spreadsheets/d/1XL5vhW3sbDhbH9Cz0tuDiY8C3ctxq1tqvaCgkFb8cCA/edit?usp=sharing"",""มุกดาหาร!J382"")"),0.0)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IFERROR(__xludf.DUMMYFUNCTION("IMPORTRANGE(""https://docs.google.com/spreadsheets/d/1XL5vhW3sbDhbH9Cz0tuDiY8C3ctxq1tqvaCgkFb8cCA/edit?usp=sharing"",""มุกดาหาร!I383"")"),0.0)</f>
        <v>0</v>
      </c>
      <c r="J488" s="453">
        <f>IFERROR(__xludf.DUMMYFUNCTION("IMPORTRANGE(""https://docs.google.com/spreadsheets/d/1XL5vhW3sbDhbH9Cz0tuDiY8C3ctxq1tqvaCgkFb8cCA/edit?usp=sharing"",""มุกดาหาร!J383"")"),0.0)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IFERROR(__xludf.DUMMYFUNCTION("IMPORTRANGE(""https://docs.google.com/spreadsheets/d/1XL5vhW3sbDhbH9Cz0tuDiY8C3ctxq1tqvaCgkFb8cCA/edit?usp=sharing"",""มุกดาหาร!I384"")"),0.0)</f>
        <v>0</v>
      </c>
      <c r="J489" s="223">
        <f>IFERROR(__xludf.DUMMYFUNCTION("IMPORTRANGE(""https://docs.google.com/spreadsheets/d/1XL5vhW3sbDhbH9Cz0tuDiY8C3ctxq1tqvaCgkFb8cCA/edit?usp=sharing"",""มุกดาหาร!J384"")"),0.0)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IFERROR(__xludf.DUMMYFUNCTION("IMPORTRANGE(""https://docs.google.com/spreadsheets/d/1XL5vhW3sbDhbH9Cz0tuDiY8C3ctxq1tqvaCgkFb8cCA/edit?usp=sharing"",""มุกดาหาร!I385"")"),0.0)</f>
        <v>0</v>
      </c>
      <c r="J490" s="223">
        <f>IFERROR(__xludf.DUMMYFUNCTION("IMPORTRANGE(""https://docs.google.com/spreadsheets/d/1XL5vhW3sbDhbH9Cz0tuDiY8C3ctxq1tqvaCgkFb8cCA/edit?usp=sharing"",""มุกดาหาร!J385"")"),0.0)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IFERROR(__xludf.DUMMYFUNCTION("IMPORTRANGE(""https://docs.google.com/spreadsheets/d/1XL5vhW3sbDhbH9Cz0tuDiY8C3ctxq1tqvaCgkFb8cCA/edit?usp=sharing"",""มุกดาหาร!I386"")"),0.0)</f>
        <v>0</v>
      </c>
      <c r="J491" s="223">
        <f>IFERROR(__xludf.DUMMYFUNCTION("IMPORTRANGE(""https://docs.google.com/spreadsheets/d/1XL5vhW3sbDhbH9Cz0tuDiY8C3ctxq1tqvaCgkFb8cCA/edit?usp=sharing"",""มุกดาหาร!J386"")"),0.0)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IFERROR(__xludf.DUMMYFUNCTION("IMPORTRANGE(""https://docs.google.com/spreadsheets/d/1XL5vhW3sbDhbH9Cz0tuDiY8C3ctxq1tqvaCgkFb8cCA/edit?usp=sharing"",""มุกดาหาร!I387"")"),0.0)</f>
        <v>0</v>
      </c>
      <c r="J492" s="223">
        <f>IFERROR(__xludf.DUMMYFUNCTION("IMPORTRANGE(""https://docs.google.com/spreadsheets/d/1XL5vhW3sbDhbH9Cz0tuDiY8C3ctxq1tqvaCgkFb8cCA/edit?usp=sharing"",""มุกดาหาร!J387"")"),0.0)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IFERROR(__xludf.DUMMYFUNCTION("IMPORTRANGE(""https://docs.google.com/spreadsheets/d/1XL5vhW3sbDhbH9Cz0tuDiY8C3ctxq1tqvaCgkFb8cCA/edit?usp=sharing"",""มุกดาหาร!I388"")"),0.0)</f>
        <v>0</v>
      </c>
      <c r="J493" s="223">
        <f>IFERROR(__xludf.DUMMYFUNCTION("IMPORTRANGE(""https://docs.google.com/spreadsheets/d/1XL5vhW3sbDhbH9Cz0tuDiY8C3ctxq1tqvaCgkFb8cCA/edit?usp=sharing"",""มุกดาหาร!J388"")"),0.0)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IFERROR(__xludf.DUMMYFUNCTION("IMPORTRANGE(""https://docs.google.com/spreadsheets/d/1XL5vhW3sbDhbH9Cz0tuDiY8C3ctxq1tqvaCgkFb8cCA/edit?usp=sharing"",""มุกดาหาร!I389"")"),0.0)</f>
        <v>0</v>
      </c>
      <c r="J494" s="469">
        <f>IFERROR(__xludf.DUMMYFUNCTION("IMPORTRANGE(""https://docs.google.com/spreadsheets/d/1XL5vhW3sbDhbH9Cz0tuDiY8C3ctxq1tqvaCgkFb8cCA/edit?usp=sharing"",""มุกดาหาร!J389"")"),0.0)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IFERROR(__xludf.DUMMYFUNCTION("IMPORTRANGE(""https://docs.google.com/spreadsheets/d/1XL5vhW3sbDhbH9Cz0tuDiY8C3ctxq1tqvaCgkFb8cCA/edit?usp=sharing"",""มุกดาหาร!I390"")"),0.0)</f>
        <v>0</v>
      </c>
      <c r="J495" s="469">
        <f>IFERROR(__xludf.DUMMYFUNCTION("IMPORTRANGE(""https://docs.google.com/spreadsheets/d/1XL5vhW3sbDhbH9Cz0tuDiY8C3ctxq1tqvaCgkFb8cCA/edit?usp=sharing"",""มุกดาหาร!J390"")"),0.0)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IFERROR(__xludf.DUMMYFUNCTION("IMPORTRANGE(""https://docs.google.com/spreadsheets/d/1XL5vhW3sbDhbH9Cz0tuDiY8C3ctxq1tqvaCgkFb8cCA/edit?usp=sharing"",""มุกดาหาร!I391"")"),0.0)</f>
        <v>0</v>
      </c>
      <c r="J496" s="469">
        <f>IFERROR(__xludf.DUMMYFUNCTION("IMPORTRANGE(""https://docs.google.com/spreadsheets/d/1XL5vhW3sbDhbH9Cz0tuDiY8C3ctxq1tqvaCgkFb8cCA/edit?usp=sharing"",""มุกดาหาร!J391"")"),0.0)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IFERROR(__xludf.DUMMYFUNCTION("IMPORTRANGE(""https://docs.google.com/spreadsheets/d/1XL5vhW3sbDhbH9Cz0tuDiY8C3ctxq1tqvaCgkFb8cCA/edit?usp=sharing"",""มุกดาหาร!I392"")"),2487.0)</f>
        <v>2487</v>
      </c>
      <c r="J497" s="476">
        <f>IFERROR(__xludf.DUMMYFUNCTION("IMPORTRANGE(""https://docs.google.com/spreadsheets/d/1XL5vhW3sbDhbH9Cz0tuDiY8C3ctxq1tqvaCgkFb8cCA/edit?usp=sharing"",""มุกดาหาร!J392"")"),0.0)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IFERROR(__xludf.DUMMYFUNCTION("IMPORTRANGE(""https://docs.google.com/spreadsheets/d/1XL5vhW3sbDhbH9Cz0tuDiY8C3ctxq1tqvaCgkFb8cCA/edit?usp=sharing"",""มุกดาหาร!I393"")"),2487.0)</f>
        <v>2487</v>
      </c>
      <c r="J498" s="453">
        <f>IFERROR(__xludf.DUMMYFUNCTION("IMPORTRANGE(""https://docs.google.com/spreadsheets/d/1XL5vhW3sbDhbH9Cz0tuDiY8C3ctxq1tqvaCgkFb8cCA/edit?usp=sharing"",""มุกดาหาร!J393"")"),0.0)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IFERROR(__xludf.DUMMYFUNCTION("IMPORTRANGE(""https://docs.google.com/spreadsheets/d/1XL5vhW3sbDhbH9Cz0tuDiY8C3ctxq1tqvaCgkFb8cCA/edit?usp=sharing"",""มุกดาหาร!I394"")"),203.0)</f>
        <v>203</v>
      </c>
      <c r="J499" s="453">
        <f>IFERROR(__xludf.DUMMYFUNCTION("IMPORTRANGE(""https://docs.google.com/spreadsheets/d/1XL5vhW3sbDhbH9Cz0tuDiY8C3ctxq1tqvaCgkFb8cCA/edit?usp=sharing"",""มุกดาหาร!J394"")"),0.0)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IFERROR(__xludf.DUMMYFUNCTION("IMPORTRANGE(""https://docs.google.com/spreadsheets/d/1XL5vhW3sbDhbH9Cz0tuDiY8C3ctxq1tqvaCgkFb8cCA/edit?usp=sharing"",""มุกดาหาร!I395"")"),0.0)</f>
        <v>0</v>
      </c>
      <c r="J500" s="195">
        <f>IFERROR(__xludf.DUMMYFUNCTION("IMPORTRANGE(""https://docs.google.com/spreadsheets/d/1XL5vhW3sbDhbH9Cz0tuDiY8C3ctxq1tqvaCgkFb8cCA/edit?usp=sharing"",""มุกดาหาร!J395"")"),0.0)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IFERROR(__xludf.DUMMYFUNCTION("IMPORTRANGE(""https://docs.google.com/spreadsheets/d/1XL5vhW3sbDhbH9Cz0tuDiY8C3ctxq1tqvaCgkFb8cCA/edit?usp=sharing"",""มุกดาหาร!I396"")"),0.0)</f>
        <v>0</v>
      </c>
      <c r="J501" s="195">
        <f>IFERROR(__xludf.DUMMYFUNCTION("IMPORTRANGE(""https://docs.google.com/spreadsheets/d/1XL5vhW3sbDhbH9Cz0tuDiY8C3ctxq1tqvaCgkFb8cCA/edit?usp=sharing"",""มุกดาหาร!J396"")"),0.0)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IFERROR(__xludf.DUMMYFUNCTION("IMPORTRANGE(""https://docs.google.com/spreadsheets/d/1XL5vhW3sbDhbH9Cz0tuDiY8C3ctxq1tqvaCgkFb8cCA/edit?usp=sharing"",""มุกดาหาร!I397"")"),0.0)</f>
        <v>0</v>
      </c>
      <c r="J502" s="223">
        <f>IFERROR(__xludf.DUMMYFUNCTION("IMPORTRANGE(""https://docs.google.com/spreadsheets/d/1XL5vhW3sbDhbH9Cz0tuDiY8C3ctxq1tqvaCgkFb8cCA/edit?usp=sharing"",""มุกดาหาร!J397"")"),0.0)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IFERROR(__xludf.DUMMYFUNCTION("IMPORTRANGE(""https://docs.google.com/spreadsheets/d/1XL5vhW3sbDhbH9Cz0tuDiY8C3ctxq1tqvaCgkFb8cCA/edit?usp=sharing"",""มุกดาหาร!I398"")"),0.0)</f>
        <v>0</v>
      </c>
      <c r="J503" s="232">
        <f>IFERROR(__xludf.DUMMYFUNCTION("IMPORTRANGE(""https://docs.google.com/spreadsheets/d/1XL5vhW3sbDhbH9Cz0tuDiY8C3ctxq1tqvaCgkFb8cCA/edit?usp=sharing"",""มุกดาหาร!J398"")"),0.0)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IFERROR(__xludf.DUMMYFUNCTION("IMPORTRANGE(""https://docs.google.com/spreadsheets/d/1XL5vhW3sbDhbH9Cz0tuDiY8C3ctxq1tqvaCgkFb8cCA/edit?usp=sharing"",""มุกดาหาร!I399"")"),0.0)</f>
        <v>0</v>
      </c>
      <c r="J504" s="223">
        <f>IFERROR(__xludf.DUMMYFUNCTION("IMPORTRANGE(""https://docs.google.com/spreadsheets/d/1XL5vhW3sbDhbH9Cz0tuDiY8C3ctxq1tqvaCgkFb8cCA/edit?usp=sharing"",""มุกดาหาร!J399"")"),0.0)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IFERROR(__xludf.DUMMYFUNCTION("IMPORTRANGE(""https://docs.google.com/spreadsheets/d/1XL5vhW3sbDhbH9Cz0tuDiY8C3ctxq1tqvaCgkFb8cCA/edit?usp=sharing"",""มุกดาหาร!I400"")"),0.0)</f>
        <v>0</v>
      </c>
      <c r="J505" s="232">
        <f>IFERROR(__xludf.DUMMYFUNCTION("IMPORTRANGE(""https://docs.google.com/spreadsheets/d/1XL5vhW3sbDhbH9Cz0tuDiY8C3ctxq1tqvaCgkFb8cCA/edit?usp=sharing"",""มุกดาหาร!J400"")"),0.0)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IFERROR(__xludf.DUMMYFUNCTION("IMPORTRANGE(""https://docs.google.com/spreadsheets/d/1XL5vhW3sbDhbH9Cz0tuDiY8C3ctxq1tqvaCgkFb8cCA/edit?usp=sharing"",""มุกดาหาร!I401"")"),0.0)</f>
        <v>0</v>
      </c>
      <c r="J506" s="223">
        <f>IFERROR(__xludf.DUMMYFUNCTION("IMPORTRANGE(""https://docs.google.com/spreadsheets/d/1XL5vhW3sbDhbH9Cz0tuDiY8C3ctxq1tqvaCgkFb8cCA/edit?usp=sharing"",""มุกดาหาร!J401"")"),0.0)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IFERROR(__xludf.DUMMYFUNCTION("IMPORTRANGE(""https://docs.google.com/spreadsheets/d/1XL5vhW3sbDhbH9Cz0tuDiY8C3ctxq1tqvaCgkFb8cCA/edit?usp=sharing"",""มุกดาหาร!I402"")"),0.0)</f>
        <v>0</v>
      </c>
      <c r="J507" s="232">
        <f>IFERROR(__xludf.DUMMYFUNCTION("IMPORTRANGE(""https://docs.google.com/spreadsheets/d/1XL5vhW3sbDhbH9Cz0tuDiY8C3ctxq1tqvaCgkFb8cCA/edit?usp=sharing"",""มุกดาหาร!J402"")"),0.0)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IFERROR(__xludf.DUMMYFUNCTION("IMPORTRANGE(""https://docs.google.com/spreadsheets/d/1XL5vhW3sbDhbH9Cz0tuDiY8C3ctxq1tqvaCgkFb8cCA/edit?usp=sharing"",""มุกดาหาร!I403"")"),0.0)</f>
        <v>0</v>
      </c>
      <c r="J508" s="195">
        <f>IFERROR(__xludf.DUMMYFUNCTION("IMPORTRANGE(""https://docs.google.com/spreadsheets/d/1XL5vhW3sbDhbH9Cz0tuDiY8C3ctxq1tqvaCgkFb8cCA/edit?usp=sharing"",""มุกดาหาร!J403"")"),0.0)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IFERROR(__xludf.DUMMYFUNCTION("IMPORTRANGE(""https://docs.google.com/spreadsheets/d/1XL5vhW3sbDhbH9Cz0tuDiY8C3ctxq1tqvaCgkFb8cCA/edit?usp=sharing"",""มุกดาหาร!I404"")"),0.0)</f>
        <v>0</v>
      </c>
      <c r="J509" s="195">
        <f>IFERROR(__xludf.DUMMYFUNCTION("IMPORTRANGE(""https://docs.google.com/spreadsheets/d/1XL5vhW3sbDhbH9Cz0tuDiY8C3ctxq1tqvaCgkFb8cCA/edit?usp=sharing"",""มุกดาหาร!J404"")"),0.0)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IFERROR(__xludf.DUMMYFUNCTION("IMPORTRANGE(""https://docs.google.com/spreadsheets/d/1XL5vhW3sbDhbH9Cz0tuDiY8C3ctxq1tqvaCgkFb8cCA/edit?usp=sharing"",""มุกดาหาร!I405"")"),0.0)</f>
        <v>0</v>
      </c>
      <c r="J510" s="232">
        <f>IFERROR(__xludf.DUMMYFUNCTION("IMPORTRANGE(""https://docs.google.com/spreadsheets/d/1XL5vhW3sbDhbH9Cz0tuDiY8C3ctxq1tqvaCgkFb8cCA/edit?usp=sharing"",""มุกดาหาร!J405"")"),0.0)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IFERROR(__xludf.DUMMYFUNCTION("IMPORTRANGE(""https://docs.google.com/spreadsheets/d/1XL5vhW3sbDhbH9Cz0tuDiY8C3ctxq1tqvaCgkFb8cCA/edit?usp=sharing"",""มุกดาหาร!I406"")"),0.0)</f>
        <v>0</v>
      </c>
      <c r="J511" s="232">
        <f>IFERROR(__xludf.DUMMYFUNCTION("IMPORTRANGE(""https://docs.google.com/spreadsheets/d/1XL5vhW3sbDhbH9Cz0tuDiY8C3ctxq1tqvaCgkFb8cCA/edit?usp=sharing"",""มุกดาหาร!J406"")"),0.0)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IFERROR(__xludf.DUMMYFUNCTION("IMPORTRANGE(""https://docs.google.com/spreadsheets/d/1XL5vhW3sbDhbH9Cz0tuDiY8C3ctxq1tqvaCgkFb8cCA/edit?usp=sharing"",""มุกดาหาร!I407"")"),0.0)</f>
        <v>0</v>
      </c>
      <c r="J512" s="232">
        <f>IFERROR(__xludf.DUMMYFUNCTION("IMPORTRANGE(""https://docs.google.com/spreadsheets/d/1XL5vhW3sbDhbH9Cz0tuDiY8C3ctxq1tqvaCgkFb8cCA/edit?usp=sharing"",""มุกดาหาร!J407"")"),0.0)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IFERROR(__xludf.DUMMYFUNCTION("IMPORTRANGE(""https://docs.google.com/spreadsheets/d/1XL5vhW3sbDhbH9Cz0tuDiY8C3ctxq1tqvaCgkFb8cCA/edit?usp=sharing"",""มุกดาหาร!I408"")"),0.0)</f>
        <v>0</v>
      </c>
      <c r="J513" s="232">
        <f>IFERROR(__xludf.DUMMYFUNCTION("IMPORTRANGE(""https://docs.google.com/spreadsheets/d/1XL5vhW3sbDhbH9Cz0tuDiY8C3ctxq1tqvaCgkFb8cCA/edit?usp=sharing"",""มุกดาหาร!J408"")"),0.0)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IFERROR(__xludf.DUMMYFUNCTION("IMPORTRANGE(""https://docs.google.com/spreadsheets/d/1XL5vhW3sbDhbH9Cz0tuDiY8C3ctxq1tqvaCgkFb8cCA/edit?usp=sharing"",""มุกดาหาร!I409"")"),0.0)</f>
        <v>0</v>
      </c>
      <c r="J514" s="232">
        <f>IFERROR(__xludf.DUMMYFUNCTION("IMPORTRANGE(""https://docs.google.com/spreadsheets/d/1XL5vhW3sbDhbH9Cz0tuDiY8C3ctxq1tqvaCgkFb8cCA/edit?usp=sharing"",""มุกดาหาร!J409"")"),0.0)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IFERROR(__xludf.DUMMYFUNCTION("IMPORTRANGE(""https://docs.google.com/spreadsheets/d/1XL5vhW3sbDhbH9Cz0tuDiY8C3ctxq1tqvaCgkFb8cCA/edit?usp=sharing"",""มุกดาหาร!I410"")"),0.0)</f>
        <v>0</v>
      </c>
      <c r="J515" s="232">
        <f>IFERROR(__xludf.DUMMYFUNCTION("IMPORTRANGE(""https://docs.google.com/spreadsheets/d/1XL5vhW3sbDhbH9Cz0tuDiY8C3ctxq1tqvaCgkFb8cCA/edit?usp=sharing"",""มุกดาหาร!J410"")"),0.0)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IFERROR(__xludf.DUMMYFUNCTION("IMPORTRANGE(""https://docs.google.com/spreadsheets/d/1XL5vhW3sbDhbH9Cz0tuDiY8C3ctxq1tqvaCgkFb8cCA/edit?usp=sharing"",""มุกดาหาร!I411"")"),0.0)</f>
        <v>0</v>
      </c>
      <c r="J516" s="301">
        <f>IFERROR(__xludf.DUMMYFUNCTION("IMPORTRANGE(""https://docs.google.com/spreadsheets/d/1XL5vhW3sbDhbH9Cz0tuDiY8C3ctxq1tqvaCgkFb8cCA/edit?usp=sharing"",""มุกดาหาร!J411"")"),0.0)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IFERROR(__xludf.DUMMYFUNCTION("IMPORTRANGE(""https://docs.google.com/spreadsheets/d/1XL5vhW3sbDhbH9Cz0tuDiY8C3ctxq1tqvaCgkFb8cCA/edit?usp=sharing"",""มุกดาหาร!I412"")"),0.0)</f>
        <v>0</v>
      </c>
      <c r="J517" s="317">
        <f>IFERROR(__xludf.DUMMYFUNCTION("IMPORTRANGE(""https://docs.google.com/spreadsheets/d/1XL5vhW3sbDhbH9Cz0tuDiY8C3ctxq1tqvaCgkFb8cCA/edit?usp=sharing"",""มุกดาหาร!J412"")"),0.0)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IFERROR(__xludf.DUMMYFUNCTION("IMPORTRANGE(""https://docs.google.com/spreadsheets/d/1XL5vhW3sbDhbH9Cz0tuDiY8C3ctxq1tqvaCgkFb8cCA/edit?usp=sharing"",""มุกดาหาร!I413"")"),0.0)</f>
        <v>0</v>
      </c>
      <c r="J518" s="317">
        <f>IFERROR(__xludf.DUMMYFUNCTION("IMPORTRANGE(""https://docs.google.com/spreadsheets/d/1XL5vhW3sbDhbH9Cz0tuDiY8C3ctxq1tqvaCgkFb8cCA/edit?usp=sharing"",""มุกดาหาร!J413"")"),0.0)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IFERROR(__xludf.DUMMYFUNCTION("IMPORTRANGE(""https://docs.google.com/spreadsheets/d/1XL5vhW3sbDhbH9Cz0tuDiY8C3ctxq1tqvaCgkFb8cCA/edit?usp=sharing"",""มุกดาหาร!I414"")"),0.0)</f>
        <v>0</v>
      </c>
      <c r="J519" s="222">
        <f>IFERROR(__xludf.DUMMYFUNCTION("IMPORTRANGE(""https://docs.google.com/spreadsheets/d/1XL5vhW3sbDhbH9Cz0tuDiY8C3ctxq1tqvaCgkFb8cCA/edit?usp=sharing"",""มุกดาหาร!J414"")"),0.0)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IFERROR(__xludf.DUMMYFUNCTION("IMPORTRANGE(""https://docs.google.com/spreadsheets/d/1XL5vhW3sbDhbH9Cz0tuDiY8C3ctxq1tqvaCgkFb8cCA/edit?usp=sharing"",""มุกดาหาร!I415"")"),0.0)</f>
        <v>0</v>
      </c>
      <c r="J520" s="222">
        <f>IFERROR(__xludf.DUMMYFUNCTION("IMPORTRANGE(""https://docs.google.com/spreadsheets/d/1XL5vhW3sbDhbH9Cz0tuDiY8C3ctxq1tqvaCgkFb8cCA/edit?usp=sharing"",""มุกดาหาร!J415"")"),0.0)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IFERROR(__xludf.DUMMYFUNCTION("IMPORTRANGE(""https://docs.google.com/spreadsheets/d/1XL5vhW3sbDhbH9Cz0tuDiY8C3ctxq1tqvaCgkFb8cCA/edit?usp=sharing"",""มุกดาหาร!I416"")"),0.0)</f>
        <v>0</v>
      </c>
      <c r="J521" s="222">
        <f>IFERROR(__xludf.DUMMYFUNCTION("IMPORTRANGE(""https://docs.google.com/spreadsheets/d/1XL5vhW3sbDhbH9Cz0tuDiY8C3ctxq1tqvaCgkFb8cCA/edit?usp=sharing"",""มุกดาหาร!J416"")"),0.0)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IFERROR(__xludf.DUMMYFUNCTION("IMPORTRANGE(""https://docs.google.com/spreadsheets/d/1XL5vhW3sbDhbH9Cz0tuDiY8C3ctxq1tqvaCgkFb8cCA/edit?usp=sharing"",""มุกดาหาร!I417"")"),0.0)</f>
        <v>0</v>
      </c>
      <c r="J522" s="222">
        <f>IFERROR(__xludf.DUMMYFUNCTION("IMPORTRANGE(""https://docs.google.com/spreadsheets/d/1XL5vhW3sbDhbH9Cz0tuDiY8C3ctxq1tqvaCgkFb8cCA/edit?usp=sharing"",""มุกดาหาร!J417"")"),0.0)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IFERROR(__xludf.DUMMYFUNCTION("IMPORTRANGE(""https://docs.google.com/spreadsheets/d/1XL5vhW3sbDhbH9Cz0tuDiY8C3ctxq1tqvaCgkFb8cCA/edit?usp=sharing"",""มุกดาหาร!I418"")"),0.0)</f>
        <v>0</v>
      </c>
      <c r="J523" s="222">
        <f>IFERROR(__xludf.DUMMYFUNCTION("IMPORTRANGE(""https://docs.google.com/spreadsheets/d/1XL5vhW3sbDhbH9Cz0tuDiY8C3ctxq1tqvaCgkFb8cCA/edit?usp=sharing"",""มุกดาหาร!J418"")"),0.0)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IFERROR(__xludf.DUMMYFUNCTION("IMPORTRANGE(""https://docs.google.com/spreadsheets/d/1XL5vhW3sbDhbH9Cz0tuDiY8C3ctxq1tqvaCgkFb8cCA/edit?usp=sharing"",""มุกดาหาร!I419"")"),0.0)</f>
        <v>0</v>
      </c>
      <c r="J524" s="222">
        <f>IFERROR(__xludf.DUMMYFUNCTION("IMPORTRANGE(""https://docs.google.com/spreadsheets/d/1XL5vhW3sbDhbH9Cz0tuDiY8C3ctxq1tqvaCgkFb8cCA/edit?usp=sharing"",""มุกดาหาร!J419"")"),0.0)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IFERROR(__xludf.DUMMYFUNCTION("IMPORTRANGE(""https://docs.google.com/spreadsheets/d/1XL5vhW3sbDhbH9Cz0tuDiY8C3ctxq1tqvaCgkFb8cCA/edit?usp=sharing"",""มุกดาหาร!I420"")"),0.0)</f>
        <v>0</v>
      </c>
      <c r="J525" s="317">
        <f>IFERROR(__xludf.DUMMYFUNCTION("IMPORTRANGE(""https://docs.google.com/spreadsheets/d/1XL5vhW3sbDhbH9Cz0tuDiY8C3ctxq1tqvaCgkFb8cCA/edit?usp=sharing"",""มุกดาหาร!J420"")"),0.0)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IFERROR(__xludf.DUMMYFUNCTION("IMPORTRANGE(""https://docs.google.com/spreadsheets/d/1XL5vhW3sbDhbH9Cz0tuDiY8C3ctxq1tqvaCgkFb8cCA/edit?usp=sharing"",""มุกดาหาร!I421"")"),0.0)</f>
        <v>0</v>
      </c>
      <c r="J526" s="317">
        <f>IFERROR(__xludf.DUMMYFUNCTION("IMPORTRANGE(""https://docs.google.com/spreadsheets/d/1XL5vhW3sbDhbH9Cz0tuDiY8C3ctxq1tqvaCgkFb8cCA/edit?usp=sharing"",""มุกดาหาร!J421"")"),0.0)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IFERROR(__xludf.DUMMYFUNCTION("IMPORTRANGE(""https://docs.google.com/spreadsheets/d/1XL5vhW3sbDhbH9Cz0tuDiY8C3ctxq1tqvaCgkFb8cCA/edit?usp=sharing"",""มุกดาหาร!I422"")"),0.0)</f>
        <v>0</v>
      </c>
      <c r="J527" s="232">
        <f>IFERROR(__xludf.DUMMYFUNCTION("IMPORTRANGE(""https://docs.google.com/spreadsheets/d/1XL5vhW3sbDhbH9Cz0tuDiY8C3ctxq1tqvaCgkFb8cCA/edit?usp=sharing"",""มุกดาหาร!J422"")"),0.0)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IFERROR(__xludf.DUMMYFUNCTION("IMPORTRANGE(""https://docs.google.com/spreadsheets/d/1XL5vhW3sbDhbH9Cz0tuDiY8C3ctxq1tqvaCgkFb8cCA/edit?usp=sharing"",""มุกดาหาร!I423"")"),0.0)</f>
        <v>0</v>
      </c>
      <c r="J528" s="232">
        <f>IFERROR(__xludf.DUMMYFUNCTION("IMPORTRANGE(""https://docs.google.com/spreadsheets/d/1XL5vhW3sbDhbH9Cz0tuDiY8C3ctxq1tqvaCgkFb8cCA/edit?usp=sharing"",""มุกดาหาร!J423"")"),0.0)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IFERROR(__xludf.DUMMYFUNCTION("IMPORTRANGE(""https://docs.google.com/spreadsheets/d/1XL5vhW3sbDhbH9Cz0tuDiY8C3ctxq1tqvaCgkFb8cCA/edit?usp=sharing"",""มุกดาหาร!I424"")"),0.0)</f>
        <v>0</v>
      </c>
      <c r="J529" s="232">
        <f>IFERROR(__xludf.DUMMYFUNCTION("IMPORTRANGE(""https://docs.google.com/spreadsheets/d/1XL5vhW3sbDhbH9Cz0tuDiY8C3ctxq1tqvaCgkFb8cCA/edit?usp=sharing"",""มุกดาหาร!J424"")"),0.0)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IFERROR(__xludf.DUMMYFUNCTION("IMPORTRANGE(""https://docs.google.com/spreadsheets/d/1XL5vhW3sbDhbH9Cz0tuDiY8C3ctxq1tqvaCgkFb8cCA/edit?usp=sharing"",""มุกดาหาร!I425"")"),0.0)</f>
        <v>0</v>
      </c>
      <c r="J530" s="232">
        <f>IFERROR(__xludf.DUMMYFUNCTION("IMPORTRANGE(""https://docs.google.com/spreadsheets/d/1XL5vhW3sbDhbH9Cz0tuDiY8C3ctxq1tqvaCgkFb8cCA/edit?usp=sharing"",""มุกดาหาร!J425"")"),0.0)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IFERROR(__xludf.DUMMYFUNCTION("IMPORTRANGE(""https://docs.google.com/spreadsheets/d/1XL5vhW3sbDhbH9Cz0tuDiY8C3ctxq1tqvaCgkFb8cCA/edit?usp=sharing"",""มุกดาหาร!I426"")"),0.0)</f>
        <v>0</v>
      </c>
      <c r="J531" s="232">
        <f>IFERROR(__xludf.DUMMYFUNCTION("IMPORTRANGE(""https://docs.google.com/spreadsheets/d/1XL5vhW3sbDhbH9Cz0tuDiY8C3ctxq1tqvaCgkFb8cCA/edit?usp=sharing"",""มุกดาหาร!J426"")"),0.0)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IFERROR(__xludf.DUMMYFUNCTION("IMPORTRANGE(""https://docs.google.com/spreadsheets/d/1XL5vhW3sbDhbH9Cz0tuDiY8C3ctxq1tqvaCgkFb8cCA/edit?usp=sharing"",""มุกดาหาร!I427"")"),0.0)</f>
        <v>0</v>
      </c>
      <c r="J532" s="499">
        <f>IFERROR(__xludf.DUMMYFUNCTION("IMPORTRANGE(""https://docs.google.com/spreadsheets/d/1XL5vhW3sbDhbH9Cz0tuDiY8C3ctxq1tqvaCgkFb8cCA/edit?usp=sharing"",""มุกดาหาร!J427"")"),0.0)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IFERROR(__xludf.DUMMYFUNCTION("IMPORTRANGE(""https://docs.google.com/spreadsheets/d/1XL5vhW3sbDhbH9Cz0tuDiY8C3ctxq1tqvaCgkFb8cCA/edit?usp=sharing"",""มุกดาหาร!I428"")"),22.0)</f>
        <v>22</v>
      </c>
      <c r="J533" s="443">
        <f>IFERROR(__xludf.DUMMYFUNCTION("IMPORTRANGE(""https://docs.google.com/spreadsheets/d/1XL5vhW3sbDhbH9Cz0tuDiY8C3ctxq1tqvaCgkFb8cCA/edit?usp=sharing"",""มุกดาหาร!J428"")"),22.0)</f>
        <v>22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IFERROR(__xludf.DUMMYFUNCTION("IMPORTRANGE(""https://docs.google.com/spreadsheets/d/1XL5vhW3sbDhbH9Cz0tuDiY8C3ctxq1tqvaCgkFb8cCA/edit?usp=sharing"",""มุกดาหาร!L428"")"),34340.0)</f>
        <v>34340</v>
      </c>
      <c r="M533" s="445"/>
      <c r="N533" s="445">
        <f>IFERROR(__xludf.DUMMYFUNCTION("IMPORTRANGE(""https://docs.google.com/spreadsheets/d/1XL5vhW3sbDhbH9Cz0tuDiY8C3ctxq1tqvaCgkFb8cCA/edit?usp=sharing"",""มุกดาหาร!M428"")"),34340.0)</f>
        <v>34340</v>
      </c>
      <c r="O533" s="445">
        <f t="shared" ref="O533:O537" si="119">+IF(L533&gt;0,N533*100/L533,0)</f>
        <v>100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IFERROR(__xludf.DUMMYFUNCTION("IMPORTRANGE(""https://docs.google.com/spreadsheets/d/1XL5vhW3sbDhbH9Cz0tuDiY8C3ctxq1tqvaCgkFb8cCA/edit?usp=sharing"",""มุกดาหาร!L429"")"),0.0)</f>
        <v>0</v>
      </c>
      <c r="M534" s="197"/>
      <c r="N534" s="203">
        <f>IFERROR(__xludf.DUMMYFUNCTION("IMPORTRANGE(""https://docs.google.com/spreadsheets/d/1XL5vhW3sbDhbH9Cz0tuDiY8C3ctxq1tqvaCgkFb8cCA/edit?usp=sharing"",""มุกดาหาร!M429"")"),0.0)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IFERROR(__xludf.DUMMYFUNCTION("IMPORTRANGE(""https://docs.google.com/spreadsheets/d/1XL5vhW3sbDhbH9Cz0tuDiY8C3ctxq1tqvaCgkFb8cCA/edit?usp=sharing"",""มุกดาหาร!L430"")"),34340.0)</f>
        <v>34340</v>
      </c>
      <c r="M535" s="198"/>
      <c r="N535" s="203">
        <f>IFERROR(__xludf.DUMMYFUNCTION("IMPORTRANGE(""https://docs.google.com/spreadsheets/d/1XL5vhW3sbDhbH9Cz0tuDiY8C3ctxq1tqvaCgkFb8cCA/edit?usp=sharing"",""มุกดาหาร!M430"")"),34340.0)</f>
        <v>34340</v>
      </c>
      <c r="O535" s="203">
        <f t="shared" si="119"/>
        <v>100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IFERROR(__xludf.DUMMYFUNCTION("IMPORTRANGE(""https://docs.google.com/spreadsheets/d/1XL5vhW3sbDhbH9Cz0tuDiY8C3ctxq1tqvaCgkFb8cCA/edit?usp=sharing"",""มุกดาหาร!L431"")"),0.0)</f>
        <v>0</v>
      </c>
      <c r="M536" s="203"/>
      <c r="N536" s="203">
        <f>IFERROR(__xludf.DUMMYFUNCTION("IMPORTRANGE(""https://docs.google.com/spreadsheets/d/1XL5vhW3sbDhbH9Cz0tuDiY8C3ctxq1tqvaCgkFb8cCA/edit?usp=sharing"",""มุกดาหาร!M431"")"),0.0)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IFERROR(__xludf.DUMMYFUNCTION("IMPORTRANGE(""https://docs.google.com/spreadsheets/d/1XL5vhW3sbDhbH9Cz0tuDiY8C3ctxq1tqvaCgkFb8cCA/edit?usp=sharing"",""มุกดาหาร!L432"")"),34340.0)</f>
        <v>34340</v>
      </c>
      <c r="M537" s="203"/>
      <c r="N537" s="203">
        <f>IFERROR(__xludf.DUMMYFUNCTION("IMPORTRANGE(""https://docs.google.com/spreadsheets/d/1XL5vhW3sbDhbH9Cz0tuDiY8C3ctxq1tqvaCgkFb8cCA/edit?usp=sharing"",""มุกดาหาร!M432"")"),34340.0)</f>
        <v>34340</v>
      </c>
      <c r="O537" s="203">
        <f t="shared" si="119"/>
        <v>100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IFERROR(__xludf.DUMMYFUNCTION("IMPORTRANGE(""https://docs.google.com/spreadsheets/d/1XL5vhW3sbDhbH9Cz0tuDiY8C3ctxq1tqvaCgkFb8cCA/edit?usp=sharing"",""มุกดาหาร!M433"")"),18420.0)</f>
        <v>18420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IFERROR(__xludf.DUMMYFUNCTION("IMPORTRANGE(""https://docs.google.com/spreadsheets/d/1XL5vhW3sbDhbH9Cz0tuDiY8C3ctxq1tqvaCgkFb8cCA/edit?usp=sharing"",""มุกดาหาร!M434"")"),0.0)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IFERROR(__xludf.DUMMYFUNCTION("IMPORTRANGE(""https://docs.google.com/spreadsheets/d/1XL5vhW3sbDhbH9Cz0tuDiY8C3ctxq1tqvaCgkFb8cCA/edit?usp=sharing"",""มุกดาหาร!M435"")"),0.0)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IFERROR(__xludf.DUMMYFUNCTION("IMPORTRANGE(""https://docs.google.com/spreadsheets/d/1XL5vhW3sbDhbH9Cz0tuDiY8C3ctxq1tqvaCgkFb8cCA/edit?usp=sharing"",""มุกดาหาร!M436"")"),15920.0)</f>
        <v>15920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IFERROR(__xludf.DUMMYFUNCTION("IMPORTRANGE(""https://docs.google.com/spreadsheets/d/1XL5vhW3sbDhbH9Cz0tuDiY8C3ctxq1tqvaCgkFb8cCA/edit?usp=sharing"",""มุกดาหาร!J438"")"),0.0)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IFERROR(__xludf.DUMMYFUNCTION("IMPORTRANGE(""https://docs.google.com/spreadsheets/d/1XL5vhW3sbDhbH9Cz0tuDiY8C3ctxq1tqvaCgkFb8cCA/edit?usp=sharing"",""มุกดาหาร!J439"")"),1.0)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IFERROR(__xludf.DUMMYFUNCTION("IMPORTRANGE(""https://docs.google.com/spreadsheets/d/1XL5vhW3sbDhbH9Cz0tuDiY8C3ctxq1tqvaCgkFb8cCA/edit?usp=sharing"",""มุกดาหาร!J440"")"),1.0)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IFERROR(__xludf.DUMMYFUNCTION("IMPORTRANGE(""https://docs.google.com/spreadsheets/d/1XL5vhW3sbDhbH9Cz0tuDiY8C3ctxq1tqvaCgkFb8cCA/edit?usp=sharing"",""มุกดาหาร!J441"")"),0.0)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IFERROR(__xludf.DUMMYFUNCTION("IMPORTRANGE(""https://docs.google.com/spreadsheets/d/1XL5vhW3sbDhbH9Cz0tuDiY8C3ctxq1tqvaCgkFb8cCA/edit?usp=sharing"",""มุกดาหาร!I442"")"),22.0)</f>
        <v>22</v>
      </c>
      <c r="J547" s="223">
        <f>IFERROR(__xludf.DUMMYFUNCTION("IMPORTRANGE(""https://docs.google.com/spreadsheets/d/1XL5vhW3sbDhbH9Cz0tuDiY8C3ctxq1tqvaCgkFb8cCA/edit?usp=sharing"",""มุกดาหาร!J442"")"),22.0)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IFERROR(__xludf.DUMMYFUNCTION("IMPORTRANGE(""https://docs.google.com/spreadsheets/d/1XL5vhW3sbDhbH9Cz0tuDiY8C3ctxq1tqvaCgkFb8cCA/edit?usp=sharing"",""มุกดาหาร!J166"")"),0.0)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IFERROR(__xludf.DUMMYFUNCTION("IMPORTRANGE(""https://docs.google.com/spreadsheets/d/1XL5vhW3sbDhbH9Cz0tuDiY8C3ctxq1tqvaCgkFb8cCA/edit?usp=sharing"",""มุกดาหาร!J444"")"),1.0)</f>
        <v>1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IFERROR(__xludf.DUMMYFUNCTION("IMPORTRANGE(""https://docs.google.com/spreadsheets/d/1XL5vhW3sbDhbH9Cz0tuDiY8C3ctxq1tqvaCgkFb8cCA/edit?usp=sharing"",""มุกดาหาร!J445"")"),1.0)</f>
        <v>1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IFERROR(__xludf.DUMMYFUNCTION("IMPORTRANGE(""https://docs.google.com/spreadsheets/d/1XL5vhW3sbDhbH9Cz0tuDiY8C3ctxq1tqvaCgkFb8cCA/edit?usp=sharing"",""มุกดาหาร!I446"")"),0.0)</f>
        <v>0</v>
      </c>
      <c r="J551" s="443">
        <f>IFERROR(__xludf.DUMMYFUNCTION("IMPORTRANGE(""https://docs.google.com/spreadsheets/d/1XL5vhW3sbDhbH9Cz0tuDiY8C3ctxq1tqvaCgkFb8cCA/edit?usp=sharing"",""มุกดาหาร!J446"")"),0.0)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IFERROR(__xludf.DUMMYFUNCTION("IMPORTRANGE(""https://docs.google.com/spreadsheets/d/1XL5vhW3sbDhbH9Cz0tuDiY8C3ctxq1tqvaCgkFb8cCA/edit?usp=sharing"",""มุกดาหาร!L446"")"),0.0)</f>
        <v>0</v>
      </c>
      <c r="M551" s="445"/>
      <c r="N551" s="445">
        <f>IFERROR(__xludf.DUMMYFUNCTION("IMPORTRANGE(""https://docs.google.com/spreadsheets/d/1XL5vhW3sbDhbH9Cz0tuDiY8C3ctxq1tqvaCgkFb8cCA/edit?usp=sharing"",""มุกดาหาร!M446"")"),0.0)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IFERROR(__xludf.DUMMYFUNCTION("IMPORTRANGE(""https://docs.google.com/spreadsheets/d/1XL5vhW3sbDhbH9Cz0tuDiY8C3ctxq1tqvaCgkFb8cCA/edit?usp=sharing"",""มุกดาหาร!L447"")"),0.0)</f>
        <v>0</v>
      </c>
      <c r="M552" s="197"/>
      <c r="N552" s="203">
        <f>IFERROR(__xludf.DUMMYFUNCTION("IMPORTRANGE(""https://docs.google.com/spreadsheets/d/1XL5vhW3sbDhbH9Cz0tuDiY8C3ctxq1tqvaCgkFb8cCA/edit?usp=sharing"",""มุกดาหาร!M447"")"),0.0)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IFERROR(__xludf.DUMMYFUNCTION("IMPORTRANGE(""https://docs.google.com/spreadsheets/d/1XL5vhW3sbDhbH9Cz0tuDiY8C3ctxq1tqvaCgkFb8cCA/edit?usp=sharing"",""มุกดาหาร!L448"")"),0.0)</f>
        <v>0</v>
      </c>
      <c r="M553" s="198"/>
      <c r="N553" s="203">
        <f>IFERROR(__xludf.DUMMYFUNCTION("IMPORTRANGE(""https://docs.google.com/spreadsheets/d/1XL5vhW3sbDhbH9Cz0tuDiY8C3ctxq1tqvaCgkFb8cCA/edit?usp=sharing"",""มุกดาหาร!M448"")"),0.0)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IFERROR(__xludf.DUMMYFUNCTION("IMPORTRANGE(""https://docs.google.com/spreadsheets/d/1XL5vhW3sbDhbH9Cz0tuDiY8C3ctxq1tqvaCgkFb8cCA/edit?usp=sharing"",""มุกดาหาร!L449"")"),0.0)</f>
        <v>0</v>
      </c>
      <c r="M554" s="203"/>
      <c r="N554" s="203">
        <f>IFERROR(__xludf.DUMMYFUNCTION("IMPORTRANGE(""https://docs.google.com/spreadsheets/d/1XL5vhW3sbDhbH9Cz0tuDiY8C3ctxq1tqvaCgkFb8cCA/edit?usp=sharing"",""มุกดาหาร!M449"")"),0.0)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IFERROR(__xludf.DUMMYFUNCTION("IMPORTRANGE(""https://docs.google.com/spreadsheets/d/1XL5vhW3sbDhbH9Cz0tuDiY8C3ctxq1tqvaCgkFb8cCA/edit?usp=sharing"",""มุกดาหาร!L450"")"),0.0)</f>
        <v>0</v>
      </c>
      <c r="M555" s="203"/>
      <c r="N555" s="203">
        <f>IFERROR(__xludf.DUMMYFUNCTION("IMPORTRANGE(""https://docs.google.com/spreadsheets/d/1XL5vhW3sbDhbH9Cz0tuDiY8C3ctxq1tqvaCgkFb8cCA/edit?usp=sharing"",""มุกดาหาร!M450"")"),0.0)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IFERROR(__xludf.DUMMYFUNCTION("IMPORTRANGE(""https://docs.google.com/spreadsheets/d/1XL5vhW3sbDhbH9Cz0tuDiY8C3ctxq1tqvaCgkFb8cCA/edit?usp=sharing"",""มุกดาหาร!M451"")"),0.0)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IFERROR(__xludf.DUMMYFUNCTION("IMPORTRANGE(""https://docs.google.com/spreadsheets/d/1XL5vhW3sbDhbH9Cz0tuDiY8C3ctxq1tqvaCgkFb8cCA/edit?usp=sharing"",""มุกดาหาร!M452"")"),0.0)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IFERROR(__xludf.DUMMYFUNCTION("IMPORTRANGE(""https://docs.google.com/spreadsheets/d/1XL5vhW3sbDhbH9Cz0tuDiY8C3ctxq1tqvaCgkFb8cCA/edit?usp=sharing"",""มุกดาหาร!M453"")"),0.0)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IFERROR(__xludf.DUMMYFUNCTION("IMPORTRANGE(""https://docs.google.com/spreadsheets/d/1XL5vhW3sbDhbH9Cz0tuDiY8C3ctxq1tqvaCgkFb8cCA/edit?usp=sharing"",""มุกดาหาร!M454"")"),0.0)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IFERROR(__xludf.DUMMYFUNCTION("IMPORTRANGE(""https://docs.google.com/spreadsheets/d/1XL5vhW3sbDhbH9Cz0tuDiY8C3ctxq1tqvaCgkFb8cCA/edit?usp=sharing"",""มุกดาหาร!I455"")"),0.0)</f>
        <v>0</v>
      </c>
      <c r="J560" s="195">
        <f>IFERROR(__xludf.DUMMYFUNCTION("IMPORTRANGE(""https://docs.google.com/spreadsheets/d/1XL5vhW3sbDhbH9Cz0tuDiY8C3ctxq1tqvaCgkFb8cCA/edit?usp=sharing"",""มุกดาหาร!J455"")"),0.0)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IFERROR(__xludf.DUMMYFUNCTION("IMPORTRANGE(""https://docs.google.com/spreadsheets/d/1XL5vhW3sbDhbH9Cz0tuDiY8C3ctxq1tqvaCgkFb8cCA/edit?usp=sharing"",""มุกดาหาร!I456"")"),0.0)</f>
        <v>0</v>
      </c>
      <c r="J561" s="238">
        <f>IFERROR(__xludf.DUMMYFUNCTION("IMPORTRANGE(""https://docs.google.com/spreadsheets/d/1XL5vhW3sbDhbH9Cz0tuDiY8C3ctxq1tqvaCgkFb8cCA/edit?usp=sharing"",""มุกดาหาร!J456"")"),0.0)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IFERROR(__xludf.DUMMYFUNCTION("IMPORTRANGE(""https://docs.google.com/spreadsheets/d/1XL5vhW3sbDhbH9Cz0tuDiY8C3ctxq1tqvaCgkFb8cCA/edit?usp=sharing"",""มุกดาหาร!I457"")"),"")</f>
        <v/>
      </c>
      <c r="J562" s="238" t="str">
        <f>IFERROR(__xludf.DUMMYFUNCTION("IMPORTRANGE(""https://docs.google.com/spreadsheets/d/1XL5vhW3sbDhbH9Cz0tuDiY8C3ctxq1tqvaCgkFb8cCA/edit?usp=sharing"",""มุกดาหาร!J457"")"),"")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IFERROR(__xludf.DUMMYFUNCTION("IMPORTRANGE(""https://docs.google.com/spreadsheets/d/1XL5vhW3sbDhbH9Cz0tuDiY8C3ctxq1tqvaCgkFb8cCA/edit?usp=sharing"",""มุกดาหาร!I458"")"),"")</f>
        <v/>
      </c>
      <c r="J563" s="222" t="str">
        <f>IFERROR(__xludf.DUMMYFUNCTION("IMPORTRANGE(""https://docs.google.com/spreadsheets/d/1XL5vhW3sbDhbH9Cz0tuDiY8C3ctxq1tqvaCgkFb8cCA/edit?usp=sharing"",""มุกดาหาร!J458"")"),"")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IFERROR(__xludf.DUMMYFUNCTION("IMPORTRANGE(""https://docs.google.com/spreadsheets/d/1XL5vhW3sbDhbH9Cz0tuDiY8C3ctxq1tqvaCgkFb8cCA/edit?usp=sharing"",""มุกดาหาร!I459"")"),1800.0)</f>
        <v>1800</v>
      </c>
      <c r="J564" s="404">
        <f>IFERROR(__xludf.DUMMYFUNCTION("IMPORTRANGE(""https://docs.google.com/spreadsheets/d/1XL5vhW3sbDhbH9Cz0tuDiY8C3ctxq1tqvaCgkFb8cCA/edit?usp=sharing"",""มุกดาหาร!J459"")"),336.0)</f>
        <v>336</v>
      </c>
      <c r="K564" s="405">
        <f t="shared" si="122"/>
        <v>18.66666667</v>
      </c>
      <c r="L564" s="406">
        <f>IFERROR(__xludf.DUMMYFUNCTION("IMPORTRANGE(""https://docs.google.com/spreadsheets/d/1XL5vhW3sbDhbH9Cz0tuDiY8C3ctxq1tqvaCgkFb8cCA/edit?usp=sharing"",""มุกดาหาร!L459"")"),136480.0)</f>
        <v>136480</v>
      </c>
      <c r="M564" s="406"/>
      <c r="N564" s="406">
        <f>IFERROR(__xludf.DUMMYFUNCTION("IMPORTRANGE(""https://docs.google.com/spreadsheets/d/1XL5vhW3sbDhbH9Cz0tuDiY8C3ctxq1tqvaCgkFb8cCA/edit?usp=sharing"",""มุกดาหาร!M459"")"),27133.0)</f>
        <v>27133</v>
      </c>
      <c r="O564" s="406">
        <f t="shared" ref="O564:O568" si="123">+IF(L564&gt;0,N564*100/L564,0)</f>
        <v>19.88056858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IFERROR(__xludf.DUMMYFUNCTION("IMPORTRANGE(""https://docs.google.com/spreadsheets/d/1XL5vhW3sbDhbH9Cz0tuDiY8C3ctxq1tqvaCgkFb8cCA/edit?usp=sharing"",""มุกดาหาร!L460"")"),0.0)</f>
        <v>0</v>
      </c>
      <c r="M565" s="197"/>
      <c r="N565" s="203">
        <f>IFERROR(__xludf.DUMMYFUNCTION("IMPORTRANGE(""https://docs.google.com/spreadsheets/d/1XL5vhW3sbDhbH9Cz0tuDiY8C3ctxq1tqvaCgkFb8cCA/edit?usp=sharing"",""มุกดาหาร!M460"")"),0.0)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IFERROR(__xludf.DUMMYFUNCTION("IMPORTRANGE(""https://docs.google.com/spreadsheets/d/1XL5vhW3sbDhbH9Cz0tuDiY8C3ctxq1tqvaCgkFb8cCA/edit?usp=sharing"",""มุกดาหาร!L461"")"),136480.0)</f>
        <v>136480</v>
      </c>
      <c r="M566" s="198"/>
      <c r="N566" s="203">
        <f>IFERROR(__xludf.DUMMYFUNCTION("IMPORTRANGE(""https://docs.google.com/spreadsheets/d/1XL5vhW3sbDhbH9Cz0tuDiY8C3ctxq1tqvaCgkFb8cCA/edit?usp=sharing"",""มุกดาหาร!M461"")"),27133.0)</f>
        <v>27133</v>
      </c>
      <c r="O566" s="203">
        <f t="shared" si="123"/>
        <v>19.88056858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IFERROR(__xludf.DUMMYFUNCTION("IMPORTRANGE(""https://docs.google.com/spreadsheets/d/1XL5vhW3sbDhbH9Cz0tuDiY8C3ctxq1tqvaCgkFb8cCA/edit?usp=sharing"",""มุกดาหาร!L462"")"),0.0)</f>
        <v>0</v>
      </c>
      <c r="M567" s="203"/>
      <c r="N567" s="203">
        <f>IFERROR(__xludf.DUMMYFUNCTION("IMPORTRANGE(""https://docs.google.com/spreadsheets/d/1XL5vhW3sbDhbH9Cz0tuDiY8C3ctxq1tqvaCgkFb8cCA/edit?usp=sharing"",""มุกดาหาร!M462"")"),0.0)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IFERROR(__xludf.DUMMYFUNCTION("IMPORTRANGE(""https://docs.google.com/spreadsheets/d/1XL5vhW3sbDhbH9Cz0tuDiY8C3ctxq1tqvaCgkFb8cCA/edit?usp=sharing"",""มุกดาหาร!L463"")"),136480.0)</f>
        <v>136480</v>
      </c>
      <c r="M568" s="203"/>
      <c r="N568" s="203">
        <f>IFERROR(__xludf.DUMMYFUNCTION("IMPORTRANGE(""https://docs.google.com/spreadsheets/d/1XL5vhW3sbDhbH9Cz0tuDiY8C3ctxq1tqvaCgkFb8cCA/edit?usp=sharing"",""มุกดาหาร!M463"")"),27133.0)</f>
        <v>27133</v>
      </c>
      <c r="O568" s="203">
        <f t="shared" si="123"/>
        <v>19.88056858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IFERROR(__xludf.DUMMYFUNCTION("IMPORTRANGE(""https://docs.google.com/spreadsheets/d/1XL5vhW3sbDhbH9Cz0tuDiY8C3ctxq1tqvaCgkFb8cCA/edit?usp=sharing"",""มุกดาหาร!M464"")"),0.0)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IFERROR(__xludf.DUMMYFUNCTION("IMPORTRANGE(""https://docs.google.com/spreadsheets/d/1XL5vhW3sbDhbH9Cz0tuDiY8C3ctxq1tqvaCgkFb8cCA/edit?usp=sharing"",""มุกดาหาร!M465"")"),0.0)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IFERROR(__xludf.DUMMYFUNCTION("IMPORTRANGE(""https://docs.google.com/spreadsheets/d/1XL5vhW3sbDhbH9Cz0tuDiY8C3ctxq1tqvaCgkFb8cCA/edit?usp=sharing"",""มุกดาหาร!M466"")"),27133.0)</f>
        <v>27133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IFERROR(__xludf.DUMMYFUNCTION("IMPORTRANGE(""https://docs.google.com/spreadsheets/d/1XL5vhW3sbDhbH9Cz0tuDiY8C3ctxq1tqvaCgkFb8cCA/edit?usp=sharing"",""มุกดาหาร!M467"")"),0.0)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IFERROR(__xludf.DUMMYFUNCTION("IMPORTRANGE(""https://docs.google.com/spreadsheets/d/1XL5vhW3sbDhbH9Cz0tuDiY8C3ctxq1tqvaCgkFb8cCA/edit?usp=sharing"",""มุกดาหาร!I468"")"),1800.0)</f>
        <v>1800</v>
      </c>
      <c r="J573" s="453">
        <f>IFERROR(__xludf.DUMMYFUNCTION("IMPORTRANGE(""https://docs.google.com/spreadsheets/d/1XL5vhW3sbDhbH9Cz0tuDiY8C3ctxq1tqvaCgkFb8cCA/edit?usp=sharing"",""มุกดาหาร!J468"")"),336.0)</f>
        <v>336</v>
      </c>
      <c r="K573" s="236">
        <f>IF(I573&gt;0,J573*100/I573,0)</f>
        <v>18.66666667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IFERROR(__xludf.DUMMYFUNCTION("IMPORTRANGE(""https://docs.google.com/spreadsheets/d/1XL5vhW3sbDhbH9Cz0tuDiY8C3ctxq1tqvaCgkFb8cCA/edit?usp=sharing"",""มุกดาหาร!I470"")"),0.0)</f>
        <v>0</v>
      </c>
      <c r="J575" s="232">
        <f>IFERROR(__xludf.DUMMYFUNCTION("IMPORTRANGE(""https://docs.google.com/spreadsheets/d/1XL5vhW3sbDhbH9Cz0tuDiY8C3ctxq1tqvaCgkFb8cCA/edit?usp=sharing"",""มุกดาหาร!J470"")"),0.0)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IFERROR(__xludf.DUMMYFUNCTION("IMPORTRANGE(""https://docs.google.com/spreadsheets/d/1XL5vhW3sbDhbH9Cz0tuDiY8C3ctxq1tqvaCgkFb8cCA/edit?usp=sharing"",""มุกดาหาร!I471"")"),0.0)</f>
        <v>0</v>
      </c>
      <c r="J576" s="232">
        <f>IFERROR(__xludf.DUMMYFUNCTION("IMPORTRANGE(""https://docs.google.com/spreadsheets/d/1XL5vhW3sbDhbH9Cz0tuDiY8C3ctxq1tqvaCgkFb8cCA/edit?usp=sharing"",""มุกดาหาร!J471"")"),0.0)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IFERROR(__xludf.DUMMYFUNCTION("IMPORTRANGE(""https://docs.google.com/spreadsheets/d/1XL5vhW3sbDhbH9Cz0tuDiY8C3ctxq1tqvaCgkFb8cCA/edit?usp=sharing"",""มุกดาหาร!I472"")"),0.0)</f>
        <v>0</v>
      </c>
      <c r="J577" s="223">
        <f>IFERROR(__xludf.DUMMYFUNCTION("IMPORTRANGE(""https://docs.google.com/spreadsheets/d/1XL5vhW3sbDhbH9Cz0tuDiY8C3ctxq1tqvaCgkFb8cCA/edit?usp=sharing"",""มุกดาหาร!J472"")"),336.0)</f>
        <v>336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IFERROR(__xludf.DUMMYFUNCTION("IMPORTRANGE(""https://docs.google.com/spreadsheets/d/1XL5vhW3sbDhbH9Cz0tuDiY8C3ctxq1tqvaCgkFb8cCA/edit?usp=sharing"",""มุกดาหาร!I473"")"),0.0)</f>
        <v>0</v>
      </c>
      <c r="J578" s="232">
        <f>IFERROR(__xludf.DUMMYFUNCTION("IMPORTRANGE(""https://docs.google.com/spreadsheets/d/1XL5vhW3sbDhbH9Cz0tuDiY8C3ctxq1tqvaCgkFb8cCA/edit?usp=sharing"",""มุกดาหาร!J473"")"),0.0)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IFERROR(__xludf.DUMMYFUNCTION("IMPORTRANGE(""https://docs.google.com/spreadsheets/d/1XL5vhW3sbDhbH9Cz0tuDiY8C3ctxq1tqvaCgkFb8cCA/edit?usp=sharing"",""มุกดาหาร!I474"")"),0.0)</f>
        <v>0</v>
      </c>
      <c r="J579" s="232">
        <f>IFERROR(__xludf.DUMMYFUNCTION("IMPORTRANGE(""https://docs.google.com/spreadsheets/d/1XL5vhW3sbDhbH9Cz0tuDiY8C3ctxq1tqvaCgkFb8cCA/edit?usp=sharing"",""มุกดาหาร!J474"")"),0.0)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IFERROR(__xludf.DUMMYFUNCTION("IMPORTRANGE(""https://docs.google.com/spreadsheets/d/1XL5vhW3sbDhbH9Cz0tuDiY8C3ctxq1tqvaCgkFb8cCA/edit?usp=sharing"",""มุกดาหาร!I475"")"),40.0)</f>
        <v>40</v>
      </c>
      <c r="J580" s="404">
        <f>IFERROR(__xludf.DUMMYFUNCTION("IMPORTRANGE(""https://docs.google.com/spreadsheets/d/1XL5vhW3sbDhbH9Cz0tuDiY8C3ctxq1tqvaCgkFb8cCA/edit?usp=sharing"",""มุกดาหาร!J475"")"),0.0)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IFERROR(__xludf.DUMMYFUNCTION("IMPORTRANGE(""https://docs.google.com/spreadsheets/d/1XL5vhW3sbDhbH9Cz0tuDiY8C3ctxq1tqvaCgkFb8cCA/edit?usp=sharing"",""มุกดาหาร!L475"")"),134440.0)</f>
        <v>134440</v>
      </c>
      <c r="M580" s="406"/>
      <c r="N580" s="406">
        <f>IFERROR(__xludf.DUMMYFUNCTION("IMPORTRANGE(""https://docs.google.com/spreadsheets/d/1XL5vhW3sbDhbH9Cz0tuDiY8C3ctxq1tqvaCgkFb8cCA/edit?usp=sharing"",""มุกดาหาร!M475"")"),19420.0)</f>
        <v>19420</v>
      </c>
      <c r="O580" s="406">
        <f t="shared" ref="O580:O584" si="125">+IF(L580&gt;0,N580*100/L580,0)</f>
        <v>14.44510562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IFERROR(__xludf.DUMMYFUNCTION("IMPORTRANGE(""https://docs.google.com/spreadsheets/d/1XL5vhW3sbDhbH9Cz0tuDiY8C3ctxq1tqvaCgkFb8cCA/edit?usp=sharing"",""มุกดาหาร!L476"")"),0.0)</f>
        <v>0</v>
      </c>
      <c r="M581" s="197"/>
      <c r="N581" s="203">
        <f>IFERROR(__xludf.DUMMYFUNCTION("IMPORTRANGE(""https://docs.google.com/spreadsheets/d/1XL5vhW3sbDhbH9Cz0tuDiY8C3ctxq1tqvaCgkFb8cCA/edit?usp=sharing"",""มุกดาหาร!M476"")"),0.0)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IFERROR(__xludf.DUMMYFUNCTION("IMPORTRANGE(""https://docs.google.com/spreadsheets/d/1XL5vhW3sbDhbH9Cz0tuDiY8C3ctxq1tqvaCgkFb8cCA/edit?usp=sharing"",""มุกดาหาร!L477"")"),134440.0)</f>
        <v>134440</v>
      </c>
      <c r="M582" s="198"/>
      <c r="N582" s="203">
        <f>IFERROR(__xludf.DUMMYFUNCTION("IMPORTRANGE(""https://docs.google.com/spreadsheets/d/1XL5vhW3sbDhbH9Cz0tuDiY8C3ctxq1tqvaCgkFb8cCA/edit?usp=sharing"",""มุกดาหาร!M477"")"),19420.0)</f>
        <v>19420</v>
      </c>
      <c r="O582" s="203">
        <f t="shared" si="125"/>
        <v>14.44510562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IFERROR(__xludf.DUMMYFUNCTION("IMPORTRANGE(""https://docs.google.com/spreadsheets/d/1XL5vhW3sbDhbH9Cz0tuDiY8C3ctxq1tqvaCgkFb8cCA/edit?usp=sharing"",""มุกดาหาร!L478"")"),0.0)</f>
        <v>0</v>
      </c>
      <c r="M583" s="203"/>
      <c r="N583" s="203">
        <f>IFERROR(__xludf.DUMMYFUNCTION("IMPORTRANGE(""https://docs.google.com/spreadsheets/d/1XL5vhW3sbDhbH9Cz0tuDiY8C3ctxq1tqvaCgkFb8cCA/edit?usp=sharing"",""มุกดาหาร!M478"")"),0.0)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IFERROR(__xludf.DUMMYFUNCTION("IMPORTRANGE(""https://docs.google.com/spreadsheets/d/1XL5vhW3sbDhbH9Cz0tuDiY8C3ctxq1tqvaCgkFb8cCA/edit?usp=sharing"",""มุกดาหาร!L479"")"),134440.0)</f>
        <v>134440</v>
      </c>
      <c r="M584" s="203"/>
      <c r="N584" s="203">
        <f>IFERROR(__xludf.DUMMYFUNCTION("IMPORTRANGE(""https://docs.google.com/spreadsheets/d/1XL5vhW3sbDhbH9Cz0tuDiY8C3ctxq1tqvaCgkFb8cCA/edit?usp=sharing"",""มุกดาหาร!M479"")"),19420.0)</f>
        <v>19420</v>
      </c>
      <c r="O584" s="203">
        <f t="shared" si="125"/>
        <v>14.44510562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IFERROR(__xludf.DUMMYFUNCTION("IMPORTRANGE(""https://docs.google.com/spreadsheets/d/1XL5vhW3sbDhbH9Cz0tuDiY8C3ctxq1tqvaCgkFb8cCA/edit?usp=sharing"",""มุกดาหาร!M480"")"),0.0)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IFERROR(__xludf.DUMMYFUNCTION("IMPORTRANGE(""https://docs.google.com/spreadsheets/d/1XL5vhW3sbDhbH9Cz0tuDiY8C3ctxq1tqvaCgkFb8cCA/edit?usp=sharing"",""มุกดาหาร!M481"")"),0.0)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IFERROR(__xludf.DUMMYFUNCTION("IMPORTRANGE(""https://docs.google.com/spreadsheets/d/1XL5vhW3sbDhbH9Cz0tuDiY8C3ctxq1tqvaCgkFb8cCA/edit?usp=sharing"",""มุกดาหาร!M482"")"),0.0)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IFERROR(__xludf.DUMMYFUNCTION("IMPORTRANGE(""https://docs.google.com/spreadsheets/d/1XL5vhW3sbDhbH9Cz0tuDiY8C3ctxq1tqvaCgkFb8cCA/edit?usp=sharing"",""มุกดาหาร!M483"")"),19420.0)</f>
        <v>19420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IFERROR(__xludf.DUMMYFUNCTION("IMPORTRANGE(""https://docs.google.com/spreadsheets/d/1XL5vhW3sbDhbH9Cz0tuDiY8C3ctxq1tqvaCgkFb8cCA/edit?usp=sharing"",""มุกดาหาร!I484"")"),40.0)</f>
        <v>40</v>
      </c>
      <c r="J589" s="222">
        <f>IFERROR(__xludf.DUMMYFUNCTION("IMPORTRANGE(""https://docs.google.com/spreadsheets/d/1XL5vhW3sbDhbH9Cz0tuDiY8C3ctxq1tqvaCgkFb8cCA/edit?usp=sharing"",""มุกดาหาร!J484"")"),36.0)</f>
        <v>36</v>
      </c>
      <c r="K589" s="196">
        <f t="shared" ref="K589:K596" si="126">IF(I589&gt;0,J589*100/I589,0)</f>
        <v>90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IFERROR(__xludf.DUMMYFUNCTION("IMPORTRANGE(""https://docs.google.com/spreadsheets/d/1XL5vhW3sbDhbH9Cz0tuDiY8C3ctxq1tqvaCgkFb8cCA/edit?usp=sharing"",""มุกดาหาร!I485"")"),0.0)</f>
        <v>0</v>
      </c>
      <c r="J590" s="222">
        <f>IFERROR(__xludf.DUMMYFUNCTION("IMPORTRANGE(""https://docs.google.com/spreadsheets/d/1XL5vhW3sbDhbH9Cz0tuDiY8C3ctxq1tqvaCgkFb8cCA/edit?usp=sharing"",""มุกดาหาร!J485"")"),27.73)</f>
        <v>27.73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IFERROR(__xludf.DUMMYFUNCTION("IMPORTRANGE(""https://docs.google.com/spreadsheets/d/1XL5vhW3sbDhbH9Cz0tuDiY8C3ctxq1tqvaCgkFb8cCA/edit?usp=sharing"",""มุกดาหาร!I486"")"),40.0)</f>
        <v>40</v>
      </c>
      <c r="J591" s="222">
        <f>IFERROR(__xludf.DUMMYFUNCTION("IMPORTRANGE(""https://docs.google.com/spreadsheets/d/1XL5vhW3sbDhbH9Cz0tuDiY8C3ctxq1tqvaCgkFb8cCA/edit?usp=sharing"",""มุกดาหาร!J486"")"),0.0)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IFERROR(__xludf.DUMMYFUNCTION("IMPORTRANGE(""https://docs.google.com/spreadsheets/d/1XL5vhW3sbDhbH9Cz0tuDiY8C3ctxq1tqvaCgkFb8cCA/edit?usp=sharing"",""มุกดาหาร!I487"")"),0.0)</f>
        <v>0</v>
      </c>
      <c r="J592" s="222">
        <f>IFERROR(__xludf.DUMMYFUNCTION("IMPORTRANGE(""https://docs.google.com/spreadsheets/d/1XL5vhW3sbDhbH9Cz0tuDiY8C3ctxq1tqvaCgkFb8cCA/edit?usp=sharing"",""มุกดาหาร!J487"")"),0.0)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IFERROR(__xludf.DUMMYFUNCTION("IMPORTRANGE(""https://docs.google.com/spreadsheets/d/1XL5vhW3sbDhbH9Cz0tuDiY8C3ctxq1tqvaCgkFb8cCA/edit?usp=sharing"",""มุกดาหาร!I488"")"),40.0)</f>
        <v>40</v>
      </c>
      <c r="J593" s="222">
        <f>IFERROR(__xludf.DUMMYFUNCTION("IMPORTRANGE(""https://docs.google.com/spreadsheets/d/1XL5vhW3sbDhbH9Cz0tuDiY8C3ctxq1tqvaCgkFb8cCA/edit?usp=sharing"",""มุกดาหาร!J488"")"),0.0)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IFERROR(__xludf.DUMMYFUNCTION("IMPORTRANGE(""https://docs.google.com/spreadsheets/d/1XL5vhW3sbDhbH9Cz0tuDiY8C3ctxq1tqvaCgkFb8cCA/edit?usp=sharing"",""มุกดาหาร!I489"")"),0.0)</f>
        <v>0</v>
      </c>
      <c r="J594" s="222">
        <f>IFERROR(__xludf.DUMMYFUNCTION("IMPORTRANGE(""https://docs.google.com/spreadsheets/d/1XL5vhW3sbDhbH9Cz0tuDiY8C3ctxq1tqvaCgkFb8cCA/edit?usp=sharing"",""มุกดาหาร!J489"")"),0.0)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IFERROR(__xludf.DUMMYFUNCTION("IMPORTRANGE(""https://docs.google.com/spreadsheets/d/1XL5vhW3sbDhbH9Cz0tuDiY8C3ctxq1tqvaCgkFb8cCA/edit?usp=sharing"",""มุกดาหาร!I490"")"),40.0)</f>
        <v>40</v>
      </c>
      <c r="J595" s="222">
        <f>IFERROR(__xludf.DUMMYFUNCTION("IMPORTRANGE(""https://docs.google.com/spreadsheets/d/1XL5vhW3sbDhbH9Cz0tuDiY8C3ctxq1tqvaCgkFb8cCA/edit?usp=sharing"",""มุกดาหาร!J490"")"),0.0)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IFERROR(__xludf.DUMMYFUNCTION("IMPORTRANGE(""https://docs.google.com/spreadsheets/d/1XL5vhW3sbDhbH9Cz0tuDiY8C3ctxq1tqvaCgkFb8cCA/edit?usp=sharing"",""มุกดาหาร!I491"")"),0.0)</f>
        <v>0</v>
      </c>
      <c r="J596" s="275">
        <f>IFERROR(__xludf.DUMMYFUNCTION("IMPORTRANGE(""https://docs.google.com/spreadsheets/d/1XL5vhW3sbDhbH9Cz0tuDiY8C3ctxq1tqvaCgkFb8cCA/edit?usp=sharing"",""มุกดาหาร!J491"")"),0.0)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IFERROR(__xludf.DUMMYFUNCTION("IMPORTRANGE(""https://docs.google.com/spreadsheets/d/1XL5vhW3sbDhbH9Cz0tuDiY8C3ctxq1tqvaCgkFb8cCA/edit?usp=sharing"",""มุกดาหาร!I492"")"),100.0)</f>
        <v>100</v>
      </c>
      <c r="J597" s="520">
        <f>IFERROR(__xludf.DUMMYFUNCTION("IMPORTRANGE(""https://docs.google.com/spreadsheets/d/1XL5vhW3sbDhbH9Cz0tuDiY8C3ctxq1tqvaCgkFb8cCA/edit?usp=sharing"",""มุกดาหาร!J492"")"),0.0)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IFERROR(__xludf.DUMMYFUNCTION("IMPORTRANGE(""https://docs.google.com/spreadsheets/d/1XL5vhW3sbDhbH9Cz0tuDiY8C3ctxq1tqvaCgkFb8cCA/edit?usp=sharing"",""มุกดาหาร!L492"")"),8100.0)</f>
        <v>8100</v>
      </c>
      <c r="M597" s="445"/>
      <c r="N597" s="445">
        <f>IFERROR(__xludf.DUMMYFUNCTION("IMPORTRANGE(""https://docs.google.com/spreadsheets/d/1XL5vhW3sbDhbH9Cz0tuDiY8C3ctxq1tqvaCgkFb8cCA/edit?usp=sharing"",""มุกดาหาร!M492"")"),800.0)</f>
        <v>800</v>
      </c>
      <c r="O597" s="445">
        <f t="shared" ref="O597:O601" si="127">+IF(L597&gt;0,N597*100/L597,0)</f>
        <v>9.87654321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IFERROR(__xludf.DUMMYFUNCTION("IMPORTRANGE(""https://docs.google.com/spreadsheets/d/1XL5vhW3sbDhbH9Cz0tuDiY8C3ctxq1tqvaCgkFb8cCA/edit?usp=sharing"",""มุกดาหาร!L493"")"),0.0)</f>
        <v>0</v>
      </c>
      <c r="M598" s="197"/>
      <c r="N598" s="203">
        <f>IFERROR(__xludf.DUMMYFUNCTION("IMPORTRANGE(""https://docs.google.com/spreadsheets/d/1XL5vhW3sbDhbH9Cz0tuDiY8C3ctxq1tqvaCgkFb8cCA/edit?usp=sharing"",""มุกดาหาร!M493"")"),0.0)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IFERROR(__xludf.DUMMYFUNCTION("IMPORTRANGE(""https://docs.google.com/spreadsheets/d/1XL5vhW3sbDhbH9Cz0tuDiY8C3ctxq1tqvaCgkFb8cCA/edit?usp=sharing"",""มุกดาหาร!L494"")"),8100.0)</f>
        <v>8100</v>
      </c>
      <c r="M599" s="198"/>
      <c r="N599" s="203">
        <f>IFERROR(__xludf.DUMMYFUNCTION("IMPORTRANGE(""https://docs.google.com/spreadsheets/d/1XL5vhW3sbDhbH9Cz0tuDiY8C3ctxq1tqvaCgkFb8cCA/edit?usp=sharing"",""มุกดาหาร!M494"")"),800.0)</f>
        <v>800</v>
      </c>
      <c r="O599" s="203">
        <f t="shared" si="127"/>
        <v>9.87654321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IFERROR(__xludf.DUMMYFUNCTION("IMPORTRANGE(""https://docs.google.com/spreadsheets/d/1XL5vhW3sbDhbH9Cz0tuDiY8C3ctxq1tqvaCgkFb8cCA/edit?usp=sharing"",""มุกดาหาร!L495"")"),0.0)</f>
        <v>0</v>
      </c>
      <c r="M600" s="203"/>
      <c r="N600" s="203">
        <f>IFERROR(__xludf.DUMMYFUNCTION("IMPORTRANGE(""https://docs.google.com/spreadsheets/d/1XL5vhW3sbDhbH9Cz0tuDiY8C3ctxq1tqvaCgkFb8cCA/edit?usp=sharing"",""มุกดาหาร!M495"")"),0.0)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IFERROR(__xludf.DUMMYFUNCTION("IMPORTRANGE(""https://docs.google.com/spreadsheets/d/1XL5vhW3sbDhbH9Cz0tuDiY8C3ctxq1tqvaCgkFb8cCA/edit?usp=sharing"",""มุกดาหาร!L496"")"),8100.0)</f>
        <v>8100</v>
      </c>
      <c r="M601" s="203"/>
      <c r="N601" s="203">
        <f>IFERROR(__xludf.DUMMYFUNCTION("IMPORTRANGE(""https://docs.google.com/spreadsheets/d/1XL5vhW3sbDhbH9Cz0tuDiY8C3ctxq1tqvaCgkFb8cCA/edit?usp=sharing"",""มุกดาหาร!M496"")"),800.0)</f>
        <v>800</v>
      </c>
      <c r="O601" s="203">
        <f t="shared" si="127"/>
        <v>9.87654321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IFERROR(__xludf.DUMMYFUNCTION("IMPORTRANGE(""https://docs.google.com/spreadsheets/d/1XL5vhW3sbDhbH9Cz0tuDiY8C3ctxq1tqvaCgkFb8cCA/edit?usp=sharing"",""มุกดาหาร!M497"")"),0.0)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IFERROR(__xludf.DUMMYFUNCTION("IMPORTRANGE(""https://docs.google.com/spreadsheets/d/1XL5vhW3sbDhbH9Cz0tuDiY8C3ctxq1tqvaCgkFb8cCA/edit?usp=sharing"",""มุกดาหาร!M498"")"),0.0)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IFERROR(__xludf.DUMMYFUNCTION("IMPORTRANGE(""https://docs.google.com/spreadsheets/d/1XL5vhW3sbDhbH9Cz0tuDiY8C3ctxq1tqvaCgkFb8cCA/edit?usp=sharing"",""มุกดาหาร!M499"")"),0.0)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IFERROR(__xludf.DUMMYFUNCTION("IMPORTRANGE(""https://docs.google.com/spreadsheets/d/1XL5vhW3sbDhbH9Cz0tuDiY8C3ctxq1tqvaCgkFb8cCA/edit?usp=sharing"",""มุกดาหาร!M500"")"),800.0)</f>
        <v>800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IFERROR(__xludf.DUMMYFUNCTION("IMPORTRANGE(""https://docs.google.com/spreadsheets/d/1XL5vhW3sbDhbH9Cz0tuDiY8C3ctxq1tqvaCgkFb8cCA/edit?usp=sharing"",""มุกดาหาร!J502"")"),0.0)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IFERROR(__xludf.DUMMYFUNCTION("IMPORTRANGE(""https://docs.google.com/spreadsheets/d/1XL5vhW3sbDhbH9Cz0tuDiY8C3ctxq1tqvaCgkFb8cCA/edit?usp=sharing"",""มุกดาหาร!J503"")"),1.0)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IFERROR(__xludf.DUMMYFUNCTION("IMPORTRANGE(""https://docs.google.com/spreadsheets/d/1XL5vhW3sbDhbH9Cz0tuDiY8C3ctxq1tqvaCgkFb8cCA/edit?usp=sharing"",""มุกดาหาร!J166"")"),0.0)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IFERROR(__xludf.DUMMYFUNCTION("IMPORTRANGE(""https://docs.google.com/spreadsheets/d/1XL5vhW3sbDhbH9Cz0tuDiY8C3ctxq1tqvaCgkFb8cCA/edit?usp=sharing"",""มุกดาหาร!J166"")"),0.0)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IFERROR(__xludf.DUMMYFUNCTION("IMPORTRANGE(""https://docs.google.com/spreadsheets/d/1XL5vhW3sbDhbH9Cz0tuDiY8C3ctxq1tqvaCgkFb8cCA/edit?usp=sharing"",""มุกดาหาร!I506"")"),100.0)</f>
        <v>100</v>
      </c>
      <c r="J611" s="195">
        <f>IFERROR(__xludf.DUMMYFUNCTION("IMPORTRANGE(""https://docs.google.com/spreadsheets/d/1XL5vhW3sbDhbH9Cz0tuDiY8C3ctxq1tqvaCgkFb8cCA/edit?usp=sharing"",""มุกดาหาร!J506"")"),0.0)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IFERROR(__xludf.DUMMYFUNCTION("IMPORTRANGE(""https://docs.google.com/spreadsheets/d/1XL5vhW3sbDhbH9Cz0tuDiY8C3ctxq1tqvaCgkFb8cCA/edit?usp=sharing"",""มุกดาหาร!I507"")"),0.0)</f>
        <v>0</v>
      </c>
      <c r="J612" s="232">
        <f>IFERROR(__xludf.DUMMYFUNCTION("IMPORTRANGE(""https://docs.google.com/spreadsheets/d/1XL5vhW3sbDhbH9Cz0tuDiY8C3ctxq1tqvaCgkFb8cCA/edit?usp=sharing"",""มุกดาหาร!J507"")"),0.0)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IFERROR(__xludf.DUMMYFUNCTION("IMPORTRANGE(""https://docs.google.com/spreadsheets/d/1XL5vhW3sbDhbH9Cz0tuDiY8C3ctxq1tqvaCgkFb8cCA/edit?usp=sharing"",""มุกดาหาร!I508"")"),0.0)</f>
        <v>0</v>
      </c>
      <c r="J613" s="232">
        <f>IFERROR(__xludf.DUMMYFUNCTION("IMPORTRANGE(""https://docs.google.com/spreadsheets/d/1XL5vhW3sbDhbH9Cz0tuDiY8C3ctxq1tqvaCgkFb8cCA/edit?usp=sharing"",""มุกดาหาร!J508"")"),0.0)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IFERROR(__xludf.DUMMYFUNCTION("IMPORTRANGE(""https://docs.google.com/spreadsheets/d/1XL5vhW3sbDhbH9Cz0tuDiY8C3ctxq1tqvaCgkFb8cCA/edit?usp=sharing"",""มุกดาหาร!I509"")"),0.0)</f>
        <v>0</v>
      </c>
      <c r="J614" s="232">
        <f>IFERROR(__xludf.DUMMYFUNCTION("IMPORTRANGE(""https://docs.google.com/spreadsheets/d/1XL5vhW3sbDhbH9Cz0tuDiY8C3ctxq1tqvaCgkFb8cCA/edit?usp=sharing"",""มุกดาหาร!J509"")"),0.0)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IFERROR(__xludf.DUMMYFUNCTION("IMPORTRANGE(""https://docs.google.com/spreadsheets/d/1XL5vhW3sbDhbH9Cz0tuDiY8C3ctxq1tqvaCgkFb8cCA/edit?usp=sharing"",""มุกดาหาร!I510"")"),0.0)</f>
        <v>0</v>
      </c>
      <c r="J615" s="232">
        <f>IFERROR(__xludf.DUMMYFUNCTION("IMPORTRANGE(""https://docs.google.com/spreadsheets/d/1XL5vhW3sbDhbH9Cz0tuDiY8C3ctxq1tqvaCgkFb8cCA/edit?usp=sharing"",""มุกดาหาร!J510"")"),0.0)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IFERROR(__xludf.DUMMYFUNCTION("IMPORTRANGE(""https://docs.google.com/spreadsheets/d/1XL5vhW3sbDhbH9Cz0tuDiY8C3ctxq1tqvaCgkFb8cCA/edit?usp=sharing"",""มุกดาหาร!I511"")"),0.0)</f>
        <v>0</v>
      </c>
      <c r="J616" s="232">
        <f>IFERROR(__xludf.DUMMYFUNCTION("IMPORTRANGE(""https://docs.google.com/spreadsheets/d/1XL5vhW3sbDhbH9Cz0tuDiY8C3ctxq1tqvaCgkFb8cCA/edit?usp=sharing"",""มุกดาหาร!J511"")"),0.0)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IFERROR(__xludf.DUMMYFUNCTION("IMPORTRANGE(""https://docs.google.com/spreadsheets/d/1XL5vhW3sbDhbH9Cz0tuDiY8C3ctxq1tqvaCgkFb8cCA/edit?usp=sharing"",""มุกดาหาร!I512"")"),0.0)</f>
        <v>0</v>
      </c>
      <c r="J617" s="222">
        <f>IFERROR(__xludf.DUMMYFUNCTION("IMPORTRANGE(""https://docs.google.com/spreadsheets/d/1XL5vhW3sbDhbH9Cz0tuDiY8C3ctxq1tqvaCgkFb8cCA/edit?usp=sharing"",""มุกดาหาร!J512"")"),0.0)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IFERROR(__xludf.DUMMYFUNCTION("IMPORTRANGE(""https://docs.google.com/spreadsheets/d/1XL5vhW3sbDhbH9Cz0tuDiY8C3ctxq1tqvaCgkFb8cCA/edit?usp=sharing"",""มุกดาหาร!I513"")"),0.0)</f>
        <v>0</v>
      </c>
      <c r="J618" s="223">
        <f>IFERROR(__xludf.DUMMYFUNCTION("IMPORTRANGE(""https://docs.google.com/spreadsheets/d/1XL5vhW3sbDhbH9Cz0tuDiY8C3ctxq1tqvaCgkFb8cCA/edit?usp=sharing"",""มุกดาหาร!J513"")"),0.0)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IFERROR(__xludf.DUMMYFUNCTION("IMPORTRANGE(""https://docs.google.com/spreadsheets/d/1XL5vhW3sbDhbH9Cz0tuDiY8C3ctxq1tqvaCgkFb8cCA/edit?usp=sharing"",""มุกดาหาร!I514"")"),0.0)</f>
        <v>0</v>
      </c>
      <c r="J619" s="223">
        <f>IFERROR(__xludf.DUMMYFUNCTION("IMPORTRANGE(""https://docs.google.com/spreadsheets/d/1XL5vhW3sbDhbH9Cz0tuDiY8C3ctxq1tqvaCgkFb8cCA/edit?usp=sharing"",""มุกดาหาร!J514"")"),0.0)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IFERROR(__xludf.DUMMYFUNCTION("IMPORTRANGE(""https://docs.google.com/spreadsheets/d/1XL5vhW3sbDhbH9Cz0tuDiY8C3ctxq1tqvaCgkFb8cCA/edit?usp=sharing"",""มุกดาหาร!I515"")"),0.0)</f>
        <v>0</v>
      </c>
      <c r="J620" s="237">
        <f>IFERROR(__xludf.DUMMYFUNCTION("IMPORTRANGE(""https://docs.google.com/spreadsheets/d/1XL5vhW3sbDhbH9Cz0tuDiY8C3ctxq1tqvaCgkFb8cCA/edit?usp=sharing"",""มุกดาหาร!J515"")"),0.0)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IFERROR(__xludf.DUMMYFUNCTION("IMPORTRANGE(""https://docs.google.com/spreadsheets/d/1XL5vhW3sbDhbH9Cz0tuDiY8C3ctxq1tqvaCgkFb8cCA/edit?usp=sharing"",""มุกดาหาร!I516"")"),0.0)</f>
        <v>0</v>
      </c>
      <c r="J621" s="237">
        <f>IFERROR(__xludf.DUMMYFUNCTION("IMPORTRANGE(""https://docs.google.com/spreadsheets/d/1XL5vhW3sbDhbH9Cz0tuDiY8C3ctxq1tqvaCgkFb8cCA/edit?usp=sharing"",""มุกดาหาร!J516"")"),0.0)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IFERROR(__xludf.DUMMYFUNCTION("IMPORTRANGE(""https://docs.google.com/spreadsheets/d/1XL5vhW3sbDhbH9Cz0tuDiY8C3ctxq1tqvaCgkFb8cCA/edit?usp=sharing"",""มุกดาหาร!I517"")"),0.0)</f>
        <v>0</v>
      </c>
      <c r="J622" s="223">
        <f>IFERROR(__xludf.DUMMYFUNCTION("IMPORTRANGE(""https://docs.google.com/spreadsheets/d/1XL5vhW3sbDhbH9Cz0tuDiY8C3ctxq1tqvaCgkFb8cCA/edit?usp=sharing"",""มุกดาหาร!J517"")"),0.0)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IFERROR(__xludf.DUMMYFUNCTION("IMPORTRANGE(""https://docs.google.com/spreadsheets/d/1XL5vhW3sbDhbH9Cz0tuDiY8C3ctxq1tqvaCgkFb8cCA/edit?usp=sharing"",""มุกดาหาร!I518"")"),0.0)</f>
        <v>0</v>
      </c>
      <c r="J623" s="223">
        <f>IFERROR(__xludf.DUMMYFUNCTION("IMPORTRANGE(""https://docs.google.com/spreadsheets/d/1XL5vhW3sbDhbH9Cz0tuDiY8C3ctxq1tqvaCgkFb8cCA/edit?usp=sharing"",""มุกดาหาร!J518"")"),0.0)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IFERROR(__xludf.DUMMYFUNCTION("IMPORTRANGE(""https://docs.google.com/spreadsheets/d/1XL5vhW3sbDhbH9Cz0tuDiY8C3ctxq1tqvaCgkFb8cCA/edit?usp=sharing"",""มุกดาหาร!I519"")"),0.0)</f>
        <v>0</v>
      </c>
      <c r="J624" s="222">
        <f>IFERROR(__xludf.DUMMYFUNCTION("IMPORTRANGE(""https://docs.google.com/spreadsheets/d/1XL5vhW3sbDhbH9Cz0tuDiY8C3ctxq1tqvaCgkFb8cCA/edit?usp=sharing"",""มุกดาหาร!J519"")"),0.0)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IFERROR(__xludf.DUMMYFUNCTION("IMPORTRANGE(""https://docs.google.com/spreadsheets/d/1XL5vhW3sbDhbH9Cz0tuDiY8C3ctxq1tqvaCgkFb8cCA/edit?usp=sharing"",""มุกดาหาร!I520"")"),0.0)</f>
        <v>0</v>
      </c>
      <c r="J625" s="223">
        <f>IFERROR(__xludf.DUMMYFUNCTION("IMPORTRANGE(""https://docs.google.com/spreadsheets/d/1XL5vhW3sbDhbH9Cz0tuDiY8C3ctxq1tqvaCgkFb8cCA/edit?usp=sharing"",""มุกดาหาร!J520"")"),0.0)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IFERROR(__xludf.DUMMYFUNCTION("IMPORTRANGE(""https://docs.google.com/spreadsheets/d/1XL5vhW3sbDhbH9Cz0tuDiY8C3ctxq1tqvaCgkFb8cCA/edit?usp=sharing"",""มุกดาหาร!I521"")"),0.0)</f>
        <v>0</v>
      </c>
      <c r="J626" s="223">
        <f>IFERROR(__xludf.DUMMYFUNCTION("IMPORTRANGE(""https://docs.google.com/spreadsheets/d/1XL5vhW3sbDhbH9Cz0tuDiY8C3ctxq1tqvaCgkFb8cCA/edit?usp=sharing"",""มุกดาหาร!J521"")"),0.0)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IFERROR(__xludf.DUMMYFUNCTION("IMPORTRANGE(""https://docs.google.com/spreadsheets/d/1XL5vhW3sbDhbH9Cz0tuDiY8C3ctxq1tqvaCgkFb8cCA/edit?usp=sharing"",""มุกดาหาร!I523"")"),5345463.26)</f>
        <v>5345463.26</v>
      </c>
      <c r="J628" s="374">
        <f>IFERROR(__xludf.DUMMYFUNCTION("IMPORTRANGE(""https://docs.google.com/spreadsheets/d/1XL5vhW3sbDhbH9Cz0tuDiY8C3ctxq1tqvaCgkFb8cCA/edit?usp=sharing"",""มุกดาหาร!J523"")"),132951.26)</f>
        <v>132951.26</v>
      </c>
      <c r="K628" s="375">
        <f t="shared" ref="K628:K635" si="130">IF(I628&gt;0,J628*100/I628,0)</f>
        <v>2.487179381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IFERROR(__xludf.DUMMYFUNCTION("IMPORTRANGE(""https://docs.google.com/spreadsheets/d/1XL5vhW3sbDhbH9Cz0tuDiY8C3ctxq1tqvaCgkFb8cCA/edit?usp=sharing"",""มุกดาหาร!I524"")"),488.0)</f>
        <v>488</v>
      </c>
      <c r="J629" s="374">
        <f>IFERROR(__xludf.DUMMYFUNCTION("IMPORTRANGE(""https://docs.google.com/spreadsheets/d/1XL5vhW3sbDhbH9Cz0tuDiY8C3ctxq1tqvaCgkFb8cCA/edit?usp=sharing"",""มุกดาหาร!J524"")"),16.0)</f>
        <v>16</v>
      </c>
      <c r="K629" s="375">
        <f t="shared" si="130"/>
        <v>3.278688525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IFERROR(__xludf.DUMMYFUNCTION("IMPORTRANGE(""https://docs.google.com/spreadsheets/d/1XL5vhW3sbDhbH9Cz0tuDiY8C3ctxq1tqvaCgkFb8cCA/edit?usp=sharing"",""มุกดาหาร!I525"")"),3662314.07)</f>
        <v>3662314.07</v>
      </c>
      <c r="J630" s="374">
        <f>IFERROR(__xludf.DUMMYFUNCTION("IMPORTRANGE(""https://docs.google.com/spreadsheets/d/1XL5vhW3sbDhbH9Cz0tuDiY8C3ctxq1tqvaCgkFb8cCA/edit?usp=sharing"",""มุกดาหาร!J525"")"),77124.36)</f>
        <v>77124.36</v>
      </c>
      <c r="K630" s="375">
        <f t="shared" si="130"/>
        <v>2.105891481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IFERROR(__xludf.DUMMYFUNCTION("IMPORTRANGE(""https://docs.google.com/spreadsheets/d/1XL5vhW3sbDhbH9Cz0tuDiY8C3ctxq1tqvaCgkFb8cCA/edit?usp=sharing"",""มุกดาหาร!I526"")"),225.0)</f>
        <v>225</v>
      </c>
      <c r="J631" s="374">
        <f>IFERROR(__xludf.DUMMYFUNCTION("IMPORTRANGE(""https://docs.google.com/spreadsheets/d/1XL5vhW3sbDhbH9Cz0tuDiY8C3ctxq1tqvaCgkFb8cCA/edit?usp=sharing"",""มุกดาหาร!J526"")"),14.0)</f>
        <v>14</v>
      </c>
      <c r="K631" s="375">
        <f t="shared" si="130"/>
        <v>6.222222222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IFERROR(__xludf.DUMMYFUNCTION("IMPORTRANGE(""https://docs.google.com/spreadsheets/d/1XL5vhW3sbDhbH9Cz0tuDiY8C3ctxq1tqvaCgkFb8cCA/edit?usp=sharing"",""มุกดาหาร!I527"")"),0.0)</f>
        <v>0</v>
      </c>
      <c r="J632" s="374">
        <f>IFERROR(__xludf.DUMMYFUNCTION("IMPORTRANGE(""https://docs.google.com/spreadsheets/d/1XL5vhW3sbDhbH9Cz0tuDiY8C3ctxq1tqvaCgkFb8cCA/edit?usp=sharing"",""มุกดาหาร!J527"")"),26013.5)</f>
        <v>26013.5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IFERROR(__xludf.DUMMYFUNCTION("IMPORTRANGE(""https://docs.google.com/spreadsheets/d/1XL5vhW3sbDhbH9Cz0tuDiY8C3ctxq1tqvaCgkFb8cCA/edit?usp=sharing"",""มุกดาหาร!I528"")"),0.0)</f>
        <v>0</v>
      </c>
      <c r="J633" s="374">
        <f>IFERROR(__xludf.DUMMYFUNCTION("IMPORTRANGE(""https://docs.google.com/spreadsheets/d/1XL5vhW3sbDhbH9Cz0tuDiY8C3ctxq1tqvaCgkFb8cCA/edit?usp=sharing"",""มุกดาหาร!J528"")"),4.0)</f>
        <v>4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IFERROR(__xludf.DUMMYFUNCTION("IMPORTRANGE(""https://docs.google.com/spreadsheets/d/1XL5vhW3sbDhbH9Cz0tuDiY8C3ctxq1tqvaCgkFb8cCA/edit?usp=sharing"",""มุกดาหาร!I529"")"),6300000.0)</f>
        <v>6300000</v>
      </c>
      <c r="J634" s="374">
        <f>IFERROR(__xludf.DUMMYFUNCTION("IMPORTRANGE(""https://docs.google.com/spreadsheets/d/1XL5vhW3sbDhbH9Cz0tuDiY8C3ctxq1tqvaCgkFb8cCA/edit?usp=sharing"",""มุกดาหาร!J529"")"),0.0)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IFERROR(__xludf.DUMMYFUNCTION("IMPORTRANGE(""https://docs.google.com/spreadsheets/d/1XL5vhW3sbDhbH9Cz0tuDiY8C3ctxq1tqvaCgkFb8cCA/edit?usp=sharing"",""มุกดาหาร!I530"")"),150.0)</f>
        <v>150</v>
      </c>
      <c r="J635" s="544">
        <f>IFERROR(__xludf.DUMMYFUNCTION("IMPORTRANGE(""https://docs.google.com/spreadsheets/d/1XL5vhW3sbDhbH9Cz0tuDiY8C3ctxq1tqvaCgkFb8cCA/edit?usp=sharing"",""มุกดาหาร!J530"")"),0.0)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5858993</v>
      </c>
      <c r="M8" s="41">
        <f t="shared" si="1"/>
        <v>1775090</v>
      </c>
      <c r="N8" s="41">
        <f t="shared" si="1"/>
        <v>1659893</v>
      </c>
      <c r="O8" s="40">
        <f t="shared" ref="O8:O16" si="3">IF(L8&gt;0,N8*100/L8,0)</f>
        <v>28.33068754</v>
      </c>
      <c r="P8" s="40">
        <f t="shared" ref="P8:P16" si="4">IF(M8&gt;0,N8*100/M8,0)</f>
        <v>93.51035722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5858993</v>
      </c>
      <c r="M10" s="48">
        <f t="shared" si="5"/>
        <v>1775090</v>
      </c>
      <c r="N10" s="48">
        <f t="shared" si="5"/>
        <v>1659893</v>
      </c>
      <c r="O10" s="47">
        <f t="shared" si="3"/>
        <v>28.33068754</v>
      </c>
      <c r="P10" s="47">
        <f t="shared" si="4"/>
        <v>93.51035722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5619593</v>
      </c>
      <c r="M12" s="58">
        <f t="shared" si="7"/>
        <v>1775090</v>
      </c>
      <c r="N12" s="58">
        <f t="shared" si="7"/>
        <v>1420493</v>
      </c>
      <c r="O12" s="58">
        <f t="shared" si="3"/>
        <v>25.27750675</v>
      </c>
      <c r="P12" s="58">
        <f t="shared" si="4"/>
        <v>80.02371711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2072800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3546793</v>
      </c>
      <c r="M14" s="58">
        <f t="shared" si="9"/>
        <v>0</v>
      </c>
      <c r="N14" s="58">
        <f t="shared" si="9"/>
        <v>227115</v>
      </c>
      <c r="O14" s="61">
        <f t="shared" si="3"/>
        <v>6.40339033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239400</v>
      </c>
      <c r="M16" s="58">
        <f t="shared" si="11"/>
        <v>0</v>
      </c>
      <c r="N16" s="58">
        <f t="shared" si="11"/>
        <v>239400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3506320</v>
      </c>
      <c r="M18" s="41">
        <f t="shared" si="12"/>
        <v>1775090</v>
      </c>
      <c r="N18" s="41">
        <f t="shared" si="12"/>
        <v>1432778</v>
      </c>
      <c r="O18" s="40">
        <f t="shared" ref="O18:O20" si="14">IF(L18&gt;0,N18*100/L18,0)</f>
        <v>40.86272787</v>
      </c>
      <c r="P18" s="40">
        <f t="shared" ref="P18:P26" si="15">IF(M18&gt;0,N18*100/M18,0)</f>
        <v>80.71579469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3506320</v>
      </c>
      <c r="M20" s="48">
        <f t="shared" si="16"/>
        <v>1775090</v>
      </c>
      <c r="N20" s="48">
        <f t="shared" si="16"/>
        <v>1432778</v>
      </c>
      <c r="O20" s="47">
        <f t="shared" si="14"/>
        <v>40.86272787</v>
      </c>
      <c r="P20" s="47">
        <f t="shared" si="15"/>
        <v>80.71579469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3266920</v>
      </c>
      <c r="M22" s="62">
        <f t="shared" si="18"/>
        <v>1775090</v>
      </c>
      <c r="N22" s="61">
        <f t="shared" si="18"/>
        <v>1193378</v>
      </c>
      <c r="O22" s="61">
        <f t="shared" si="19"/>
        <v>36.52914672</v>
      </c>
      <c r="P22" s="61">
        <f t="shared" si="15"/>
        <v>67.22915458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2072800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1194120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239400</v>
      </c>
      <c r="M26" s="70">
        <f t="shared" si="23"/>
        <v>0</v>
      </c>
      <c r="N26" s="70">
        <f t="shared" si="23"/>
        <v>239400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2352673</v>
      </c>
      <c r="M28" s="41">
        <f t="shared" si="24"/>
        <v>0</v>
      </c>
      <c r="N28" s="41">
        <f t="shared" si="24"/>
        <v>227115</v>
      </c>
      <c r="O28" s="40">
        <f t="shared" ref="O28:O30" si="26">IF(L28&gt;0,N28*100/L28,0)</f>
        <v>9.653487756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2352673</v>
      </c>
      <c r="M30" s="48">
        <f t="shared" si="28"/>
        <v>0</v>
      </c>
      <c r="N30" s="48">
        <f t="shared" si="28"/>
        <v>227115</v>
      </c>
      <c r="O30" s="47">
        <f t="shared" si="26"/>
        <v>9.653487756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2352673</v>
      </c>
      <c r="M32" s="61">
        <f t="shared" si="30"/>
        <v>0</v>
      </c>
      <c r="N32" s="61">
        <f t="shared" si="30"/>
        <v>227115</v>
      </c>
      <c r="O32" s="61">
        <f t="shared" si="31"/>
        <v>9.653487756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2352673</v>
      </c>
      <c r="M34" s="61">
        <f t="shared" si="33"/>
        <v>0</v>
      </c>
      <c r="N34" s="61">
        <f t="shared" si="33"/>
        <v>227115</v>
      </c>
      <c r="O34" s="61">
        <f t="shared" si="31"/>
        <v>9.653487756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3506320</v>
      </c>
      <c r="M37" s="75">
        <f t="shared" si="34"/>
        <v>1775090</v>
      </c>
      <c r="N37" s="75">
        <f t="shared" si="34"/>
        <v>1432778</v>
      </c>
      <c r="O37" s="76">
        <f t="shared" si="31"/>
        <v>40.86272787</v>
      </c>
      <c r="P37" s="76">
        <f t="shared" si="27"/>
        <v>80.71579469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844100</v>
      </c>
      <c r="M41" s="102">
        <f t="shared" si="35"/>
        <v>422000</v>
      </c>
      <c r="N41" s="102">
        <f t="shared" si="35"/>
        <v>294889</v>
      </c>
      <c r="O41" s="101">
        <f t="shared" ref="O41:O43" si="37">IF(L41&gt;0,N41*100/L41,0)</f>
        <v>34.93531572</v>
      </c>
      <c r="P41" s="101">
        <f t="shared" ref="P41:P43" si="38">IF(M41&gt;0,N41*100/M41,0)</f>
        <v>69.87890995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844100</v>
      </c>
      <c r="M43" s="102">
        <f t="shared" si="39"/>
        <v>422000</v>
      </c>
      <c r="N43" s="102">
        <f t="shared" si="39"/>
        <v>294889</v>
      </c>
      <c r="O43" s="101">
        <f t="shared" si="37"/>
        <v>34.93531572</v>
      </c>
      <c r="P43" s="101">
        <f t="shared" si="38"/>
        <v>69.87890995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844100</v>
      </c>
      <c r="M45" s="115">
        <f>IFERROR(__xludf.DUMMYFUNCTION("IMPORTRANGE(""https://docs.google.com/spreadsheets/d/1Yj_ptqi66GCucihVvJfMjLAmec39IyEx_6qawtMGysU/edit?usp=sharing"",""สบก!Q47"")"),422000.0)</f>
        <v>422000</v>
      </c>
      <c r="N45" s="115">
        <f>IFERROR(__xludf.DUMMYFUNCTION("IMPORTRANGE(""https://docs.google.com/spreadsheets/d/1Yj_ptqi66GCucihVvJfMjLAmec39IyEx_6qawtMGysU/edit?usp=sharing"",""สบก!R47"")"),294889.0)</f>
        <v>294889</v>
      </c>
      <c r="O45" s="116">
        <f>IF(L45&gt;0,N45*100/L45,0)</f>
        <v>34.93531572</v>
      </c>
      <c r="P45" s="116">
        <f>IF(M45&gt;0,N45*100/M45,0)</f>
        <v>69.87890995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IFERROR(__xludf.DUMMYFUNCTION("IMPORTRANGE(""https://docs.google.com/spreadsheets/d/1Yj_ptqi66GCucihVvJfMjLAmec39IyEx_6qawtMGysU/edit?usp=sharing"",""สบก!M47"")"),844100.0)</f>
        <v>844100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IFERROR(__xludf.DUMMYFUNCTION("IMPORTRANGE(""https://docs.google.com/spreadsheets/d/1Yj_ptqi66GCucihVvJfMjLAmec39IyEx_6qawtMGysU/edit?usp=sharing"",""สบก!N47"")"),0.0)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IFERROR(__xludf.DUMMYFUNCTION("IMPORTRANGE(""https://docs.google.com/spreadsheets/d/1Yj_ptqi66GCucihVvJfMjLAmec39IyEx_6qawtMGysU/edit?usp=sharing"",""สบก!O47"")"),0.0)</f>
        <v>0</v>
      </c>
      <c r="M49" s="125"/>
      <c r="N49" s="115">
        <f>IFERROR(__xludf.DUMMYFUNCTION("IMPORTRANGE(""https://docs.google.com/spreadsheets/d/1Yj_ptqi66GCucihVvJfMjLAmec39IyEx_6qawtMGysU/edit?usp=sharing"",""สบก!S47"")"),0.0)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630000</v>
      </c>
      <c r="M53" s="151">
        <f t="shared" si="40"/>
        <v>324000</v>
      </c>
      <c r="N53" s="151">
        <f t="shared" si="40"/>
        <v>216825</v>
      </c>
      <c r="O53" s="150">
        <f t="shared" ref="O53:O55" si="42">IF(L53&gt;0,N53*100/L53,0)</f>
        <v>34.41666667</v>
      </c>
      <c r="P53" s="150">
        <f t="shared" ref="P53:P55" si="43">IF(M53&gt;0,N53*100/M53,0)</f>
        <v>66.9212963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630000</v>
      </c>
      <c r="M55" s="151">
        <f t="shared" si="44"/>
        <v>324000</v>
      </c>
      <c r="N55" s="151">
        <f t="shared" si="44"/>
        <v>216825</v>
      </c>
      <c r="O55" s="150">
        <f t="shared" si="42"/>
        <v>34.41666667</v>
      </c>
      <c r="P55" s="150">
        <f t="shared" si="43"/>
        <v>66.9212963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630000</v>
      </c>
      <c r="M57" s="115">
        <f>IFERROR(__xludf.DUMMYFUNCTION("IMPORTRANGE(""https://docs.google.com/spreadsheets/d/1Yj_ptqi66GCucihVvJfMjLAmec39IyEx_6qawtMGysU/edit?usp=sharing"",""สบก!Z47"")"),324000.0)</f>
        <v>324000</v>
      </c>
      <c r="N57" s="115">
        <f>IFERROR(__xludf.DUMMYFUNCTION("IMPORTRANGE(""https://docs.google.com/spreadsheets/d/1Yj_ptqi66GCucihVvJfMjLAmec39IyEx_6qawtMGysU/edit?usp=sharing"",""สบก!AA47"")"),216825.0)</f>
        <v>216825</v>
      </c>
      <c r="O57" s="116">
        <f>IF(L57&gt;0,N57*100/L57,0)</f>
        <v>34.41666667</v>
      </c>
      <c r="P57" s="116">
        <f>IF(M57&gt;0,N57*100/M57,0)</f>
        <v>66.9212963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IFERROR(__xludf.DUMMYFUNCTION("IMPORTRANGE(""https://docs.google.com/spreadsheets/d/1Yj_ptqi66GCucihVvJfMjLAmec39IyEx_6qawtMGysU/edit?usp=sharing"",""สบก!V47"")"),630000.0)</f>
        <v>630000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IFERROR(__xludf.DUMMYFUNCTION("IMPORTRANGE(""https://docs.google.com/spreadsheets/d/1Yj_ptqi66GCucihVvJfMjLAmec39IyEx_6qawtMGysU/edit?usp=sharing"",""สบก!W47"")"),0.0)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IFERROR(__xludf.DUMMYFUNCTION("IMPORTRANGE(""https://docs.google.com/spreadsheets/d/1Yj_ptqi66GCucihVvJfMjLAmec39IyEx_6qawtMGysU/edit?usp=sharing"",""สบก!X47"")"),0.0)</f>
        <v>0</v>
      </c>
      <c r="M61" s="125"/>
      <c r="N61" s="115">
        <f>IFERROR(__xludf.DUMMYFUNCTION("IMPORTRANGE(""https://docs.google.com/spreadsheets/d/1Yj_ptqi66GCucihVvJfMjLAmec39IyEx_6qawtMGysU/edit?usp=sharing"",""สบก!AB47"")"),0.0)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IFERROR(__xludf.DUMMYFUNCTION("IMPORTRANGE(""https://docs.google.com/spreadsheets/d/1XL5vhW3sbDhbH9Cz0tuDiY8C3ctxq1tqvaCgkFb8cCA/edit?usp=sharing"",""ยโสธร!I9"")"),1.0)</f>
        <v>1</v>
      </c>
      <c r="J64" s="172">
        <f>IFERROR(__xludf.DUMMYFUNCTION("IMPORTRANGE(""https://docs.google.com/spreadsheets/d/1XL5vhW3sbDhbH9Cz0tuDiY8C3ctxq1tqvaCgkFb8cCA/edit?usp=sharing"",""ยโสธร!J9"")"),1.0)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IFERROR(__xludf.DUMMYFUNCTION("IMPORTRANGE(""https://docs.google.com/spreadsheets/d/1XL5vhW3sbDhbH9Cz0tuDiY8C3ctxq1tqvaCgkFb8cCA/edit?usp=sharing"",""ยโสธร!I10"")"),40.0)</f>
        <v>40</v>
      </c>
      <c r="J65" s="172">
        <f>IFERROR(__xludf.DUMMYFUNCTION("IMPORTRANGE(""https://docs.google.com/spreadsheets/d/1XL5vhW3sbDhbH9Cz0tuDiY8C3ctxq1tqvaCgkFb8cCA/edit?usp=sharing"",""ยโสธร!J10"")"),40.0)</f>
        <v>40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745500</v>
      </c>
      <c r="M66" s="183">
        <f t="shared" si="46"/>
        <v>409320</v>
      </c>
      <c r="N66" s="183">
        <f t="shared" si="46"/>
        <v>204504</v>
      </c>
      <c r="O66" s="182">
        <f t="shared" ref="O66:O68" si="48">IF(L66&gt;0,N66*100/L66,0)</f>
        <v>27.43179074</v>
      </c>
      <c r="P66" s="182">
        <f t="shared" ref="P66:P68" si="49">IF(M66&gt;0,N66*100/M66,0)</f>
        <v>49.96188801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745500</v>
      </c>
      <c r="M68" s="188">
        <f t="shared" si="50"/>
        <v>409320</v>
      </c>
      <c r="N68" s="188">
        <f t="shared" si="50"/>
        <v>204504</v>
      </c>
      <c r="O68" s="187">
        <f t="shared" si="48"/>
        <v>27.43179074</v>
      </c>
      <c r="P68" s="187">
        <f t="shared" si="49"/>
        <v>49.96188801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745500</v>
      </c>
      <c r="M70" s="201">
        <f>IFERROR(__xludf.DUMMYFUNCTION("IMPORTRANGE(""https://docs.google.com/spreadsheets/d/1Yj_ptqi66GCucihVvJfMjLAmec39IyEx_6qawtMGysU/edit?usp=sharing"",""สบก!AI47"")"),409320.0)</f>
        <v>409320</v>
      </c>
      <c r="N70" s="202">
        <f>IFERROR(__xludf.DUMMYFUNCTION("IMPORTRANGE(""https://docs.google.com/spreadsheets/d/1Yj_ptqi66GCucihVvJfMjLAmec39IyEx_6qawtMGysU/edit?usp=sharing"",""สบก!AJ47"")"),204504.0)</f>
        <v>204504</v>
      </c>
      <c r="O70" s="203">
        <f>IF(L70&gt;0,N70*100/L70,0)</f>
        <v>27.43179074</v>
      </c>
      <c r="P70" s="203">
        <f>IF(M70&gt;0,N70*100/M70,0)</f>
        <v>49.96188801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IFERROR(__xludf.DUMMYFUNCTION("IMPORTRANGE(""https://docs.google.com/spreadsheets/d/1Yj_ptqi66GCucihVvJfMjLAmec39IyEx_6qawtMGysU/edit?usp=sharing"",""สบก!AE47"")"),321500.0)</f>
        <v>321500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IFERROR(__xludf.DUMMYFUNCTION("IMPORTRANGE(""https://docs.google.com/spreadsheets/d/1Yj_ptqi66GCucihVvJfMjLAmec39IyEx_6qawtMGysU/edit?usp=sharing"",""สบก!AF47"")"),424000.0)</f>
        <v>424000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IFERROR(__xludf.DUMMYFUNCTION("IMPORTRANGE(""https://docs.google.com/spreadsheets/d/1Yj_ptqi66GCucihVvJfMjLAmec39IyEx_6qawtMGysU/edit?usp=sharing"",""สบก!AG47"")"),0.0)</f>
        <v>0</v>
      </c>
      <c r="M74" s="125"/>
      <c r="N74" s="115">
        <f>IFERROR(__xludf.DUMMYFUNCTION("IMPORTRANGE(""https://docs.google.com/spreadsheets/d/1Yj_ptqi66GCucihVvJfMjLAmec39IyEx_6qawtMGysU/edit?usp=sharing"",""สบก!AK47"")"),0.0)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IFERROR(__xludf.DUMMYFUNCTION("IMPORTRANGE(""https://docs.google.com/spreadsheets/d/1XL5vhW3sbDhbH9Cz0tuDiY8C3ctxq1tqvaCgkFb8cCA/edit?usp=sharing"",""ยโสธร!J16"")"),0.0)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IFERROR(__xludf.DUMMYFUNCTION("IMPORTRANGE(""https://docs.google.com/spreadsheets/d/1XL5vhW3sbDhbH9Cz0tuDiY8C3ctxq1tqvaCgkFb8cCA/edit?usp=sharing"",""ยโสธร!J17"")"),1.0)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IFERROR(__xludf.DUMMYFUNCTION("IMPORTRANGE(""https://docs.google.com/spreadsheets/d/1XL5vhW3sbDhbH9Cz0tuDiY8C3ctxq1tqvaCgkFb8cCA/edit?usp=sharing"",""ยโสธร!J18"")"),0.0)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IFERROR(__xludf.DUMMYFUNCTION("IMPORTRANGE(""https://docs.google.com/spreadsheets/d/1XL5vhW3sbDhbH9Cz0tuDiY8C3ctxq1tqvaCgkFb8cCA/edit?usp=sharing"",""ยโสธร!J19"")"),1.0)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IFERROR(__xludf.DUMMYFUNCTION("IMPORTRANGE(""https://docs.google.com/spreadsheets/d/1XL5vhW3sbDhbH9Cz0tuDiY8C3ctxq1tqvaCgkFb8cCA/edit?usp=sharing"",""ยโสธร!I20"")"),1.0)</f>
        <v>1</v>
      </c>
      <c r="J80" s="235">
        <f>IFERROR(__xludf.DUMMYFUNCTION("IMPORTRANGE(""https://docs.google.com/spreadsheets/d/1XL5vhW3sbDhbH9Cz0tuDiY8C3ctxq1tqvaCgkFb8cCA/edit?usp=sharing"",""ยโสธร!J20"")"),1.0)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IFERROR(__xludf.DUMMYFUNCTION("IMPORTRANGE(""https://docs.google.com/spreadsheets/d/1XL5vhW3sbDhbH9Cz0tuDiY8C3ctxq1tqvaCgkFb8cCA/edit?usp=sharing"",""ยโสธร!I21"")"),40.0)</f>
        <v>40</v>
      </c>
      <c r="J81" s="235">
        <f>IFERROR(__xludf.DUMMYFUNCTION("IMPORTRANGE(""https://docs.google.com/spreadsheets/d/1XL5vhW3sbDhbH9Cz0tuDiY8C3ctxq1tqvaCgkFb8cCA/edit?usp=sharing"",""ยโสธร!J21"")"),40.0)</f>
        <v>40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IFERROR(__xludf.DUMMYFUNCTION("IMPORTRANGE(""https://docs.google.com/spreadsheets/d/1XL5vhW3sbDhbH9Cz0tuDiY8C3ctxq1tqvaCgkFb8cCA/edit?usp=sharing"",""ยโสธร!I22"")"),1.0)</f>
        <v>1</v>
      </c>
      <c r="J82" s="238">
        <f>IFERROR(__xludf.DUMMYFUNCTION("IMPORTRANGE(""https://docs.google.com/spreadsheets/d/1XL5vhW3sbDhbH9Cz0tuDiY8C3ctxq1tqvaCgkFb8cCA/edit?usp=sharing"",""ยโสธร!J22"")"),1.0)</f>
        <v>1</v>
      </c>
      <c r="K82" s="196">
        <f t="shared" si="51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IFERROR(__xludf.DUMMYFUNCTION("IMPORTRANGE(""https://docs.google.com/spreadsheets/d/1XL5vhW3sbDhbH9Cz0tuDiY8C3ctxq1tqvaCgkFb8cCA/edit?usp=sharing"",""ยโสธร!I23"")"),40.0)</f>
        <v>40</v>
      </c>
      <c r="J83" s="238">
        <f>IFERROR(__xludf.DUMMYFUNCTION("IMPORTRANGE(""https://docs.google.com/spreadsheets/d/1XL5vhW3sbDhbH9Cz0tuDiY8C3ctxq1tqvaCgkFb8cCA/edit?usp=sharing"",""ยโสธร!J23"")"),40.0)</f>
        <v>40</v>
      </c>
      <c r="K83" s="196">
        <f t="shared" si="51"/>
        <v>100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IFERROR(__xludf.DUMMYFUNCTION("IMPORTRANGE(""https://docs.google.com/spreadsheets/d/1XL5vhW3sbDhbH9Cz0tuDiY8C3ctxq1tqvaCgkFb8cCA/edit?usp=sharing"",""ยโสธร!I24"")"),0.0)</f>
        <v>0</v>
      </c>
      <c r="J84" s="223">
        <f>IFERROR(__xludf.DUMMYFUNCTION("IMPORTRANGE(""https://docs.google.com/spreadsheets/d/1XL5vhW3sbDhbH9Cz0tuDiY8C3ctxq1tqvaCgkFb8cCA/edit?usp=sharing"",""ยโสธร!J24"")"),0.0)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IFERROR(__xludf.DUMMYFUNCTION("IMPORTRANGE(""https://docs.google.com/spreadsheets/d/1XL5vhW3sbDhbH9Cz0tuDiY8C3ctxq1tqvaCgkFb8cCA/edit?usp=sharing"",""ยโสธร!I25"")"),0.0)</f>
        <v>0</v>
      </c>
      <c r="J85" s="223">
        <f>IFERROR(__xludf.DUMMYFUNCTION("IMPORTRANGE(""https://docs.google.com/spreadsheets/d/1XL5vhW3sbDhbH9Cz0tuDiY8C3ctxq1tqvaCgkFb8cCA/edit?usp=sharing"",""ยโสธร!J25"")"),0.0)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IFERROR(__xludf.DUMMYFUNCTION("IMPORTRANGE(""https://docs.google.com/spreadsheets/d/1XL5vhW3sbDhbH9Cz0tuDiY8C3ctxq1tqvaCgkFb8cCA/edit?usp=sharing"",""ยโสธร!I26"")"),0.0)</f>
        <v>0</v>
      </c>
      <c r="J86" s="238">
        <f>IFERROR(__xludf.DUMMYFUNCTION("IMPORTRANGE(""https://docs.google.com/spreadsheets/d/1XL5vhW3sbDhbH9Cz0tuDiY8C3ctxq1tqvaCgkFb8cCA/edit?usp=sharing"",""ยโสธร!J26"")"),0.0)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IFERROR(__xludf.DUMMYFUNCTION("IMPORTRANGE(""https://docs.google.com/spreadsheets/d/1XL5vhW3sbDhbH9Cz0tuDiY8C3ctxq1tqvaCgkFb8cCA/edit?usp=sharing"",""ยโสธร!I27"")"),0.0)</f>
        <v>0</v>
      </c>
      <c r="J87" s="238">
        <f>IFERROR(__xludf.DUMMYFUNCTION("IMPORTRANGE(""https://docs.google.com/spreadsheets/d/1XL5vhW3sbDhbH9Cz0tuDiY8C3ctxq1tqvaCgkFb8cCA/edit?usp=sharing"",""ยโสธร!J27"")"),0.0)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IFERROR(__xludf.DUMMYFUNCTION("IMPORTRANGE(""https://docs.google.com/spreadsheets/d/1XL5vhW3sbDhbH9Cz0tuDiY8C3ctxq1tqvaCgkFb8cCA/edit?usp=sharing"",""ยโสธร!I28"")"),40.0)</f>
        <v>40</v>
      </c>
      <c r="J88" s="238">
        <f>IFERROR(__xludf.DUMMYFUNCTION("IMPORTRANGE(""https://docs.google.com/spreadsheets/d/1XL5vhW3sbDhbH9Cz0tuDiY8C3ctxq1tqvaCgkFb8cCA/edit?usp=sharing"",""ยโสธร!J28"")"),0.0)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IFERROR(__xludf.DUMMYFUNCTION("IMPORTRANGE(""https://docs.google.com/spreadsheets/d/1XL5vhW3sbDhbH9Cz0tuDiY8C3ctxq1tqvaCgkFb8cCA/edit?usp=sharing"",""ยโสธร!J29"")"),0.0)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IFERROR(__xludf.DUMMYFUNCTION("IMPORTRANGE(""https://docs.google.com/spreadsheets/d/1XL5vhW3sbDhbH9Cz0tuDiY8C3ctxq1tqvaCgkFb8cCA/edit?usp=sharing"",""ยโสธร!J30"")"),0.0)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IFERROR(__xludf.DUMMYFUNCTION("IMPORTRANGE(""https://docs.google.com/spreadsheets/d/1XL5vhW3sbDhbH9Cz0tuDiY8C3ctxq1tqvaCgkFb8cCA/edit?usp=sharing"",""ยโสธร!I32"")"),4.0)</f>
        <v>4</v>
      </c>
      <c r="J92" s="172">
        <f>IFERROR(__xludf.DUMMYFUNCTION("IMPORTRANGE(""https://docs.google.com/spreadsheets/d/1XL5vhW3sbDhbH9Cz0tuDiY8C3ctxq1tqvaCgkFb8cCA/edit?usp=sharing"",""ยโสธร!J32"")"),4.0)</f>
        <v>4</v>
      </c>
      <c r="K92" s="173">
        <f t="shared" ref="K92:K93" si="52">IF(I92&gt;0,J92*100/I92,0)</f>
        <v>100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IFERROR(__xludf.DUMMYFUNCTION("IMPORTRANGE(""https://docs.google.com/spreadsheets/d/1XL5vhW3sbDhbH9Cz0tuDiY8C3ctxq1tqvaCgkFb8cCA/edit?usp=sharing"",""ยโสธร!I33"")"),1.0)</f>
        <v>1</v>
      </c>
      <c r="J93" s="172">
        <f>IFERROR(__xludf.DUMMYFUNCTION("IMPORTRANGE(""https://docs.google.com/spreadsheets/d/1XL5vhW3sbDhbH9Cz0tuDiY8C3ctxq1tqvaCgkFb8cCA/edit?usp=sharing"",""ยโสธร!J33"")"),1.0)</f>
        <v>1</v>
      </c>
      <c r="K93" s="173">
        <f t="shared" si="52"/>
        <v>100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118800</v>
      </c>
      <c r="O94" s="182">
        <f t="shared" ref="O94:O96" si="55">IF(L94&gt;0,N94*100/L94,0)</f>
        <v>55.38461538</v>
      </c>
      <c r="P94" s="182">
        <f t="shared" ref="P94:P96" si="56">IF(M94&gt;0,N94*100/M94,0)</f>
        <v>172.8502837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118800</v>
      </c>
      <c r="O96" s="187">
        <f t="shared" si="55"/>
        <v>55.38461538</v>
      </c>
      <c r="P96" s="187">
        <f t="shared" si="56"/>
        <v>172.8502837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IFERROR(__xludf.DUMMYFUNCTION("IMPORTRANGE(""https://docs.google.com/spreadsheets/d/1Yj_ptqi66GCucihVvJfMjLAmec39IyEx_6qawtMGysU/edit?usp=sharing"",""สบก!AR47"")"),68730.0)</f>
        <v>68730</v>
      </c>
      <c r="N98" s="202">
        <f>IFERROR(__xludf.DUMMYFUNCTION("IMPORTRANGE(""https://docs.google.com/spreadsheets/d/1Yj_ptqi66GCucihVvJfMjLAmec39IyEx_6qawtMGysU/edit?usp=sharing"",""สบก!AS47"")"),26400.0)</f>
        <v>26400</v>
      </c>
      <c r="O98" s="203">
        <f>IF(L98&gt;0,N98*100/L98,0)</f>
        <v>21.62162162</v>
      </c>
      <c r="P98" s="203">
        <f>IF(M98&gt;0,N98*100/M98,0)</f>
        <v>38.41117416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IFERROR(__xludf.DUMMYFUNCTION("IMPORTRANGE(""https://docs.google.com/spreadsheets/d/1Yj_ptqi66GCucihVvJfMjLAmec39IyEx_6qawtMGysU/edit?usp=sharing"",""สบก!AN47"")"),0.0)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IFERROR(__xludf.DUMMYFUNCTION("IMPORTRANGE(""https://docs.google.com/spreadsheets/d/1Yj_ptqi66GCucihVvJfMjLAmec39IyEx_6qawtMGysU/edit?usp=sharing"",""สบก!AO47"")"),122100.0)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IFERROR(__xludf.DUMMYFUNCTION("IMPORTRANGE(""https://docs.google.com/spreadsheets/d/1Yj_ptqi66GCucihVvJfMjLAmec39IyEx_6qawtMGysU/edit?usp=sharing"",""สบก!AP47"")"),92400.0)</f>
        <v>92400</v>
      </c>
      <c r="M102" s="125"/>
      <c r="N102" s="115">
        <f>IFERROR(__xludf.DUMMYFUNCTION("IMPORTRANGE(""https://docs.google.com/spreadsheets/d/1Yj_ptqi66GCucihVvJfMjLAmec39IyEx_6qawtMGysU/edit?usp=sharing"",""สบก!AT47"")"),92400.0)</f>
        <v>92400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IFERROR(__xludf.DUMMYFUNCTION("IMPORTRANGE(""https://docs.google.com/spreadsheets/d/1XL5vhW3sbDhbH9Cz0tuDiY8C3ctxq1tqvaCgkFb8cCA/edit?usp=sharing"",""ยโสธร!J39"")"),0.0)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IFERROR(__xludf.DUMMYFUNCTION("IMPORTRANGE(""https://docs.google.com/spreadsheets/d/1XL5vhW3sbDhbH9Cz0tuDiY8C3ctxq1tqvaCgkFb8cCA/edit?usp=sharing"",""ยโสธร!J40"")"),1.0)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IFERROR(__xludf.DUMMYFUNCTION("IMPORTRANGE(""https://docs.google.com/spreadsheets/d/1XL5vhW3sbDhbH9Cz0tuDiY8C3ctxq1tqvaCgkFb8cCA/edit?usp=sharing"",""ยโสธร!J41"")"),0.0)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IFERROR(__xludf.DUMMYFUNCTION("IMPORTRANGE(""https://docs.google.com/spreadsheets/d/1XL5vhW3sbDhbH9Cz0tuDiY8C3ctxq1tqvaCgkFb8cCA/edit?usp=sharing"",""ยโสธร!J42"")"),1.0)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IFERROR(__xludf.DUMMYFUNCTION("IMPORTRANGE(""https://docs.google.com/spreadsheets/d/1XL5vhW3sbDhbH9Cz0tuDiY8C3ctxq1tqvaCgkFb8cCA/edit?usp=sharing"",""ยโสธร!I43"")"),1.0)</f>
        <v>1</v>
      </c>
      <c r="J108" s="238">
        <f>IFERROR(__xludf.DUMMYFUNCTION("IMPORTRANGE(""https://docs.google.com/spreadsheets/d/1XL5vhW3sbDhbH9Cz0tuDiY8C3ctxq1tqvaCgkFb8cCA/edit?usp=sharing"",""ยโสธร!J43"")"),1.0)</f>
        <v>1</v>
      </c>
      <c r="K108" s="258">
        <f t="shared" ref="K108:K113" si="58">IF(I108&gt;0,J108*100/I108,0)</f>
        <v>100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IFERROR(__xludf.DUMMYFUNCTION("IMPORTRANGE(""https://docs.google.com/spreadsheets/d/1XL5vhW3sbDhbH9Cz0tuDiY8C3ctxq1tqvaCgkFb8cCA/edit?usp=sharing"",""ยโสธร!I44"")"),4.0)</f>
        <v>4</v>
      </c>
      <c r="J109" s="238">
        <f>IFERROR(__xludf.DUMMYFUNCTION("IMPORTRANGE(""https://docs.google.com/spreadsheets/d/1XL5vhW3sbDhbH9Cz0tuDiY8C3ctxq1tqvaCgkFb8cCA/edit?usp=sharing"",""ยโสธร!J44"")"),4.0)</f>
        <v>4</v>
      </c>
      <c r="K109" s="258">
        <f t="shared" si="58"/>
        <v>100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IFERROR(__xludf.DUMMYFUNCTION("IMPORTRANGE(""https://docs.google.com/spreadsheets/d/1XL5vhW3sbDhbH9Cz0tuDiY8C3ctxq1tqvaCgkFb8cCA/edit?usp=sharing"",""ยโสธร!I45"")"),4.0)</f>
        <v>4</v>
      </c>
      <c r="J110" s="238">
        <f>IFERROR(__xludf.DUMMYFUNCTION("IMPORTRANGE(""https://docs.google.com/spreadsheets/d/1XL5vhW3sbDhbH9Cz0tuDiY8C3ctxq1tqvaCgkFb8cCA/edit?usp=sharing"",""ยโสธร!J45"")"),4.0)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IFERROR(__xludf.DUMMYFUNCTION("IMPORTRANGE(""https://docs.google.com/spreadsheets/d/1XL5vhW3sbDhbH9Cz0tuDiY8C3ctxq1tqvaCgkFb8cCA/edit?usp=sharing"",""ยโสธร!I46"")"),4.0)</f>
        <v>4</v>
      </c>
      <c r="J111" s="238">
        <f>IFERROR(__xludf.DUMMYFUNCTION("IMPORTRANGE(""https://docs.google.com/spreadsheets/d/1XL5vhW3sbDhbH9Cz0tuDiY8C3ctxq1tqvaCgkFb8cCA/edit?usp=sharing"",""ยโสธร!J46"")"),4.0)</f>
        <v>4</v>
      </c>
      <c r="K111" s="258">
        <f t="shared" si="58"/>
        <v>100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IFERROR(__xludf.DUMMYFUNCTION("IMPORTRANGE(""https://docs.google.com/spreadsheets/d/1XL5vhW3sbDhbH9Cz0tuDiY8C3ctxq1tqvaCgkFb8cCA/edit?usp=sharing"",""ยโสธร!I47"")"),4.0)</f>
        <v>4</v>
      </c>
      <c r="J112" s="238">
        <f>IFERROR(__xludf.DUMMYFUNCTION("IMPORTRANGE(""https://docs.google.com/spreadsheets/d/1XL5vhW3sbDhbH9Cz0tuDiY8C3ctxq1tqvaCgkFb8cCA/edit?usp=sharing"",""ยโสธร!J47"")"),0.0)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IFERROR(__xludf.DUMMYFUNCTION("IMPORTRANGE(""https://docs.google.com/spreadsheets/d/1XL5vhW3sbDhbH9Cz0tuDiY8C3ctxq1tqvaCgkFb8cCA/edit?usp=sharing"",""ยโสธร!I48"")"),1.0)</f>
        <v>1</v>
      </c>
      <c r="J113" s="238">
        <f>IFERROR(__xludf.DUMMYFUNCTION("IMPORTRANGE(""https://docs.google.com/spreadsheets/d/1XL5vhW3sbDhbH9Cz0tuDiY8C3ctxq1tqvaCgkFb8cCA/edit?usp=sharing"",""ยโสธร!J48"")"),1.0)</f>
        <v>1</v>
      </c>
      <c r="K113" s="258">
        <f t="shared" si="58"/>
        <v>100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IFERROR(__xludf.DUMMYFUNCTION("IMPORTRANGE(""https://docs.google.com/spreadsheets/d/1XL5vhW3sbDhbH9Cz0tuDiY8C3ctxq1tqvaCgkFb8cCA/edit?usp=sharing"",""ยโสธร!J49"")"),0.0)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IFERROR(__xludf.DUMMYFUNCTION("IMPORTRANGE(""https://docs.google.com/spreadsheets/d/1XL5vhW3sbDhbH9Cz0tuDiY8C3ctxq1tqvaCgkFb8cCA/edit?usp=sharing"",""ยโสธร!J50"")"),0.0)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IFERROR(__xludf.DUMMYFUNCTION("IMPORTRANGE(""https://docs.google.com/spreadsheets/d/1XL5vhW3sbDhbH9Cz0tuDiY8C3ctxq1tqvaCgkFb8cCA/edit?usp=sharing"",""ยโสธร!I52"")"),20.0)</f>
        <v>20</v>
      </c>
      <c r="J117" s="172">
        <f>IFERROR(__xludf.DUMMYFUNCTION("IMPORTRANGE(""https://docs.google.com/spreadsheets/d/1XL5vhW3sbDhbH9Cz0tuDiY8C3ctxq1tqvaCgkFb8cCA/edit?usp=sharing"",""ยโสธร!J52"")"),20.0)</f>
        <v>20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82440</v>
      </c>
      <c r="M118" s="183">
        <f t="shared" si="59"/>
        <v>66440</v>
      </c>
      <c r="N118" s="183">
        <f t="shared" si="59"/>
        <v>25880</v>
      </c>
      <c r="O118" s="182">
        <f t="shared" ref="O118:O120" si="61">IF(L118&gt;0,N118*100/L118,0)</f>
        <v>31.3925279</v>
      </c>
      <c r="P118" s="182">
        <f t="shared" ref="P118:P120" si="62">IF(M118&gt;0,N118*100/M118,0)</f>
        <v>38.95243829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82440</v>
      </c>
      <c r="M120" s="188">
        <f t="shared" si="63"/>
        <v>66440</v>
      </c>
      <c r="N120" s="188">
        <f t="shared" si="63"/>
        <v>25880</v>
      </c>
      <c r="O120" s="187">
        <f t="shared" si="61"/>
        <v>31.3925279</v>
      </c>
      <c r="P120" s="187">
        <f t="shared" si="62"/>
        <v>38.95243829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82440</v>
      </c>
      <c r="M122" s="201">
        <f>IFERROR(__xludf.DUMMYFUNCTION("IMPORTRANGE(""https://docs.google.com/spreadsheets/d/1Yj_ptqi66GCucihVvJfMjLAmec39IyEx_6qawtMGysU/edit?usp=sharing"",""สบก!BA47"")"),66440.0)</f>
        <v>66440</v>
      </c>
      <c r="N122" s="202">
        <f>IFERROR(__xludf.DUMMYFUNCTION("IMPORTRANGE(""https://docs.google.com/spreadsheets/d/1Yj_ptqi66GCucihVvJfMjLAmec39IyEx_6qawtMGysU/edit?usp=sharing"",""สบก!BB47"")"),25880.0)</f>
        <v>25880</v>
      </c>
      <c r="O122" s="203">
        <f>IF(L122&gt;0,N122*100/L122,0)</f>
        <v>31.3925279</v>
      </c>
      <c r="P122" s="203">
        <f>IF(M122&gt;0,N122*100/M122,0)</f>
        <v>38.95243829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IFERROR(__xludf.DUMMYFUNCTION("IMPORTRANGE(""https://docs.google.com/spreadsheets/d/1Yj_ptqi66GCucihVvJfMjLAmec39IyEx_6qawtMGysU/edit?usp=sharing"",""สบก!AW47"")"),0.0)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IFERROR(__xludf.DUMMYFUNCTION("IMPORTRANGE(""https://docs.google.com/spreadsheets/d/1Yj_ptqi66GCucihVvJfMjLAmec39IyEx_6qawtMGysU/edit?usp=sharing"",""สบก!AX47"")"),82440.0)</f>
        <v>82440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IFERROR(__xludf.DUMMYFUNCTION("IMPORTRANGE(""https://docs.google.com/spreadsheets/d/1Yj_ptqi66GCucihVvJfMjLAmec39IyEx_6qawtMGysU/edit?usp=sharing"",""สบก!AY47"")"),0.0)</f>
        <v>0</v>
      </c>
      <c r="M126" s="125"/>
      <c r="N126" s="115">
        <f>IFERROR(__xludf.DUMMYFUNCTION("IMPORTRANGE(""https://docs.google.com/spreadsheets/d/1Yj_ptqi66GCucihVvJfMjLAmec39IyEx_6qawtMGysU/edit?usp=sharing"",""สบก!BC47"")"),0.0)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258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IFERROR(__xludf.DUMMYFUNCTION("IMPORTRANGE(""https://docs.google.com/spreadsheets/d/1XL5vhW3sbDhbH9Cz0tuDiY8C3ctxq1tqvaCgkFb8cCA/edit?usp=sharing"",""ยโสธร!J58"")"),0.0)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IFERROR(__xludf.DUMMYFUNCTION("IMPORTRANGE(""https://docs.google.com/spreadsheets/d/1XL5vhW3sbDhbH9Cz0tuDiY8C3ctxq1tqvaCgkFb8cCA/edit?usp=sharing"",""ยโสธร!J59"")"),1.0)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IFERROR(__xludf.DUMMYFUNCTION("IMPORTRANGE(""https://docs.google.com/spreadsheets/d/1XL5vhW3sbDhbH9Cz0tuDiY8C3ctxq1tqvaCgkFb8cCA/edit?usp=sharing"",""ยโสธร!J60"")"),0.0)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IFERROR(__xludf.DUMMYFUNCTION("IMPORTRANGE(""https://docs.google.com/spreadsheets/d/1XL5vhW3sbDhbH9Cz0tuDiY8C3ctxq1tqvaCgkFb8cCA/edit?usp=sharing"",""ยโสธร!J61"")"),0.0)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IFERROR(__xludf.DUMMYFUNCTION("IMPORTRANGE(""https://docs.google.com/spreadsheets/d/1XL5vhW3sbDhbH9Cz0tuDiY8C3ctxq1tqvaCgkFb8cCA/edit?usp=sharing"",""ยโสธร!I62"")"),20.0)</f>
        <v>20</v>
      </c>
      <c r="J132" s="238">
        <f>IFERROR(__xludf.DUMMYFUNCTION("IMPORTRANGE(""https://docs.google.com/spreadsheets/d/1XL5vhW3sbDhbH9Cz0tuDiY8C3ctxq1tqvaCgkFb8cCA/edit?usp=sharing"",""ยโสธร!J62"")"),20.0)</f>
        <v>20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IFERROR(__xludf.DUMMYFUNCTION("IMPORTRANGE(""https://docs.google.com/spreadsheets/d/1XL5vhW3sbDhbH9Cz0tuDiY8C3ctxq1tqvaCgkFb8cCA/edit?usp=sharing"",""ยโสธร!I63"")"),20.0)</f>
        <v>20</v>
      </c>
      <c r="J133" s="238">
        <f>IFERROR(__xludf.DUMMYFUNCTION("IMPORTRANGE(""https://docs.google.com/spreadsheets/d/1XL5vhW3sbDhbH9Cz0tuDiY8C3ctxq1tqvaCgkFb8cCA/edit?usp=sharing"",""ยโสธร!J63"")"),0.0)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IFERROR(__xludf.DUMMYFUNCTION("IMPORTRANGE(""https://docs.google.com/spreadsheets/d/1XL5vhW3sbDhbH9Cz0tuDiY8C3ctxq1tqvaCgkFb8cCA/edit?usp=sharing"",""ยโสธร!J64"")"),0.0)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IFERROR(__xludf.DUMMYFUNCTION("IMPORTRANGE(""https://docs.google.com/spreadsheets/d/1XL5vhW3sbDhbH9Cz0tuDiY8C3ctxq1tqvaCgkFb8cCA/edit?usp=sharing"",""ยโสธร!J65"")"),0.0)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IFERROR(__xludf.DUMMYFUNCTION("IMPORTRANGE(""https://docs.google.com/spreadsheets/d/1XL5vhW3sbDhbH9Cz0tuDiY8C3ctxq1tqvaCgkFb8cCA/edit?usp=sharing"",""ยโสธร!I68"")"),0.0)</f>
        <v>0</v>
      </c>
      <c r="J138" s="301">
        <f>IFERROR(__xludf.DUMMYFUNCTION("IMPORTRANGE(""https://docs.google.com/spreadsheets/d/1XL5vhW3sbDhbH9Cz0tuDiY8C3ctxq1tqvaCgkFb8cCA/edit?usp=sharing"",""ยโสธร!J68"")"),0.0)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79000</v>
      </c>
      <c r="M140" s="183">
        <f t="shared" si="65"/>
        <v>55750</v>
      </c>
      <c r="N140" s="183">
        <f t="shared" si="65"/>
        <v>47480</v>
      </c>
      <c r="O140" s="182">
        <f t="shared" ref="O140:O142" si="67">IF(L140&gt;0,N140*100/L140,0)</f>
        <v>60.10126582</v>
      </c>
      <c r="P140" s="182">
        <f t="shared" ref="P140:P142" si="68">IF(M140&gt;0,N140*100/M140,0)</f>
        <v>85.16591928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79000</v>
      </c>
      <c r="M142" s="188">
        <f t="shared" si="69"/>
        <v>55750</v>
      </c>
      <c r="N142" s="188">
        <f t="shared" si="69"/>
        <v>47480</v>
      </c>
      <c r="O142" s="187">
        <f t="shared" si="67"/>
        <v>60.10126582</v>
      </c>
      <c r="P142" s="187">
        <f t="shared" si="68"/>
        <v>85.16591928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79000</v>
      </c>
      <c r="M144" s="201">
        <f>IFERROR(__xludf.DUMMYFUNCTION("IMPORTRANGE(""https://docs.google.com/spreadsheets/d/1Yj_ptqi66GCucihVvJfMjLAmec39IyEx_6qawtMGysU/edit?usp=sharing"",""สบก!BJ47"")"),55750.0)</f>
        <v>55750</v>
      </c>
      <c r="N144" s="202">
        <f>IFERROR(__xludf.DUMMYFUNCTION("IMPORTRANGE(""https://docs.google.com/spreadsheets/d/1Yj_ptqi66GCucihVvJfMjLAmec39IyEx_6qawtMGysU/edit?usp=sharing"",""สบก!BK47"")"),47480.0)</f>
        <v>47480</v>
      </c>
      <c r="O144" s="203">
        <f>IF(L144&gt;0,N144*100/L144,0)</f>
        <v>60.10126582</v>
      </c>
      <c r="P144" s="203">
        <f>IF(M144&gt;0,N144*100/M144,0)</f>
        <v>85.16591928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IFERROR(__xludf.DUMMYFUNCTION("IMPORTRANGE(""https://docs.google.com/spreadsheets/d/1Yj_ptqi66GCucihVvJfMjLAmec39IyEx_6qawtMGysU/edit?usp=sharing"",""สบก!BF47"")"),0.0)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IFERROR(__xludf.DUMMYFUNCTION("IMPORTRANGE(""https://docs.google.com/spreadsheets/d/1Yj_ptqi66GCucihVvJfMjLAmec39IyEx_6qawtMGysU/edit?usp=sharing"",""สบก!BG47"")"),79000.0)</f>
        <v>79000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IFERROR(__xludf.DUMMYFUNCTION("IMPORTRANGE(""https://docs.google.com/spreadsheets/d/1Yj_ptqi66GCucihVvJfMjLAmec39IyEx_6qawtMGysU/edit?usp=sharing"",""สบก!BH47"")"),0.0)</f>
        <v>0</v>
      </c>
      <c r="M148" s="125"/>
      <c r="N148" s="115">
        <f>IFERROR(__xludf.DUMMYFUNCTION("IMPORTRANGE(""https://docs.google.com/spreadsheets/d/1Yj_ptqi66GCucihVvJfMjLAmec39IyEx_6qawtMGysU/edit?usp=sharing"",""สบก!BL47"")"),0.0)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IFERROR(__xludf.DUMMYFUNCTION("IMPORTRANGE(""https://docs.google.com/spreadsheets/d/1XL5vhW3sbDhbH9Cz0tuDiY8C3ctxq1tqvaCgkFb8cCA/edit?usp=sharing"",""ยโสธร!I74"")"),4.0)</f>
        <v>4</v>
      </c>
      <c r="J149" s="309">
        <f>IFERROR(__xludf.DUMMYFUNCTION("IMPORTRANGE(""https://docs.google.com/spreadsheets/d/1XL5vhW3sbDhbH9Cz0tuDiY8C3ctxq1tqvaCgkFb8cCA/edit?usp=sharing"",""ยโสธร!J74"")"),1.0)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IFERROR(__xludf.DUMMYFUNCTION("IMPORTRANGE(""https://docs.google.com/spreadsheets/d/1XL5vhW3sbDhbH9Cz0tuDiY8C3ctxq1tqvaCgkFb8cCA/edit?usp=sharing"",""ยโสธร!J79"")"),0.0)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IFERROR(__xludf.DUMMYFUNCTION("IMPORTRANGE(""https://docs.google.com/spreadsheets/d/1XL5vhW3sbDhbH9Cz0tuDiY8C3ctxq1tqvaCgkFb8cCA/edit?usp=sharing"",""ยโสธร!J80"")"),1.0)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IFERROR(__xludf.DUMMYFUNCTION("IMPORTRANGE(""https://docs.google.com/spreadsheets/d/1XL5vhW3sbDhbH9Cz0tuDiY8C3ctxq1tqvaCgkFb8cCA/edit?usp=sharing"",""ยโสธร!J81"")"),1.0)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IFERROR(__xludf.DUMMYFUNCTION("IMPORTRANGE(""https://docs.google.com/spreadsheets/d/1XL5vhW3sbDhbH9Cz0tuDiY8C3ctxq1tqvaCgkFb8cCA/edit?usp=sharing"",""ยโสธร!J82"")"),0.0)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IFERROR(__xludf.DUMMYFUNCTION("IMPORTRANGE(""https://docs.google.com/spreadsheets/d/1XL5vhW3sbDhbH9Cz0tuDiY8C3ctxq1tqvaCgkFb8cCA/edit?usp=sharing"",""ยโสธร!I83"")"),4.0)</f>
        <v>4</v>
      </c>
      <c r="J158" s="223">
        <f>IFERROR(__xludf.DUMMYFUNCTION("IMPORTRANGE(""https://docs.google.com/spreadsheets/d/1XL5vhW3sbDhbH9Cz0tuDiY8C3ctxq1tqvaCgkFb8cCA/edit?usp=sharing"",""ยโสธร!J83"")"),1.0)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IFERROR(__xludf.DUMMYFUNCTION("IMPORTRANGE(""https://docs.google.com/spreadsheets/d/1XL5vhW3sbDhbH9Cz0tuDiY8C3ctxq1tqvaCgkFb8cCA/edit?usp=sharing"",""ยโสธร!J84"")"),20.0)</f>
        <v>20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IFERROR(__xludf.DUMMYFUNCTION("IMPORTRANGE(""https://docs.google.com/spreadsheets/d/1XL5vhW3sbDhbH9Cz0tuDiY8C3ctxq1tqvaCgkFb8cCA/edit?usp=sharing"",""ยโสธร!J85"")"),20.0)</f>
        <v>20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IFERROR(__xludf.DUMMYFUNCTION("IMPORTRANGE(""https://docs.google.com/spreadsheets/d/1XL5vhW3sbDhbH9Cz0tuDiY8C3ctxq1tqvaCgkFb8cCA/edit?usp=sharing"",""ยโสธร!J86"")"),0.0)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IFERROR(__xludf.DUMMYFUNCTION("IMPORTRANGE(""https://docs.google.com/spreadsheets/d/1XL5vhW3sbDhbH9Cz0tuDiY8C3ctxq1tqvaCgkFb8cCA/edit?usp=sharing"",""ยโสธร!J87"")"),0.0)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IFERROR(__xludf.DUMMYFUNCTION("IMPORTRANGE(""https://docs.google.com/spreadsheets/d/1XL5vhW3sbDhbH9Cz0tuDiY8C3ctxq1tqvaCgkFb8cCA/edit?usp=sharing"",""ยโสธร!J88"")"),0.0)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IFERROR(__xludf.DUMMYFUNCTION("IMPORTRANGE(""https://docs.google.com/spreadsheets/d/1XL5vhW3sbDhbH9Cz0tuDiY8C3ctxq1tqvaCgkFb8cCA/edit?usp=sharing"",""ยโสธร!I89"")"),3.0)</f>
        <v>3</v>
      </c>
      <c r="J164" s="317">
        <f>IFERROR(__xludf.DUMMYFUNCTION("IMPORTRANGE(""https://docs.google.com/spreadsheets/d/1XL5vhW3sbDhbH9Cz0tuDiY8C3ctxq1tqvaCgkFb8cCA/edit?usp=sharing"",""ยโสธร!J89"")"),3.0)</f>
        <v>3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IFERROR(__xludf.DUMMYFUNCTION("IMPORTRANGE(""https://docs.google.com/spreadsheets/d/1XL5vhW3sbDhbH9Cz0tuDiY8C3ctxq1tqvaCgkFb8cCA/edit?usp=sharing"",""ยโสธร!J94"")"),0.0)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IFERROR(__xludf.DUMMYFUNCTION("IMPORTRANGE(""https://docs.google.com/spreadsheets/d/1XL5vhW3sbDhbH9Cz0tuDiY8C3ctxq1tqvaCgkFb8cCA/edit?usp=sharing"",""ยโสธร!J95"")"),1.0)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IFERROR(__xludf.DUMMYFUNCTION("IMPORTRANGE(""https://docs.google.com/spreadsheets/d/1XL5vhW3sbDhbH9Cz0tuDiY8C3ctxq1tqvaCgkFb8cCA/edit?usp=sharing"",""ยโสธร!J96"")"),1.0)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IFERROR(__xludf.DUMMYFUNCTION("IMPORTRANGE(""https://docs.google.com/spreadsheets/d/1XL5vhW3sbDhbH9Cz0tuDiY8C3ctxq1tqvaCgkFb8cCA/edit?usp=sharing"",""ยโสธร!J97"")"),1.0)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IFERROR(__xludf.DUMMYFUNCTION("IMPORTRANGE(""https://docs.google.com/spreadsheets/d/1XL5vhW3sbDhbH9Cz0tuDiY8C3ctxq1tqvaCgkFb8cCA/edit?usp=sharing"",""ยโสธร!I98"")"),3.0)</f>
        <v>3</v>
      </c>
      <c r="J173" s="223">
        <f>IFERROR(__xludf.DUMMYFUNCTION("IMPORTRANGE(""https://docs.google.com/spreadsheets/d/1XL5vhW3sbDhbH9Cz0tuDiY8C3ctxq1tqvaCgkFb8cCA/edit?usp=sharing"",""ยโสธร!J98"")"),3.0)</f>
        <v>3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IFERROR(__xludf.DUMMYFUNCTION("IMPORTRANGE(""https://docs.google.com/spreadsheets/d/1XL5vhW3sbDhbH9Cz0tuDiY8C3ctxq1tqvaCgkFb8cCA/edit?usp=sharing"",""ยโสธร!J99"")"),0.0)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IFERROR(__xludf.DUMMYFUNCTION("IMPORTRANGE(""https://docs.google.com/spreadsheets/d/1XL5vhW3sbDhbH9Cz0tuDiY8C3ctxq1tqvaCgkFb8cCA/edit?usp=sharing"",""ยโสธร!J100"")"),0.0)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IFERROR(__xludf.DUMMYFUNCTION("IMPORTRANGE(""https://docs.google.com/spreadsheets/d/1XL5vhW3sbDhbH9Cz0tuDiY8C3ctxq1tqvaCgkFb8cCA/edit?usp=sharing"",""ยโสธร!I101"")"),1.0)</f>
        <v>1</v>
      </c>
      <c r="J176" s="317">
        <f>IFERROR(__xludf.DUMMYFUNCTION("IMPORTRANGE(""https://docs.google.com/spreadsheets/d/1XL5vhW3sbDhbH9Cz0tuDiY8C3ctxq1tqvaCgkFb8cCA/edit?usp=sharing"",""ยโสธร!J101"")"),1.0)</f>
        <v>1</v>
      </c>
      <c r="K176" s="318">
        <f>IF(I176&gt;0,J176*100/I176,0)</f>
        <v>100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IFERROR(__xludf.DUMMYFUNCTION("IMPORTRANGE(""https://docs.google.com/spreadsheets/d/1XL5vhW3sbDhbH9Cz0tuDiY8C3ctxq1tqvaCgkFb8cCA/edit?usp=sharing"",""ยโสธร!J106"")"),0.0)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IFERROR(__xludf.DUMMYFUNCTION("IMPORTRANGE(""https://docs.google.com/spreadsheets/d/1XL5vhW3sbDhbH9Cz0tuDiY8C3ctxq1tqvaCgkFb8cCA/edit?usp=sharing"",""ยโสธร!J107"")"),1.0)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IFERROR(__xludf.DUMMYFUNCTION("IMPORTRANGE(""https://docs.google.com/spreadsheets/d/1XL5vhW3sbDhbH9Cz0tuDiY8C3ctxq1tqvaCgkFb8cCA/edit?usp=sharing"",""ยโสธร!J108"")"),1.0)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IFERROR(__xludf.DUMMYFUNCTION("IMPORTRANGE(""https://docs.google.com/spreadsheets/d/1XL5vhW3sbDhbH9Cz0tuDiY8C3ctxq1tqvaCgkFb8cCA/edit?usp=sharing"",""ยโสธร!J109"")"),1.0)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IFERROR(__xludf.DUMMYFUNCTION("IMPORTRANGE(""https://docs.google.com/spreadsheets/d/1XL5vhW3sbDhbH9Cz0tuDiY8C3ctxq1tqvaCgkFb8cCA/edit?usp=sharing"",""ยโสธร!I110"")"),1.0)</f>
        <v>1</v>
      </c>
      <c r="J185" s="238">
        <f>IFERROR(__xludf.DUMMYFUNCTION("IMPORTRANGE(""https://docs.google.com/spreadsheets/d/1XL5vhW3sbDhbH9Cz0tuDiY8C3ctxq1tqvaCgkFb8cCA/edit?usp=sharing"",""ยโสธร!J110"")"),0.0)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IFERROR(__xludf.DUMMYFUNCTION("IMPORTRANGE(""https://docs.google.com/spreadsheets/d/1XL5vhW3sbDhbH9Cz0tuDiY8C3ctxq1tqvaCgkFb8cCA/edit?usp=sharing"",""ยโสธร!I111"")"),1.0)</f>
        <v>1</v>
      </c>
      <c r="J186" s="238">
        <f>IFERROR(__xludf.DUMMYFUNCTION("IMPORTRANGE(""https://docs.google.com/spreadsheets/d/1XL5vhW3sbDhbH9Cz0tuDiY8C3ctxq1tqvaCgkFb8cCA/edit?usp=sharing"",""ยโสธร!J111"")"),1.0)</f>
        <v>1</v>
      </c>
      <c r="K186" s="258">
        <f t="shared" si="70"/>
        <v>100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IFERROR(__xludf.DUMMYFUNCTION("IMPORTRANGE(""https://docs.google.com/spreadsheets/d/1XL5vhW3sbDhbH9Cz0tuDiY8C3ctxq1tqvaCgkFb8cCA/edit?usp=sharing"",""ยโสธร!J112"")"),0.0)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IFERROR(__xludf.DUMMYFUNCTION("IMPORTRANGE(""https://docs.google.com/spreadsheets/d/1XL5vhW3sbDhbH9Cz0tuDiY8C3ctxq1tqvaCgkFb8cCA/edit?usp=sharing"",""ยโสธร!J113"")"),0.0)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IFERROR(__xludf.DUMMYFUNCTION("IMPORTRANGE(""https://docs.google.com/spreadsheets/d/1XL5vhW3sbDhbH9Cz0tuDiY8C3ctxq1tqvaCgkFb8cCA/edit?usp=sharing"",""ยโสธร!I114"")"),30000.0)</f>
        <v>30000</v>
      </c>
      <c r="J189" s="317">
        <f>IFERROR(__xludf.DUMMYFUNCTION("IMPORTRANGE(""https://docs.google.com/spreadsheets/d/1XL5vhW3sbDhbH9Cz0tuDiY8C3ctxq1tqvaCgkFb8cCA/edit?usp=sharing"",""ยโสธร!J114"")"),0.0)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IFERROR(__xludf.DUMMYFUNCTION("IMPORTRANGE(""https://docs.google.com/spreadsheets/d/1XL5vhW3sbDhbH9Cz0tuDiY8C3ctxq1tqvaCgkFb8cCA/edit?usp=sharing"",""ยโสธร!J119"")"),1.0)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IFERROR(__xludf.DUMMYFUNCTION("IMPORTRANGE(""https://docs.google.com/spreadsheets/d/1XL5vhW3sbDhbH9Cz0tuDiY8C3ctxq1tqvaCgkFb8cCA/edit?usp=sharing"",""ยโสธร!J120"")"),0.0)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IFERROR(__xludf.DUMMYFUNCTION("IMPORTRANGE(""https://docs.google.com/spreadsheets/d/1XL5vhW3sbDhbH9Cz0tuDiY8C3ctxq1tqvaCgkFb8cCA/edit?usp=sharing"",""ยโสธร!J121"")"),0.0)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IFERROR(__xludf.DUMMYFUNCTION("IMPORTRANGE(""https://docs.google.com/spreadsheets/d/1XL5vhW3sbDhbH9Cz0tuDiY8C3ctxq1tqvaCgkFb8cCA/edit?usp=sharing"",""ยโสธร!J122"")"),0.0)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IFERROR(__xludf.DUMMYFUNCTION("IMPORTRANGE(""https://docs.google.com/spreadsheets/d/1XL5vhW3sbDhbH9Cz0tuDiY8C3ctxq1tqvaCgkFb8cCA/edit?usp=sharing"",""ยโสธร!I124"")"),30000.0)</f>
        <v>30000</v>
      </c>
      <c r="J199" s="223">
        <f>IFERROR(__xludf.DUMMYFUNCTION("IMPORTRANGE(""https://docs.google.com/spreadsheets/d/1XL5vhW3sbDhbH9Cz0tuDiY8C3ctxq1tqvaCgkFb8cCA/edit?usp=sharing"",""ยโสธร!J124"")"),0.0)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IFERROR(__xludf.DUMMYFUNCTION("IMPORTRANGE(""https://docs.google.com/spreadsheets/d/1XL5vhW3sbDhbH9Cz0tuDiY8C3ctxq1tqvaCgkFb8cCA/edit?usp=sharing"",""ยโสธร!I125"")"),30000.0)</f>
        <v>30000</v>
      </c>
      <c r="J200" s="223">
        <f>IFERROR(__xludf.DUMMYFUNCTION("IMPORTRANGE(""https://docs.google.com/spreadsheets/d/1XL5vhW3sbDhbH9Cz0tuDiY8C3ctxq1tqvaCgkFb8cCA/edit?usp=sharing"",""ยโสธร!J125"")"),0.0)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IFERROR(__xludf.DUMMYFUNCTION("IMPORTRANGE(""https://docs.google.com/spreadsheets/d/1XL5vhW3sbDhbH9Cz0tuDiY8C3ctxq1tqvaCgkFb8cCA/edit?usp=sharing"",""ยโสธร!I126"")"),0.0)</f>
        <v>0</v>
      </c>
      <c r="J201" s="223">
        <f>IFERROR(__xludf.DUMMYFUNCTION("IMPORTRANGE(""https://docs.google.com/spreadsheets/d/1XL5vhW3sbDhbH9Cz0tuDiY8C3ctxq1tqvaCgkFb8cCA/edit?usp=sharing"",""ยโสธร!J126"")"),0.0)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IFERROR(__xludf.DUMMYFUNCTION("IMPORTRANGE(""https://docs.google.com/spreadsheets/d/1XL5vhW3sbDhbH9Cz0tuDiY8C3ctxq1tqvaCgkFb8cCA/edit?usp=sharing"",""ยโสธร!J127"")"),0.0)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IFERROR(__xludf.DUMMYFUNCTION("IMPORTRANGE(""https://docs.google.com/spreadsheets/d/1XL5vhW3sbDhbH9Cz0tuDiY8C3ctxq1tqvaCgkFb8cCA/edit?usp=sharing"",""ยโสธร!J128"")"),0.0)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IFERROR(__xludf.DUMMYFUNCTION("IMPORTRANGE(""https://docs.google.com/spreadsheets/d/1XL5vhW3sbDhbH9Cz0tuDiY8C3ctxq1tqvaCgkFb8cCA/edit?usp=sharing"",""ยโสธร!I129"")"),0.0)</f>
        <v>0</v>
      </c>
      <c r="J204" s="317">
        <f>IFERROR(__xludf.DUMMYFUNCTION("IMPORTRANGE(""https://docs.google.com/spreadsheets/d/1XL5vhW3sbDhbH9Cz0tuDiY8C3ctxq1tqvaCgkFb8cCA/edit?usp=sharing"",""ยโสธร!J129"")"),0.0)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IFERROR(__xludf.DUMMYFUNCTION("IMPORTRANGE(""https://docs.google.com/spreadsheets/d/1XL5vhW3sbDhbH9Cz0tuDiY8C3ctxq1tqvaCgkFb8cCA/edit?usp=sharing"",""ยโสธร!J134"")"),0.0)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IFERROR(__xludf.DUMMYFUNCTION("IMPORTRANGE(""https://docs.google.com/spreadsheets/d/1XL5vhW3sbDhbH9Cz0tuDiY8C3ctxq1tqvaCgkFb8cCA/edit?usp=sharing"",""ยโสธร!J135"")"),0.0)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IFERROR(__xludf.DUMMYFUNCTION("IMPORTRANGE(""https://docs.google.com/spreadsheets/d/1XL5vhW3sbDhbH9Cz0tuDiY8C3ctxq1tqvaCgkFb8cCA/edit?usp=sharing"",""ยโสธร!J136"")"),0.0)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IFERROR(__xludf.DUMMYFUNCTION("IMPORTRANGE(""https://docs.google.com/spreadsheets/d/1XL5vhW3sbDhbH9Cz0tuDiY8C3ctxq1tqvaCgkFb8cCA/edit?usp=sharing"",""ยโสธร!J137"")"),0.0)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IFERROR(__xludf.DUMMYFUNCTION("IMPORTRANGE(""https://docs.google.com/spreadsheets/d/1XL5vhW3sbDhbH9Cz0tuDiY8C3ctxq1tqvaCgkFb8cCA/edit?usp=sharing"",""ยโสธร!I138"")"),0.0)</f>
        <v>0</v>
      </c>
      <c r="J213" s="238">
        <f>IFERROR(__xludf.DUMMYFUNCTION("IMPORTRANGE(""https://docs.google.com/spreadsheets/d/1XL5vhW3sbDhbH9Cz0tuDiY8C3ctxq1tqvaCgkFb8cCA/edit?usp=sharing"",""ยโสธร!J138"")"),0.0)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IFERROR(__xludf.DUMMYFUNCTION("IMPORTRANGE(""https://docs.google.com/spreadsheets/d/1XL5vhW3sbDhbH9Cz0tuDiY8C3ctxq1tqvaCgkFb8cCA/edit?usp=sharing"",""ยโสธร!I140"")"),0.0)</f>
        <v>0</v>
      </c>
      <c r="J215" s="238">
        <f>IFERROR(__xludf.DUMMYFUNCTION("IMPORTRANGE(""https://docs.google.com/spreadsheets/d/1XL5vhW3sbDhbH9Cz0tuDiY8C3ctxq1tqvaCgkFb8cCA/edit?usp=sharing"",""ยโสธร!J140"")"),0.0)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IFERROR(__xludf.DUMMYFUNCTION("IMPORTRANGE(""https://docs.google.com/spreadsheets/d/1XL5vhW3sbDhbH9Cz0tuDiY8C3ctxq1tqvaCgkFb8cCA/edit?usp=sharing"",""ยโสธร!I141"")"),0.0)</f>
        <v>0</v>
      </c>
      <c r="J216" s="238">
        <f>IFERROR(__xludf.DUMMYFUNCTION("IMPORTRANGE(""https://docs.google.com/spreadsheets/d/1XL5vhW3sbDhbH9Cz0tuDiY8C3ctxq1tqvaCgkFb8cCA/edit?usp=sharing"",""ยโสธร!J141"")"),0.0)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IFERROR(__xludf.DUMMYFUNCTION("IMPORTRANGE(""https://docs.google.com/spreadsheets/d/1XL5vhW3sbDhbH9Cz0tuDiY8C3ctxq1tqvaCgkFb8cCA/edit?usp=sharing"",""ยโสธร!J142"")"),0.0)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IFERROR(__xludf.DUMMYFUNCTION("IMPORTRANGE(""https://docs.google.com/spreadsheets/d/1XL5vhW3sbDhbH9Cz0tuDiY8C3ctxq1tqvaCgkFb8cCA/edit?usp=sharing"",""ยโสธร!J143"")"),0.0)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IFERROR(__xludf.DUMMYFUNCTION("IMPORTRANGE(""https://docs.google.com/spreadsheets/d/1XL5vhW3sbDhbH9Cz0tuDiY8C3ctxq1tqvaCgkFb8cCA/edit?usp=sharing"",""ยโสธร!I144"")"),14.0)</f>
        <v>14</v>
      </c>
      <c r="J219" s="301">
        <f>IFERROR(__xludf.DUMMYFUNCTION("IMPORTRANGE(""https://docs.google.com/spreadsheets/d/1XL5vhW3sbDhbH9Cz0tuDiY8C3ctxq1tqvaCgkFb8cCA/edit?usp=sharing"",""ยโสธร!J144"")"),14.0)</f>
        <v>14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19870</v>
      </c>
      <c r="O220" s="182">
        <f t="shared" ref="O220:O222" si="75">IF(L220&gt;0,N220*100/L220,0)</f>
        <v>98.31766452</v>
      </c>
      <c r="P220" s="182">
        <f t="shared" ref="P220:P222" si="76">IF(M220&gt;0,N220*100/M220,0)</f>
        <v>98.31766452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19870</v>
      </c>
      <c r="O222" s="187">
        <f t="shared" si="75"/>
        <v>98.31766452</v>
      </c>
      <c r="P222" s="187">
        <f t="shared" si="76"/>
        <v>98.31766452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IFERROR(__xludf.DUMMYFUNCTION("IMPORTRANGE(""https://docs.google.com/spreadsheets/d/1Yj_ptqi66GCucihVvJfMjLAmec39IyEx_6qawtMGysU/edit?usp=sharing"",""สบก!BS47"")"),20210.0)</f>
        <v>20210</v>
      </c>
      <c r="N224" s="202">
        <f>IFERROR(__xludf.DUMMYFUNCTION("IMPORTRANGE(""https://docs.google.com/spreadsheets/d/1Yj_ptqi66GCucihVvJfMjLAmec39IyEx_6qawtMGysU/edit?usp=sharing"",""สบก!BT47"")"),19870.0)</f>
        <v>19870</v>
      </c>
      <c r="O224" s="203">
        <f>IF(L224&gt;0,N224*100/L224,0)</f>
        <v>98.31766452</v>
      </c>
      <c r="P224" s="203">
        <f>IF(M224&gt;0,N224*100/M224,0)</f>
        <v>98.31766452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IFERROR(__xludf.DUMMYFUNCTION("IMPORTRANGE(""https://docs.google.com/spreadsheets/d/1Yj_ptqi66GCucihVvJfMjLAmec39IyEx_6qawtMGysU/edit?usp=sharing"",""สบก!BO47"")"),0.0)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IFERROR(__xludf.DUMMYFUNCTION("IMPORTRANGE(""https://docs.google.com/spreadsheets/d/1Yj_ptqi66GCucihVvJfMjLAmec39IyEx_6qawtMGysU/edit?usp=sharing"",""สบก!BP47"")"),20210.0)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IFERROR(__xludf.DUMMYFUNCTION("IMPORTRANGE(""https://docs.google.com/spreadsheets/d/1Yj_ptqi66GCucihVvJfMjLAmec39IyEx_6qawtMGysU/edit?usp=sharing"",""สบก!BQ47"")"),0.0)</f>
        <v>0</v>
      </c>
      <c r="M228" s="125"/>
      <c r="N228" s="115">
        <f>IFERROR(__xludf.DUMMYFUNCTION("IMPORTRANGE(""https://docs.google.com/spreadsheets/d/1Yj_ptqi66GCucihVvJfMjLAmec39IyEx_6qawtMGysU/edit?usp=sharing"",""สบก!BU47"")"),0.0)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IFERROR(__xludf.DUMMYFUNCTION("IMPORTRANGE(""https://docs.google.com/spreadsheets/d/1XL5vhW3sbDhbH9Cz0tuDiY8C3ctxq1tqvaCgkFb8cCA/edit?usp=sharing"",""ยโสธร!I149"")"),14.0)</f>
        <v>14</v>
      </c>
      <c r="J229" s="301">
        <f>IFERROR(__xludf.DUMMYFUNCTION("IMPORTRANGE(""https://docs.google.com/spreadsheets/d/1XL5vhW3sbDhbH9Cz0tuDiY8C3ctxq1tqvaCgkFb8cCA/edit?usp=sharing"",""ยโสธร!J149"")"),14.0)</f>
        <v>14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IFERROR(__xludf.DUMMYFUNCTION("IMPORTRANGE(""https://docs.google.com/spreadsheets/d/1XL5vhW3sbDhbH9Cz0tuDiY8C3ctxq1tqvaCgkFb8cCA/edit?usp=sharing"",""ยโสธร!J151"")"),0.0)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IFERROR(__xludf.DUMMYFUNCTION("IMPORTRANGE(""https://docs.google.com/spreadsheets/d/1XL5vhW3sbDhbH9Cz0tuDiY8C3ctxq1tqvaCgkFb8cCA/edit?usp=sharing"",""ยโสธร!J152"")"),1.0)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IFERROR(__xludf.DUMMYFUNCTION("IMPORTRANGE(""https://docs.google.com/spreadsheets/d/1XL5vhW3sbDhbH9Cz0tuDiY8C3ctxq1tqvaCgkFb8cCA/edit?usp=sharing"",""ยโสธร!J153"")"),1.0)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IFERROR(__xludf.DUMMYFUNCTION("IMPORTRANGE(""https://docs.google.com/spreadsheets/d/1XL5vhW3sbDhbH9Cz0tuDiY8C3ctxq1tqvaCgkFb8cCA/edit?usp=sharing"",""ยโสธร!J154"")"),1.0)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IFERROR(__xludf.DUMMYFUNCTION("IMPORTRANGE(""https://docs.google.com/spreadsheets/d/1XL5vhW3sbDhbH9Cz0tuDiY8C3ctxq1tqvaCgkFb8cCA/edit?usp=sharing"",""ยโสธร!I155"")"),14.0)</f>
        <v>14</v>
      </c>
      <c r="J235" s="223">
        <f>IFERROR(__xludf.DUMMYFUNCTION("IMPORTRANGE(""https://docs.google.com/spreadsheets/d/1XL5vhW3sbDhbH9Cz0tuDiY8C3ctxq1tqvaCgkFb8cCA/edit?usp=sharing"",""ยโสธร!J155"")"),14.0)</f>
        <v>14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IFERROR(__xludf.DUMMYFUNCTION("IMPORTRANGE(""https://docs.google.com/spreadsheets/d/1XL5vhW3sbDhbH9Cz0tuDiY8C3ctxq1tqvaCgkFb8cCA/edit?usp=sharing"",""ยโสธร!J156"")"),0.0)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IFERROR(__xludf.DUMMYFUNCTION("IMPORTRANGE(""https://docs.google.com/spreadsheets/d/1XL5vhW3sbDhbH9Cz0tuDiY8C3ctxq1tqvaCgkFb8cCA/edit?usp=sharing"",""ยโสธร!J157"")"),0.0)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IFERROR(__xludf.DUMMYFUNCTION("IMPORTRANGE(""https://docs.google.com/spreadsheets/d/1XL5vhW3sbDhbH9Cz0tuDiY8C3ctxq1tqvaCgkFb8cCA/edit?usp=sharing"",""ยโสธร!I158"")"),0.0)</f>
        <v>0</v>
      </c>
      <c r="J238" s="301">
        <f>IFERROR(__xludf.DUMMYFUNCTION("IMPORTRANGE(""https://docs.google.com/spreadsheets/d/1XL5vhW3sbDhbH9Cz0tuDiY8C3ctxq1tqvaCgkFb8cCA/edit?usp=sharing"",""ยโสธร!J158"")"),0.0)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IFERROR(__xludf.DUMMYFUNCTION("IMPORTRANGE(""https://docs.google.com/spreadsheets/d/1XL5vhW3sbDhbH9Cz0tuDiY8C3ctxq1tqvaCgkFb8cCA/edit?usp=sharing"",""ยโสธร!J159"")"),"")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IFERROR(__xludf.DUMMYFUNCTION("IMPORTRANGE(""https://docs.google.com/spreadsheets/d/1XL5vhW3sbDhbH9Cz0tuDiY8C3ctxq1tqvaCgkFb8cCA/edit?usp=sharing"",""ยโสธร!J161"")"),0.0)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IFERROR(__xludf.DUMMYFUNCTION("IMPORTRANGE(""https://docs.google.com/spreadsheets/d/1XL5vhW3sbDhbH9Cz0tuDiY8C3ctxq1tqvaCgkFb8cCA/edit?usp=sharing"",""ยโสธร!J162"")"),0.0)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IFERROR(__xludf.DUMMYFUNCTION("IMPORTRANGE(""https://docs.google.com/spreadsheets/d/1XL5vhW3sbDhbH9Cz0tuDiY8C3ctxq1tqvaCgkFb8cCA/edit?usp=sharing"",""ยโสธร!J163"")"),0.0)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IFERROR(__xludf.DUMMYFUNCTION("IMPORTRANGE(""https://docs.google.com/spreadsheets/d/1XL5vhW3sbDhbH9Cz0tuDiY8C3ctxq1tqvaCgkFb8cCA/edit?usp=sharing"",""ยโสธร!I164"")"),0.0)</f>
        <v>0</v>
      </c>
      <c r="J244" s="222">
        <f>IFERROR(__xludf.DUMMYFUNCTION("IMPORTRANGE(""https://docs.google.com/spreadsheets/d/1XL5vhW3sbDhbH9Cz0tuDiY8C3ctxq1tqvaCgkFb8cCA/edit?usp=sharing"",""ยโสธร!J164"")"),0.0)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IFERROR(__xludf.DUMMYFUNCTION("IMPORTRANGE(""https://docs.google.com/spreadsheets/d/1XL5vhW3sbDhbH9Cz0tuDiY8C3ctxq1tqvaCgkFb8cCA/edit?usp=sharing"",""ยโสธร!J165"")"),0.0)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IFERROR(__xludf.DUMMYFUNCTION("IMPORTRANGE(""https://docs.google.com/spreadsheets/d/1XL5vhW3sbDhbH9Cz0tuDiY8C3ctxq1tqvaCgkFb8cCA/edit?usp=sharing"",""ยโสธร!J166"")"),0.0)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IFERROR(__xludf.DUMMYFUNCTION("IMPORTRANGE(""https://docs.google.com/spreadsheets/d/1XL5vhW3sbDhbH9Cz0tuDiY8C3ctxq1tqvaCgkFb8cCA/edit?usp=sharing"",""ยโสธร!I169"")"),0.0)</f>
        <v>0</v>
      </c>
      <c r="J249" s="349">
        <f>IFERROR(__xludf.DUMMYFUNCTION("IMPORTRANGE(""https://docs.google.com/spreadsheets/d/1XL5vhW3sbDhbH9Cz0tuDiY8C3ctxq1tqvaCgkFb8cCA/edit?usp=sharing"",""ยโสธร!J169"")"),0.0)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IFERROR(__xludf.DUMMYFUNCTION("IMPORTRANGE(""https://docs.google.com/spreadsheets/d/1Yj_ptqi66GCucihVvJfMjLAmec39IyEx_6qawtMGysU/edit?usp=sharing"",""สบก!CB47"")"),0.0)</f>
        <v>0</v>
      </c>
      <c r="N254" s="202">
        <f>IFERROR(__xludf.DUMMYFUNCTION("IMPORTRANGE(""https://docs.google.com/spreadsheets/d/1Yj_ptqi66GCucihVvJfMjLAmec39IyEx_6qawtMGysU/edit?usp=sharing"",""สบก!CC47"")"),0.0)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IFERROR(__xludf.DUMMYFUNCTION("IMPORTRANGE(""https://docs.google.com/spreadsheets/d/1Yj_ptqi66GCucihVvJfMjLAmec39IyEx_6qawtMGysU/edit?usp=sharing"",""สบก!BX47"")"),0.0)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IFERROR(__xludf.DUMMYFUNCTION("IMPORTRANGE(""https://docs.google.com/spreadsheets/d/1Yj_ptqi66GCucihVvJfMjLAmec39IyEx_6qawtMGysU/edit?usp=sharing"",""สบก!BY47"")"),0.0)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IFERROR(__xludf.DUMMYFUNCTION("IMPORTRANGE(""https://docs.google.com/spreadsheets/d/1Yj_ptqi66GCucihVvJfMjLAmec39IyEx_6qawtMGysU/edit?usp=sharing"",""สบก!BZ47"")"),0.0)</f>
        <v>0</v>
      </c>
      <c r="M258" s="125"/>
      <c r="N258" s="115">
        <f>IFERROR(__xludf.DUMMYFUNCTION("IMPORTRANGE(""https://docs.google.com/spreadsheets/d/1Yj_ptqi66GCucihVvJfMjLAmec39IyEx_6qawtMGysU/edit?usp=sharing"",""สบก!CD47"")"),0.0)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IFERROR(__xludf.DUMMYFUNCTION("IMPORTRANGE(""https://docs.google.com/spreadsheets/d/1XL5vhW3sbDhbH9Cz0tuDiY8C3ctxq1tqvaCgkFb8cCA/edit?usp=sharing"",""ยโสธร!J175"")"),0.0)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IFERROR(__xludf.DUMMYFUNCTION("IMPORTRANGE(""https://docs.google.com/spreadsheets/d/1XL5vhW3sbDhbH9Cz0tuDiY8C3ctxq1tqvaCgkFb8cCA/edit?usp=sharing"",""ยโสธร!J176"")"),0.0)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IFERROR(__xludf.DUMMYFUNCTION("IMPORTRANGE(""https://docs.google.com/spreadsheets/d/1XL5vhW3sbDhbH9Cz0tuDiY8C3ctxq1tqvaCgkFb8cCA/edit?usp=sharing"",""ยโสธร!J177"")"),0.0)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IFERROR(__xludf.DUMMYFUNCTION("IMPORTRANGE(""https://docs.google.com/spreadsheets/d/1XL5vhW3sbDhbH9Cz0tuDiY8C3ctxq1tqvaCgkFb8cCA/edit?usp=sharing"",""ยโสธร!J178"")"),0.0)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IFERROR(__xludf.DUMMYFUNCTION("IMPORTRANGE(""https://docs.google.com/spreadsheets/d/1XL5vhW3sbDhbH9Cz0tuDiY8C3ctxq1tqvaCgkFb8cCA/edit?usp=sharing"",""ยโสธร!I179"")"),0.0)</f>
        <v>0</v>
      </c>
      <c r="J264" s="223">
        <f>IFERROR(__xludf.DUMMYFUNCTION("IMPORTRANGE(""https://docs.google.com/spreadsheets/d/1XL5vhW3sbDhbH9Cz0tuDiY8C3ctxq1tqvaCgkFb8cCA/edit?usp=sharing"",""ยโสธร!J179"")"),0.0)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IFERROR(__xludf.DUMMYFUNCTION("IMPORTRANGE(""https://docs.google.com/spreadsheets/d/1XL5vhW3sbDhbH9Cz0tuDiY8C3ctxq1tqvaCgkFb8cCA/edit?usp=sharing"",""ยโสธร!I180"")"),0.0)</f>
        <v>0</v>
      </c>
      <c r="J265" s="223">
        <f>IFERROR(__xludf.DUMMYFUNCTION("IMPORTRANGE(""https://docs.google.com/spreadsheets/d/1XL5vhW3sbDhbH9Cz0tuDiY8C3ctxq1tqvaCgkFb8cCA/edit?usp=sharing"",""ยโสธร!J180"")"),0.0)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IFERROR(__xludf.DUMMYFUNCTION("IMPORTRANGE(""https://docs.google.com/spreadsheets/d/1XL5vhW3sbDhbH9Cz0tuDiY8C3ctxq1tqvaCgkFb8cCA/edit?usp=sharing"",""ยโสธร!I181"")"),0.0)</f>
        <v>0</v>
      </c>
      <c r="J266" s="223">
        <f>IFERROR(__xludf.DUMMYFUNCTION("IMPORTRANGE(""https://docs.google.com/spreadsheets/d/1XL5vhW3sbDhbH9Cz0tuDiY8C3ctxq1tqvaCgkFb8cCA/edit?usp=sharing"",""ยโสธร!J181"")"),0.0)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IFERROR(__xludf.DUMMYFUNCTION("IMPORTRANGE(""https://docs.google.com/spreadsheets/d/1XL5vhW3sbDhbH9Cz0tuDiY8C3ctxq1tqvaCgkFb8cCA/edit?usp=sharing"",""ยโสธร!I182"")"),0.0)</f>
        <v>0</v>
      </c>
      <c r="J267" s="223">
        <f>IFERROR(__xludf.DUMMYFUNCTION("IMPORTRANGE(""https://docs.google.com/spreadsheets/d/1XL5vhW3sbDhbH9Cz0tuDiY8C3ctxq1tqvaCgkFb8cCA/edit?usp=sharing"",""ยโสธร!J182"")"),0.0)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IFERROR(__xludf.DUMMYFUNCTION("IMPORTRANGE(""https://docs.google.com/spreadsheets/d/1XL5vhW3sbDhbH9Cz0tuDiY8C3ctxq1tqvaCgkFb8cCA/edit?usp=sharing"",""ยโสธร!J183"")"),0.0)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IFERROR(__xludf.DUMMYFUNCTION("IMPORTRANGE(""https://docs.google.com/spreadsheets/d/1XL5vhW3sbDhbH9Cz0tuDiY8C3ctxq1tqvaCgkFb8cCA/edit?usp=sharing"",""ยโสธร!J184"")"),0.0)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IFERROR(__xludf.DUMMYFUNCTION("IMPORTRANGE(""https://docs.google.com/spreadsheets/d/1XL5vhW3sbDhbH9Cz0tuDiY8C3ctxq1tqvaCgkFb8cCA/edit?usp=sharing"",""ยโสธร!I185"")"),15.0)</f>
        <v>15</v>
      </c>
      <c r="J270" s="349">
        <f>IFERROR(__xludf.DUMMYFUNCTION("IMPORTRANGE(""https://docs.google.com/spreadsheets/d/1XL5vhW3sbDhbH9Cz0tuDiY8C3ctxq1tqvaCgkFb8cCA/edit?usp=sharing"",""ยโสธร!J185"")"),15.0)</f>
        <v>15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31060</v>
      </c>
      <c r="O271" s="182">
        <f t="shared" ref="O271:O273" si="86">IF(L271&gt;0,N271*100/L271,0)</f>
        <v>56.26811594</v>
      </c>
      <c r="P271" s="182">
        <f t="shared" ref="P271:P273" si="87">IF(M271&gt;0,N271*100/M271,0)</f>
        <v>96.31007752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31060</v>
      </c>
      <c r="O273" s="187">
        <f t="shared" si="86"/>
        <v>56.26811594</v>
      </c>
      <c r="P273" s="187">
        <f t="shared" si="87"/>
        <v>96.31007752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IFERROR(__xludf.DUMMYFUNCTION("IMPORTRANGE(""https://docs.google.com/spreadsheets/d/1Yj_ptqi66GCucihVvJfMjLAmec39IyEx_6qawtMGysU/edit?usp=sharing"",""สบก!CK47"")"),32250.0)</f>
        <v>32250</v>
      </c>
      <c r="N275" s="202">
        <f>IFERROR(__xludf.DUMMYFUNCTION("IMPORTRANGE(""https://docs.google.com/spreadsheets/d/1Yj_ptqi66GCucihVvJfMjLAmec39IyEx_6qawtMGysU/edit?usp=sharing"",""สบก!CL47"")"),31060.0)</f>
        <v>31060</v>
      </c>
      <c r="O275" s="203">
        <f>IF(L275&gt;0,N275*100/L275,0)</f>
        <v>56.26811594</v>
      </c>
      <c r="P275" s="203">
        <f>IF(M275&gt;0,N275*100/M275,0)</f>
        <v>96.31007752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IFERROR(__xludf.DUMMYFUNCTION("IMPORTRANGE(""https://docs.google.com/spreadsheets/d/1Yj_ptqi66GCucihVvJfMjLAmec39IyEx_6qawtMGysU/edit?usp=sharing"",""สบก!CG47"")"),0.0)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IFERROR(__xludf.DUMMYFUNCTION("IMPORTRANGE(""https://docs.google.com/spreadsheets/d/1Yj_ptqi66GCucihVvJfMjLAmec39IyEx_6qawtMGysU/edit?usp=sharing"",""สบก!CH47"")"),55200.0)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IFERROR(__xludf.DUMMYFUNCTION("IMPORTRANGE(""https://docs.google.com/spreadsheets/d/1Yj_ptqi66GCucihVvJfMjLAmec39IyEx_6qawtMGysU/edit?usp=sharing"",""สบก!CI47"")"),0.0)</f>
        <v>0</v>
      </c>
      <c r="M279" s="125"/>
      <c r="N279" s="115">
        <f>IFERROR(__xludf.DUMMYFUNCTION("IMPORTRANGE(""https://docs.google.com/spreadsheets/d/1Yj_ptqi66GCucihVvJfMjLAmec39IyEx_6qawtMGysU/edit?usp=sharing"",""สบก!CM47"")"),0.0)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IFERROR(__xludf.DUMMYFUNCTION("IMPORTRANGE(""https://docs.google.com/spreadsheets/d/1XL5vhW3sbDhbH9Cz0tuDiY8C3ctxq1tqvaCgkFb8cCA/edit?usp=sharing"",""ยโสธร!J191"")"),0.0)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IFERROR(__xludf.DUMMYFUNCTION("IMPORTRANGE(""https://docs.google.com/spreadsheets/d/1XL5vhW3sbDhbH9Cz0tuDiY8C3ctxq1tqvaCgkFb8cCA/edit?usp=sharing"",""ยโสธร!J192"")"),1.0)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IFERROR(__xludf.DUMMYFUNCTION("IMPORTRANGE(""https://docs.google.com/spreadsheets/d/1XL5vhW3sbDhbH9Cz0tuDiY8C3ctxq1tqvaCgkFb8cCA/edit?usp=sharing"",""ยโสธร!J193"")"),1.0)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IFERROR(__xludf.DUMMYFUNCTION("IMPORTRANGE(""https://docs.google.com/spreadsheets/d/1XL5vhW3sbDhbH9Cz0tuDiY8C3ctxq1tqvaCgkFb8cCA/edit?usp=sharing"",""ยโสธร!J194"")"),1.0)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IFERROR(__xludf.DUMMYFUNCTION("IMPORTRANGE(""https://docs.google.com/spreadsheets/d/1XL5vhW3sbDhbH9Cz0tuDiY8C3ctxq1tqvaCgkFb8cCA/edit?usp=sharing"",""ยโสธร!I195"")"),15.0)</f>
        <v>15</v>
      </c>
      <c r="J285" s="223">
        <f>IFERROR(__xludf.DUMMYFUNCTION("IMPORTRANGE(""https://docs.google.com/spreadsheets/d/1XL5vhW3sbDhbH9Cz0tuDiY8C3ctxq1tqvaCgkFb8cCA/edit?usp=sharing"",""ยโสธร!J195"")"),15.0)</f>
        <v>15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IFERROR(__xludf.DUMMYFUNCTION("IMPORTRANGE(""https://docs.google.com/spreadsheets/d/1XL5vhW3sbDhbH9Cz0tuDiY8C3ctxq1tqvaCgkFb8cCA/edit?usp=sharing"",""ยโสธร!J196"")"),0.0)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IFERROR(__xludf.DUMMYFUNCTION("IMPORTRANGE(""https://docs.google.com/spreadsheets/d/1XL5vhW3sbDhbH9Cz0tuDiY8C3ctxq1tqvaCgkFb8cCA/edit?usp=sharing"",""ยโสธร!J197"")"),0.0)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IFERROR(__xludf.DUMMYFUNCTION("IMPORTRANGE(""https://docs.google.com/spreadsheets/d/1XL5vhW3sbDhbH9Cz0tuDiY8C3ctxq1tqvaCgkFb8cCA/edit?usp=sharing"",""ยโสธร!I199"")"),0.0)</f>
        <v>0</v>
      </c>
      <c r="J289" s="349">
        <f>IFERROR(__xludf.DUMMYFUNCTION("IMPORTRANGE(""https://docs.google.com/spreadsheets/d/1XL5vhW3sbDhbH9Cz0tuDiY8C3ctxq1tqvaCgkFb8cCA/edit?usp=sharing"",""ยโสธร!J199"")"),0.0)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IFERROR(__xludf.DUMMYFUNCTION("IMPORTRANGE(""https://docs.google.com/spreadsheets/d/1Yj_ptqi66GCucihVvJfMjLAmec39IyEx_6qawtMGysU/edit?usp=sharing"",""สบก!CT47"")"),0.0)</f>
        <v>0</v>
      </c>
      <c r="N294" s="202">
        <f>IFERROR(__xludf.DUMMYFUNCTION("IMPORTRANGE(""https://docs.google.com/spreadsheets/d/1Yj_ptqi66GCucihVvJfMjLAmec39IyEx_6qawtMGysU/edit?usp=sharing"",""สบก!CU47"")"),0.0)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IFERROR(__xludf.DUMMYFUNCTION("IMPORTRANGE(""https://docs.google.com/spreadsheets/d/1Yj_ptqi66GCucihVvJfMjLAmec39IyEx_6qawtMGysU/edit?usp=sharing"",""สบก!CP47"")"),0.0)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IFERROR(__xludf.DUMMYFUNCTION("IMPORTRANGE(""https://docs.google.com/spreadsheets/d/1Yj_ptqi66GCucihVvJfMjLAmec39IyEx_6qawtMGysU/edit?usp=sharing"",""สบก!CQ47"")"),0.0)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IFERROR(__xludf.DUMMYFUNCTION("IMPORTRANGE(""https://docs.google.com/spreadsheets/d/1Yj_ptqi66GCucihVvJfMjLAmec39IyEx_6qawtMGysU/edit?usp=sharing"",""สบก!CR47"")"),0.0)</f>
        <v>0</v>
      </c>
      <c r="M298" s="125"/>
      <c r="N298" s="115">
        <f>IFERROR(__xludf.DUMMYFUNCTION("IMPORTRANGE(""https://docs.google.com/spreadsheets/d/1Yj_ptqi66GCucihVvJfMjLAmec39IyEx_6qawtMGysU/edit?usp=sharing"",""สบก!CV47"")"),0.0)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IFERROR(__xludf.DUMMYFUNCTION("IMPORTRANGE(""https://docs.google.com/spreadsheets/d/1XL5vhW3sbDhbH9Cz0tuDiY8C3ctxq1tqvaCgkFb8cCA/edit?usp=sharing"",""ยโสธร!J205"")"),0.0)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IFERROR(__xludf.DUMMYFUNCTION("IMPORTRANGE(""https://docs.google.com/spreadsheets/d/1XL5vhW3sbDhbH9Cz0tuDiY8C3ctxq1tqvaCgkFb8cCA/edit?usp=sharing"",""ยโสธร!J206"")"),0.0)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IFERROR(__xludf.DUMMYFUNCTION("IMPORTRANGE(""https://docs.google.com/spreadsheets/d/1XL5vhW3sbDhbH9Cz0tuDiY8C3ctxq1tqvaCgkFb8cCA/edit?usp=sharing"",""ยโสธร!J207"")"),0.0)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IFERROR(__xludf.DUMMYFUNCTION("IMPORTRANGE(""https://docs.google.com/spreadsheets/d/1XL5vhW3sbDhbH9Cz0tuDiY8C3ctxq1tqvaCgkFb8cCA/edit?usp=sharing"",""ยโสธร!J208"")"),0.0)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IFERROR(__xludf.DUMMYFUNCTION("IMPORTRANGE(""https://docs.google.com/spreadsheets/d/1XL5vhW3sbDhbH9Cz0tuDiY8C3ctxq1tqvaCgkFb8cCA/edit?usp=sharing"",""ยโสธร!I209"")"),0.0)</f>
        <v>0</v>
      </c>
      <c r="J304" s="238">
        <f>IFERROR(__xludf.DUMMYFUNCTION("IMPORTRANGE(""https://docs.google.com/spreadsheets/d/1XL5vhW3sbDhbH9Cz0tuDiY8C3ctxq1tqvaCgkFb8cCA/edit?usp=sharing"",""ยโสธร!J209"")"),0.0)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IFERROR(__xludf.DUMMYFUNCTION("IMPORTRANGE(""https://docs.google.com/spreadsheets/d/1XL5vhW3sbDhbH9Cz0tuDiY8C3ctxq1tqvaCgkFb8cCA/edit?usp=sharing"",""ยโสธร!I211"")"),0.0)</f>
        <v>0</v>
      </c>
      <c r="J306" s="238">
        <f>IFERROR(__xludf.DUMMYFUNCTION("IMPORTRANGE(""https://docs.google.com/spreadsheets/d/1XL5vhW3sbDhbH9Cz0tuDiY8C3ctxq1tqvaCgkFb8cCA/edit?usp=sharing"",""ยโสธร!J211"")"),0.0)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IFERROR(__xludf.DUMMYFUNCTION("IMPORTRANGE(""https://docs.google.com/spreadsheets/d/1XL5vhW3sbDhbH9Cz0tuDiY8C3ctxq1tqvaCgkFb8cCA/edit?usp=sharing"",""ยโสธร!J212"")"),0.0)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IFERROR(__xludf.DUMMYFUNCTION("IMPORTRANGE(""https://docs.google.com/spreadsheets/d/1XL5vhW3sbDhbH9Cz0tuDiY8C3ctxq1tqvaCgkFb8cCA/edit?usp=sharing"",""ยโสธร!J213"")"),0.0)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IFERROR(__xludf.DUMMYFUNCTION("IMPORTRANGE(""https://docs.google.com/spreadsheets/d/1XL5vhW3sbDhbH9Cz0tuDiY8C3ctxq1tqvaCgkFb8cCA/edit?usp=sharing"",""ยโสธร!I214"")"),0.0)</f>
        <v>0</v>
      </c>
      <c r="J309" s="366">
        <f>IFERROR(__xludf.DUMMYFUNCTION("IMPORTRANGE(""https://docs.google.com/spreadsheets/d/1XL5vhW3sbDhbH9Cz0tuDiY8C3ctxq1tqvaCgkFb8cCA/edit?usp=sharing"",""ยโสธร!J214"")"),0.0)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IFERROR(__xludf.DUMMYFUNCTION("IMPORTRANGE(""https://docs.google.com/spreadsheets/d/1Yj_ptqi66GCucihVvJfMjLAmec39IyEx_6qawtMGysU/edit?usp=sharing"",""สบก!DC47"")"),0.0)</f>
        <v>0</v>
      </c>
      <c r="N314" s="202">
        <f>IFERROR(__xludf.DUMMYFUNCTION("IMPORTRANGE(""https://docs.google.com/spreadsheets/d/1Yj_ptqi66GCucihVvJfMjLAmec39IyEx_6qawtMGysU/edit?usp=sharing"",""สบก!DD47"")"),0.0)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IFERROR(__xludf.DUMMYFUNCTION("IMPORTRANGE(""https://docs.google.com/spreadsheets/d/1Yj_ptqi66GCucihVvJfMjLAmec39IyEx_6qawtMGysU/edit?usp=sharing"",""สบก!CY47"")"),0.0)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IFERROR(__xludf.DUMMYFUNCTION("IMPORTRANGE(""https://docs.google.com/spreadsheets/d/1Yj_ptqi66GCucihVvJfMjLAmec39IyEx_6qawtMGysU/edit?usp=sharing"",""สบก!CZ47"")"),0.0)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IFERROR(__xludf.DUMMYFUNCTION("IMPORTRANGE(""https://docs.google.com/spreadsheets/d/1Yj_ptqi66GCucihVvJfMjLAmec39IyEx_6qawtMGysU/edit?usp=sharing"",""สบก!DA47"")"),0.0)</f>
        <v>0</v>
      </c>
      <c r="M318" s="125"/>
      <c r="N318" s="115">
        <f>IFERROR(__xludf.DUMMYFUNCTION("IMPORTRANGE(""https://docs.google.com/spreadsheets/d/1Yj_ptqi66GCucihVvJfMjLAmec39IyEx_6qawtMGysU/edit?usp=sharing"",""สบก!DE47"")"),0.0)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IFERROR(__xludf.DUMMYFUNCTION("IMPORTRANGE(""https://docs.google.com/spreadsheets/d/1XL5vhW3sbDhbH9Cz0tuDiY8C3ctxq1tqvaCgkFb8cCA/edit?usp=sharing"",""ยโสธร!J220"")"),0.0)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IFERROR(__xludf.DUMMYFUNCTION("IMPORTRANGE(""https://docs.google.com/spreadsheets/d/1XL5vhW3sbDhbH9Cz0tuDiY8C3ctxq1tqvaCgkFb8cCA/edit?usp=sharing"",""ยโสธร!J221"")"),0.0)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IFERROR(__xludf.DUMMYFUNCTION("IMPORTRANGE(""https://docs.google.com/spreadsheets/d/1XL5vhW3sbDhbH9Cz0tuDiY8C3ctxq1tqvaCgkFb8cCA/edit?usp=sharing"",""ยโสธร!J222"")"),0.0)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IFERROR(__xludf.DUMMYFUNCTION("IMPORTRANGE(""https://docs.google.com/spreadsheets/d/1XL5vhW3sbDhbH9Cz0tuDiY8C3ctxq1tqvaCgkFb8cCA/edit?usp=sharing"",""ยโสธร!J223"")"),0.0)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IFERROR(__xludf.DUMMYFUNCTION("IMPORTRANGE(""https://docs.google.com/spreadsheets/d/1XL5vhW3sbDhbH9Cz0tuDiY8C3ctxq1tqvaCgkFb8cCA/edit?usp=sharing"",""ยโสธร!I224"")"),0.0)</f>
        <v>0</v>
      </c>
      <c r="J324" s="238">
        <f>IFERROR(__xludf.DUMMYFUNCTION("IMPORTRANGE(""https://docs.google.com/spreadsheets/d/1XL5vhW3sbDhbH9Cz0tuDiY8C3ctxq1tqvaCgkFb8cCA/edit?usp=sharing"",""ยโสธร!J224"")"),0.0)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IFERROR(__xludf.DUMMYFUNCTION("IMPORTRANGE(""https://docs.google.com/spreadsheets/d/1XL5vhW3sbDhbH9Cz0tuDiY8C3ctxq1tqvaCgkFb8cCA/edit?usp=sharing"",""ยโสธร!J225"")"),0.0)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IFERROR(__xludf.DUMMYFUNCTION("IMPORTRANGE(""https://docs.google.com/spreadsheets/d/1XL5vhW3sbDhbH9Cz0tuDiY8C3ctxq1tqvaCgkFb8cCA/edit?usp=sharing"",""ยโสธร!J226"")"),0.0)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IFERROR(__xludf.DUMMYFUNCTION("IMPORTRANGE(""https://docs.google.com/spreadsheets/d/1XL5vhW3sbDhbH9Cz0tuDiY8C3ctxq1tqvaCgkFb8cCA/edit?usp=sharing"",""ยโสธร!I228"")"),280.0)</f>
        <v>280</v>
      </c>
      <c r="J328" s="372">
        <f>IFERROR(__xludf.DUMMYFUNCTION("IMPORTRANGE(""https://docs.google.com/spreadsheets/d/1XL5vhW3sbDhbH9Cz0tuDiY8C3ctxq1tqvaCgkFb8cCA/edit?usp=sharing"",""ยโสธร!J228"")"),252.0)</f>
        <v>252</v>
      </c>
      <c r="K328" s="350">
        <f>IF(I328&gt;0,J328*100/I328,0)</f>
        <v>90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835370</v>
      </c>
      <c r="M329" s="183">
        <f t="shared" si="99"/>
        <v>376390</v>
      </c>
      <c r="N329" s="183">
        <f t="shared" si="99"/>
        <v>473470</v>
      </c>
      <c r="O329" s="182">
        <f t="shared" ref="O329:O331" si="101">IF(L329&gt;0,N329*100/L329,0)</f>
        <v>56.67787926</v>
      </c>
      <c r="P329" s="182">
        <f t="shared" ref="P329:P331" si="102">IF(M329&gt;0,N329*100/M329,0)</f>
        <v>125.7923962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835370</v>
      </c>
      <c r="M331" s="188">
        <f t="shared" si="103"/>
        <v>376390</v>
      </c>
      <c r="N331" s="188">
        <f t="shared" si="103"/>
        <v>473470</v>
      </c>
      <c r="O331" s="187">
        <f t="shared" si="101"/>
        <v>56.67787926</v>
      </c>
      <c r="P331" s="187">
        <f t="shared" si="102"/>
        <v>125.7923962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688370</v>
      </c>
      <c r="M333" s="201">
        <f>IFERROR(__xludf.DUMMYFUNCTION("IMPORTRANGE(""https://docs.google.com/spreadsheets/d/1Yj_ptqi66GCucihVvJfMjLAmec39IyEx_6qawtMGysU/edit?usp=sharing"",""สบก!DL47"")"),376390.0)</f>
        <v>376390</v>
      </c>
      <c r="N333" s="202">
        <f>IFERROR(__xludf.DUMMYFUNCTION("IMPORTRANGE(""https://docs.google.com/spreadsheets/d/1Yj_ptqi66GCucihVvJfMjLAmec39IyEx_6qawtMGysU/edit?usp=sharing"",""สบก!DM47"")"),326470.0)</f>
        <v>326470</v>
      </c>
      <c r="O333" s="203">
        <f>IF(L333&gt;0,N333*100/L333,0)</f>
        <v>47.42652934</v>
      </c>
      <c r="P333" s="203">
        <f>IF(M333&gt;0,N333*100/M333,0)</f>
        <v>86.73716092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IFERROR(__xludf.DUMMYFUNCTION("IMPORTRANGE(""https://docs.google.com/spreadsheets/d/1Yj_ptqi66GCucihVvJfMjLAmec39IyEx_6qawtMGysU/edit?usp=sharing"",""สบก!DH47"")"),277200.0)</f>
        <v>277200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IFERROR(__xludf.DUMMYFUNCTION("IMPORTRANGE(""https://docs.google.com/spreadsheets/d/1Yj_ptqi66GCucihVvJfMjLAmec39IyEx_6qawtMGysU/edit?usp=sharing"",""สบก!DI47"")"),411170.0)</f>
        <v>411170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IFERROR(__xludf.DUMMYFUNCTION("IMPORTRANGE(""https://docs.google.com/spreadsheets/d/1Yj_ptqi66GCucihVvJfMjLAmec39IyEx_6qawtMGysU/edit?usp=sharing"",""สบก!DJ47"")"),147000.0)</f>
        <v>147000</v>
      </c>
      <c r="M337" s="125"/>
      <c r="N337" s="115">
        <f>IFERROR(__xludf.DUMMYFUNCTION("IMPORTRANGE(""https://docs.google.com/spreadsheets/d/1Yj_ptqi66GCucihVvJfMjLAmec39IyEx_6qawtMGysU/edit?usp=sharing"",""สบก!DN47"")"),147000.0)</f>
        <v>147000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IFERROR(__xludf.DUMMYFUNCTION("IMPORTRANGE(""https://docs.google.com/spreadsheets/d/1XL5vhW3sbDhbH9Cz0tuDiY8C3ctxq1tqvaCgkFb8cCA/edit?usp=sharing"",""ยโสธร!I234"")"),0.0)</f>
        <v>0</v>
      </c>
      <c r="J339" s="222">
        <f>IFERROR(__xludf.DUMMYFUNCTION("IMPORTRANGE(""https://docs.google.com/spreadsheets/d/1XL5vhW3sbDhbH9Cz0tuDiY8C3ctxq1tqvaCgkFb8cCA/edit?usp=sharing"",""ยโสธร!J234"")"),84.0)</f>
        <v>84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IFERROR(__xludf.DUMMYFUNCTION("IMPORTRANGE(""https://docs.google.com/spreadsheets/d/1XL5vhW3sbDhbH9Cz0tuDiY8C3ctxq1tqvaCgkFb8cCA/edit?usp=sharing"",""ยโสธร!I235"")"),1900.0)</f>
        <v>1900</v>
      </c>
      <c r="J340" s="222">
        <f>IFERROR(__xludf.DUMMYFUNCTION("IMPORTRANGE(""https://docs.google.com/spreadsheets/d/1XL5vhW3sbDhbH9Cz0tuDiY8C3ctxq1tqvaCgkFb8cCA/edit?usp=sharing"",""ยโสธร!J235"")"),502.12)</f>
        <v>502.12</v>
      </c>
      <c r="K340" s="375">
        <f t="shared" si="104"/>
        <v>26.42736842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IFERROR(__xludf.DUMMYFUNCTION("IMPORTRANGE(""https://docs.google.com/spreadsheets/d/1XL5vhW3sbDhbH9Cz0tuDiY8C3ctxq1tqvaCgkFb8cCA/edit?usp=sharing"",""ยโสธร!I236"")"),280.0)</f>
        <v>280</v>
      </c>
      <c r="J341" s="222">
        <f>IFERROR(__xludf.DUMMYFUNCTION("IMPORTRANGE(""https://docs.google.com/spreadsheets/d/1XL5vhW3sbDhbH9Cz0tuDiY8C3ctxq1tqvaCgkFb8cCA/edit?usp=sharing"",""ยโสธร!J236"")"),292.0)</f>
        <v>292</v>
      </c>
      <c r="K341" s="375">
        <f t="shared" si="104"/>
        <v>104.2857143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IFERROR(__xludf.DUMMYFUNCTION("IMPORTRANGE(""https://docs.google.com/spreadsheets/d/1XL5vhW3sbDhbH9Cz0tuDiY8C3ctxq1tqvaCgkFb8cCA/edit?usp=sharing"",""ยโสธร!I237"")"),0.0)</f>
        <v>0</v>
      </c>
      <c r="J342" s="222">
        <f>IFERROR(__xludf.DUMMYFUNCTION("IMPORTRANGE(""https://docs.google.com/spreadsheets/d/1XL5vhW3sbDhbH9Cz0tuDiY8C3ctxq1tqvaCgkFb8cCA/edit?usp=sharing"",""ยโสธร!J237"")"),2751.0)</f>
        <v>2751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IFERROR(__xludf.DUMMYFUNCTION("IMPORTRANGE(""https://docs.google.com/spreadsheets/d/1XL5vhW3sbDhbH9Cz0tuDiY8C3ctxq1tqvaCgkFb8cCA/edit?usp=sharing"",""ยโสธร!I238"")"),280.0)</f>
        <v>280</v>
      </c>
      <c r="J343" s="222">
        <f>IFERROR(__xludf.DUMMYFUNCTION("IMPORTRANGE(""https://docs.google.com/spreadsheets/d/1XL5vhW3sbDhbH9Cz0tuDiY8C3ctxq1tqvaCgkFb8cCA/edit?usp=sharing"",""ยโสธร!J238"")"),4.0)</f>
        <v>4</v>
      </c>
      <c r="K343" s="375">
        <f t="shared" si="104"/>
        <v>1.428571429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IFERROR(__xludf.DUMMYFUNCTION("IMPORTRANGE(""https://docs.google.com/spreadsheets/d/1XL5vhW3sbDhbH9Cz0tuDiY8C3ctxq1tqvaCgkFb8cCA/edit?usp=sharing"",""ยโสธร!I239"")"),0.0)</f>
        <v>0</v>
      </c>
      <c r="J344" s="222">
        <f>IFERROR(__xludf.DUMMYFUNCTION("IMPORTRANGE(""https://docs.google.com/spreadsheets/d/1XL5vhW3sbDhbH9Cz0tuDiY8C3ctxq1tqvaCgkFb8cCA/edit?usp=sharing"",""ยโสธร!J239"")"),17.67)</f>
        <v>17.67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IFERROR(__xludf.DUMMYFUNCTION("IMPORTRANGE(""https://docs.google.com/spreadsheets/d/1XL5vhW3sbDhbH9Cz0tuDiY8C3ctxq1tqvaCgkFb8cCA/edit?usp=sharing"",""ยโสธร!I240"")"),280.0)</f>
        <v>280</v>
      </c>
      <c r="J345" s="222">
        <f>IFERROR(__xludf.DUMMYFUNCTION("IMPORTRANGE(""https://docs.google.com/spreadsheets/d/1XL5vhW3sbDhbH9Cz0tuDiY8C3ctxq1tqvaCgkFb8cCA/edit?usp=sharing"",""ยโสธร!J240"")"),252.0)</f>
        <v>252</v>
      </c>
      <c r="K345" s="375">
        <f t="shared" si="104"/>
        <v>90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IFERROR(__xludf.DUMMYFUNCTION("IMPORTRANGE(""https://docs.google.com/spreadsheets/d/1XL5vhW3sbDhbH9Cz0tuDiY8C3ctxq1tqvaCgkFb8cCA/edit?usp=sharing"",""ยโสธร!I241"")"),0.0)</f>
        <v>0</v>
      </c>
      <c r="J346" s="222">
        <f>IFERROR(__xludf.DUMMYFUNCTION("IMPORTRANGE(""https://docs.google.com/spreadsheets/d/1XL5vhW3sbDhbH9Cz0tuDiY8C3ctxq1tqvaCgkFb8cCA/edit?usp=sharing"",""ยโสธร!J241"")"),2527.48)</f>
        <v>2527.48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IFERROR(__xludf.DUMMYFUNCTION("IMPORTRANGE(""https://docs.google.com/spreadsheets/d/1XL5vhW3sbDhbH9Cz0tuDiY8C3ctxq1tqvaCgkFb8cCA/edit?usp=sharing"",""ยโสธร!L242"")"),2352673.0)</f>
        <v>2352673</v>
      </c>
      <c r="M347" s="391"/>
      <c r="N347" s="391">
        <f>IFERROR(__xludf.DUMMYFUNCTION("IMPORTRANGE(""https://docs.google.com/spreadsheets/d/1XL5vhW3sbDhbH9Cz0tuDiY8C3ctxq1tqvaCgkFb8cCA/edit?usp=sharing"",""ยโสธร!M242"")"),227115.0)</f>
        <v>227115</v>
      </c>
      <c r="O347" s="391">
        <f>+IF(L347&gt;0,N347*100/L347,0)</f>
        <v>9.653487756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IFERROR(__xludf.DUMMYFUNCTION("IMPORTRANGE(""https://docs.google.com/spreadsheets/d/1XL5vhW3sbDhbH9Cz0tuDiY8C3ctxq1tqvaCgkFb8cCA/edit?usp=sharing"",""ยโสธร!I244"")"),360.0)</f>
        <v>360</v>
      </c>
      <c r="J349" s="404">
        <f>IFERROR(__xludf.DUMMYFUNCTION("IMPORTRANGE(""https://docs.google.com/spreadsheets/d/1XL5vhW3sbDhbH9Cz0tuDiY8C3ctxq1tqvaCgkFb8cCA/edit?usp=sharing"",""ยโสธร!J244"")"),0.0)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IFERROR(__xludf.DUMMYFUNCTION("IMPORTRANGE(""https://docs.google.com/spreadsheets/d/1XL5vhW3sbDhbH9Cz0tuDiY8C3ctxq1tqvaCgkFb8cCA/edit?usp=sharing"",""ยโสธร!L244"")"),667900.0)</f>
        <v>667900</v>
      </c>
      <c r="M349" s="406"/>
      <c r="N349" s="406">
        <f>IFERROR(__xludf.DUMMYFUNCTION("IMPORTRANGE(""https://docs.google.com/spreadsheets/d/1XL5vhW3sbDhbH9Cz0tuDiY8C3ctxq1tqvaCgkFb8cCA/edit?usp=sharing"",""ยโสธร!M244"")"),19000.0)</f>
        <v>19000</v>
      </c>
      <c r="O349" s="406">
        <f>+IF(L349&gt;0,N349*100/L349,0)</f>
        <v>2.844737236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IFERROR(__xludf.DUMMYFUNCTION("IMPORTRANGE(""https://docs.google.com/spreadsheets/d/1XL5vhW3sbDhbH9Cz0tuDiY8C3ctxq1tqvaCgkFb8cCA/edit?usp=sharing"",""ยโสธร!I245"")"),130.0)</f>
        <v>130</v>
      </c>
      <c r="J350" s="404">
        <f>IFERROR(__xludf.DUMMYFUNCTION("IMPORTRANGE(""https://docs.google.com/spreadsheets/d/1XL5vhW3sbDhbH9Cz0tuDiY8C3ctxq1tqvaCgkFb8cCA/edit?usp=sharing"",""ยโสธร!J245"")"),0.0)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IFERROR(__xludf.DUMMYFUNCTION("IMPORTRANGE(""https://docs.google.com/spreadsheets/d/1XL5vhW3sbDhbH9Cz0tuDiY8C3ctxq1tqvaCgkFb8cCA/edit?usp=sharing"",""ยโสธร!L246"")"),0.0)</f>
        <v>0</v>
      </c>
      <c r="M351" s="197"/>
      <c r="N351" s="197">
        <f>IFERROR(__xludf.DUMMYFUNCTION("IMPORTRANGE(""https://docs.google.com/spreadsheets/d/1XL5vhW3sbDhbH9Cz0tuDiY8C3ctxq1tqvaCgkFb8cCA/edit?usp=sharing"",""ยโสธร!M246"")"),0.0)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IFERROR(__xludf.DUMMYFUNCTION("IMPORTRANGE(""https://docs.google.com/spreadsheets/d/1XL5vhW3sbDhbH9Cz0tuDiY8C3ctxq1tqvaCgkFb8cCA/edit?usp=sharing"",""ยโสธร!L247"")"),667900.0)</f>
        <v>667900</v>
      </c>
      <c r="M352" s="198"/>
      <c r="N352" s="197">
        <f>IFERROR(__xludf.DUMMYFUNCTION("IMPORTRANGE(""https://docs.google.com/spreadsheets/d/1XL5vhW3sbDhbH9Cz0tuDiY8C3ctxq1tqvaCgkFb8cCA/edit?usp=sharing"",""ยโสธร!M247"")"),19000.0)</f>
        <v>19000</v>
      </c>
      <c r="O352" s="198">
        <f t="shared" si="106"/>
        <v>2.844737236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IFERROR(__xludf.DUMMYFUNCTION("IMPORTRANGE(""https://docs.google.com/spreadsheets/d/1XL5vhW3sbDhbH9Cz0tuDiY8C3ctxq1tqvaCgkFb8cCA/edit?usp=sharing"",""ยโสธร!L248"")"),0.0)</f>
        <v>0</v>
      </c>
      <c r="M353" s="203"/>
      <c r="N353" s="203">
        <f>IFERROR(__xludf.DUMMYFUNCTION("IMPORTRANGE(""https://docs.google.com/spreadsheets/d/1XL5vhW3sbDhbH9Cz0tuDiY8C3ctxq1tqvaCgkFb8cCA/edit?usp=sharing"",""ยโสธร!M248"")"),0.0)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IFERROR(__xludf.DUMMYFUNCTION("IMPORTRANGE(""https://docs.google.com/spreadsheets/d/1XL5vhW3sbDhbH9Cz0tuDiY8C3ctxq1tqvaCgkFb8cCA/edit?usp=sharing"",""ยโสธร!L249"")"),667900.0)</f>
        <v>667900</v>
      </c>
      <c r="M354" s="203"/>
      <c r="N354" s="200">
        <f>IFERROR(__xludf.DUMMYFUNCTION("IMPORTRANGE(""https://docs.google.com/spreadsheets/d/1XL5vhW3sbDhbH9Cz0tuDiY8C3ctxq1tqvaCgkFb8cCA/edit?usp=sharing"",""ยโสธร!M249"")"),19000.0)</f>
        <v>19000</v>
      </c>
      <c r="O354" s="203">
        <f t="shared" si="106"/>
        <v>2.844737236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IFERROR(__xludf.DUMMYFUNCTION("IMPORTRANGE(""https://docs.google.com/spreadsheets/d/1XL5vhW3sbDhbH9Cz0tuDiY8C3ctxq1tqvaCgkFb8cCA/edit?usp=sharing"",""ยโสธร!M250"")"),8000.0)</f>
        <v>8000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IFERROR(__xludf.DUMMYFUNCTION("IMPORTRANGE(""https://docs.google.com/spreadsheets/d/1XL5vhW3sbDhbH9Cz0tuDiY8C3ctxq1tqvaCgkFb8cCA/edit?usp=sharing"",""ยโสธร!M251"")"),0.0)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IFERROR(__xludf.DUMMYFUNCTION("IMPORTRANGE(""https://docs.google.com/spreadsheets/d/1XL5vhW3sbDhbH9Cz0tuDiY8C3ctxq1tqvaCgkFb8cCA/edit?usp=sharing"",""ยโสธร!M252"")"),11000.0)</f>
        <v>11000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IFERROR(__xludf.DUMMYFUNCTION("IMPORTRANGE(""https://docs.google.com/spreadsheets/d/1XL5vhW3sbDhbH9Cz0tuDiY8C3ctxq1tqvaCgkFb8cCA/edit?usp=sharing"",""ยโสธร!M253"")"),0.0)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IFERROR(__xludf.DUMMYFUNCTION("IMPORTRANGE(""https://docs.google.com/spreadsheets/d/1XL5vhW3sbDhbH9Cz0tuDiY8C3ctxq1tqvaCgkFb8cCA/edit?usp=sharing"",""ยโสธร!J255"")"),0.0)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IFERROR(__xludf.DUMMYFUNCTION("IMPORTRANGE(""https://docs.google.com/spreadsheets/d/1XL5vhW3sbDhbH9Cz0tuDiY8C3ctxq1tqvaCgkFb8cCA/edit?usp=sharing"",""ยโสธร!J256"")"),1.0)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IFERROR(__xludf.DUMMYFUNCTION("IMPORTRANGE(""https://docs.google.com/spreadsheets/d/1XL5vhW3sbDhbH9Cz0tuDiY8C3ctxq1tqvaCgkFb8cCA/edit?usp=sharing"",""ยโสธร!J257"")"),0.0)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IFERROR(__xludf.DUMMYFUNCTION("IMPORTRANGE(""https://docs.google.com/spreadsheets/d/1XL5vhW3sbDhbH9Cz0tuDiY8C3ctxq1tqvaCgkFb8cCA/edit?usp=sharing"",""ยโสธร!J258"")"),1.0)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IFERROR(__xludf.DUMMYFUNCTION("IMPORTRANGE(""https://docs.google.com/spreadsheets/d/1XL5vhW3sbDhbH9Cz0tuDiY8C3ctxq1tqvaCgkFb8cCA/edit?usp=sharing"",""ยโสธร!J166"")"),0.0)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IFERROR(__xludf.DUMMYFUNCTION("IMPORTRANGE(""https://docs.google.com/spreadsheets/d/1XL5vhW3sbDhbH9Cz0tuDiY8C3ctxq1tqvaCgkFb8cCA/edit?usp=sharing"",""ยโสธร!J166"")"),0.0)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IFERROR(__xludf.DUMMYFUNCTION("IMPORTRANGE(""https://docs.google.com/spreadsheets/d/1XL5vhW3sbDhbH9Cz0tuDiY8C3ctxq1tqvaCgkFb8cCA/edit?usp=sharing"",""ยโสธร!J166"")"),0.0)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IFERROR(__xludf.DUMMYFUNCTION("IMPORTRANGE(""https://docs.google.com/spreadsheets/d/1XL5vhW3sbDhbH9Cz0tuDiY8C3ctxq1tqvaCgkFb8cCA/edit?usp=sharing"",""ยโสธร!J166"")"),0.0)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IFERROR(__xludf.DUMMYFUNCTION("IMPORTRANGE(""https://docs.google.com/spreadsheets/d/1XL5vhW3sbDhbH9Cz0tuDiY8C3ctxq1tqvaCgkFb8cCA/edit?usp=sharing"",""ยโสธร!I263"")"),130.0)</f>
        <v>130</v>
      </c>
      <c r="J368" s="222">
        <f>IFERROR(__xludf.DUMMYFUNCTION("IMPORTRANGE(""https://docs.google.com/spreadsheets/d/1XL5vhW3sbDhbH9Cz0tuDiY8C3ctxq1tqvaCgkFb8cCA/edit?usp=sharing"",""ยโสธร!J263"")"),0.0)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IFERROR(__xludf.DUMMYFUNCTION("IMPORTRANGE(""https://docs.google.com/spreadsheets/d/1XL5vhW3sbDhbH9Cz0tuDiY8C3ctxq1tqvaCgkFb8cCA/edit?usp=sharing"",""ยโสธร!I164"")"),0.0)</f>
        <v>0</v>
      </c>
      <c r="J369" s="238">
        <f>IFERROR(__xludf.DUMMYFUNCTION("IMPORTRANGE(""https://docs.google.com/spreadsheets/d/1XL5vhW3sbDhbH9Cz0tuDiY8C3ctxq1tqvaCgkFb8cCA/edit?usp=sharing"",""ยโสธร!J164"")"),0.0)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IFERROR(__xludf.DUMMYFUNCTION("IMPORTRANGE(""https://docs.google.com/spreadsheets/d/1XL5vhW3sbDhbH9Cz0tuDiY8C3ctxq1tqvaCgkFb8cCA/edit?usp=sharing"",""ยโสธร!I265"")"),130.0)</f>
        <v>130</v>
      </c>
      <c r="J370" s="238">
        <f>IFERROR(__xludf.DUMMYFUNCTION("IMPORTRANGE(""https://docs.google.com/spreadsheets/d/1XL5vhW3sbDhbH9Cz0tuDiY8C3ctxq1tqvaCgkFb8cCA/edit?usp=sharing"",""ยโสธร!J265"")"),20.0)</f>
        <v>20</v>
      </c>
      <c r="K370" s="196">
        <f t="shared" si="107"/>
        <v>15.38461538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IFERROR(__xludf.DUMMYFUNCTION("IMPORTRANGE(""https://docs.google.com/spreadsheets/d/1XL5vhW3sbDhbH9Cz0tuDiY8C3ctxq1tqvaCgkFb8cCA/edit?usp=sharing"",""ยโสธร!I164"")"),0.0)</f>
        <v>0</v>
      </c>
      <c r="J371" s="223">
        <f>IFERROR(__xludf.DUMMYFUNCTION("IMPORTRANGE(""https://docs.google.com/spreadsheets/d/1XL5vhW3sbDhbH9Cz0tuDiY8C3ctxq1tqvaCgkFb8cCA/edit?usp=sharing"",""ยโสธร!J164"")"),0.0)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IFERROR(__xludf.DUMMYFUNCTION("IMPORTRANGE(""https://docs.google.com/spreadsheets/d/1XL5vhW3sbDhbH9Cz0tuDiY8C3ctxq1tqvaCgkFb8cCA/edit?usp=sharing"",""ยโสธร!I267"")"),130.0)</f>
        <v>130</v>
      </c>
      <c r="J372" s="223">
        <f>IFERROR(__xludf.DUMMYFUNCTION("IMPORTRANGE(""https://docs.google.com/spreadsheets/d/1XL5vhW3sbDhbH9Cz0tuDiY8C3ctxq1tqvaCgkFb8cCA/edit?usp=sharing"",""ยโสธร!J267"")"),0.0)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IFERROR(__xludf.DUMMYFUNCTION("IMPORTRANGE(""https://docs.google.com/spreadsheets/d/1XL5vhW3sbDhbH9Cz0tuDiY8C3ctxq1tqvaCgkFb8cCA/edit?usp=sharing"",""ยโสธร!I164"")"),0.0)</f>
        <v>0</v>
      </c>
      <c r="J373" s="238">
        <f>IFERROR(__xludf.DUMMYFUNCTION("IMPORTRANGE(""https://docs.google.com/spreadsheets/d/1XL5vhW3sbDhbH9Cz0tuDiY8C3ctxq1tqvaCgkFb8cCA/edit?usp=sharing"",""ยโสธร!J164"")"),0.0)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IFERROR(__xludf.DUMMYFUNCTION("IMPORTRANGE(""https://docs.google.com/spreadsheets/d/1XL5vhW3sbDhbH9Cz0tuDiY8C3ctxq1tqvaCgkFb8cCA/edit?usp=sharing"",""ยโสธร!I164"")"),0.0)</f>
        <v>0</v>
      </c>
      <c r="J374" s="222">
        <f>IFERROR(__xludf.DUMMYFUNCTION("IMPORTRANGE(""https://docs.google.com/spreadsheets/d/1XL5vhW3sbDhbH9Cz0tuDiY8C3ctxq1tqvaCgkFb8cCA/edit?usp=sharing"",""ยโสธร!J164"")"),0.0)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IFERROR(__xludf.DUMMYFUNCTION("IMPORTRANGE(""https://docs.google.com/spreadsheets/d/1XL5vhW3sbDhbH9Cz0tuDiY8C3ctxq1tqvaCgkFb8cCA/edit?usp=sharing"",""ยโสธร!I270"")"),360.0)</f>
        <v>360</v>
      </c>
      <c r="J375" s="222">
        <f>IFERROR(__xludf.DUMMYFUNCTION("IMPORTRANGE(""https://docs.google.com/spreadsheets/d/1XL5vhW3sbDhbH9Cz0tuDiY8C3ctxq1tqvaCgkFb8cCA/edit?usp=sharing"",""ยโสธร!J270"")"),0.0)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IFERROR(__xludf.DUMMYFUNCTION("IMPORTRANGE(""https://docs.google.com/spreadsheets/d/1XL5vhW3sbDhbH9Cz0tuDiY8C3ctxq1tqvaCgkFb8cCA/edit?usp=sharing"",""ยโสธร!I271"")"),100.0)</f>
        <v>100</v>
      </c>
      <c r="J376" s="223">
        <f>IFERROR(__xludf.DUMMYFUNCTION("IMPORTRANGE(""https://docs.google.com/spreadsheets/d/1XL5vhW3sbDhbH9Cz0tuDiY8C3ctxq1tqvaCgkFb8cCA/edit?usp=sharing"",""ยโสธร!J271"")"),0.0)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IFERROR(__xludf.DUMMYFUNCTION("IMPORTRANGE(""https://docs.google.com/spreadsheets/d/1XL5vhW3sbDhbH9Cz0tuDiY8C3ctxq1tqvaCgkFb8cCA/edit?usp=sharing"",""ยโสธร!I272"")"),260.0)</f>
        <v>260</v>
      </c>
      <c r="J377" s="238">
        <f>IFERROR(__xludf.DUMMYFUNCTION("IMPORTRANGE(""https://docs.google.com/spreadsheets/d/1XL5vhW3sbDhbH9Cz0tuDiY8C3ctxq1tqvaCgkFb8cCA/edit?usp=sharing"",""ยโสธร!J272"")"),0.0)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IFERROR(__xludf.DUMMYFUNCTION("IMPORTRANGE(""https://docs.google.com/spreadsheets/d/1XL5vhW3sbDhbH9Cz0tuDiY8C3ctxq1tqvaCgkFb8cCA/edit?usp=sharing"",""ยโสธร!J273"")"),0.0)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IFERROR(__xludf.DUMMYFUNCTION("IMPORTRANGE(""https://docs.google.com/spreadsheets/d/1XL5vhW3sbDhbH9Cz0tuDiY8C3ctxq1tqvaCgkFb8cCA/edit?usp=sharing"",""ยโสธร!J274"")"),0.0)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IFERROR(__xludf.DUMMYFUNCTION("IMPORTRANGE(""https://docs.google.com/spreadsheets/d/1XL5vhW3sbDhbH9Cz0tuDiY8C3ctxq1tqvaCgkFb8cCA/edit?usp=sharing"",""ยโสธร!I275"")"),500.0)</f>
        <v>500</v>
      </c>
      <c r="J380" s="404">
        <f>IFERROR(__xludf.DUMMYFUNCTION("IMPORTRANGE(""https://docs.google.com/spreadsheets/d/1XL5vhW3sbDhbH9Cz0tuDiY8C3ctxq1tqvaCgkFb8cCA/edit?usp=sharing"",""ยโสธร!J275"")"),0.0)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IFERROR(__xludf.DUMMYFUNCTION("IMPORTRANGE(""https://docs.google.com/spreadsheets/d/1XL5vhW3sbDhbH9Cz0tuDiY8C3ctxq1tqvaCgkFb8cCA/edit?usp=sharing"",""ยโสธร!L275"")"),460140.0)</f>
        <v>460140</v>
      </c>
      <c r="M380" s="406"/>
      <c r="N380" s="406">
        <f>IFERROR(__xludf.DUMMYFUNCTION("IMPORTRANGE(""https://docs.google.com/spreadsheets/d/1XL5vhW3sbDhbH9Cz0tuDiY8C3ctxq1tqvaCgkFb8cCA/edit?usp=sharing"",""ยโสธร!M275"")"),4000.0)</f>
        <v>4000</v>
      </c>
      <c r="O380" s="406">
        <f>+IF(L380&gt;0,N380*100/L380,0)</f>
        <v>0.8693006476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IFERROR(__xludf.DUMMYFUNCTION("IMPORTRANGE(""https://docs.google.com/spreadsheets/d/1XL5vhW3sbDhbH9Cz0tuDiY8C3ctxq1tqvaCgkFb8cCA/edit?usp=sharing"",""ยโสธร!I276"")"),50.0)</f>
        <v>50</v>
      </c>
      <c r="J381" s="404">
        <f>IFERROR(__xludf.DUMMYFUNCTION("IMPORTRANGE(""https://docs.google.com/spreadsheets/d/1XL5vhW3sbDhbH9Cz0tuDiY8C3ctxq1tqvaCgkFb8cCA/edit?usp=sharing"",""ยโสธร!J276"")"),0.0)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IFERROR(__xludf.DUMMYFUNCTION("IMPORTRANGE(""https://docs.google.com/spreadsheets/d/1XL5vhW3sbDhbH9Cz0tuDiY8C3ctxq1tqvaCgkFb8cCA/edit?usp=sharing"",""ยโสธร!L277"")"),0.0)</f>
        <v>0</v>
      </c>
      <c r="M382" s="197"/>
      <c r="N382" s="197">
        <f>IFERROR(__xludf.DUMMYFUNCTION("IMPORTRANGE(""https://docs.google.com/spreadsheets/d/1XL5vhW3sbDhbH9Cz0tuDiY8C3ctxq1tqvaCgkFb8cCA/edit?usp=sharing"",""ยโสธร!M277"")"),0.0)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IFERROR(__xludf.DUMMYFUNCTION("IMPORTRANGE(""https://docs.google.com/spreadsheets/d/1XL5vhW3sbDhbH9Cz0tuDiY8C3ctxq1tqvaCgkFb8cCA/edit?usp=sharing"",""ยโสธร!L278"")"),460140.0)</f>
        <v>460140</v>
      </c>
      <c r="M383" s="198"/>
      <c r="N383" s="198">
        <f>IFERROR(__xludf.DUMMYFUNCTION("IMPORTRANGE(""https://docs.google.com/spreadsheets/d/1XL5vhW3sbDhbH9Cz0tuDiY8C3ctxq1tqvaCgkFb8cCA/edit?usp=sharing"",""ยโสธร!M278"")"),4000.0)</f>
        <v>4000</v>
      </c>
      <c r="O383" s="198">
        <f t="shared" si="110"/>
        <v>0.8693006476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IFERROR(__xludf.DUMMYFUNCTION("IMPORTRANGE(""https://docs.google.com/spreadsheets/d/1XL5vhW3sbDhbH9Cz0tuDiY8C3ctxq1tqvaCgkFb8cCA/edit?usp=sharing"",""ยโสธร!L279"")"),0.0)</f>
        <v>0</v>
      </c>
      <c r="M384" s="203"/>
      <c r="N384" s="203">
        <f>IFERROR(__xludf.DUMMYFUNCTION("IMPORTRANGE(""https://docs.google.com/spreadsheets/d/1XL5vhW3sbDhbH9Cz0tuDiY8C3ctxq1tqvaCgkFb8cCA/edit?usp=sharing"",""ยโสธร!M279"")"),0.0)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IFERROR(__xludf.DUMMYFUNCTION("IMPORTRANGE(""https://docs.google.com/spreadsheets/d/1XL5vhW3sbDhbH9Cz0tuDiY8C3ctxq1tqvaCgkFb8cCA/edit?usp=sharing"",""ยโสธร!L280"")"),460140.0)</f>
        <v>460140</v>
      </c>
      <c r="M385" s="203"/>
      <c r="N385" s="200">
        <f>IFERROR(__xludf.DUMMYFUNCTION("IMPORTRANGE(""https://docs.google.com/spreadsheets/d/1XL5vhW3sbDhbH9Cz0tuDiY8C3ctxq1tqvaCgkFb8cCA/edit?usp=sharing"",""ยโสธร!M280"")"),4000.0)</f>
        <v>4000</v>
      </c>
      <c r="O385" s="203">
        <f t="shared" si="110"/>
        <v>0.8693006476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IFERROR(__xludf.DUMMYFUNCTION("IMPORTRANGE(""https://docs.google.com/spreadsheets/d/1XL5vhW3sbDhbH9Cz0tuDiY8C3ctxq1tqvaCgkFb8cCA/edit?usp=sharing"",""ยโสธร!M281"")"),0.0)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IFERROR(__xludf.DUMMYFUNCTION("IMPORTRANGE(""https://docs.google.com/spreadsheets/d/1XL5vhW3sbDhbH9Cz0tuDiY8C3ctxq1tqvaCgkFb8cCA/edit?usp=sharing"",""ยโสธร!M282"")"),0.0)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IFERROR(__xludf.DUMMYFUNCTION("IMPORTRANGE(""https://docs.google.com/spreadsheets/d/1XL5vhW3sbDhbH9Cz0tuDiY8C3ctxq1tqvaCgkFb8cCA/edit?usp=sharing"",""ยโสธร!M283"")"),0.0)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IFERROR(__xludf.DUMMYFUNCTION("IMPORTRANGE(""https://docs.google.com/spreadsheets/d/1XL5vhW3sbDhbH9Cz0tuDiY8C3ctxq1tqvaCgkFb8cCA/edit?usp=sharing"",""ยโสธร!M284"")"),4000.0)</f>
        <v>4000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IFERROR(__xludf.DUMMYFUNCTION("IMPORTRANGE(""https://docs.google.com/spreadsheets/d/1XL5vhW3sbDhbH9Cz0tuDiY8C3ctxq1tqvaCgkFb8cCA/edit?usp=sharing"",""ยโสธร!J286"")"),0.0)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IFERROR(__xludf.DUMMYFUNCTION("IMPORTRANGE(""https://docs.google.com/spreadsheets/d/1XL5vhW3sbDhbH9Cz0tuDiY8C3ctxq1tqvaCgkFb8cCA/edit?usp=sharing"",""ยโสธร!J287"")"),1.0)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IFERROR(__xludf.DUMMYFUNCTION("IMPORTRANGE(""https://docs.google.com/spreadsheets/d/1XL5vhW3sbDhbH9Cz0tuDiY8C3ctxq1tqvaCgkFb8cCA/edit?usp=sharing"",""ยโสธร!J288"")"),0.0)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IFERROR(__xludf.DUMMYFUNCTION("IMPORTRANGE(""https://docs.google.com/spreadsheets/d/1XL5vhW3sbDhbH9Cz0tuDiY8C3ctxq1tqvaCgkFb8cCA/edit?usp=sharing"",""ยโสธร!J289"")"),0.0)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IFERROR(__xludf.DUMMYFUNCTION("IMPORTRANGE(""https://docs.google.com/spreadsheets/d/1XL5vhW3sbDhbH9Cz0tuDiY8C3ctxq1tqvaCgkFb8cCA/edit?usp=sharing"",""ยโสธร!I291"")"),50.0)</f>
        <v>50</v>
      </c>
      <c r="J396" s="232">
        <f>IFERROR(__xludf.DUMMYFUNCTION("IMPORTRANGE(""https://docs.google.com/spreadsheets/d/1XL5vhW3sbDhbH9Cz0tuDiY8C3ctxq1tqvaCgkFb8cCA/edit?usp=sharing"",""ยโสธร!J291"")"),0.0)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IFERROR(__xludf.DUMMYFUNCTION("IMPORTRANGE(""https://docs.google.com/spreadsheets/d/1XL5vhW3sbDhbH9Cz0tuDiY8C3ctxq1tqvaCgkFb8cCA/edit?usp=sharing"",""ยโสธร!I292"")"),500.0)</f>
        <v>500</v>
      </c>
      <c r="J397" s="232">
        <f>IFERROR(__xludf.DUMMYFUNCTION("IMPORTRANGE(""https://docs.google.com/spreadsheets/d/1XL5vhW3sbDhbH9Cz0tuDiY8C3ctxq1tqvaCgkFb8cCA/edit?usp=sharing"",""ยโสธร!J292"")"),0.0)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IFERROR(__xludf.DUMMYFUNCTION("IMPORTRANGE(""https://docs.google.com/spreadsheets/d/1XL5vhW3sbDhbH9Cz0tuDiY8C3ctxq1tqvaCgkFb8cCA/edit?usp=sharing"",""ยโสธร!I293"")"),50.0)</f>
        <v>50</v>
      </c>
      <c r="J398" s="232">
        <f>IFERROR(__xludf.DUMMYFUNCTION("IMPORTRANGE(""https://docs.google.com/spreadsheets/d/1XL5vhW3sbDhbH9Cz0tuDiY8C3ctxq1tqvaCgkFb8cCA/edit?usp=sharing"",""ยโสธร!J293"")"),0.0)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IFERROR(__xludf.DUMMYFUNCTION("IMPORTRANGE(""https://docs.google.com/spreadsheets/d/1XL5vhW3sbDhbH9Cz0tuDiY8C3ctxq1tqvaCgkFb8cCA/edit?usp=sharing"",""ยโสธร!J294"")"),0.0)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IFERROR(__xludf.DUMMYFUNCTION("IMPORTRANGE(""https://docs.google.com/spreadsheets/d/1XL5vhW3sbDhbH9Cz0tuDiY8C3ctxq1tqvaCgkFb8cCA/edit?usp=sharing"",""ยโสธร!J295"")"),0.0)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IFERROR(__xludf.DUMMYFUNCTION("IMPORTRANGE(""https://docs.google.com/spreadsheets/d/1XL5vhW3sbDhbH9Cz0tuDiY8C3ctxq1tqvaCgkFb8cCA/edit?usp=sharing"",""ยโสธร!I296"")"),165.0)</f>
        <v>165</v>
      </c>
      <c r="J401" s="404">
        <f>IFERROR(__xludf.DUMMYFUNCTION("IMPORTRANGE(""https://docs.google.com/spreadsheets/d/1XL5vhW3sbDhbH9Cz0tuDiY8C3ctxq1tqvaCgkFb8cCA/edit?usp=sharing"",""ยโสธร!J296"")"),135.0)</f>
        <v>135</v>
      </c>
      <c r="K401" s="405">
        <f t="shared" ref="K401:K402" si="112">IF(I401&gt;0,J401*100/I401,0)</f>
        <v>81.81818182</v>
      </c>
      <c r="L401" s="406">
        <f>IFERROR(__xludf.DUMMYFUNCTION("IMPORTRANGE(""https://docs.google.com/spreadsheets/d/1XL5vhW3sbDhbH9Cz0tuDiY8C3ctxq1tqvaCgkFb8cCA/edit?usp=sharing"",""ยโสธร!L296"")"),193190.0)</f>
        <v>193190</v>
      </c>
      <c r="M401" s="406"/>
      <c r="N401" s="406">
        <f>IFERROR(__xludf.DUMMYFUNCTION("IMPORTRANGE(""https://docs.google.com/spreadsheets/d/1XL5vhW3sbDhbH9Cz0tuDiY8C3ctxq1tqvaCgkFb8cCA/edit?usp=sharing"",""ยโสธร!M296"")"),30390.0)</f>
        <v>30390</v>
      </c>
      <c r="O401" s="406">
        <f>+IF(L401&gt;0,N401*100/L401,0)</f>
        <v>15.73062788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IFERROR(__xludf.DUMMYFUNCTION("IMPORTRANGE(""https://docs.google.com/spreadsheets/d/1XL5vhW3sbDhbH9Cz0tuDiY8C3ctxq1tqvaCgkFb8cCA/edit?usp=sharing"",""ยโสธร!I297"")"),55.0)</f>
        <v>55</v>
      </c>
      <c r="J402" s="404">
        <f>IFERROR(__xludf.DUMMYFUNCTION("IMPORTRANGE(""https://docs.google.com/spreadsheets/d/1XL5vhW3sbDhbH9Cz0tuDiY8C3ctxq1tqvaCgkFb8cCA/edit?usp=sharing"",""ยโสธร!J297"")"),20.0)</f>
        <v>20</v>
      </c>
      <c r="K402" s="405">
        <f t="shared" si="112"/>
        <v>36.36363636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IFERROR(__xludf.DUMMYFUNCTION("IMPORTRANGE(""https://docs.google.com/spreadsheets/d/1XL5vhW3sbDhbH9Cz0tuDiY8C3ctxq1tqvaCgkFb8cCA/edit?usp=sharing"",""ยโสธร!L298"")"),0.0)</f>
        <v>0</v>
      </c>
      <c r="M403" s="197"/>
      <c r="N403" s="203">
        <f>IFERROR(__xludf.DUMMYFUNCTION("IMPORTRANGE(""https://docs.google.com/spreadsheets/d/1XL5vhW3sbDhbH9Cz0tuDiY8C3ctxq1tqvaCgkFb8cCA/edit?usp=sharing"",""ยโสธร!M298"")"),0.0)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IFERROR(__xludf.DUMMYFUNCTION("IMPORTRANGE(""https://docs.google.com/spreadsheets/d/1XL5vhW3sbDhbH9Cz0tuDiY8C3ctxq1tqvaCgkFb8cCA/edit?usp=sharing"",""ยโสธร!L299"")"),193190.0)</f>
        <v>193190</v>
      </c>
      <c r="M404" s="198"/>
      <c r="N404" s="203">
        <f>IFERROR(__xludf.DUMMYFUNCTION("IMPORTRANGE(""https://docs.google.com/spreadsheets/d/1XL5vhW3sbDhbH9Cz0tuDiY8C3ctxq1tqvaCgkFb8cCA/edit?usp=sharing"",""ยโสธร!M299"")"),30390.0)</f>
        <v>30390</v>
      </c>
      <c r="O404" s="203">
        <f t="shared" si="113"/>
        <v>15.73062788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IFERROR(__xludf.DUMMYFUNCTION("IMPORTRANGE(""https://docs.google.com/spreadsheets/d/1XL5vhW3sbDhbH9Cz0tuDiY8C3ctxq1tqvaCgkFb8cCA/edit?usp=sharing"",""ยโสธร!L300"")"),0.0)</f>
        <v>0</v>
      </c>
      <c r="M405" s="203"/>
      <c r="N405" s="203">
        <f>IFERROR(__xludf.DUMMYFUNCTION("IMPORTRANGE(""https://docs.google.com/spreadsheets/d/1XL5vhW3sbDhbH9Cz0tuDiY8C3ctxq1tqvaCgkFb8cCA/edit?usp=sharing"",""ยโสธร!M300"")"),0.0)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IFERROR(__xludf.DUMMYFUNCTION("IMPORTRANGE(""https://docs.google.com/spreadsheets/d/1XL5vhW3sbDhbH9Cz0tuDiY8C3ctxq1tqvaCgkFb8cCA/edit?usp=sharing"",""ยโสธร!L301"")"),193190.0)</f>
        <v>193190</v>
      </c>
      <c r="M406" s="203"/>
      <c r="N406" s="203">
        <f>IFERROR(__xludf.DUMMYFUNCTION("IMPORTRANGE(""https://docs.google.com/spreadsheets/d/1XL5vhW3sbDhbH9Cz0tuDiY8C3ctxq1tqvaCgkFb8cCA/edit?usp=sharing"",""ยโสธร!M301"")"),30390.0)</f>
        <v>30390</v>
      </c>
      <c r="O406" s="203">
        <f t="shared" si="113"/>
        <v>15.73062788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IFERROR(__xludf.DUMMYFUNCTION("IMPORTRANGE(""https://docs.google.com/spreadsheets/d/1XL5vhW3sbDhbH9Cz0tuDiY8C3ctxq1tqvaCgkFb8cCA/edit?usp=sharing"",""ยโสธร!M302"")"),27880.0)</f>
        <v>27880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IFERROR(__xludf.DUMMYFUNCTION("IMPORTRANGE(""https://docs.google.com/spreadsheets/d/1XL5vhW3sbDhbH9Cz0tuDiY8C3ctxq1tqvaCgkFb8cCA/edit?usp=sharing"",""ยโสธร!M303"")"),0.0)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IFERROR(__xludf.DUMMYFUNCTION("IMPORTRANGE(""https://docs.google.com/spreadsheets/d/1XL5vhW3sbDhbH9Cz0tuDiY8C3ctxq1tqvaCgkFb8cCA/edit?usp=sharing"",""ยโสธร!M304"")"),0.0)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IFERROR(__xludf.DUMMYFUNCTION("IMPORTRANGE(""https://docs.google.com/spreadsheets/d/1XL5vhW3sbDhbH9Cz0tuDiY8C3ctxq1tqvaCgkFb8cCA/edit?usp=sharing"",""ยโสธร!M305"")"),2510.0)</f>
        <v>2510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IFERROR(__xludf.DUMMYFUNCTION("IMPORTRANGE(""https://docs.google.com/spreadsheets/d/1XL5vhW3sbDhbH9Cz0tuDiY8C3ctxq1tqvaCgkFb8cCA/edit?usp=sharing"",""ยโสธร!J307"")"),0.0)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IFERROR(__xludf.DUMMYFUNCTION("IMPORTRANGE(""https://docs.google.com/spreadsheets/d/1XL5vhW3sbDhbH9Cz0tuDiY8C3ctxq1tqvaCgkFb8cCA/edit?usp=sharing"",""ยโสธร!J308"")"),1.0)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IFERROR(__xludf.DUMMYFUNCTION("IMPORTRANGE(""https://docs.google.com/spreadsheets/d/1XL5vhW3sbDhbH9Cz0tuDiY8C3ctxq1tqvaCgkFb8cCA/edit?usp=sharing"",""ยโสธร!J309"")"),1.0)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IFERROR(__xludf.DUMMYFUNCTION("IMPORTRANGE(""https://docs.google.com/spreadsheets/d/1XL5vhW3sbDhbH9Cz0tuDiY8C3ctxq1tqvaCgkFb8cCA/edit?usp=sharing"",""ยโสธร!J310"")"),1.0)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IFERROR(__xludf.DUMMYFUNCTION("IMPORTRANGE(""https://docs.google.com/spreadsheets/d/1XL5vhW3sbDhbH9Cz0tuDiY8C3ctxq1tqvaCgkFb8cCA/edit?usp=sharing"",""ยโสธร!I311"")"),55.0)</f>
        <v>55</v>
      </c>
      <c r="J416" s="235">
        <f>IFERROR(__xludf.DUMMYFUNCTION("IMPORTRANGE(""https://docs.google.com/spreadsheets/d/1XL5vhW3sbDhbH9Cz0tuDiY8C3ctxq1tqvaCgkFb8cCA/edit?usp=sharing"",""ยโสธร!J311"")"),20.0)</f>
        <v>20</v>
      </c>
      <c r="K416" s="236">
        <f t="shared" ref="K416:K432" si="114">IF(I416&gt;0,J416*100/I416,0)</f>
        <v>36.36363636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IFERROR(__xludf.DUMMYFUNCTION("IMPORTRANGE(""https://docs.google.com/spreadsheets/d/1XL5vhW3sbDhbH9Cz0tuDiY8C3ctxq1tqvaCgkFb8cCA/edit?usp=sharing"",""ยโสธร!I312"")"),20.0)</f>
        <v>20</v>
      </c>
      <c r="J417" s="425">
        <f>IFERROR(__xludf.DUMMYFUNCTION("IMPORTRANGE(""https://docs.google.com/spreadsheets/d/1XL5vhW3sbDhbH9Cz0tuDiY8C3ctxq1tqvaCgkFb8cCA/edit?usp=sharing"",""ยโสธร!J312"")"),20.0)</f>
        <v>20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IFERROR(__xludf.DUMMYFUNCTION("IMPORTRANGE(""https://docs.google.com/spreadsheets/d/1XL5vhW3sbDhbH9Cz0tuDiY8C3ctxq1tqvaCgkFb8cCA/edit?usp=sharing"",""ยโสธร!I313"")"),60.0)</f>
        <v>60</v>
      </c>
      <c r="J418" s="426">
        <f>IFERROR(__xludf.DUMMYFUNCTION("IMPORTRANGE(""https://docs.google.com/spreadsheets/d/1XL5vhW3sbDhbH9Cz0tuDiY8C3ctxq1tqvaCgkFb8cCA/edit?usp=sharing"",""ยโสธร!J313"")"),60.0)</f>
        <v>60</v>
      </c>
      <c r="K418" s="236">
        <f t="shared" si="114"/>
        <v>100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IFERROR(__xludf.DUMMYFUNCTION("IMPORTRANGE(""https://docs.google.com/spreadsheets/d/1XL5vhW3sbDhbH9Cz0tuDiY8C3ctxq1tqvaCgkFb8cCA/edit?usp=sharing"",""ยโสธร!I314"")"),20.0)</f>
        <v>20</v>
      </c>
      <c r="J419" s="427">
        <f>IFERROR(__xludf.DUMMYFUNCTION("IMPORTRANGE(""https://docs.google.com/spreadsheets/d/1XL5vhW3sbDhbH9Cz0tuDiY8C3ctxq1tqvaCgkFb8cCA/edit?usp=sharing"",""ยโสธร!J314"")"),20.0)</f>
        <v>20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IFERROR(__xludf.DUMMYFUNCTION("IMPORTRANGE(""https://docs.google.com/spreadsheets/d/1XL5vhW3sbDhbH9Cz0tuDiY8C3ctxq1tqvaCgkFb8cCA/edit?usp=sharing"",""ยโสธร!I315"")"),20.0)</f>
        <v>20</v>
      </c>
      <c r="J420" s="427">
        <f>IFERROR(__xludf.DUMMYFUNCTION("IMPORTRANGE(""https://docs.google.com/spreadsheets/d/1XL5vhW3sbDhbH9Cz0tuDiY8C3ctxq1tqvaCgkFb8cCA/edit?usp=sharing"",""ยโสธร!J315"")"),20.0)</f>
        <v>20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IFERROR(__xludf.DUMMYFUNCTION("IMPORTRANGE(""https://docs.google.com/spreadsheets/d/1XL5vhW3sbDhbH9Cz0tuDiY8C3ctxq1tqvaCgkFb8cCA/edit?usp=sharing"",""ยโสธร!I316"")"),25.0)</f>
        <v>25</v>
      </c>
      <c r="J421" s="425">
        <f>IFERROR(__xludf.DUMMYFUNCTION("IMPORTRANGE(""https://docs.google.com/spreadsheets/d/1XL5vhW3sbDhbH9Cz0tuDiY8C3ctxq1tqvaCgkFb8cCA/edit?usp=sharing"",""ยโสธร!J316"")"),0.0)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IFERROR(__xludf.DUMMYFUNCTION("IMPORTRANGE(""https://docs.google.com/spreadsheets/d/1XL5vhW3sbDhbH9Cz0tuDiY8C3ctxq1tqvaCgkFb8cCA/edit?usp=sharing"",""ยโสธร!I317"")"),75.0)</f>
        <v>75</v>
      </c>
      <c r="J422" s="426">
        <f>IFERROR(__xludf.DUMMYFUNCTION("IMPORTRANGE(""https://docs.google.com/spreadsheets/d/1XL5vhW3sbDhbH9Cz0tuDiY8C3ctxq1tqvaCgkFb8cCA/edit?usp=sharing"",""ยโสธร!J317"")"),75.0)</f>
        <v>75</v>
      </c>
      <c r="K422" s="236">
        <f t="shared" si="114"/>
        <v>100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IFERROR(__xludf.DUMMYFUNCTION("IMPORTRANGE(""https://docs.google.com/spreadsheets/d/1XL5vhW3sbDhbH9Cz0tuDiY8C3ctxq1tqvaCgkFb8cCA/edit?usp=sharing"",""ยโสธร!I318"")"),25.0)</f>
        <v>25</v>
      </c>
      <c r="J423" s="427">
        <f>IFERROR(__xludf.DUMMYFUNCTION("IMPORTRANGE(""https://docs.google.com/spreadsheets/d/1XL5vhW3sbDhbH9Cz0tuDiY8C3ctxq1tqvaCgkFb8cCA/edit?usp=sharing"",""ยโสธร!J318"")"),25.0)</f>
        <v>25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IFERROR(__xludf.DUMMYFUNCTION("IMPORTRANGE(""https://docs.google.com/spreadsheets/d/1XL5vhW3sbDhbH9Cz0tuDiY8C3ctxq1tqvaCgkFb8cCA/edit?usp=sharing"",""ยโสธร!I319"")"),25.0)</f>
        <v>25</v>
      </c>
      <c r="J424" s="427">
        <f>IFERROR(__xludf.DUMMYFUNCTION("IMPORTRANGE(""https://docs.google.com/spreadsheets/d/1XL5vhW3sbDhbH9Cz0tuDiY8C3ctxq1tqvaCgkFb8cCA/edit?usp=sharing"",""ยโสธร!J319"")"),0.0)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IFERROR(__xludf.DUMMYFUNCTION("IMPORTRANGE(""https://docs.google.com/spreadsheets/d/1XL5vhW3sbDhbH9Cz0tuDiY8C3ctxq1tqvaCgkFb8cCA/edit?usp=sharing"",""ยโสธร!I320"")"),25.0)</f>
        <v>25</v>
      </c>
      <c r="J425" s="427">
        <f>IFERROR(__xludf.DUMMYFUNCTION("IMPORTRANGE(""https://docs.google.com/spreadsheets/d/1XL5vhW3sbDhbH9Cz0tuDiY8C3ctxq1tqvaCgkFb8cCA/edit?usp=sharing"",""ยโสธร!J320"")"),0.0)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IFERROR(__xludf.DUMMYFUNCTION("IMPORTRANGE(""https://docs.google.com/spreadsheets/d/1XL5vhW3sbDhbH9Cz0tuDiY8C3ctxq1tqvaCgkFb8cCA/edit?usp=sharing"",""ยโสธร!I321"")"),10.0)</f>
        <v>10</v>
      </c>
      <c r="J426" s="425">
        <f>IFERROR(__xludf.DUMMYFUNCTION("IMPORTRANGE(""https://docs.google.com/spreadsheets/d/1XL5vhW3sbDhbH9Cz0tuDiY8C3ctxq1tqvaCgkFb8cCA/edit?usp=sharing"",""ยโสธร!J321"")"),0.0)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IFERROR(__xludf.DUMMYFUNCTION("IMPORTRANGE(""https://docs.google.com/spreadsheets/d/1XL5vhW3sbDhbH9Cz0tuDiY8C3ctxq1tqvaCgkFb8cCA/edit?usp=sharing"",""ยโสธร!I322"")"),30.0)</f>
        <v>30</v>
      </c>
      <c r="J427" s="426">
        <f>IFERROR(__xludf.DUMMYFUNCTION("IMPORTRANGE(""https://docs.google.com/spreadsheets/d/1XL5vhW3sbDhbH9Cz0tuDiY8C3ctxq1tqvaCgkFb8cCA/edit?usp=sharing"",""ยโสธร!J322"")"),0.0)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IFERROR(__xludf.DUMMYFUNCTION("IMPORTRANGE(""https://docs.google.com/spreadsheets/d/1XL5vhW3sbDhbH9Cz0tuDiY8C3ctxq1tqvaCgkFb8cCA/edit?usp=sharing"",""ยโสธร!I323"")"),10.0)</f>
        <v>10</v>
      </c>
      <c r="J428" s="427">
        <f>IFERROR(__xludf.DUMMYFUNCTION("IMPORTRANGE(""https://docs.google.com/spreadsheets/d/1XL5vhW3sbDhbH9Cz0tuDiY8C3ctxq1tqvaCgkFb8cCA/edit?usp=sharing"",""ยโสธร!J323"")"),0.0)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IFERROR(__xludf.DUMMYFUNCTION("IMPORTRANGE(""https://docs.google.com/spreadsheets/d/1XL5vhW3sbDhbH9Cz0tuDiY8C3ctxq1tqvaCgkFb8cCA/edit?usp=sharing"",""ยโสธร!I324"")"),10.0)</f>
        <v>10</v>
      </c>
      <c r="J429" s="427">
        <f>IFERROR(__xludf.DUMMYFUNCTION("IMPORTRANGE(""https://docs.google.com/spreadsheets/d/1XL5vhW3sbDhbH9Cz0tuDiY8C3ctxq1tqvaCgkFb8cCA/edit?usp=sharing"",""ยโสธร!J324"")"),0.0)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IFERROR(__xludf.DUMMYFUNCTION("IMPORTRANGE(""https://docs.google.com/spreadsheets/d/1XL5vhW3sbDhbH9Cz0tuDiY8C3ctxq1tqvaCgkFb8cCA/edit?usp=sharing"",""ยโสธร!I325"")"),45.0)</f>
        <v>45</v>
      </c>
      <c r="J430" s="425">
        <f>IFERROR(__xludf.DUMMYFUNCTION("IMPORTRANGE(""https://docs.google.com/spreadsheets/d/1XL5vhW3sbDhbH9Cz0tuDiY8C3ctxq1tqvaCgkFb8cCA/edit?usp=sharing"",""ยโสธร!J325"")"),0.0)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IFERROR(__xludf.DUMMYFUNCTION("IMPORTRANGE(""https://docs.google.com/spreadsheets/d/1XL5vhW3sbDhbH9Cz0tuDiY8C3ctxq1tqvaCgkFb8cCA/edit?usp=sharing"",""ยโสธร!I326"")"),20.0)</f>
        <v>20</v>
      </c>
      <c r="J431" s="427">
        <f>IFERROR(__xludf.DUMMYFUNCTION("IMPORTRANGE(""https://docs.google.com/spreadsheets/d/1XL5vhW3sbDhbH9Cz0tuDiY8C3ctxq1tqvaCgkFb8cCA/edit?usp=sharing"",""ยโสธร!J326"")"),0.0)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IFERROR(__xludf.DUMMYFUNCTION("IMPORTRANGE(""https://docs.google.com/spreadsheets/d/1XL5vhW3sbDhbH9Cz0tuDiY8C3ctxq1tqvaCgkFb8cCA/edit?usp=sharing"",""ยโสธร!I327"")"),25.0)</f>
        <v>25</v>
      </c>
      <c r="J432" s="427">
        <f>IFERROR(__xludf.DUMMYFUNCTION("IMPORTRANGE(""https://docs.google.com/spreadsheets/d/1XL5vhW3sbDhbH9Cz0tuDiY8C3ctxq1tqvaCgkFb8cCA/edit?usp=sharing"",""ยโสธร!J327"")"),0.0)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IFERROR(__xludf.DUMMYFUNCTION("IMPORTRANGE(""https://docs.google.com/spreadsheets/d/1XL5vhW3sbDhbH9Cz0tuDiY8C3ctxq1tqvaCgkFb8cCA/edit?usp=sharing"",""ยโสธร!J328"")"),0.0)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IFERROR(__xludf.DUMMYFUNCTION("IMPORTRANGE(""https://docs.google.com/spreadsheets/d/1XL5vhW3sbDhbH9Cz0tuDiY8C3ctxq1tqvaCgkFb8cCA/edit?usp=sharing"",""ยโสธร!J329"")"),0.0)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IFERROR(__xludf.DUMMYFUNCTION("IMPORTRANGE(""https://docs.google.com/spreadsheets/d/1XL5vhW3sbDhbH9Cz0tuDiY8C3ctxq1tqvaCgkFb8cCA/edit?usp=sharing"",""ยโสธร!I330"")"),15.0)</f>
        <v>15</v>
      </c>
      <c r="J435" s="443">
        <f>IFERROR(__xludf.DUMMYFUNCTION("IMPORTRANGE(""https://docs.google.com/spreadsheets/d/1XL5vhW3sbDhbH9Cz0tuDiY8C3ctxq1tqvaCgkFb8cCA/edit?usp=sharing"",""ยโสธร!J330"")"),15.0)</f>
        <v>15</v>
      </c>
      <c r="K435" s="444">
        <f>IF(I435&gt;0,J435*100/I435,0)</f>
        <v>100</v>
      </c>
      <c r="L435" s="445">
        <f>IFERROR(__xludf.DUMMYFUNCTION("IMPORTRANGE(""https://docs.google.com/spreadsheets/d/1XL5vhW3sbDhbH9Cz0tuDiY8C3ctxq1tqvaCgkFb8cCA/edit?usp=sharing"",""ยโสธร!L330"")"),83000.0)</f>
        <v>83000</v>
      </c>
      <c r="M435" s="445"/>
      <c r="N435" s="445">
        <f>IFERROR(__xludf.DUMMYFUNCTION("IMPORTRANGE(""https://docs.google.com/spreadsheets/d/1XL5vhW3sbDhbH9Cz0tuDiY8C3ctxq1tqvaCgkFb8cCA/edit?usp=sharing"",""ยโสธร!M330"")"),34620.0)</f>
        <v>34620</v>
      </c>
      <c r="O435" s="445">
        <f t="shared" ref="O435:O439" si="115">+IF(L435&gt;0,N435*100/L435,0)</f>
        <v>41.71084337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IFERROR(__xludf.DUMMYFUNCTION("IMPORTRANGE(""https://docs.google.com/spreadsheets/d/1XL5vhW3sbDhbH9Cz0tuDiY8C3ctxq1tqvaCgkFb8cCA/edit?usp=sharing"",""ยโสธร!L331"")"),0.0)</f>
        <v>0</v>
      </c>
      <c r="M436" s="197"/>
      <c r="N436" s="203">
        <f>IFERROR(__xludf.DUMMYFUNCTION("IMPORTRANGE(""https://docs.google.com/spreadsheets/d/1XL5vhW3sbDhbH9Cz0tuDiY8C3ctxq1tqvaCgkFb8cCA/edit?usp=sharing"",""ยโสธร!M331"")"),0.0)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IFERROR(__xludf.DUMMYFUNCTION("IMPORTRANGE(""https://docs.google.com/spreadsheets/d/1XL5vhW3sbDhbH9Cz0tuDiY8C3ctxq1tqvaCgkFb8cCA/edit?usp=sharing"",""ยโสธร!L332"")"),83000.0)</f>
        <v>83000</v>
      </c>
      <c r="M437" s="198"/>
      <c r="N437" s="203">
        <f>IFERROR(__xludf.DUMMYFUNCTION("IMPORTRANGE(""https://docs.google.com/spreadsheets/d/1XL5vhW3sbDhbH9Cz0tuDiY8C3ctxq1tqvaCgkFb8cCA/edit?usp=sharing"",""ยโสธร!M332"")"),34620.0)</f>
        <v>34620</v>
      </c>
      <c r="O437" s="203">
        <f t="shared" si="115"/>
        <v>41.71084337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IFERROR(__xludf.DUMMYFUNCTION("IMPORTRANGE(""https://docs.google.com/spreadsheets/d/1XL5vhW3sbDhbH9Cz0tuDiY8C3ctxq1tqvaCgkFb8cCA/edit?usp=sharing"",""ยโสธร!L333"")"),0.0)</f>
        <v>0</v>
      </c>
      <c r="M438" s="203"/>
      <c r="N438" s="203">
        <f>IFERROR(__xludf.DUMMYFUNCTION("IMPORTRANGE(""https://docs.google.com/spreadsheets/d/1XL5vhW3sbDhbH9Cz0tuDiY8C3ctxq1tqvaCgkFb8cCA/edit?usp=sharing"",""ยโสธร!M333"")"),0.0)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IFERROR(__xludf.DUMMYFUNCTION("IMPORTRANGE(""https://docs.google.com/spreadsheets/d/1XL5vhW3sbDhbH9Cz0tuDiY8C3ctxq1tqvaCgkFb8cCA/edit?usp=sharing"",""ยโสธร!L334"")"),83000.0)</f>
        <v>83000</v>
      </c>
      <c r="M439" s="203"/>
      <c r="N439" s="203">
        <f>IFERROR(__xludf.DUMMYFUNCTION("IMPORTRANGE(""https://docs.google.com/spreadsheets/d/1XL5vhW3sbDhbH9Cz0tuDiY8C3ctxq1tqvaCgkFb8cCA/edit?usp=sharing"",""ยโสธร!M334"")"),34620.0)</f>
        <v>34620</v>
      </c>
      <c r="O439" s="203">
        <f t="shared" si="115"/>
        <v>41.71084337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IFERROR(__xludf.DUMMYFUNCTION("IMPORTRANGE(""https://docs.google.com/spreadsheets/d/1XL5vhW3sbDhbH9Cz0tuDiY8C3ctxq1tqvaCgkFb8cCA/edit?usp=sharing"",""ยโสธร!M335"")"),32200.0)</f>
        <v>32200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IFERROR(__xludf.DUMMYFUNCTION("IMPORTRANGE(""https://docs.google.com/spreadsheets/d/1XL5vhW3sbDhbH9Cz0tuDiY8C3ctxq1tqvaCgkFb8cCA/edit?usp=sharing"",""ยโสธร!M336"")"),0.0)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IFERROR(__xludf.DUMMYFUNCTION("IMPORTRANGE(""https://docs.google.com/spreadsheets/d/1XL5vhW3sbDhbH9Cz0tuDiY8C3ctxq1tqvaCgkFb8cCA/edit?usp=sharing"",""ยโสธร!M337"")"),0.0)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IFERROR(__xludf.DUMMYFUNCTION("IMPORTRANGE(""https://docs.google.com/spreadsheets/d/1XL5vhW3sbDhbH9Cz0tuDiY8C3ctxq1tqvaCgkFb8cCA/edit?usp=sharing"",""ยโสธร!M338"")"),2420.0)</f>
        <v>2420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IFERROR(__xludf.DUMMYFUNCTION("IMPORTRANGE(""https://docs.google.com/spreadsheets/d/1XL5vhW3sbDhbH9Cz0tuDiY8C3ctxq1tqvaCgkFb8cCA/edit?usp=sharing"",""ยโสธร!J340"")"),0.0)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IFERROR(__xludf.DUMMYFUNCTION("IMPORTRANGE(""https://docs.google.com/spreadsheets/d/1XL5vhW3sbDhbH9Cz0tuDiY8C3ctxq1tqvaCgkFb8cCA/edit?usp=sharing"",""ยโสธร!J341"")"),1.0)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IFERROR(__xludf.DUMMYFUNCTION("IMPORTRANGE(""https://docs.google.com/spreadsheets/d/1XL5vhW3sbDhbH9Cz0tuDiY8C3ctxq1tqvaCgkFb8cCA/edit?usp=sharing"",""ยโสธร!J342"")"),1.0)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IFERROR(__xludf.DUMMYFUNCTION("IMPORTRANGE(""https://docs.google.com/spreadsheets/d/1XL5vhW3sbDhbH9Cz0tuDiY8C3ctxq1tqvaCgkFb8cCA/edit?usp=sharing"",""ยโสธร!J343"")"),1.0)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IFERROR(__xludf.DUMMYFUNCTION("IMPORTRANGE(""https://docs.google.com/spreadsheets/d/1XL5vhW3sbDhbH9Cz0tuDiY8C3ctxq1tqvaCgkFb8cCA/edit?usp=sharing"",""ยโสธร!I344"")"),15.0)</f>
        <v>15</v>
      </c>
      <c r="J449" s="235">
        <f>IFERROR(__xludf.DUMMYFUNCTION("IMPORTRANGE(""https://docs.google.com/spreadsheets/d/1XL5vhW3sbDhbH9Cz0tuDiY8C3ctxq1tqvaCgkFb8cCA/edit?usp=sharing"",""ยโสธร!J344"")"),15.0)</f>
        <v>15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IFERROR(__xludf.DUMMYFUNCTION("IMPORTRANGE(""https://docs.google.com/spreadsheets/d/1XL5vhW3sbDhbH9Cz0tuDiY8C3ctxq1tqvaCgkFb8cCA/edit?usp=sharing"",""ยโสธร!I345"")"),15.0)</f>
        <v>15</v>
      </c>
      <c r="J450" s="223">
        <f>IFERROR(__xludf.DUMMYFUNCTION("IMPORTRANGE(""https://docs.google.com/spreadsheets/d/1XL5vhW3sbDhbH9Cz0tuDiY8C3ctxq1tqvaCgkFb8cCA/edit?usp=sharing"",""ยโสธร!J345"")"),15.0)</f>
        <v>15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IFERROR(__xludf.DUMMYFUNCTION("IMPORTRANGE(""https://docs.google.com/spreadsheets/d/1XL5vhW3sbDhbH9Cz0tuDiY8C3ctxq1tqvaCgkFb8cCA/edit?usp=sharing"",""ยโสธร!I346"")"),0.0)</f>
        <v>0</v>
      </c>
      <c r="J451" s="222">
        <f>IFERROR(__xludf.DUMMYFUNCTION("IMPORTRANGE(""https://docs.google.com/spreadsheets/d/1XL5vhW3sbDhbH9Cz0tuDiY8C3ctxq1tqvaCgkFb8cCA/edit?usp=sharing"",""ยโสธร!J346"")"),0.0)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IFERROR(__xludf.DUMMYFUNCTION("IMPORTRANGE(""https://docs.google.com/spreadsheets/d/1XL5vhW3sbDhbH9Cz0tuDiY8C3ctxq1tqvaCgkFb8cCA/edit?usp=sharing"",""ยโสธร!I347"")"),0.0)</f>
        <v>0</v>
      </c>
      <c r="J452" s="222">
        <f>IFERROR(__xludf.DUMMYFUNCTION("IMPORTRANGE(""https://docs.google.com/spreadsheets/d/1XL5vhW3sbDhbH9Cz0tuDiY8C3ctxq1tqvaCgkFb8cCA/edit?usp=sharing"",""ยโสธร!J347"")"),0.0)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IFERROR(__xludf.DUMMYFUNCTION("IMPORTRANGE(""https://docs.google.com/spreadsheets/d/1XL5vhW3sbDhbH9Cz0tuDiY8C3ctxq1tqvaCgkFb8cCA/edit?usp=sharing"",""ยโสธร!J348"")"),0.0)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IFERROR(__xludf.DUMMYFUNCTION("IMPORTRANGE(""https://docs.google.com/spreadsheets/d/1XL5vhW3sbDhbH9Cz0tuDiY8C3ctxq1tqvaCgkFb8cCA/edit?usp=sharing"",""ยโสธร!J349"")"),0.0)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IFERROR(__xludf.DUMMYFUNCTION("IMPORTRANGE(""https://docs.google.com/spreadsheets/d/1XL5vhW3sbDhbH9Cz0tuDiY8C3ctxq1tqvaCgkFb8cCA/edit?usp=sharing"",""ยโสธร!I350"")"),44306.0)</f>
        <v>44306</v>
      </c>
      <c r="J455" s="404">
        <f>IFERROR(__xludf.DUMMYFUNCTION("IMPORTRANGE(""https://docs.google.com/spreadsheets/d/1XL5vhW3sbDhbH9Cz0tuDiY8C3ctxq1tqvaCgkFb8cCA/edit?usp=sharing"",""ยโสธร!J350"")"),0.0)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IFERROR(__xludf.DUMMYFUNCTION("IMPORTRANGE(""https://docs.google.com/spreadsheets/d/1XL5vhW3sbDhbH9Cz0tuDiY8C3ctxq1tqvaCgkFb8cCA/edit?usp=sharing"",""ยโสธร!L350"")"),452063.0)</f>
        <v>452063</v>
      </c>
      <c r="M455" s="406"/>
      <c r="N455" s="406">
        <f>IFERROR(__xludf.DUMMYFUNCTION("IMPORTRANGE(""https://docs.google.com/spreadsheets/d/1XL5vhW3sbDhbH9Cz0tuDiY8C3ctxq1tqvaCgkFb8cCA/edit?usp=sharing"",""ยโสธร!M350"")"),53273.0)</f>
        <v>53273</v>
      </c>
      <c r="O455" s="406">
        <f t="shared" ref="O455:O459" si="117">+IF(L455&gt;0,N455*100/L455,0)</f>
        <v>11.78441943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IFERROR(__xludf.DUMMYFUNCTION("IMPORTRANGE(""https://docs.google.com/spreadsheets/d/1XL5vhW3sbDhbH9Cz0tuDiY8C3ctxq1tqvaCgkFb8cCA/edit?usp=sharing"",""ยโสธร!L351"")"),0.0)</f>
        <v>0</v>
      </c>
      <c r="M456" s="197"/>
      <c r="N456" s="203">
        <f>IFERROR(__xludf.DUMMYFUNCTION("IMPORTRANGE(""https://docs.google.com/spreadsheets/d/1XL5vhW3sbDhbH9Cz0tuDiY8C3ctxq1tqvaCgkFb8cCA/edit?usp=sharing"",""ยโสธร!M351"")"),0.0)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IFERROR(__xludf.DUMMYFUNCTION("IMPORTRANGE(""https://docs.google.com/spreadsheets/d/1XL5vhW3sbDhbH9Cz0tuDiY8C3ctxq1tqvaCgkFb8cCA/edit?usp=sharing"",""ยโสธร!L352"")"),452063.0)</f>
        <v>452063</v>
      </c>
      <c r="M457" s="198"/>
      <c r="N457" s="203">
        <f>IFERROR(__xludf.DUMMYFUNCTION("IMPORTRANGE(""https://docs.google.com/spreadsheets/d/1XL5vhW3sbDhbH9Cz0tuDiY8C3ctxq1tqvaCgkFb8cCA/edit?usp=sharing"",""ยโสธร!M352"")"),53273.0)</f>
        <v>53273</v>
      </c>
      <c r="O457" s="203">
        <f t="shared" si="117"/>
        <v>11.78441943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IFERROR(__xludf.DUMMYFUNCTION("IMPORTRANGE(""https://docs.google.com/spreadsheets/d/1XL5vhW3sbDhbH9Cz0tuDiY8C3ctxq1tqvaCgkFb8cCA/edit?usp=sharing"",""ยโสธร!L353"")"),0.0)</f>
        <v>0</v>
      </c>
      <c r="M458" s="203"/>
      <c r="N458" s="203">
        <f>IFERROR(__xludf.DUMMYFUNCTION("IMPORTRANGE(""https://docs.google.com/spreadsheets/d/1XL5vhW3sbDhbH9Cz0tuDiY8C3ctxq1tqvaCgkFb8cCA/edit?usp=sharing"",""ยโสธร!M353"")"),0.0)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IFERROR(__xludf.DUMMYFUNCTION("IMPORTRANGE(""https://docs.google.com/spreadsheets/d/1XL5vhW3sbDhbH9Cz0tuDiY8C3ctxq1tqvaCgkFb8cCA/edit?usp=sharing"",""ยโสธร!L354"")"),452063.0)</f>
        <v>452063</v>
      </c>
      <c r="M459" s="203"/>
      <c r="N459" s="203">
        <f>IFERROR(__xludf.DUMMYFUNCTION("IMPORTRANGE(""https://docs.google.com/spreadsheets/d/1XL5vhW3sbDhbH9Cz0tuDiY8C3ctxq1tqvaCgkFb8cCA/edit?usp=sharing"",""ยโสธร!M354"")"),53273.0)</f>
        <v>53273</v>
      </c>
      <c r="O459" s="203">
        <f t="shared" si="117"/>
        <v>11.78441943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IFERROR(__xludf.DUMMYFUNCTION("IMPORTRANGE(""https://docs.google.com/spreadsheets/d/1XL5vhW3sbDhbH9Cz0tuDiY8C3ctxq1tqvaCgkFb8cCA/edit?usp=sharing"",""ยโสธร!M355"")"),0.0)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IFERROR(__xludf.DUMMYFUNCTION("IMPORTRANGE(""https://docs.google.com/spreadsheets/d/1XL5vhW3sbDhbH9Cz0tuDiY8C3ctxq1tqvaCgkFb8cCA/edit?usp=sharing"",""ยโสธร!M356"")"),0.0)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IFERROR(__xludf.DUMMYFUNCTION("IMPORTRANGE(""https://docs.google.com/spreadsheets/d/1XL5vhW3sbDhbH9Cz0tuDiY8C3ctxq1tqvaCgkFb8cCA/edit?usp=sharing"",""ยโสธร!M357"")"),31533.0)</f>
        <v>31533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IFERROR(__xludf.DUMMYFUNCTION("IMPORTRANGE(""https://docs.google.com/spreadsheets/d/1XL5vhW3sbDhbH9Cz0tuDiY8C3ctxq1tqvaCgkFb8cCA/edit?usp=sharing"",""ยโสธร!M358"")"),21740.0)</f>
        <v>21740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IFERROR(__xludf.DUMMYFUNCTION("IMPORTRANGE(""https://docs.google.com/spreadsheets/d/1XL5vhW3sbDhbH9Cz0tuDiY8C3ctxq1tqvaCgkFb8cCA/edit?usp=sharing"",""ยโสธร!I359"")"),44306.0)</f>
        <v>44306</v>
      </c>
      <c r="J464" s="301">
        <f>IFERROR(__xludf.DUMMYFUNCTION("IMPORTRANGE(""https://docs.google.com/spreadsheets/d/1XL5vhW3sbDhbH9Cz0tuDiY8C3ctxq1tqvaCgkFb8cCA/edit?usp=sharing"",""ยโสธร!J359"")"),0.0)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IFERROR(__xludf.DUMMYFUNCTION("IMPORTRANGE(""https://docs.google.com/spreadsheets/d/1XL5vhW3sbDhbH9Cz0tuDiY8C3ctxq1tqvaCgkFb8cCA/edit?usp=sharing"",""ยโสธร!I360"")"),44306.0)</f>
        <v>44306</v>
      </c>
      <c r="J465" s="453">
        <f>IFERROR(__xludf.DUMMYFUNCTION("IMPORTRANGE(""https://docs.google.com/spreadsheets/d/1XL5vhW3sbDhbH9Cz0tuDiY8C3ctxq1tqvaCgkFb8cCA/edit?usp=sharing"",""ยโสธร!J360"")"),46326.0)</f>
        <v>46326</v>
      </c>
      <c r="K465" s="236">
        <f t="shared" si="118"/>
        <v>104.5592019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IFERROR(__xludf.DUMMYFUNCTION("IMPORTRANGE(""https://docs.google.com/spreadsheets/d/1XL5vhW3sbDhbH9Cz0tuDiY8C3ctxq1tqvaCgkFb8cCA/edit?usp=sharing"",""ยโสธร!I361"")"),4858.0)</f>
        <v>4858</v>
      </c>
      <c r="J466" s="453">
        <f>IFERROR(__xludf.DUMMYFUNCTION("IMPORTRANGE(""https://docs.google.com/spreadsheets/d/1XL5vhW3sbDhbH9Cz0tuDiY8C3ctxq1tqvaCgkFb8cCA/edit?usp=sharing"",""ยโสธร!J361"")"),4858.0)</f>
        <v>4858</v>
      </c>
      <c r="K466" s="236">
        <f t="shared" si="118"/>
        <v>100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IFERROR(__xludf.DUMMYFUNCTION("IMPORTRANGE(""https://docs.google.com/spreadsheets/d/1XL5vhW3sbDhbH9Cz0tuDiY8C3ctxq1tqvaCgkFb8cCA/edit?usp=sharing"",""ยโสธร!I362"")"),0.0)</f>
        <v>0</v>
      </c>
      <c r="J467" s="223">
        <f>IFERROR(__xludf.DUMMYFUNCTION("IMPORTRANGE(""https://docs.google.com/spreadsheets/d/1XL5vhW3sbDhbH9Cz0tuDiY8C3ctxq1tqvaCgkFb8cCA/edit?usp=sharing"",""ยโสธร!J362"")"),34699.0)</f>
        <v>34699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IFERROR(__xludf.DUMMYFUNCTION("IMPORTRANGE(""https://docs.google.com/spreadsheets/d/1XL5vhW3sbDhbH9Cz0tuDiY8C3ctxq1tqvaCgkFb8cCA/edit?usp=sharing"",""ยโสธร!I363"")"),0.0)</f>
        <v>0</v>
      </c>
      <c r="J468" s="223">
        <f>IFERROR(__xludf.DUMMYFUNCTION("IMPORTRANGE(""https://docs.google.com/spreadsheets/d/1XL5vhW3sbDhbH9Cz0tuDiY8C3ctxq1tqvaCgkFb8cCA/edit?usp=sharing"",""ยโสธร!J363"")"),3969.0)</f>
        <v>3969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IFERROR(__xludf.DUMMYFUNCTION("IMPORTRANGE(""https://docs.google.com/spreadsheets/d/1XL5vhW3sbDhbH9Cz0tuDiY8C3ctxq1tqvaCgkFb8cCA/edit?usp=sharing"",""ยโสธร!I364"")"),0.0)</f>
        <v>0</v>
      </c>
      <c r="J469" s="223">
        <f>IFERROR(__xludf.DUMMYFUNCTION("IMPORTRANGE(""https://docs.google.com/spreadsheets/d/1XL5vhW3sbDhbH9Cz0tuDiY8C3ctxq1tqvaCgkFb8cCA/edit?usp=sharing"",""ยโสธร!J364"")"),10871.0)</f>
        <v>10871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IFERROR(__xludf.DUMMYFUNCTION("IMPORTRANGE(""https://docs.google.com/spreadsheets/d/1XL5vhW3sbDhbH9Cz0tuDiY8C3ctxq1tqvaCgkFb8cCA/edit?usp=sharing"",""ยโสธร!I365"")"),0.0)</f>
        <v>0</v>
      </c>
      <c r="J470" s="223">
        <f>IFERROR(__xludf.DUMMYFUNCTION("IMPORTRANGE(""https://docs.google.com/spreadsheets/d/1XL5vhW3sbDhbH9Cz0tuDiY8C3ctxq1tqvaCgkFb8cCA/edit?usp=sharing"",""ยโสธร!J365"")"),823.0)</f>
        <v>823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IFERROR(__xludf.DUMMYFUNCTION("IMPORTRANGE(""https://docs.google.com/spreadsheets/d/1XL5vhW3sbDhbH9Cz0tuDiY8C3ctxq1tqvaCgkFb8cCA/edit?usp=sharing"",""ยโสธร!I366"")"),0.0)</f>
        <v>0</v>
      </c>
      <c r="J471" s="223">
        <f>IFERROR(__xludf.DUMMYFUNCTION("IMPORTRANGE(""https://docs.google.com/spreadsheets/d/1XL5vhW3sbDhbH9Cz0tuDiY8C3ctxq1tqvaCgkFb8cCA/edit?usp=sharing"",""ยโสธร!J366"")"),756.0)</f>
        <v>756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IFERROR(__xludf.DUMMYFUNCTION("IMPORTRANGE(""https://docs.google.com/spreadsheets/d/1XL5vhW3sbDhbH9Cz0tuDiY8C3ctxq1tqvaCgkFb8cCA/edit?usp=sharing"",""ยโสธร!I367"")"),0.0)</f>
        <v>0</v>
      </c>
      <c r="J472" s="223">
        <f>IFERROR(__xludf.DUMMYFUNCTION("IMPORTRANGE(""https://docs.google.com/spreadsheets/d/1XL5vhW3sbDhbH9Cz0tuDiY8C3ctxq1tqvaCgkFb8cCA/edit?usp=sharing"",""ยโสธร!J367"")"),66.0)</f>
        <v>66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IFERROR(__xludf.DUMMYFUNCTION("IMPORTRANGE(""https://docs.google.com/spreadsheets/d/1XL5vhW3sbDhbH9Cz0tuDiY8C3ctxq1tqvaCgkFb8cCA/edit?usp=sharing"",""ยโสธร!I368"")"),44306.0)</f>
        <v>44306</v>
      </c>
      <c r="J473" s="453">
        <f>IFERROR(__xludf.DUMMYFUNCTION("IMPORTRANGE(""https://docs.google.com/spreadsheets/d/1XL5vhW3sbDhbH9Cz0tuDiY8C3ctxq1tqvaCgkFb8cCA/edit?usp=sharing"",""ยโสธร!J368"")"),0.0)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IFERROR(__xludf.DUMMYFUNCTION("IMPORTRANGE(""https://docs.google.com/spreadsheets/d/1XL5vhW3sbDhbH9Cz0tuDiY8C3ctxq1tqvaCgkFb8cCA/edit?usp=sharing"",""ยโสธร!I369"")"),4858.0)</f>
        <v>4858</v>
      </c>
      <c r="J474" s="453">
        <f>IFERROR(__xludf.DUMMYFUNCTION("IMPORTRANGE(""https://docs.google.com/spreadsheets/d/1XL5vhW3sbDhbH9Cz0tuDiY8C3ctxq1tqvaCgkFb8cCA/edit?usp=sharing"",""ยโสธร!J369"")"),0.0)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IFERROR(__xludf.DUMMYFUNCTION("IMPORTRANGE(""https://docs.google.com/spreadsheets/d/1XL5vhW3sbDhbH9Cz0tuDiY8C3ctxq1tqvaCgkFb8cCA/edit?usp=sharing"",""ยโสธร!I370"")"),0.0)</f>
        <v>0</v>
      </c>
      <c r="J475" s="223">
        <f>IFERROR(__xludf.DUMMYFUNCTION("IMPORTRANGE(""https://docs.google.com/spreadsheets/d/1XL5vhW3sbDhbH9Cz0tuDiY8C3ctxq1tqvaCgkFb8cCA/edit?usp=sharing"",""ยโสธร!J370"")"),0.0)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IFERROR(__xludf.DUMMYFUNCTION("IMPORTRANGE(""https://docs.google.com/spreadsheets/d/1XL5vhW3sbDhbH9Cz0tuDiY8C3ctxq1tqvaCgkFb8cCA/edit?usp=sharing"",""ยโสธร!I371"")"),0.0)</f>
        <v>0</v>
      </c>
      <c r="J476" s="223">
        <f>IFERROR(__xludf.DUMMYFUNCTION("IMPORTRANGE(""https://docs.google.com/spreadsheets/d/1XL5vhW3sbDhbH9Cz0tuDiY8C3ctxq1tqvaCgkFb8cCA/edit?usp=sharing"",""ยโสธร!J371"")"),0.0)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IFERROR(__xludf.DUMMYFUNCTION("IMPORTRANGE(""https://docs.google.com/spreadsheets/d/1XL5vhW3sbDhbH9Cz0tuDiY8C3ctxq1tqvaCgkFb8cCA/edit?usp=sharing"",""ยโสธร!I372"")"),0.0)</f>
        <v>0</v>
      </c>
      <c r="J477" s="223">
        <f>IFERROR(__xludf.DUMMYFUNCTION("IMPORTRANGE(""https://docs.google.com/spreadsheets/d/1XL5vhW3sbDhbH9Cz0tuDiY8C3ctxq1tqvaCgkFb8cCA/edit?usp=sharing"",""ยโสธร!J372"")"),0.0)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IFERROR(__xludf.DUMMYFUNCTION("IMPORTRANGE(""https://docs.google.com/spreadsheets/d/1XL5vhW3sbDhbH9Cz0tuDiY8C3ctxq1tqvaCgkFb8cCA/edit?usp=sharing"",""ยโสธร!I373"")"),0.0)</f>
        <v>0</v>
      </c>
      <c r="J478" s="223">
        <f>IFERROR(__xludf.DUMMYFUNCTION("IMPORTRANGE(""https://docs.google.com/spreadsheets/d/1XL5vhW3sbDhbH9Cz0tuDiY8C3ctxq1tqvaCgkFb8cCA/edit?usp=sharing"",""ยโสธร!J373"")"),0.0)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IFERROR(__xludf.DUMMYFUNCTION("IMPORTRANGE(""https://docs.google.com/spreadsheets/d/1XL5vhW3sbDhbH9Cz0tuDiY8C3ctxq1tqvaCgkFb8cCA/edit?usp=sharing"",""ยโสธร!I374"")"),0.0)</f>
        <v>0</v>
      </c>
      <c r="J479" s="223">
        <f>IFERROR(__xludf.DUMMYFUNCTION("IMPORTRANGE(""https://docs.google.com/spreadsheets/d/1XL5vhW3sbDhbH9Cz0tuDiY8C3ctxq1tqvaCgkFb8cCA/edit?usp=sharing"",""ยโสธร!J374"")"),0.0)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IFERROR(__xludf.DUMMYFUNCTION("IMPORTRANGE(""https://docs.google.com/spreadsheets/d/1XL5vhW3sbDhbH9Cz0tuDiY8C3ctxq1tqvaCgkFb8cCA/edit?usp=sharing"",""ยโสธร!I375"")"),0.0)</f>
        <v>0</v>
      </c>
      <c r="J480" s="223">
        <f>IFERROR(__xludf.DUMMYFUNCTION("IMPORTRANGE(""https://docs.google.com/spreadsheets/d/1XL5vhW3sbDhbH9Cz0tuDiY8C3ctxq1tqvaCgkFb8cCA/edit?usp=sharing"",""ยโสธร!J375"")"),0.0)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IFERROR(__xludf.DUMMYFUNCTION("IMPORTRANGE(""https://docs.google.com/spreadsheets/d/1XL5vhW3sbDhbH9Cz0tuDiY8C3ctxq1tqvaCgkFb8cCA/edit?usp=sharing"",""ยโสธร!I376"")"),44306.0)</f>
        <v>44306</v>
      </c>
      <c r="J481" s="453">
        <f>IFERROR(__xludf.DUMMYFUNCTION("IMPORTRANGE(""https://docs.google.com/spreadsheets/d/1XL5vhW3sbDhbH9Cz0tuDiY8C3ctxq1tqvaCgkFb8cCA/edit?usp=sharing"",""ยโสธร!J376"")"),0.0)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IFERROR(__xludf.DUMMYFUNCTION("IMPORTRANGE(""https://docs.google.com/spreadsheets/d/1XL5vhW3sbDhbH9Cz0tuDiY8C3ctxq1tqvaCgkFb8cCA/edit?usp=sharing"",""ยโสธร!I377"")"),4858.0)</f>
        <v>4858</v>
      </c>
      <c r="J482" s="453">
        <f>IFERROR(__xludf.DUMMYFUNCTION("IMPORTRANGE(""https://docs.google.com/spreadsheets/d/1XL5vhW3sbDhbH9Cz0tuDiY8C3ctxq1tqvaCgkFb8cCA/edit?usp=sharing"",""ยโสธร!J377"")"),0.0)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IFERROR(__xludf.DUMMYFUNCTION("IMPORTRANGE(""https://docs.google.com/spreadsheets/d/1XL5vhW3sbDhbH9Cz0tuDiY8C3ctxq1tqvaCgkFb8cCA/edit?usp=sharing"",""ยโสธร!I378"")"),0.0)</f>
        <v>0</v>
      </c>
      <c r="J483" s="223">
        <f>IFERROR(__xludf.DUMMYFUNCTION("IMPORTRANGE(""https://docs.google.com/spreadsheets/d/1XL5vhW3sbDhbH9Cz0tuDiY8C3ctxq1tqvaCgkFb8cCA/edit?usp=sharing"",""ยโสธร!J378"")"),0.0)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IFERROR(__xludf.DUMMYFUNCTION("IMPORTRANGE(""https://docs.google.com/spreadsheets/d/1XL5vhW3sbDhbH9Cz0tuDiY8C3ctxq1tqvaCgkFb8cCA/edit?usp=sharing"",""ยโสธร!I379"")"),0.0)</f>
        <v>0</v>
      </c>
      <c r="J484" s="223">
        <f>IFERROR(__xludf.DUMMYFUNCTION("IMPORTRANGE(""https://docs.google.com/spreadsheets/d/1XL5vhW3sbDhbH9Cz0tuDiY8C3ctxq1tqvaCgkFb8cCA/edit?usp=sharing"",""ยโสธร!J379"")"),0.0)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IFERROR(__xludf.DUMMYFUNCTION("IMPORTRANGE(""https://docs.google.com/spreadsheets/d/1XL5vhW3sbDhbH9Cz0tuDiY8C3ctxq1tqvaCgkFb8cCA/edit?usp=sharing"",""ยโสธร!I380"")"),0.0)</f>
        <v>0</v>
      </c>
      <c r="J485" s="223">
        <f>IFERROR(__xludf.DUMMYFUNCTION("IMPORTRANGE(""https://docs.google.com/spreadsheets/d/1XL5vhW3sbDhbH9Cz0tuDiY8C3ctxq1tqvaCgkFb8cCA/edit?usp=sharing"",""ยโสธร!J380"")"),0.0)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IFERROR(__xludf.DUMMYFUNCTION("IMPORTRANGE(""https://docs.google.com/spreadsheets/d/1XL5vhW3sbDhbH9Cz0tuDiY8C3ctxq1tqvaCgkFb8cCA/edit?usp=sharing"",""ยโสธร!I381"")"),0.0)</f>
        <v>0</v>
      </c>
      <c r="J486" s="223">
        <f>IFERROR(__xludf.DUMMYFUNCTION("IMPORTRANGE(""https://docs.google.com/spreadsheets/d/1XL5vhW3sbDhbH9Cz0tuDiY8C3ctxq1tqvaCgkFb8cCA/edit?usp=sharing"",""ยโสธร!J381"")"),0.0)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IFERROR(__xludf.DUMMYFUNCTION("IMPORTRANGE(""https://docs.google.com/spreadsheets/d/1XL5vhW3sbDhbH9Cz0tuDiY8C3ctxq1tqvaCgkFb8cCA/edit?usp=sharing"",""ยโสธร!I382"")"),0.0)</f>
        <v>0</v>
      </c>
      <c r="J487" s="453">
        <f>IFERROR(__xludf.DUMMYFUNCTION("IMPORTRANGE(""https://docs.google.com/spreadsheets/d/1XL5vhW3sbDhbH9Cz0tuDiY8C3ctxq1tqvaCgkFb8cCA/edit?usp=sharing"",""ยโสธร!J382"")"),0.0)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IFERROR(__xludf.DUMMYFUNCTION("IMPORTRANGE(""https://docs.google.com/spreadsheets/d/1XL5vhW3sbDhbH9Cz0tuDiY8C3ctxq1tqvaCgkFb8cCA/edit?usp=sharing"",""ยโสธร!I383"")"),0.0)</f>
        <v>0</v>
      </c>
      <c r="J488" s="453">
        <f>IFERROR(__xludf.DUMMYFUNCTION("IMPORTRANGE(""https://docs.google.com/spreadsheets/d/1XL5vhW3sbDhbH9Cz0tuDiY8C3ctxq1tqvaCgkFb8cCA/edit?usp=sharing"",""ยโสธร!J383"")"),0.0)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IFERROR(__xludf.DUMMYFUNCTION("IMPORTRANGE(""https://docs.google.com/spreadsheets/d/1XL5vhW3sbDhbH9Cz0tuDiY8C3ctxq1tqvaCgkFb8cCA/edit?usp=sharing"",""ยโสธร!I384"")"),0.0)</f>
        <v>0</v>
      </c>
      <c r="J489" s="223">
        <f>IFERROR(__xludf.DUMMYFUNCTION("IMPORTRANGE(""https://docs.google.com/spreadsheets/d/1XL5vhW3sbDhbH9Cz0tuDiY8C3ctxq1tqvaCgkFb8cCA/edit?usp=sharing"",""ยโสธร!J384"")"),0.0)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IFERROR(__xludf.DUMMYFUNCTION("IMPORTRANGE(""https://docs.google.com/spreadsheets/d/1XL5vhW3sbDhbH9Cz0tuDiY8C3ctxq1tqvaCgkFb8cCA/edit?usp=sharing"",""ยโสธร!I385"")"),0.0)</f>
        <v>0</v>
      </c>
      <c r="J490" s="223">
        <f>IFERROR(__xludf.DUMMYFUNCTION("IMPORTRANGE(""https://docs.google.com/spreadsheets/d/1XL5vhW3sbDhbH9Cz0tuDiY8C3ctxq1tqvaCgkFb8cCA/edit?usp=sharing"",""ยโสธร!J385"")"),0.0)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IFERROR(__xludf.DUMMYFUNCTION("IMPORTRANGE(""https://docs.google.com/spreadsheets/d/1XL5vhW3sbDhbH9Cz0tuDiY8C3ctxq1tqvaCgkFb8cCA/edit?usp=sharing"",""ยโสธร!I386"")"),0.0)</f>
        <v>0</v>
      </c>
      <c r="J491" s="223">
        <f>IFERROR(__xludf.DUMMYFUNCTION("IMPORTRANGE(""https://docs.google.com/spreadsheets/d/1XL5vhW3sbDhbH9Cz0tuDiY8C3ctxq1tqvaCgkFb8cCA/edit?usp=sharing"",""ยโสธร!J386"")"),0.0)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IFERROR(__xludf.DUMMYFUNCTION("IMPORTRANGE(""https://docs.google.com/spreadsheets/d/1XL5vhW3sbDhbH9Cz0tuDiY8C3ctxq1tqvaCgkFb8cCA/edit?usp=sharing"",""ยโสธร!I387"")"),0.0)</f>
        <v>0</v>
      </c>
      <c r="J492" s="223">
        <f>IFERROR(__xludf.DUMMYFUNCTION("IMPORTRANGE(""https://docs.google.com/spreadsheets/d/1XL5vhW3sbDhbH9Cz0tuDiY8C3ctxq1tqvaCgkFb8cCA/edit?usp=sharing"",""ยโสธร!J387"")"),0.0)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IFERROR(__xludf.DUMMYFUNCTION("IMPORTRANGE(""https://docs.google.com/spreadsheets/d/1XL5vhW3sbDhbH9Cz0tuDiY8C3ctxq1tqvaCgkFb8cCA/edit?usp=sharing"",""ยโสธร!I388"")"),0.0)</f>
        <v>0</v>
      </c>
      <c r="J493" s="223">
        <f>IFERROR(__xludf.DUMMYFUNCTION("IMPORTRANGE(""https://docs.google.com/spreadsheets/d/1XL5vhW3sbDhbH9Cz0tuDiY8C3ctxq1tqvaCgkFb8cCA/edit?usp=sharing"",""ยโสธร!J388"")"),0.0)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IFERROR(__xludf.DUMMYFUNCTION("IMPORTRANGE(""https://docs.google.com/spreadsheets/d/1XL5vhW3sbDhbH9Cz0tuDiY8C3ctxq1tqvaCgkFb8cCA/edit?usp=sharing"",""ยโสธร!I389"")"),0.0)</f>
        <v>0</v>
      </c>
      <c r="J494" s="469">
        <f>IFERROR(__xludf.DUMMYFUNCTION("IMPORTRANGE(""https://docs.google.com/spreadsheets/d/1XL5vhW3sbDhbH9Cz0tuDiY8C3ctxq1tqvaCgkFb8cCA/edit?usp=sharing"",""ยโสธร!J389"")"),0.0)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IFERROR(__xludf.DUMMYFUNCTION("IMPORTRANGE(""https://docs.google.com/spreadsheets/d/1XL5vhW3sbDhbH9Cz0tuDiY8C3ctxq1tqvaCgkFb8cCA/edit?usp=sharing"",""ยโสธร!I390"")"),0.0)</f>
        <v>0</v>
      </c>
      <c r="J495" s="469">
        <f>IFERROR(__xludf.DUMMYFUNCTION("IMPORTRANGE(""https://docs.google.com/spreadsheets/d/1XL5vhW3sbDhbH9Cz0tuDiY8C3ctxq1tqvaCgkFb8cCA/edit?usp=sharing"",""ยโสธร!J390"")"),0.0)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IFERROR(__xludf.DUMMYFUNCTION("IMPORTRANGE(""https://docs.google.com/spreadsheets/d/1XL5vhW3sbDhbH9Cz0tuDiY8C3ctxq1tqvaCgkFb8cCA/edit?usp=sharing"",""ยโสธร!I391"")"),0.0)</f>
        <v>0</v>
      </c>
      <c r="J496" s="469">
        <f>IFERROR(__xludf.DUMMYFUNCTION("IMPORTRANGE(""https://docs.google.com/spreadsheets/d/1XL5vhW3sbDhbH9Cz0tuDiY8C3ctxq1tqvaCgkFb8cCA/edit?usp=sharing"",""ยโสธร!J391"")"),0.0)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IFERROR(__xludf.DUMMYFUNCTION("IMPORTRANGE(""https://docs.google.com/spreadsheets/d/1XL5vhW3sbDhbH9Cz0tuDiY8C3ctxq1tqvaCgkFb8cCA/edit?usp=sharing"",""ยโสธร!I392"")"),1309.0)</f>
        <v>1309</v>
      </c>
      <c r="J497" s="476">
        <f>IFERROR(__xludf.DUMMYFUNCTION("IMPORTRANGE(""https://docs.google.com/spreadsheets/d/1XL5vhW3sbDhbH9Cz0tuDiY8C3ctxq1tqvaCgkFb8cCA/edit?usp=sharing"",""ยโสธร!J392"")"),0.0)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IFERROR(__xludf.DUMMYFUNCTION("IMPORTRANGE(""https://docs.google.com/spreadsheets/d/1XL5vhW3sbDhbH9Cz0tuDiY8C3ctxq1tqvaCgkFb8cCA/edit?usp=sharing"",""ยโสธร!I393"")"),1309.0)</f>
        <v>1309</v>
      </c>
      <c r="J498" s="453">
        <f>IFERROR(__xludf.DUMMYFUNCTION("IMPORTRANGE(""https://docs.google.com/spreadsheets/d/1XL5vhW3sbDhbH9Cz0tuDiY8C3ctxq1tqvaCgkFb8cCA/edit?usp=sharing"",""ยโสธร!J393"")"),0.0)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IFERROR(__xludf.DUMMYFUNCTION("IMPORTRANGE(""https://docs.google.com/spreadsheets/d/1XL5vhW3sbDhbH9Cz0tuDiY8C3ctxq1tqvaCgkFb8cCA/edit?usp=sharing"",""ยโสธร!I394"")"),106.0)</f>
        <v>106</v>
      </c>
      <c r="J499" s="453">
        <f>IFERROR(__xludf.DUMMYFUNCTION("IMPORTRANGE(""https://docs.google.com/spreadsheets/d/1XL5vhW3sbDhbH9Cz0tuDiY8C3ctxq1tqvaCgkFb8cCA/edit?usp=sharing"",""ยโสธร!J394"")"),0.0)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IFERROR(__xludf.DUMMYFUNCTION("IMPORTRANGE(""https://docs.google.com/spreadsheets/d/1XL5vhW3sbDhbH9Cz0tuDiY8C3ctxq1tqvaCgkFb8cCA/edit?usp=sharing"",""ยโสธร!I395"")"),0.0)</f>
        <v>0</v>
      </c>
      <c r="J500" s="195">
        <f>IFERROR(__xludf.DUMMYFUNCTION("IMPORTRANGE(""https://docs.google.com/spreadsheets/d/1XL5vhW3sbDhbH9Cz0tuDiY8C3ctxq1tqvaCgkFb8cCA/edit?usp=sharing"",""ยโสธร!J395"")"),0.0)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IFERROR(__xludf.DUMMYFUNCTION("IMPORTRANGE(""https://docs.google.com/spreadsheets/d/1XL5vhW3sbDhbH9Cz0tuDiY8C3ctxq1tqvaCgkFb8cCA/edit?usp=sharing"",""ยโสธร!I396"")"),0.0)</f>
        <v>0</v>
      </c>
      <c r="J501" s="195">
        <f>IFERROR(__xludf.DUMMYFUNCTION("IMPORTRANGE(""https://docs.google.com/spreadsheets/d/1XL5vhW3sbDhbH9Cz0tuDiY8C3ctxq1tqvaCgkFb8cCA/edit?usp=sharing"",""ยโสธร!J396"")"),0.0)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IFERROR(__xludf.DUMMYFUNCTION("IMPORTRANGE(""https://docs.google.com/spreadsheets/d/1XL5vhW3sbDhbH9Cz0tuDiY8C3ctxq1tqvaCgkFb8cCA/edit?usp=sharing"",""ยโสธร!I397"")"),0.0)</f>
        <v>0</v>
      </c>
      <c r="J502" s="223">
        <f>IFERROR(__xludf.DUMMYFUNCTION("IMPORTRANGE(""https://docs.google.com/spreadsheets/d/1XL5vhW3sbDhbH9Cz0tuDiY8C3ctxq1tqvaCgkFb8cCA/edit?usp=sharing"",""ยโสธร!J397"")"),0.0)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IFERROR(__xludf.DUMMYFUNCTION("IMPORTRANGE(""https://docs.google.com/spreadsheets/d/1XL5vhW3sbDhbH9Cz0tuDiY8C3ctxq1tqvaCgkFb8cCA/edit?usp=sharing"",""ยโสธร!I398"")"),0.0)</f>
        <v>0</v>
      </c>
      <c r="J503" s="232">
        <f>IFERROR(__xludf.DUMMYFUNCTION("IMPORTRANGE(""https://docs.google.com/spreadsheets/d/1XL5vhW3sbDhbH9Cz0tuDiY8C3ctxq1tqvaCgkFb8cCA/edit?usp=sharing"",""ยโสธร!J398"")"),0.0)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IFERROR(__xludf.DUMMYFUNCTION("IMPORTRANGE(""https://docs.google.com/spreadsheets/d/1XL5vhW3sbDhbH9Cz0tuDiY8C3ctxq1tqvaCgkFb8cCA/edit?usp=sharing"",""ยโสธร!I399"")"),0.0)</f>
        <v>0</v>
      </c>
      <c r="J504" s="223">
        <f>IFERROR(__xludf.DUMMYFUNCTION("IMPORTRANGE(""https://docs.google.com/spreadsheets/d/1XL5vhW3sbDhbH9Cz0tuDiY8C3ctxq1tqvaCgkFb8cCA/edit?usp=sharing"",""ยโสธร!J399"")"),0.0)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IFERROR(__xludf.DUMMYFUNCTION("IMPORTRANGE(""https://docs.google.com/spreadsheets/d/1XL5vhW3sbDhbH9Cz0tuDiY8C3ctxq1tqvaCgkFb8cCA/edit?usp=sharing"",""ยโสธร!I400"")"),0.0)</f>
        <v>0</v>
      </c>
      <c r="J505" s="232">
        <f>IFERROR(__xludf.DUMMYFUNCTION("IMPORTRANGE(""https://docs.google.com/spreadsheets/d/1XL5vhW3sbDhbH9Cz0tuDiY8C3ctxq1tqvaCgkFb8cCA/edit?usp=sharing"",""ยโสธร!J400"")"),0.0)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IFERROR(__xludf.DUMMYFUNCTION("IMPORTRANGE(""https://docs.google.com/spreadsheets/d/1XL5vhW3sbDhbH9Cz0tuDiY8C3ctxq1tqvaCgkFb8cCA/edit?usp=sharing"",""ยโสธร!I401"")"),0.0)</f>
        <v>0</v>
      </c>
      <c r="J506" s="223">
        <f>IFERROR(__xludf.DUMMYFUNCTION("IMPORTRANGE(""https://docs.google.com/spreadsheets/d/1XL5vhW3sbDhbH9Cz0tuDiY8C3ctxq1tqvaCgkFb8cCA/edit?usp=sharing"",""ยโสธร!J401"")"),0.0)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IFERROR(__xludf.DUMMYFUNCTION("IMPORTRANGE(""https://docs.google.com/spreadsheets/d/1XL5vhW3sbDhbH9Cz0tuDiY8C3ctxq1tqvaCgkFb8cCA/edit?usp=sharing"",""ยโสธร!I402"")"),0.0)</f>
        <v>0</v>
      </c>
      <c r="J507" s="232">
        <f>IFERROR(__xludf.DUMMYFUNCTION("IMPORTRANGE(""https://docs.google.com/spreadsheets/d/1XL5vhW3sbDhbH9Cz0tuDiY8C3ctxq1tqvaCgkFb8cCA/edit?usp=sharing"",""ยโสธร!J402"")"),0.0)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IFERROR(__xludf.DUMMYFUNCTION("IMPORTRANGE(""https://docs.google.com/spreadsheets/d/1XL5vhW3sbDhbH9Cz0tuDiY8C3ctxq1tqvaCgkFb8cCA/edit?usp=sharing"",""ยโสธร!I403"")"),0.0)</f>
        <v>0</v>
      </c>
      <c r="J508" s="195">
        <f>IFERROR(__xludf.DUMMYFUNCTION("IMPORTRANGE(""https://docs.google.com/spreadsheets/d/1XL5vhW3sbDhbH9Cz0tuDiY8C3ctxq1tqvaCgkFb8cCA/edit?usp=sharing"",""ยโสธร!J403"")"),0.0)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IFERROR(__xludf.DUMMYFUNCTION("IMPORTRANGE(""https://docs.google.com/spreadsheets/d/1XL5vhW3sbDhbH9Cz0tuDiY8C3ctxq1tqvaCgkFb8cCA/edit?usp=sharing"",""ยโสธร!I404"")"),0.0)</f>
        <v>0</v>
      </c>
      <c r="J509" s="195">
        <f>IFERROR(__xludf.DUMMYFUNCTION("IMPORTRANGE(""https://docs.google.com/spreadsheets/d/1XL5vhW3sbDhbH9Cz0tuDiY8C3ctxq1tqvaCgkFb8cCA/edit?usp=sharing"",""ยโสธร!J404"")"),0.0)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IFERROR(__xludf.DUMMYFUNCTION("IMPORTRANGE(""https://docs.google.com/spreadsheets/d/1XL5vhW3sbDhbH9Cz0tuDiY8C3ctxq1tqvaCgkFb8cCA/edit?usp=sharing"",""ยโสธร!I405"")"),0.0)</f>
        <v>0</v>
      </c>
      <c r="J510" s="232">
        <f>IFERROR(__xludf.DUMMYFUNCTION("IMPORTRANGE(""https://docs.google.com/spreadsheets/d/1XL5vhW3sbDhbH9Cz0tuDiY8C3ctxq1tqvaCgkFb8cCA/edit?usp=sharing"",""ยโสธร!J405"")"),0.0)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IFERROR(__xludf.DUMMYFUNCTION("IMPORTRANGE(""https://docs.google.com/spreadsheets/d/1XL5vhW3sbDhbH9Cz0tuDiY8C3ctxq1tqvaCgkFb8cCA/edit?usp=sharing"",""ยโสธร!I406"")"),0.0)</f>
        <v>0</v>
      </c>
      <c r="J511" s="232">
        <f>IFERROR(__xludf.DUMMYFUNCTION("IMPORTRANGE(""https://docs.google.com/spreadsheets/d/1XL5vhW3sbDhbH9Cz0tuDiY8C3ctxq1tqvaCgkFb8cCA/edit?usp=sharing"",""ยโสธร!J406"")"),0.0)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IFERROR(__xludf.DUMMYFUNCTION("IMPORTRANGE(""https://docs.google.com/spreadsheets/d/1XL5vhW3sbDhbH9Cz0tuDiY8C3ctxq1tqvaCgkFb8cCA/edit?usp=sharing"",""ยโสธร!I407"")"),0.0)</f>
        <v>0</v>
      </c>
      <c r="J512" s="232">
        <f>IFERROR(__xludf.DUMMYFUNCTION("IMPORTRANGE(""https://docs.google.com/spreadsheets/d/1XL5vhW3sbDhbH9Cz0tuDiY8C3ctxq1tqvaCgkFb8cCA/edit?usp=sharing"",""ยโสธร!J407"")"),0.0)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IFERROR(__xludf.DUMMYFUNCTION("IMPORTRANGE(""https://docs.google.com/spreadsheets/d/1XL5vhW3sbDhbH9Cz0tuDiY8C3ctxq1tqvaCgkFb8cCA/edit?usp=sharing"",""ยโสธร!I408"")"),0.0)</f>
        <v>0</v>
      </c>
      <c r="J513" s="232">
        <f>IFERROR(__xludf.DUMMYFUNCTION("IMPORTRANGE(""https://docs.google.com/spreadsheets/d/1XL5vhW3sbDhbH9Cz0tuDiY8C3ctxq1tqvaCgkFb8cCA/edit?usp=sharing"",""ยโสธร!J408"")"),0.0)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IFERROR(__xludf.DUMMYFUNCTION("IMPORTRANGE(""https://docs.google.com/spreadsheets/d/1XL5vhW3sbDhbH9Cz0tuDiY8C3ctxq1tqvaCgkFb8cCA/edit?usp=sharing"",""ยโสธร!I409"")"),0.0)</f>
        <v>0</v>
      </c>
      <c r="J514" s="232">
        <f>IFERROR(__xludf.DUMMYFUNCTION("IMPORTRANGE(""https://docs.google.com/spreadsheets/d/1XL5vhW3sbDhbH9Cz0tuDiY8C3ctxq1tqvaCgkFb8cCA/edit?usp=sharing"",""ยโสธร!J409"")"),0.0)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IFERROR(__xludf.DUMMYFUNCTION("IMPORTRANGE(""https://docs.google.com/spreadsheets/d/1XL5vhW3sbDhbH9Cz0tuDiY8C3ctxq1tqvaCgkFb8cCA/edit?usp=sharing"",""ยโสธร!I410"")"),0.0)</f>
        <v>0</v>
      </c>
      <c r="J515" s="232">
        <f>IFERROR(__xludf.DUMMYFUNCTION("IMPORTRANGE(""https://docs.google.com/spreadsheets/d/1XL5vhW3sbDhbH9Cz0tuDiY8C3ctxq1tqvaCgkFb8cCA/edit?usp=sharing"",""ยโสธร!J410"")"),0.0)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IFERROR(__xludf.DUMMYFUNCTION("IMPORTRANGE(""https://docs.google.com/spreadsheets/d/1XL5vhW3sbDhbH9Cz0tuDiY8C3ctxq1tqvaCgkFb8cCA/edit?usp=sharing"",""ยโสธร!I411"")"),0.0)</f>
        <v>0</v>
      </c>
      <c r="J516" s="301">
        <f>IFERROR(__xludf.DUMMYFUNCTION("IMPORTRANGE(""https://docs.google.com/spreadsheets/d/1XL5vhW3sbDhbH9Cz0tuDiY8C3ctxq1tqvaCgkFb8cCA/edit?usp=sharing"",""ยโสธร!J411"")"),0.0)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IFERROR(__xludf.DUMMYFUNCTION("IMPORTRANGE(""https://docs.google.com/spreadsheets/d/1XL5vhW3sbDhbH9Cz0tuDiY8C3ctxq1tqvaCgkFb8cCA/edit?usp=sharing"",""ยโสธร!I412"")"),0.0)</f>
        <v>0</v>
      </c>
      <c r="J517" s="317">
        <f>IFERROR(__xludf.DUMMYFUNCTION("IMPORTRANGE(""https://docs.google.com/spreadsheets/d/1XL5vhW3sbDhbH9Cz0tuDiY8C3ctxq1tqvaCgkFb8cCA/edit?usp=sharing"",""ยโสธร!J412"")"),0.0)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IFERROR(__xludf.DUMMYFUNCTION("IMPORTRANGE(""https://docs.google.com/spreadsheets/d/1XL5vhW3sbDhbH9Cz0tuDiY8C3ctxq1tqvaCgkFb8cCA/edit?usp=sharing"",""ยโสธร!I413"")"),0.0)</f>
        <v>0</v>
      </c>
      <c r="J518" s="317">
        <f>IFERROR(__xludf.DUMMYFUNCTION("IMPORTRANGE(""https://docs.google.com/spreadsheets/d/1XL5vhW3sbDhbH9Cz0tuDiY8C3ctxq1tqvaCgkFb8cCA/edit?usp=sharing"",""ยโสธร!J413"")"),0.0)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IFERROR(__xludf.DUMMYFUNCTION("IMPORTRANGE(""https://docs.google.com/spreadsheets/d/1XL5vhW3sbDhbH9Cz0tuDiY8C3ctxq1tqvaCgkFb8cCA/edit?usp=sharing"",""ยโสธร!I414"")"),0.0)</f>
        <v>0</v>
      </c>
      <c r="J519" s="222">
        <f>IFERROR(__xludf.DUMMYFUNCTION("IMPORTRANGE(""https://docs.google.com/spreadsheets/d/1XL5vhW3sbDhbH9Cz0tuDiY8C3ctxq1tqvaCgkFb8cCA/edit?usp=sharing"",""ยโสธร!J414"")"),0.0)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IFERROR(__xludf.DUMMYFUNCTION("IMPORTRANGE(""https://docs.google.com/spreadsheets/d/1XL5vhW3sbDhbH9Cz0tuDiY8C3ctxq1tqvaCgkFb8cCA/edit?usp=sharing"",""ยโสธร!I415"")"),0.0)</f>
        <v>0</v>
      </c>
      <c r="J520" s="222">
        <f>IFERROR(__xludf.DUMMYFUNCTION("IMPORTRANGE(""https://docs.google.com/spreadsheets/d/1XL5vhW3sbDhbH9Cz0tuDiY8C3ctxq1tqvaCgkFb8cCA/edit?usp=sharing"",""ยโสธร!J415"")"),0.0)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IFERROR(__xludf.DUMMYFUNCTION("IMPORTRANGE(""https://docs.google.com/spreadsheets/d/1XL5vhW3sbDhbH9Cz0tuDiY8C3ctxq1tqvaCgkFb8cCA/edit?usp=sharing"",""ยโสธร!I416"")"),0.0)</f>
        <v>0</v>
      </c>
      <c r="J521" s="222">
        <f>IFERROR(__xludf.DUMMYFUNCTION("IMPORTRANGE(""https://docs.google.com/spreadsheets/d/1XL5vhW3sbDhbH9Cz0tuDiY8C3ctxq1tqvaCgkFb8cCA/edit?usp=sharing"",""ยโสธร!J416"")"),0.0)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IFERROR(__xludf.DUMMYFUNCTION("IMPORTRANGE(""https://docs.google.com/spreadsheets/d/1XL5vhW3sbDhbH9Cz0tuDiY8C3ctxq1tqvaCgkFb8cCA/edit?usp=sharing"",""ยโสธร!I417"")"),0.0)</f>
        <v>0</v>
      </c>
      <c r="J522" s="222">
        <f>IFERROR(__xludf.DUMMYFUNCTION("IMPORTRANGE(""https://docs.google.com/spreadsheets/d/1XL5vhW3sbDhbH9Cz0tuDiY8C3ctxq1tqvaCgkFb8cCA/edit?usp=sharing"",""ยโสธร!J417"")"),0.0)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IFERROR(__xludf.DUMMYFUNCTION("IMPORTRANGE(""https://docs.google.com/spreadsheets/d/1XL5vhW3sbDhbH9Cz0tuDiY8C3ctxq1tqvaCgkFb8cCA/edit?usp=sharing"",""ยโสธร!I418"")"),0.0)</f>
        <v>0</v>
      </c>
      <c r="J523" s="222">
        <f>IFERROR(__xludf.DUMMYFUNCTION("IMPORTRANGE(""https://docs.google.com/spreadsheets/d/1XL5vhW3sbDhbH9Cz0tuDiY8C3ctxq1tqvaCgkFb8cCA/edit?usp=sharing"",""ยโสธร!J418"")"),0.0)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IFERROR(__xludf.DUMMYFUNCTION("IMPORTRANGE(""https://docs.google.com/spreadsheets/d/1XL5vhW3sbDhbH9Cz0tuDiY8C3ctxq1tqvaCgkFb8cCA/edit?usp=sharing"",""ยโสธร!I419"")"),0.0)</f>
        <v>0</v>
      </c>
      <c r="J524" s="222">
        <f>IFERROR(__xludf.DUMMYFUNCTION("IMPORTRANGE(""https://docs.google.com/spreadsheets/d/1XL5vhW3sbDhbH9Cz0tuDiY8C3ctxq1tqvaCgkFb8cCA/edit?usp=sharing"",""ยโสธร!J419"")"),0.0)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IFERROR(__xludf.DUMMYFUNCTION("IMPORTRANGE(""https://docs.google.com/spreadsheets/d/1XL5vhW3sbDhbH9Cz0tuDiY8C3ctxq1tqvaCgkFb8cCA/edit?usp=sharing"",""ยโสธร!I420"")"),0.0)</f>
        <v>0</v>
      </c>
      <c r="J525" s="317">
        <f>IFERROR(__xludf.DUMMYFUNCTION("IMPORTRANGE(""https://docs.google.com/spreadsheets/d/1XL5vhW3sbDhbH9Cz0tuDiY8C3ctxq1tqvaCgkFb8cCA/edit?usp=sharing"",""ยโสธร!J420"")"),0.0)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IFERROR(__xludf.DUMMYFUNCTION("IMPORTRANGE(""https://docs.google.com/spreadsheets/d/1XL5vhW3sbDhbH9Cz0tuDiY8C3ctxq1tqvaCgkFb8cCA/edit?usp=sharing"",""ยโสธร!I421"")"),0.0)</f>
        <v>0</v>
      </c>
      <c r="J526" s="317">
        <f>IFERROR(__xludf.DUMMYFUNCTION("IMPORTRANGE(""https://docs.google.com/spreadsheets/d/1XL5vhW3sbDhbH9Cz0tuDiY8C3ctxq1tqvaCgkFb8cCA/edit?usp=sharing"",""ยโสธร!J421"")"),0.0)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IFERROR(__xludf.DUMMYFUNCTION("IMPORTRANGE(""https://docs.google.com/spreadsheets/d/1XL5vhW3sbDhbH9Cz0tuDiY8C3ctxq1tqvaCgkFb8cCA/edit?usp=sharing"",""ยโสธร!I422"")"),0.0)</f>
        <v>0</v>
      </c>
      <c r="J527" s="232">
        <f>IFERROR(__xludf.DUMMYFUNCTION("IMPORTRANGE(""https://docs.google.com/spreadsheets/d/1XL5vhW3sbDhbH9Cz0tuDiY8C3ctxq1tqvaCgkFb8cCA/edit?usp=sharing"",""ยโสธร!J422"")"),0.0)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IFERROR(__xludf.DUMMYFUNCTION("IMPORTRANGE(""https://docs.google.com/spreadsheets/d/1XL5vhW3sbDhbH9Cz0tuDiY8C3ctxq1tqvaCgkFb8cCA/edit?usp=sharing"",""ยโสธร!I423"")"),0.0)</f>
        <v>0</v>
      </c>
      <c r="J528" s="232">
        <f>IFERROR(__xludf.DUMMYFUNCTION("IMPORTRANGE(""https://docs.google.com/spreadsheets/d/1XL5vhW3sbDhbH9Cz0tuDiY8C3ctxq1tqvaCgkFb8cCA/edit?usp=sharing"",""ยโสธร!J423"")"),0.0)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IFERROR(__xludf.DUMMYFUNCTION("IMPORTRANGE(""https://docs.google.com/spreadsheets/d/1XL5vhW3sbDhbH9Cz0tuDiY8C3ctxq1tqvaCgkFb8cCA/edit?usp=sharing"",""ยโสธร!I424"")"),0.0)</f>
        <v>0</v>
      </c>
      <c r="J529" s="232">
        <f>IFERROR(__xludf.DUMMYFUNCTION("IMPORTRANGE(""https://docs.google.com/spreadsheets/d/1XL5vhW3sbDhbH9Cz0tuDiY8C3ctxq1tqvaCgkFb8cCA/edit?usp=sharing"",""ยโสธร!J424"")"),0.0)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IFERROR(__xludf.DUMMYFUNCTION("IMPORTRANGE(""https://docs.google.com/spreadsheets/d/1XL5vhW3sbDhbH9Cz0tuDiY8C3ctxq1tqvaCgkFb8cCA/edit?usp=sharing"",""ยโสธร!I425"")"),0.0)</f>
        <v>0</v>
      </c>
      <c r="J530" s="232">
        <f>IFERROR(__xludf.DUMMYFUNCTION("IMPORTRANGE(""https://docs.google.com/spreadsheets/d/1XL5vhW3sbDhbH9Cz0tuDiY8C3ctxq1tqvaCgkFb8cCA/edit?usp=sharing"",""ยโสธร!J425"")"),0.0)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IFERROR(__xludf.DUMMYFUNCTION("IMPORTRANGE(""https://docs.google.com/spreadsheets/d/1XL5vhW3sbDhbH9Cz0tuDiY8C3ctxq1tqvaCgkFb8cCA/edit?usp=sharing"",""ยโสธร!I426"")"),0.0)</f>
        <v>0</v>
      </c>
      <c r="J531" s="232">
        <f>IFERROR(__xludf.DUMMYFUNCTION("IMPORTRANGE(""https://docs.google.com/spreadsheets/d/1XL5vhW3sbDhbH9Cz0tuDiY8C3ctxq1tqvaCgkFb8cCA/edit?usp=sharing"",""ยโสธร!J426"")"),0.0)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IFERROR(__xludf.DUMMYFUNCTION("IMPORTRANGE(""https://docs.google.com/spreadsheets/d/1XL5vhW3sbDhbH9Cz0tuDiY8C3ctxq1tqvaCgkFb8cCA/edit?usp=sharing"",""ยโสธร!I427"")"),0.0)</f>
        <v>0</v>
      </c>
      <c r="J532" s="499">
        <f>IFERROR(__xludf.DUMMYFUNCTION("IMPORTRANGE(""https://docs.google.com/spreadsheets/d/1XL5vhW3sbDhbH9Cz0tuDiY8C3ctxq1tqvaCgkFb8cCA/edit?usp=sharing"",""ยโสธร!J427"")"),0.0)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IFERROR(__xludf.DUMMYFUNCTION("IMPORTRANGE(""https://docs.google.com/spreadsheets/d/1XL5vhW3sbDhbH9Cz0tuDiY8C3ctxq1tqvaCgkFb8cCA/edit?usp=sharing"",""ยโสธร!I428"")"),22.0)</f>
        <v>22</v>
      </c>
      <c r="J533" s="443">
        <f>IFERROR(__xludf.DUMMYFUNCTION("IMPORTRANGE(""https://docs.google.com/spreadsheets/d/1XL5vhW3sbDhbH9Cz0tuDiY8C3ctxq1tqvaCgkFb8cCA/edit?usp=sharing"",""ยโสธร!J428"")"),22.0)</f>
        <v>22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IFERROR(__xludf.DUMMYFUNCTION("IMPORTRANGE(""https://docs.google.com/spreadsheets/d/1XL5vhW3sbDhbH9Cz0tuDiY8C3ctxq1tqvaCgkFb8cCA/edit?usp=sharing"",""ยโสธร!L428"")"),34340.0)</f>
        <v>34340</v>
      </c>
      <c r="M533" s="445"/>
      <c r="N533" s="445">
        <f>IFERROR(__xludf.DUMMYFUNCTION("IMPORTRANGE(""https://docs.google.com/spreadsheets/d/1XL5vhW3sbDhbH9Cz0tuDiY8C3ctxq1tqvaCgkFb8cCA/edit?usp=sharing"",""ยโสธร!M428"")"),17000.0)</f>
        <v>17000</v>
      </c>
      <c r="O533" s="445">
        <f t="shared" ref="O533:O537" si="119">+IF(L533&gt;0,N533*100/L533,0)</f>
        <v>49.5049505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IFERROR(__xludf.DUMMYFUNCTION("IMPORTRANGE(""https://docs.google.com/spreadsheets/d/1XL5vhW3sbDhbH9Cz0tuDiY8C3ctxq1tqvaCgkFb8cCA/edit?usp=sharing"",""ยโสธร!L429"")"),0.0)</f>
        <v>0</v>
      </c>
      <c r="M534" s="197"/>
      <c r="N534" s="203">
        <f>IFERROR(__xludf.DUMMYFUNCTION("IMPORTRANGE(""https://docs.google.com/spreadsheets/d/1XL5vhW3sbDhbH9Cz0tuDiY8C3ctxq1tqvaCgkFb8cCA/edit?usp=sharing"",""ยโสธร!M429"")"),0.0)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IFERROR(__xludf.DUMMYFUNCTION("IMPORTRANGE(""https://docs.google.com/spreadsheets/d/1XL5vhW3sbDhbH9Cz0tuDiY8C3ctxq1tqvaCgkFb8cCA/edit?usp=sharing"",""ยโสธร!L430"")"),34340.0)</f>
        <v>34340</v>
      </c>
      <c r="M535" s="198"/>
      <c r="N535" s="203">
        <f>IFERROR(__xludf.DUMMYFUNCTION("IMPORTRANGE(""https://docs.google.com/spreadsheets/d/1XL5vhW3sbDhbH9Cz0tuDiY8C3ctxq1tqvaCgkFb8cCA/edit?usp=sharing"",""ยโสธร!M430"")"),17000.0)</f>
        <v>17000</v>
      </c>
      <c r="O535" s="203">
        <f t="shared" si="119"/>
        <v>49.5049505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IFERROR(__xludf.DUMMYFUNCTION("IMPORTRANGE(""https://docs.google.com/spreadsheets/d/1XL5vhW3sbDhbH9Cz0tuDiY8C3ctxq1tqvaCgkFb8cCA/edit?usp=sharing"",""ยโสธร!L431"")"),0.0)</f>
        <v>0</v>
      </c>
      <c r="M536" s="203"/>
      <c r="N536" s="203">
        <f>IFERROR(__xludf.DUMMYFUNCTION("IMPORTRANGE(""https://docs.google.com/spreadsheets/d/1XL5vhW3sbDhbH9Cz0tuDiY8C3ctxq1tqvaCgkFb8cCA/edit?usp=sharing"",""ยโสธร!M431"")"),0.0)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IFERROR(__xludf.DUMMYFUNCTION("IMPORTRANGE(""https://docs.google.com/spreadsheets/d/1XL5vhW3sbDhbH9Cz0tuDiY8C3ctxq1tqvaCgkFb8cCA/edit?usp=sharing"",""ยโสธร!L432"")"),34340.0)</f>
        <v>34340</v>
      </c>
      <c r="M537" s="203"/>
      <c r="N537" s="203">
        <f>IFERROR(__xludf.DUMMYFUNCTION("IMPORTRANGE(""https://docs.google.com/spreadsheets/d/1XL5vhW3sbDhbH9Cz0tuDiY8C3ctxq1tqvaCgkFb8cCA/edit?usp=sharing"",""ยโสธร!M432"")"),17000.0)</f>
        <v>17000</v>
      </c>
      <c r="O537" s="203">
        <f t="shared" si="119"/>
        <v>49.5049505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IFERROR(__xludf.DUMMYFUNCTION("IMPORTRANGE(""https://docs.google.com/spreadsheets/d/1XL5vhW3sbDhbH9Cz0tuDiY8C3ctxq1tqvaCgkFb8cCA/edit?usp=sharing"",""ยโสธร!M433"")"),14800.0)</f>
        <v>14800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IFERROR(__xludf.DUMMYFUNCTION("IMPORTRANGE(""https://docs.google.com/spreadsheets/d/1XL5vhW3sbDhbH9Cz0tuDiY8C3ctxq1tqvaCgkFb8cCA/edit?usp=sharing"",""ยโสธร!M434"")"),0.0)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IFERROR(__xludf.DUMMYFUNCTION("IMPORTRANGE(""https://docs.google.com/spreadsheets/d/1XL5vhW3sbDhbH9Cz0tuDiY8C3ctxq1tqvaCgkFb8cCA/edit?usp=sharing"",""ยโสธร!M435"")"),0.0)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IFERROR(__xludf.DUMMYFUNCTION("IMPORTRANGE(""https://docs.google.com/spreadsheets/d/1XL5vhW3sbDhbH9Cz0tuDiY8C3ctxq1tqvaCgkFb8cCA/edit?usp=sharing"",""ยโสธร!M436"")"),2200.0)</f>
        <v>2200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IFERROR(__xludf.DUMMYFUNCTION("IMPORTRANGE(""https://docs.google.com/spreadsheets/d/1XL5vhW3sbDhbH9Cz0tuDiY8C3ctxq1tqvaCgkFb8cCA/edit?usp=sharing"",""ยโสธร!J438"")"),0.0)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IFERROR(__xludf.DUMMYFUNCTION("IMPORTRANGE(""https://docs.google.com/spreadsheets/d/1XL5vhW3sbDhbH9Cz0tuDiY8C3ctxq1tqvaCgkFb8cCA/edit?usp=sharing"",""ยโสธร!J439"")"),0.0)</f>
        <v>0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IFERROR(__xludf.DUMMYFUNCTION("IMPORTRANGE(""https://docs.google.com/spreadsheets/d/1XL5vhW3sbDhbH9Cz0tuDiY8C3ctxq1tqvaCgkFb8cCA/edit?usp=sharing"",""ยโสธร!J440"")"),1.0)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IFERROR(__xludf.DUMMYFUNCTION("IMPORTRANGE(""https://docs.google.com/spreadsheets/d/1XL5vhW3sbDhbH9Cz0tuDiY8C3ctxq1tqvaCgkFb8cCA/edit?usp=sharing"",""ยโสธร!J441"")"),1.0)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IFERROR(__xludf.DUMMYFUNCTION("IMPORTRANGE(""https://docs.google.com/spreadsheets/d/1XL5vhW3sbDhbH9Cz0tuDiY8C3ctxq1tqvaCgkFb8cCA/edit?usp=sharing"",""ยโสธร!I442"")"),22.0)</f>
        <v>22</v>
      </c>
      <c r="J547" s="223">
        <f>IFERROR(__xludf.DUMMYFUNCTION("IMPORTRANGE(""https://docs.google.com/spreadsheets/d/1XL5vhW3sbDhbH9Cz0tuDiY8C3ctxq1tqvaCgkFb8cCA/edit?usp=sharing"",""ยโสธร!J442"")"),22.0)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IFERROR(__xludf.DUMMYFUNCTION("IMPORTRANGE(""https://docs.google.com/spreadsheets/d/1XL5vhW3sbDhbH9Cz0tuDiY8C3ctxq1tqvaCgkFb8cCA/edit?usp=sharing"",""ยโสธร!J166"")"),0.0)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IFERROR(__xludf.DUMMYFUNCTION("IMPORTRANGE(""https://docs.google.com/spreadsheets/d/1XL5vhW3sbDhbH9Cz0tuDiY8C3ctxq1tqvaCgkFb8cCA/edit?usp=sharing"",""ยโสธร!J444"")"),1.0)</f>
        <v>1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IFERROR(__xludf.DUMMYFUNCTION("IMPORTRANGE(""https://docs.google.com/spreadsheets/d/1XL5vhW3sbDhbH9Cz0tuDiY8C3ctxq1tqvaCgkFb8cCA/edit?usp=sharing"",""ยโสธร!J445"")"),1.0)</f>
        <v>1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IFERROR(__xludf.DUMMYFUNCTION("IMPORTRANGE(""https://docs.google.com/spreadsheets/d/1XL5vhW3sbDhbH9Cz0tuDiY8C3ctxq1tqvaCgkFb8cCA/edit?usp=sharing"",""ยโสธร!I446"")"),0.0)</f>
        <v>0</v>
      </c>
      <c r="J551" s="443">
        <f>IFERROR(__xludf.DUMMYFUNCTION("IMPORTRANGE(""https://docs.google.com/spreadsheets/d/1XL5vhW3sbDhbH9Cz0tuDiY8C3ctxq1tqvaCgkFb8cCA/edit?usp=sharing"",""ยโสธร!J446"")"),0.0)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IFERROR(__xludf.DUMMYFUNCTION("IMPORTRANGE(""https://docs.google.com/spreadsheets/d/1XL5vhW3sbDhbH9Cz0tuDiY8C3ctxq1tqvaCgkFb8cCA/edit?usp=sharing"",""ยโสธร!L446"")"),0.0)</f>
        <v>0</v>
      </c>
      <c r="M551" s="445"/>
      <c r="N551" s="445">
        <f>IFERROR(__xludf.DUMMYFUNCTION("IMPORTRANGE(""https://docs.google.com/spreadsheets/d/1XL5vhW3sbDhbH9Cz0tuDiY8C3ctxq1tqvaCgkFb8cCA/edit?usp=sharing"",""ยโสธร!M446"")"),0.0)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IFERROR(__xludf.DUMMYFUNCTION("IMPORTRANGE(""https://docs.google.com/spreadsheets/d/1XL5vhW3sbDhbH9Cz0tuDiY8C3ctxq1tqvaCgkFb8cCA/edit?usp=sharing"",""ยโสธร!L447"")"),0.0)</f>
        <v>0</v>
      </c>
      <c r="M552" s="197"/>
      <c r="N552" s="203">
        <f>IFERROR(__xludf.DUMMYFUNCTION("IMPORTRANGE(""https://docs.google.com/spreadsheets/d/1XL5vhW3sbDhbH9Cz0tuDiY8C3ctxq1tqvaCgkFb8cCA/edit?usp=sharing"",""ยโสธร!M447"")"),0.0)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IFERROR(__xludf.DUMMYFUNCTION("IMPORTRANGE(""https://docs.google.com/spreadsheets/d/1XL5vhW3sbDhbH9Cz0tuDiY8C3ctxq1tqvaCgkFb8cCA/edit?usp=sharing"",""ยโสธร!L448"")"),0.0)</f>
        <v>0</v>
      </c>
      <c r="M553" s="198"/>
      <c r="N553" s="203">
        <f>IFERROR(__xludf.DUMMYFUNCTION("IMPORTRANGE(""https://docs.google.com/spreadsheets/d/1XL5vhW3sbDhbH9Cz0tuDiY8C3ctxq1tqvaCgkFb8cCA/edit?usp=sharing"",""ยโสธร!M448"")"),0.0)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IFERROR(__xludf.DUMMYFUNCTION("IMPORTRANGE(""https://docs.google.com/spreadsheets/d/1XL5vhW3sbDhbH9Cz0tuDiY8C3ctxq1tqvaCgkFb8cCA/edit?usp=sharing"",""ยโสธร!L449"")"),0.0)</f>
        <v>0</v>
      </c>
      <c r="M554" s="203"/>
      <c r="N554" s="203">
        <f>IFERROR(__xludf.DUMMYFUNCTION("IMPORTRANGE(""https://docs.google.com/spreadsheets/d/1XL5vhW3sbDhbH9Cz0tuDiY8C3ctxq1tqvaCgkFb8cCA/edit?usp=sharing"",""ยโสธร!M449"")"),0.0)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IFERROR(__xludf.DUMMYFUNCTION("IMPORTRANGE(""https://docs.google.com/spreadsheets/d/1XL5vhW3sbDhbH9Cz0tuDiY8C3ctxq1tqvaCgkFb8cCA/edit?usp=sharing"",""ยโสธร!L450"")"),0.0)</f>
        <v>0</v>
      </c>
      <c r="M555" s="203"/>
      <c r="N555" s="203">
        <f>IFERROR(__xludf.DUMMYFUNCTION("IMPORTRANGE(""https://docs.google.com/spreadsheets/d/1XL5vhW3sbDhbH9Cz0tuDiY8C3ctxq1tqvaCgkFb8cCA/edit?usp=sharing"",""ยโสธร!M450"")"),0.0)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IFERROR(__xludf.DUMMYFUNCTION("IMPORTRANGE(""https://docs.google.com/spreadsheets/d/1XL5vhW3sbDhbH9Cz0tuDiY8C3ctxq1tqvaCgkFb8cCA/edit?usp=sharing"",""ยโสธร!M451"")"),0.0)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IFERROR(__xludf.DUMMYFUNCTION("IMPORTRANGE(""https://docs.google.com/spreadsheets/d/1XL5vhW3sbDhbH9Cz0tuDiY8C3ctxq1tqvaCgkFb8cCA/edit?usp=sharing"",""ยโสธร!M452"")"),0.0)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IFERROR(__xludf.DUMMYFUNCTION("IMPORTRANGE(""https://docs.google.com/spreadsheets/d/1XL5vhW3sbDhbH9Cz0tuDiY8C3ctxq1tqvaCgkFb8cCA/edit?usp=sharing"",""ยโสธร!M453"")"),0.0)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IFERROR(__xludf.DUMMYFUNCTION("IMPORTRANGE(""https://docs.google.com/spreadsheets/d/1XL5vhW3sbDhbH9Cz0tuDiY8C3ctxq1tqvaCgkFb8cCA/edit?usp=sharing"",""ยโสธร!M454"")"),0.0)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IFERROR(__xludf.DUMMYFUNCTION("IMPORTRANGE(""https://docs.google.com/spreadsheets/d/1XL5vhW3sbDhbH9Cz0tuDiY8C3ctxq1tqvaCgkFb8cCA/edit?usp=sharing"",""ยโสธร!I455"")"),0.0)</f>
        <v>0</v>
      </c>
      <c r="J560" s="195">
        <f>IFERROR(__xludf.DUMMYFUNCTION("IMPORTRANGE(""https://docs.google.com/spreadsheets/d/1XL5vhW3sbDhbH9Cz0tuDiY8C3ctxq1tqvaCgkFb8cCA/edit?usp=sharing"",""ยโสธร!J455"")"),0.0)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IFERROR(__xludf.DUMMYFUNCTION("IMPORTRANGE(""https://docs.google.com/spreadsheets/d/1XL5vhW3sbDhbH9Cz0tuDiY8C3ctxq1tqvaCgkFb8cCA/edit?usp=sharing"",""ยโสธร!I456"")"),0.0)</f>
        <v>0</v>
      </c>
      <c r="J561" s="238">
        <f>IFERROR(__xludf.DUMMYFUNCTION("IMPORTRANGE(""https://docs.google.com/spreadsheets/d/1XL5vhW3sbDhbH9Cz0tuDiY8C3ctxq1tqvaCgkFb8cCA/edit?usp=sharing"",""ยโสธร!J456"")"),0.0)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IFERROR(__xludf.DUMMYFUNCTION("IMPORTRANGE(""https://docs.google.com/spreadsheets/d/1XL5vhW3sbDhbH9Cz0tuDiY8C3ctxq1tqvaCgkFb8cCA/edit?usp=sharing"",""ยโสธร!I457"")"),"")</f>
        <v/>
      </c>
      <c r="J562" s="238" t="str">
        <f>IFERROR(__xludf.DUMMYFUNCTION("IMPORTRANGE(""https://docs.google.com/spreadsheets/d/1XL5vhW3sbDhbH9Cz0tuDiY8C3ctxq1tqvaCgkFb8cCA/edit?usp=sharing"",""ยโสธร!J457"")"),"")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IFERROR(__xludf.DUMMYFUNCTION("IMPORTRANGE(""https://docs.google.com/spreadsheets/d/1XL5vhW3sbDhbH9Cz0tuDiY8C3ctxq1tqvaCgkFb8cCA/edit?usp=sharing"",""ยโสธร!I458"")"),"")</f>
        <v/>
      </c>
      <c r="J563" s="222" t="str">
        <f>IFERROR(__xludf.DUMMYFUNCTION("IMPORTRANGE(""https://docs.google.com/spreadsheets/d/1XL5vhW3sbDhbH9Cz0tuDiY8C3ctxq1tqvaCgkFb8cCA/edit?usp=sharing"",""ยโสธร!J458"")"),"")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IFERROR(__xludf.DUMMYFUNCTION("IMPORTRANGE(""https://docs.google.com/spreadsheets/d/1XL5vhW3sbDhbH9Cz0tuDiY8C3ctxq1tqvaCgkFb8cCA/edit?usp=sharing"",""ยโสธร!I459"")"),1900.0)</f>
        <v>1900</v>
      </c>
      <c r="J564" s="404">
        <f>IFERROR(__xludf.DUMMYFUNCTION("IMPORTRANGE(""https://docs.google.com/spreadsheets/d/1XL5vhW3sbDhbH9Cz0tuDiY8C3ctxq1tqvaCgkFb8cCA/edit?usp=sharing"",""ยโสธร!J459"")"),1734.0)</f>
        <v>1734</v>
      </c>
      <c r="K564" s="405">
        <f t="shared" si="122"/>
        <v>91.26315789</v>
      </c>
      <c r="L564" s="406">
        <f>IFERROR(__xludf.DUMMYFUNCTION("IMPORTRANGE(""https://docs.google.com/spreadsheets/d/1XL5vhW3sbDhbH9Cz0tuDiY8C3ctxq1tqvaCgkFb8cCA/edit?usp=sharing"",""ยโสธร!L459"")"),142240.0)</f>
        <v>142240</v>
      </c>
      <c r="M564" s="406"/>
      <c r="N564" s="406">
        <f>IFERROR(__xludf.DUMMYFUNCTION("IMPORTRANGE(""https://docs.google.com/spreadsheets/d/1XL5vhW3sbDhbH9Cz0tuDiY8C3ctxq1tqvaCgkFb8cCA/edit?usp=sharing"",""ยโสธร!M459"")"),16390.0)</f>
        <v>16390</v>
      </c>
      <c r="O564" s="406">
        <f t="shared" ref="O564:O568" si="123">+IF(L564&gt;0,N564*100/L564,0)</f>
        <v>11.5227784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IFERROR(__xludf.DUMMYFUNCTION("IMPORTRANGE(""https://docs.google.com/spreadsheets/d/1XL5vhW3sbDhbH9Cz0tuDiY8C3ctxq1tqvaCgkFb8cCA/edit?usp=sharing"",""ยโสธร!L460"")"),0.0)</f>
        <v>0</v>
      </c>
      <c r="M565" s="197"/>
      <c r="N565" s="203">
        <f>IFERROR(__xludf.DUMMYFUNCTION("IMPORTRANGE(""https://docs.google.com/spreadsheets/d/1XL5vhW3sbDhbH9Cz0tuDiY8C3ctxq1tqvaCgkFb8cCA/edit?usp=sharing"",""ยโสธร!M460"")"),0.0)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IFERROR(__xludf.DUMMYFUNCTION("IMPORTRANGE(""https://docs.google.com/spreadsheets/d/1XL5vhW3sbDhbH9Cz0tuDiY8C3ctxq1tqvaCgkFb8cCA/edit?usp=sharing"",""ยโสธร!L461"")"),142240.0)</f>
        <v>142240</v>
      </c>
      <c r="M566" s="198"/>
      <c r="N566" s="203">
        <f>IFERROR(__xludf.DUMMYFUNCTION("IMPORTRANGE(""https://docs.google.com/spreadsheets/d/1XL5vhW3sbDhbH9Cz0tuDiY8C3ctxq1tqvaCgkFb8cCA/edit?usp=sharing"",""ยโสธร!M461"")"),16390.0)</f>
        <v>16390</v>
      </c>
      <c r="O566" s="203">
        <f t="shared" si="123"/>
        <v>11.5227784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IFERROR(__xludf.DUMMYFUNCTION("IMPORTRANGE(""https://docs.google.com/spreadsheets/d/1XL5vhW3sbDhbH9Cz0tuDiY8C3ctxq1tqvaCgkFb8cCA/edit?usp=sharing"",""ยโสธร!L462"")"),0.0)</f>
        <v>0</v>
      </c>
      <c r="M567" s="203"/>
      <c r="N567" s="203">
        <f>IFERROR(__xludf.DUMMYFUNCTION("IMPORTRANGE(""https://docs.google.com/spreadsheets/d/1XL5vhW3sbDhbH9Cz0tuDiY8C3ctxq1tqvaCgkFb8cCA/edit?usp=sharing"",""ยโสธร!M462"")"),0.0)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IFERROR(__xludf.DUMMYFUNCTION("IMPORTRANGE(""https://docs.google.com/spreadsheets/d/1XL5vhW3sbDhbH9Cz0tuDiY8C3ctxq1tqvaCgkFb8cCA/edit?usp=sharing"",""ยโสธร!L463"")"),142240.0)</f>
        <v>142240</v>
      </c>
      <c r="M568" s="203"/>
      <c r="N568" s="203">
        <f>IFERROR(__xludf.DUMMYFUNCTION("IMPORTRANGE(""https://docs.google.com/spreadsheets/d/1XL5vhW3sbDhbH9Cz0tuDiY8C3ctxq1tqvaCgkFb8cCA/edit?usp=sharing"",""ยโสธร!M463"")"),16390.0)</f>
        <v>16390</v>
      </c>
      <c r="O568" s="203">
        <f t="shared" si="123"/>
        <v>11.5227784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IFERROR(__xludf.DUMMYFUNCTION("IMPORTRANGE(""https://docs.google.com/spreadsheets/d/1XL5vhW3sbDhbH9Cz0tuDiY8C3ctxq1tqvaCgkFb8cCA/edit?usp=sharing"",""ยโสธร!M464"")"),0.0)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IFERROR(__xludf.DUMMYFUNCTION("IMPORTRANGE(""https://docs.google.com/spreadsheets/d/1XL5vhW3sbDhbH9Cz0tuDiY8C3ctxq1tqvaCgkFb8cCA/edit?usp=sharing"",""ยโสธร!M465"")"),0.0)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IFERROR(__xludf.DUMMYFUNCTION("IMPORTRANGE(""https://docs.google.com/spreadsheets/d/1XL5vhW3sbDhbH9Cz0tuDiY8C3ctxq1tqvaCgkFb8cCA/edit?usp=sharing"",""ยโสธร!M466"")"),0.0)</f>
        <v>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IFERROR(__xludf.DUMMYFUNCTION("IMPORTRANGE(""https://docs.google.com/spreadsheets/d/1XL5vhW3sbDhbH9Cz0tuDiY8C3ctxq1tqvaCgkFb8cCA/edit?usp=sharing"",""ยโสธร!M467"")"),16390.0)</f>
        <v>16390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IFERROR(__xludf.DUMMYFUNCTION("IMPORTRANGE(""https://docs.google.com/spreadsheets/d/1XL5vhW3sbDhbH9Cz0tuDiY8C3ctxq1tqvaCgkFb8cCA/edit?usp=sharing"",""ยโสธร!I468"")"),1900.0)</f>
        <v>1900</v>
      </c>
      <c r="J573" s="453">
        <f>IFERROR(__xludf.DUMMYFUNCTION("IMPORTRANGE(""https://docs.google.com/spreadsheets/d/1XL5vhW3sbDhbH9Cz0tuDiY8C3ctxq1tqvaCgkFb8cCA/edit?usp=sharing"",""ยโสธร!J468"")"),1734.0)</f>
        <v>1734</v>
      </c>
      <c r="K573" s="236">
        <f>IF(I573&gt;0,J573*100/I573,0)</f>
        <v>91.26315789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IFERROR(__xludf.DUMMYFUNCTION("IMPORTRANGE(""https://docs.google.com/spreadsheets/d/1XL5vhW3sbDhbH9Cz0tuDiY8C3ctxq1tqvaCgkFb8cCA/edit?usp=sharing"",""ยโสธร!I470"")"),0.0)</f>
        <v>0</v>
      </c>
      <c r="J575" s="232">
        <f>IFERROR(__xludf.DUMMYFUNCTION("IMPORTRANGE(""https://docs.google.com/spreadsheets/d/1XL5vhW3sbDhbH9Cz0tuDiY8C3ctxq1tqvaCgkFb8cCA/edit?usp=sharing"",""ยโสธร!J470"")"),6.0)</f>
        <v>6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IFERROR(__xludf.DUMMYFUNCTION("IMPORTRANGE(""https://docs.google.com/spreadsheets/d/1XL5vhW3sbDhbH9Cz0tuDiY8C3ctxq1tqvaCgkFb8cCA/edit?usp=sharing"",""ยโสธร!I471"")"),0.0)</f>
        <v>0</v>
      </c>
      <c r="J576" s="232">
        <f>IFERROR(__xludf.DUMMYFUNCTION("IMPORTRANGE(""https://docs.google.com/spreadsheets/d/1XL5vhW3sbDhbH9Cz0tuDiY8C3ctxq1tqvaCgkFb8cCA/edit?usp=sharing"",""ยโสธร!J471"")"),56.0)</f>
        <v>56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IFERROR(__xludf.DUMMYFUNCTION("IMPORTRANGE(""https://docs.google.com/spreadsheets/d/1XL5vhW3sbDhbH9Cz0tuDiY8C3ctxq1tqvaCgkFb8cCA/edit?usp=sharing"",""ยโสธร!I472"")"),0.0)</f>
        <v>0</v>
      </c>
      <c r="J577" s="223">
        <f>IFERROR(__xludf.DUMMYFUNCTION("IMPORTRANGE(""https://docs.google.com/spreadsheets/d/1XL5vhW3sbDhbH9Cz0tuDiY8C3ctxq1tqvaCgkFb8cCA/edit?usp=sharing"",""ยโสธร!J472"")"),1678.0)</f>
        <v>1678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IFERROR(__xludf.DUMMYFUNCTION("IMPORTRANGE(""https://docs.google.com/spreadsheets/d/1XL5vhW3sbDhbH9Cz0tuDiY8C3ctxq1tqvaCgkFb8cCA/edit?usp=sharing"",""ยโสธร!I473"")"),0.0)</f>
        <v>0</v>
      </c>
      <c r="J578" s="232">
        <f>IFERROR(__xludf.DUMMYFUNCTION("IMPORTRANGE(""https://docs.google.com/spreadsheets/d/1XL5vhW3sbDhbH9Cz0tuDiY8C3ctxq1tqvaCgkFb8cCA/edit?usp=sharing"",""ยโสธร!J473"")"),0.0)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IFERROR(__xludf.DUMMYFUNCTION("IMPORTRANGE(""https://docs.google.com/spreadsheets/d/1XL5vhW3sbDhbH9Cz0tuDiY8C3ctxq1tqvaCgkFb8cCA/edit?usp=sharing"",""ยโสธร!I474"")"),0.0)</f>
        <v>0</v>
      </c>
      <c r="J579" s="232">
        <f>IFERROR(__xludf.DUMMYFUNCTION("IMPORTRANGE(""https://docs.google.com/spreadsheets/d/1XL5vhW3sbDhbH9Cz0tuDiY8C3ctxq1tqvaCgkFb8cCA/edit?usp=sharing"",""ยโสธร!J474"")"),0.0)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IFERROR(__xludf.DUMMYFUNCTION("IMPORTRANGE(""https://docs.google.com/spreadsheets/d/1XL5vhW3sbDhbH9Cz0tuDiY8C3ctxq1tqvaCgkFb8cCA/edit?usp=sharing"",""ยโสธร!I475"")"),100.0)</f>
        <v>100</v>
      </c>
      <c r="J580" s="404">
        <f>IFERROR(__xludf.DUMMYFUNCTION("IMPORTRANGE(""https://docs.google.com/spreadsheets/d/1XL5vhW3sbDhbH9Cz0tuDiY8C3ctxq1tqvaCgkFb8cCA/edit?usp=sharing"",""ยโสธร!J475"")"),25.0)</f>
        <v>25</v>
      </c>
      <c r="K580" s="405">
        <f>IF(I580&gt;0,J580*100/I580,0)</f>
        <v>25</v>
      </c>
      <c r="L580" s="406">
        <f>IFERROR(__xludf.DUMMYFUNCTION("IMPORTRANGE(""https://docs.google.com/spreadsheets/d/1XL5vhW3sbDhbH9Cz0tuDiY8C3ctxq1tqvaCgkFb8cCA/edit?usp=sharing"",""ยโสธร!L475"")"),306100.0)</f>
        <v>306100</v>
      </c>
      <c r="M580" s="406"/>
      <c r="N580" s="406">
        <f>IFERROR(__xludf.DUMMYFUNCTION("IMPORTRANGE(""https://docs.google.com/spreadsheets/d/1XL5vhW3sbDhbH9Cz0tuDiY8C3ctxq1tqvaCgkFb8cCA/edit?usp=sharing"",""ยโสธร!M475"")"),49553.0)</f>
        <v>49553</v>
      </c>
      <c r="O580" s="406">
        <f t="shared" ref="O580:O584" si="125">+IF(L580&gt;0,N580*100/L580,0)</f>
        <v>16.18850049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IFERROR(__xludf.DUMMYFUNCTION("IMPORTRANGE(""https://docs.google.com/spreadsheets/d/1XL5vhW3sbDhbH9Cz0tuDiY8C3ctxq1tqvaCgkFb8cCA/edit?usp=sharing"",""ยโสธร!L476"")"),0.0)</f>
        <v>0</v>
      </c>
      <c r="M581" s="197"/>
      <c r="N581" s="203">
        <f>IFERROR(__xludf.DUMMYFUNCTION("IMPORTRANGE(""https://docs.google.com/spreadsheets/d/1XL5vhW3sbDhbH9Cz0tuDiY8C3ctxq1tqvaCgkFb8cCA/edit?usp=sharing"",""ยโสธร!M476"")"),0.0)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IFERROR(__xludf.DUMMYFUNCTION("IMPORTRANGE(""https://docs.google.com/spreadsheets/d/1XL5vhW3sbDhbH9Cz0tuDiY8C3ctxq1tqvaCgkFb8cCA/edit?usp=sharing"",""ยโสธร!L477"")"),306100.0)</f>
        <v>306100</v>
      </c>
      <c r="M582" s="198"/>
      <c r="N582" s="203">
        <f>IFERROR(__xludf.DUMMYFUNCTION("IMPORTRANGE(""https://docs.google.com/spreadsheets/d/1XL5vhW3sbDhbH9Cz0tuDiY8C3ctxq1tqvaCgkFb8cCA/edit?usp=sharing"",""ยโสธร!M477"")"),49553.0)</f>
        <v>49553</v>
      </c>
      <c r="O582" s="203">
        <f t="shared" si="125"/>
        <v>16.18850049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IFERROR(__xludf.DUMMYFUNCTION("IMPORTRANGE(""https://docs.google.com/spreadsheets/d/1XL5vhW3sbDhbH9Cz0tuDiY8C3ctxq1tqvaCgkFb8cCA/edit?usp=sharing"",""ยโสธร!L478"")"),0.0)</f>
        <v>0</v>
      </c>
      <c r="M583" s="203"/>
      <c r="N583" s="203">
        <f>IFERROR(__xludf.DUMMYFUNCTION("IMPORTRANGE(""https://docs.google.com/spreadsheets/d/1XL5vhW3sbDhbH9Cz0tuDiY8C3ctxq1tqvaCgkFb8cCA/edit?usp=sharing"",""ยโสธร!M478"")"),0.0)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IFERROR(__xludf.DUMMYFUNCTION("IMPORTRANGE(""https://docs.google.com/spreadsheets/d/1XL5vhW3sbDhbH9Cz0tuDiY8C3ctxq1tqvaCgkFb8cCA/edit?usp=sharing"",""ยโสธร!L479"")"),306100.0)</f>
        <v>306100</v>
      </c>
      <c r="M584" s="203"/>
      <c r="N584" s="203">
        <f>IFERROR(__xludf.DUMMYFUNCTION("IMPORTRANGE(""https://docs.google.com/spreadsheets/d/1XL5vhW3sbDhbH9Cz0tuDiY8C3ctxq1tqvaCgkFb8cCA/edit?usp=sharing"",""ยโสธร!M479"")"),49553.0)</f>
        <v>49553</v>
      </c>
      <c r="O584" s="203">
        <f t="shared" si="125"/>
        <v>16.18850049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IFERROR(__xludf.DUMMYFUNCTION("IMPORTRANGE(""https://docs.google.com/spreadsheets/d/1XL5vhW3sbDhbH9Cz0tuDiY8C3ctxq1tqvaCgkFb8cCA/edit?usp=sharing"",""ยโสธร!M480"")"),0.0)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IFERROR(__xludf.DUMMYFUNCTION("IMPORTRANGE(""https://docs.google.com/spreadsheets/d/1XL5vhW3sbDhbH9Cz0tuDiY8C3ctxq1tqvaCgkFb8cCA/edit?usp=sharing"",""ยโสธร!M481"")"),0.0)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IFERROR(__xludf.DUMMYFUNCTION("IMPORTRANGE(""https://docs.google.com/spreadsheets/d/1XL5vhW3sbDhbH9Cz0tuDiY8C3ctxq1tqvaCgkFb8cCA/edit?usp=sharing"",""ยโสธร!M482"")"),21633.0)</f>
        <v>21633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IFERROR(__xludf.DUMMYFUNCTION("IMPORTRANGE(""https://docs.google.com/spreadsheets/d/1XL5vhW3sbDhbH9Cz0tuDiY8C3ctxq1tqvaCgkFb8cCA/edit?usp=sharing"",""ยโสธร!M483"")"),27920.0)</f>
        <v>27920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IFERROR(__xludf.DUMMYFUNCTION("IMPORTRANGE(""https://docs.google.com/spreadsheets/d/1XL5vhW3sbDhbH9Cz0tuDiY8C3ctxq1tqvaCgkFb8cCA/edit?usp=sharing"",""ยโสธร!I484"")"),100.0)</f>
        <v>100</v>
      </c>
      <c r="J589" s="222">
        <f>IFERROR(__xludf.DUMMYFUNCTION("IMPORTRANGE(""https://docs.google.com/spreadsheets/d/1XL5vhW3sbDhbH9Cz0tuDiY8C3ctxq1tqvaCgkFb8cCA/edit?usp=sharing"",""ยโสธร!J484"")"),4.0)</f>
        <v>4</v>
      </c>
      <c r="K589" s="196">
        <f t="shared" ref="K589:K596" si="126">IF(I589&gt;0,J589*100/I589,0)</f>
        <v>4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IFERROR(__xludf.DUMMYFUNCTION("IMPORTRANGE(""https://docs.google.com/spreadsheets/d/1XL5vhW3sbDhbH9Cz0tuDiY8C3ctxq1tqvaCgkFb8cCA/edit?usp=sharing"",""ยโสธร!I485"")"),0.0)</f>
        <v>0</v>
      </c>
      <c r="J590" s="222">
        <f>IFERROR(__xludf.DUMMYFUNCTION("IMPORTRANGE(""https://docs.google.com/spreadsheets/d/1XL5vhW3sbDhbH9Cz0tuDiY8C3ctxq1tqvaCgkFb8cCA/edit?usp=sharing"",""ยโสธร!J485"")"),1.94)</f>
        <v>1.94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IFERROR(__xludf.DUMMYFUNCTION("IMPORTRANGE(""https://docs.google.com/spreadsheets/d/1XL5vhW3sbDhbH9Cz0tuDiY8C3ctxq1tqvaCgkFb8cCA/edit?usp=sharing"",""ยโสธร!I486"")"),100.0)</f>
        <v>100</v>
      </c>
      <c r="J591" s="222">
        <f>IFERROR(__xludf.DUMMYFUNCTION("IMPORTRANGE(""https://docs.google.com/spreadsheets/d/1XL5vhW3sbDhbH9Cz0tuDiY8C3ctxq1tqvaCgkFb8cCA/edit?usp=sharing"",""ยโสธร!J486"")"),32.0)</f>
        <v>32</v>
      </c>
      <c r="K591" s="196">
        <f t="shared" si="126"/>
        <v>32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IFERROR(__xludf.DUMMYFUNCTION("IMPORTRANGE(""https://docs.google.com/spreadsheets/d/1XL5vhW3sbDhbH9Cz0tuDiY8C3ctxq1tqvaCgkFb8cCA/edit?usp=sharing"",""ยโสธร!I487"")"),0.0)</f>
        <v>0</v>
      </c>
      <c r="J592" s="222">
        <f>IFERROR(__xludf.DUMMYFUNCTION("IMPORTRANGE(""https://docs.google.com/spreadsheets/d/1XL5vhW3sbDhbH9Cz0tuDiY8C3ctxq1tqvaCgkFb8cCA/edit?usp=sharing"",""ยโสธร!J487"")"),15.48)</f>
        <v>15.48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IFERROR(__xludf.DUMMYFUNCTION("IMPORTRANGE(""https://docs.google.com/spreadsheets/d/1XL5vhW3sbDhbH9Cz0tuDiY8C3ctxq1tqvaCgkFb8cCA/edit?usp=sharing"",""ยโสธร!I488"")"),100.0)</f>
        <v>100</v>
      </c>
      <c r="J593" s="222">
        <f>IFERROR(__xludf.DUMMYFUNCTION("IMPORTRANGE(""https://docs.google.com/spreadsheets/d/1XL5vhW3sbDhbH9Cz0tuDiY8C3ctxq1tqvaCgkFb8cCA/edit?usp=sharing"",""ยโสธร!J488"")"),0.0)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IFERROR(__xludf.DUMMYFUNCTION("IMPORTRANGE(""https://docs.google.com/spreadsheets/d/1XL5vhW3sbDhbH9Cz0tuDiY8C3ctxq1tqvaCgkFb8cCA/edit?usp=sharing"",""ยโสธร!I489"")"),0.0)</f>
        <v>0</v>
      </c>
      <c r="J594" s="222">
        <f>IFERROR(__xludf.DUMMYFUNCTION("IMPORTRANGE(""https://docs.google.com/spreadsheets/d/1XL5vhW3sbDhbH9Cz0tuDiY8C3ctxq1tqvaCgkFb8cCA/edit?usp=sharing"",""ยโสธร!J489"")"),0.0)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IFERROR(__xludf.DUMMYFUNCTION("IMPORTRANGE(""https://docs.google.com/spreadsheets/d/1XL5vhW3sbDhbH9Cz0tuDiY8C3ctxq1tqvaCgkFb8cCA/edit?usp=sharing"",""ยโสธร!I490"")"),100.0)</f>
        <v>100</v>
      </c>
      <c r="J595" s="222">
        <f>IFERROR(__xludf.DUMMYFUNCTION("IMPORTRANGE(""https://docs.google.com/spreadsheets/d/1XL5vhW3sbDhbH9Cz0tuDiY8C3ctxq1tqvaCgkFb8cCA/edit?usp=sharing"",""ยโสธร!J490"")"),25.0)</f>
        <v>25</v>
      </c>
      <c r="K595" s="196">
        <f t="shared" si="126"/>
        <v>25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IFERROR(__xludf.DUMMYFUNCTION("IMPORTRANGE(""https://docs.google.com/spreadsheets/d/1XL5vhW3sbDhbH9Cz0tuDiY8C3ctxq1tqvaCgkFb8cCA/edit?usp=sharing"",""ยโสธร!I491"")"),0.0)</f>
        <v>0</v>
      </c>
      <c r="J596" s="275">
        <f>IFERROR(__xludf.DUMMYFUNCTION("IMPORTRANGE(""https://docs.google.com/spreadsheets/d/1XL5vhW3sbDhbH9Cz0tuDiY8C3ctxq1tqvaCgkFb8cCA/edit?usp=sharing"",""ยโสธร!J491"")"),12.8)</f>
        <v>12.8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IFERROR(__xludf.DUMMYFUNCTION("IMPORTRANGE(""https://docs.google.com/spreadsheets/d/1XL5vhW3sbDhbH9Cz0tuDiY8C3ctxq1tqvaCgkFb8cCA/edit?usp=sharing"",""ยโสธร!I492"")"),100.0)</f>
        <v>100</v>
      </c>
      <c r="J597" s="520">
        <f>IFERROR(__xludf.DUMMYFUNCTION("IMPORTRANGE(""https://docs.google.com/spreadsheets/d/1XL5vhW3sbDhbH9Cz0tuDiY8C3ctxq1tqvaCgkFb8cCA/edit?usp=sharing"",""ยโสธร!J492"")"),0.0)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IFERROR(__xludf.DUMMYFUNCTION("IMPORTRANGE(""https://docs.google.com/spreadsheets/d/1XL5vhW3sbDhbH9Cz0tuDiY8C3ctxq1tqvaCgkFb8cCA/edit?usp=sharing"",""ยโสธร!L492"")"),13700.0)</f>
        <v>13700</v>
      </c>
      <c r="M597" s="445"/>
      <c r="N597" s="445">
        <f>IFERROR(__xludf.DUMMYFUNCTION("IMPORTRANGE(""https://docs.google.com/spreadsheets/d/1XL5vhW3sbDhbH9Cz0tuDiY8C3ctxq1tqvaCgkFb8cCA/edit?usp=sharing"",""ยโสธร!M492"")"),2889.0)</f>
        <v>2889</v>
      </c>
      <c r="O597" s="445">
        <f t="shared" ref="O597:O601" si="127">+IF(L597&gt;0,N597*100/L597,0)</f>
        <v>21.08759124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IFERROR(__xludf.DUMMYFUNCTION("IMPORTRANGE(""https://docs.google.com/spreadsheets/d/1XL5vhW3sbDhbH9Cz0tuDiY8C3ctxq1tqvaCgkFb8cCA/edit?usp=sharing"",""ยโสธร!L493"")"),0.0)</f>
        <v>0</v>
      </c>
      <c r="M598" s="197"/>
      <c r="N598" s="203">
        <f>IFERROR(__xludf.DUMMYFUNCTION("IMPORTRANGE(""https://docs.google.com/spreadsheets/d/1XL5vhW3sbDhbH9Cz0tuDiY8C3ctxq1tqvaCgkFb8cCA/edit?usp=sharing"",""ยโสธร!M493"")"),0.0)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IFERROR(__xludf.DUMMYFUNCTION("IMPORTRANGE(""https://docs.google.com/spreadsheets/d/1XL5vhW3sbDhbH9Cz0tuDiY8C3ctxq1tqvaCgkFb8cCA/edit?usp=sharing"",""ยโสธร!L494"")"),13700.0)</f>
        <v>13700</v>
      </c>
      <c r="M599" s="198"/>
      <c r="N599" s="203">
        <f>IFERROR(__xludf.DUMMYFUNCTION("IMPORTRANGE(""https://docs.google.com/spreadsheets/d/1XL5vhW3sbDhbH9Cz0tuDiY8C3ctxq1tqvaCgkFb8cCA/edit?usp=sharing"",""ยโสธร!M494"")"),2889.0)</f>
        <v>2889</v>
      </c>
      <c r="O599" s="203">
        <f t="shared" si="127"/>
        <v>21.08759124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IFERROR(__xludf.DUMMYFUNCTION("IMPORTRANGE(""https://docs.google.com/spreadsheets/d/1XL5vhW3sbDhbH9Cz0tuDiY8C3ctxq1tqvaCgkFb8cCA/edit?usp=sharing"",""ยโสธร!L495"")"),0.0)</f>
        <v>0</v>
      </c>
      <c r="M600" s="203"/>
      <c r="N600" s="203">
        <f>IFERROR(__xludf.DUMMYFUNCTION("IMPORTRANGE(""https://docs.google.com/spreadsheets/d/1XL5vhW3sbDhbH9Cz0tuDiY8C3ctxq1tqvaCgkFb8cCA/edit?usp=sharing"",""ยโสธร!M495"")"),0.0)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IFERROR(__xludf.DUMMYFUNCTION("IMPORTRANGE(""https://docs.google.com/spreadsheets/d/1XL5vhW3sbDhbH9Cz0tuDiY8C3ctxq1tqvaCgkFb8cCA/edit?usp=sharing"",""ยโสธร!L496"")"),13700.0)</f>
        <v>13700</v>
      </c>
      <c r="M601" s="203"/>
      <c r="N601" s="203">
        <f>IFERROR(__xludf.DUMMYFUNCTION("IMPORTRANGE(""https://docs.google.com/spreadsheets/d/1XL5vhW3sbDhbH9Cz0tuDiY8C3ctxq1tqvaCgkFb8cCA/edit?usp=sharing"",""ยโสธร!M496"")"),2889.0)</f>
        <v>2889</v>
      </c>
      <c r="O601" s="203">
        <f t="shared" si="127"/>
        <v>21.08759124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IFERROR(__xludf.DUMMYFUNCTION("IMPORTRANGE(""https://docs.google.com/spreadsheets/d/1XL5vhW3sbDhbH9Cz0tuDiY8C3ctxq1tqvaCgkFb8cCA/edit?usp=sharing"",""ยโสธร!M497"")"),0.0)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IFERROR(__xludf.DUMMYFUNCTION("IMPORTRANGE(""https://docs.google.com/spreadsheets/d/1XL5vhW3sbDhbH9Cz0tuDiY8C3ctxq1tqvaCgkFb8cCA/edit?usp=sharing"",""ยโสธร!M498"")"),0.0)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IFERROR(__xludf.DUMMYFUNCTION("IMPORTRANGE(""https://docs.google.com/spreadsheets/d/1XL5vhW3sbDhbH9Cz0tuDiY8C3ctxq1tqvaCgkFb8cCA/edit?usp=sharing"",""ยโสธร!M499"")"),0.0)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IFERROR(__xludf.DUMMYFUNCTION("IMPORTRANGE(""https://docs.google.com/spreadsheets/d/1XL5vhW3sbDhbH9Cz0tuDiY8C3ctxq1tqvaCgkFb8cCA/edit?usp=sharing"",""ยโสธร!M500"")"),2889.0)</f>
        <v>2889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IFERROR(__xludf.DUMMYFUNCTION("IMPORTRANGE(""https://docs.google.com/spreadsheets/d/1XL5vhW3sbDhbH9Cz0tuDiY8C3ctxq1tqvaCgkFb8cCA/edit?usp=sharing"",""ยโสธร!J502"")"),0.0)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IFERROR(__xludf.DUMMYFUNCTION("IMPORTRANGE(""https://docs.google.com/spreadsheets/d/1XL5vhW3sbDhbH9Cz0tuDiY8C3ctxq1tqvaCgkFb8cCA/edit?usp=sharing"",""ยโสธร!J503"")"),1.0)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IFERROR(__xludf.DUMMYFUNCTION("IMPORTRANGE(""https://docs.google.com/spreadsheets/d/1XL5vhW3sbDhbH9Cz0tuDiY8C3ctxq1tqvaCgkFb8cCA/edit?usp=sharing"",""ยโสธร!J166"")"),0.0)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IFERROR(__xludf.DUMMYFUNCTION("IMPORTRANGE(""https://docs.google.com/spreadsheets/d/1XL5vhW3sbDhbH9Cz0tuDiY8C3ctxq1tqvaCgkFb8cCA/edit?usp=sharing"",""ยโสธร!J166"")"),0.0)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IFERROR(__xludf.DUMMYFUNCTION("IMPORTRANGE(""https://docs.google.com/spreadsheets/d/1XL5vhW3sbDhbH9Cz0tuDiY8C3ctxq1tqvaCgkFb8cCA/edit?usp=sharing"",""ยโสธร!I506"")"),100.0)</f>
        <v>100</v>
      </c>
      <c r="J611" s="195">
        <f>IFERROR(__xludf.DUMMYFUNCTION("IMPORTRANGE(""https://docs.google.com/spreadsheets/d/1XL5vhW3sbDhbH9Cz0tuDiY8C3ctxq1tqvaCgkFb8cCA/edit?usp=sharing"",""ยโสธร!J506"")"),0.0)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IFERROR(__xludf.DUMMYFUNCTION("IMPORTRANGE(""https://docs.google.com/spreadsheets/d/1XL5vhW3sbDhbH9Cz0tuDiY8C3ctxq1tqvaCgkFb8cCA/edit?usp=sharing"",""ยโสธร!I507"")"),0.0)</f>
        <v>0</v>
      </c>
      <c r="J612" s="232">
        <f>IFERROR(__xludf.DUMMYFUNCTION("IMPORTRANGE(""https://docs.google.com/spreadsheets/d/1XL5vhW3sbDhbH9Cz0tuDiY8C3ctxq1tqvaCgkFb8cCA/edit?usp=sharing"",""ยโสธร!J507"")"),0.0)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IFERROR(__xludf.DUMMYFUNCTION("IMPORTRANGE(""https://docs.google.com/spreadsheets/d/1XL5vhW3sbDhbH9Cz0tuDiY8C3ctxq1tqvaCgkFb8cCA/edit?usp=sharing"",""ยโสธร!I508"")"),0.0)</f>
        <v>0</v>
      </c>
      <c r="J613" s="232">
        <f>IFERROR(__xludf.DUMMYFUNCTION("IMPORTRANGE(""https://docs.google.com/spreadsheets/d/1XL5vhW3sbDhbH9Cz0tuDiY8C3ctxq1tqvaCgkFb8cCA/edit?usp=sharing"",""ยโสธร!J508"")"),0.0)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IFERROR(__xludf.DUMMYFUNCTION("IMPORTRANGE(""https://docs.google.com/spreadsheets/d/1XL5vhW3sbDhbH9Cz0tuDiY8C3ctxq1tqvaCgkFb8cCA/edit?usp=sharing"",""ยโสธร!I509"")"),0.0)</f>
        <v>0</v>
      </c>
      <c r="J614" s="232">
        <f>IFERROR(__xludf.DUMMYFUNCTION("IMPORTRANGE(""https://docs.google.com/spreadsheets/d/1XL5vhW3sbDhbH9Cz0tuDiY8C3ctxq1tqvaCgkFb8cCA/edit?usp=sharing"",""ยโสธร!J509"")"),0.0)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IFERROR(__xludf.DUMMYFUNCTION("IMPORTRANGE(""https://docs.google.com/spreadsheets/d/1XL5vhW3sbDhbH9Cz0tuDiY8C3ctxq1tqvaCgkFb8cCA/edit?usp=sharing"",""ยโสธร!I510"")"),0.0)</f>
        <v>0</v>
      </c>
      <c r="J615" s="232">
        <f>IFERROR(__xludf.DUMMYFUNCTION("IMPORTRANGE(""https://docs.google.com/spreadsheets/d/1XL5vhW3sbDhbH9Cz0tuDiY8C3ctxq1tqvaCgkFb8cCA/edit?usp=sharing"",""ยโสธร!J510"")"),0.0)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IFERROR(__xludf.DUMMYFUNCTION("IMPORTRANGE(""https://docs.google.com/spreadsheets/d/1XL5vhW3sbDhbH9Cz0tuDiY8C3ctxq1tqvaCgkFb8cCA/edit?usp=sharing"",""ยโสธร!I511"")"),0.0)</f>
        <v>0</v>
      </c>
      <c r="J616" s="232">
        <f>IFERROR(__xludf.DUMMYFUNCTION("IMPORTRANGE(""https://docs.google.com/spreadsheets/d/1XL5vhW3sbDhbH9Cz0tuDiY8C3ctxq1tqvaCgkFb8cCA/edit?usp=sharing"",""ยโสธร!J511"")"),0.0)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IFERROR(__xludf.DUMMYFUNCTION("IMPORTRANGE(""https://docs.google.com/spreadsheets/d/1XL5vhW3sbDhbH9Cz0tuDiY8C3ctxq1tqvaCgkFb8cCA/edit?usp=sharing"",""ยโสธร!I512"")"),0.0)</f>
        <v>0</v>
      </c>
      <c r="J617" s="222">
        <f>IFERROR(__xludf.DUMMYFUNCTION("IMPORTRANGE(""https://docs.google.com/spreadsheets/d/1XL5vhW3sbDhbH9Cz0tuDiY8C3ctxq1tqvaCgkFb8cCA/edit?usp=sharing"",""ยโสธร!J512"")"),0.0)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IFERROR(__xludf.DUMMYFUNCTION("IMPORTRANGE(""https://docs.google.com/spreadsheets/d/1XL5vhW3sbDhbH9Cz0tuDiY8C3ctxq1tqvaCgkFb8cCA/edit?usp=sharing"",""ยโสธร!I513"")"),0.0)</f>
        <v>0</v>
      </c>
      <c r="J618" s="223">
        <f>IFERROR(__xludf.DUMMYFUNCTION("IMPORTRANGE(""https://docs.google.com/spreadsheets/d/1XL5vhW3sbDhbH9Cz0tuDiY8C3ctxq1tqvaCgkFb8cCA/edit?usp=sharing"",""ยโสธร!J513"")"),0.0)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IFERROR(__xludf.DUMMYFUNCTION("IMPORTRANGE(""https://docs.google.com/spreadsheets/d/1XL5vhW3sbDhbH9Cz0tuDiY8C3ctxq1tqvaCgkFb8cCA/edit?usp=sharing"",""ยโสธร!I514"")"),0.0)</f>
        <v>0</v>
      </c>
      <c r="J619" s="223">
        <f>IFERROR(__xludf.DUMMYFUNCTION("IMPORTRANGE(""https://docs.google.com/spreadsheets/d/1XL5vhW3sbDhbH9Cz0tuDiY8C3ctxq1tqvaCgkFb8cCA/edit?usp=sharing"",""ยโสธร!J514"")"),0.0)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IFERROR(__xludf.DUMMYFUNCTION("IMPORTRANGE(""https://docs.google.com/spreadsheets/d/1XL5vhW3sbDhbH9Cz0tuDiY8C3ctxq1tqvaCgkFb8cCA/edit?usp=sharing"",""ยโสธร!I515"")"),0.0)</f>
        <v>0</v>
      </c>
      <c r="J620" s="237">
        <f>IFERROR(__xludf.DUMMYFUNCTION("IMPORTRANGE(""https://docs.google.com/spreadsheets/d/1XL5vhW3sbDhbH9Cz0tuDiY8C3ctxq1tqvaCgkFb8cCA/edit?usp=sharing"",""ยโสธร!J515"")"),0.0)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IFERROR(__xludf.DUMMYFUNCTION("IMPORTRANGE(""https://docs.google.com/spreadsheets/d/1XL5vhW3sbDhbH9Cz0tuDiY8C3ctxq1tqvaCgkFb8cCA/edit?usp=sharing"",""ยโสธร!I516"")"),0.0)</f>
        <v>0</v>
      </c>
      <c r="J621" s="237">
        <f>IFERROR(__xludf.DUMMYFUNCTION("IMPORTRANGE(""https://docs.google.com/spreadsheets/d/1XL5vhW3sbDhbH9Cz0tuDiY8C3ctxq1tqvaCgkFb8cCA/edit?usp=sharing"",""ยโสธร!J516"")"),0.0)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IFERROR(__xludf.DUMMYFUNCTION("IMPORTRANGE(""https://docs.google.com/spreadsheets/d/1XL5vhW3sbDhbH9Cz0tuDiY8C3ctxq1tqvaCgkFb8cCA/edit?usp=sharing"",""ยโสธร!I517"")"),0.0)</f>
        <v>0</v>
      </c>
      <c r="J622" s="223">
        <f>IFERROR(__xludf.DUMMYFUNCTION("IMPORTRANGE(""https://docs.google.com/spreadsheets/d/1XL5vhW3sbDhbH9Cz0tuDiY8C3ctxq1tqvaCgkFb8cCA/edit?usp=sharing"",""ยโสธร!J517"")"),0.0)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IFERROR(__xludf.DUMMYFUNCTION("IMPORTRANGE(""https://docs.google.com/spreadsheets/d/1XL5vhW3sbDhbH9Cz0tuDiY8C3ctxq1tqvaCgkFb8cCA/edit?usp=sharing"",""ยโสธร!I518"")"),0.0)</f>
        <v>0</v>
      </c>
      <c r="J623" s="223">
        <f>IFERROR(__xludf.DUMMYFUNCTION("IMPORTRANGE(""https://docs.google.com/spreadsheets/d/1XL5vhW3sbDhbH9Cz0tuDiY8C3ctxq1tqvaCgkFb8cCA/edit?usp=sharing"",""ยโสธร!J518"")"),0.0)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IFERROR(__xludf.DUMMYFUNCTION("IMPORTRANGE(""https://docs.google.com/spreadsheets/d/1XL5vhW3sbDhbH9Cz0tuDiY8C3ctxq1tqvaCgkFb8cCA/edit?usp=sharing"",""ยโสธร!I519"")"),0.0)</f>
        <v>0</v>
      </c>
      <c r="J624" s="222">
        <f>IFERROR(__xludf.DUMMYFUNCTION("IMPORTRANGE(""https://docs.google.com/spreadsheets/d/1XL5vhW3sbDhbH9Cz0tuDiY8C3ctxq1tqvaCgkFb8cCA/edit?usp=sharing"",""ยโสธร!J519"")"),0.0)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IFERROR(__xludf.DUMMYFUNCTION("IMPORTRANGE(""https://docs.google.com/spreadsheets/d/1XL5vhW3sbDhbH9Cz0tuDiY8C3ctxq1tqvaCgkFb8cCA/edit?usp=sharing"",""ยโสธร!I520"")"),0.0)</f>
        <v>0</v>
      </c>
      <c r="J625" s="223">
        <f>IFERROR(__xludf.DUMMYFUNCTION("IMPORTRANGE(""https://docs.google.com/spreadsheets/d/1XL5vhW3sbDhbH9Cz0tuDiY8C3ctxq1tqvaCgkFb8cCA/edit?usp=sharing"",""ยโสธร!J520"")"),0.0)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IFERROR(__xludf.DUMMYFUNCTION("IMPORTRANGE(""https://docs.google.com/spreadsheets/d/1XL5vhW3sbDhbH9Cz0tuDiY8C3ctxq1tqvaCgkFb8cCA/edit?usp=sharing"",""ยโสธร!I521"")"),0.0)</f>
        <v>0</v>
      </c>
      <c r="J626" s="223">
        <f>IFERROR(__xludf.DUMMYFUNCTION("IMPORTRANGE(""https://docs.google.com/spreadsheets/d/1XL5vhW3sbDhbH9Cz0tuDiY8C3ctxq1tqvaCgkFb8cCA/edit?usp=sharing"",""ยโสธร!J521"")"),0.0)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IFERROR(__xludf.DUMMYFUNCTION("IMPORTRANGE(""https://docs.google.com/spreadsheets/d/1XL5vhW3sbDhbH9Cz0tuDiY8C3ctxq1tqvaCgkFb8cCA/edit?usp=sharing"",""ยโสธร!I523"")"),6245430.72)</f>
        <v>6245430.72</v>
      </c>
      <c r="J628" s="374">
        <f>IFERROR(__xludf.DUMMYFUNCTION("IMPORTRANGE(""https://docs.google.com/spreadsheets/d/1XL5vhW3sbDhbH9Cz0tuDiY8C3ctxq1tqvaCgkFb8cCA/edit?usp=sharing"",""ยโสธร!J523"")"),441188.66)</f>
        <v>441188.66</v>
      </c>
      <c r="K628" s="375">
        <f t="shared" ref="K628:K635" si="130">IF(I628&gt;0,J628*100/I628,0)</f>
        <v>7.064183077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IFERROR(__xludf.DUMMYFUNCTION("IMPORTRANGE(""https://docs.google.com/spreadsheets/d/1XL5vhW3sbDhbH9Cz0tuDiY8C3ctxq1tqvaCgkFb8cCA/edit?usp=sharing"",""ยโสธร!I524"")"),625.0)</f>
        <v>625</v>
      </c>
      <c r="J629" s="374">
        <f>IFERROR(__xludf.DUMMYFUNCTION("IMPORTRANGE(""https://docs.google.com/spreadsheets/d/1XL5vhW3sbDhbH9Cz0tuDiY8C3ctxq1tqvaCgkFb8cCA/edit?usp=sharing"",""ยโสธร!J524"")"),42.0)</f>
        <v>42</v>
      </c>
      <c r="K629" s="375">
        <f t="shared" si="130"/>
        <v>6.72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IFERROR(__xludf.DUMMYFUNCTION("IMPORTRANGE(""https://docs.google.com/spreadsheets/d/1XL5vhW3sbDhbH9Cz0tuDiY8C3ctxq1tqvaCgkFb8cCA/edit?usp=sharing"",""ยโสธร!I525"")"),4584633.55)</f>
        <v>4584633.55</v>
      </c>
      <c r="J630" s="374">
        <f>IFERROR(__xludf.DUMMYFUNCTION("IMPORTRANGE(""https://docs.google.com/spreadsheets/d/1XL5vhW3sbDhbH9Cz0tuDiY8C3ctxq1tqvaCgkFb8cCA/edit?usp=sharing"",""ยโสธร!J525"")"),348651.57)</f>
        <v>348651.57</v>
      </c>
      <c r="K630" s="375">
        <f t="shared" si="130"/>
        <v>7.604785992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IFERROR(__xludf.DUMMYFUNCTION("IMPORTRANGE(""https://docs.google.com/spreadsheets/d/1XL5vhW3sbDhbH9Cz0tuDiY8C3ctxq1tqvaCgkFb8cCA/edit?usp=sharing"",""ยโสธร!I526"")"),275.0)</f>
        <v>275</v>
      </c>
      <c r="J631" s="374">
        <f>IFERROR(__xludf.DUMMYFUNCTION("IMPORTRANGE(""https://docs.google.com/spreadsheets/d/1XL5vhW3sbDhbH9Cz0tuDiY8C3ctxq1tqvaCgkFb8cCA/edit?usp=sharing"",""ยโสธร!J526"")"),86.0)</f>
        <v>86</v>
      </c>
      <c r="K631" s="375">
        <f t="shared" si="130"/>
        <v>31.27272727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IFERROR(__xludf.DUMMYFUNCTION("IMPORTRANGE(""https://docs.google.com/spreadsheets/d/1XL5vhW3sbDhbH9Cz0tuDiY8C3ctxq1tqvaCgkFb8cCA/edit?usp=sharing"",""ยโสธร!I527"")"),0.0)</f>
        <v>0</v>
      </c>
      <c r="J632" s="374">
        <f>IFERROR(__xludf.DUMMYFUNCTION("IMPORTRANGE(""https://docs.google.com/spreadsheets/d/1XL5vhW3sbDhbH9Cz0tuDiY8C3ctxq1tqvaCgkFb8cCA/edit?usp=sharing"",""ยโสธร!J527"")"),69871.78)</f>
        <v>69871.78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IFERROR(__xludf.DUMMYFUNCTION("IMPORTRANGE(""https://docs.google.com/spreadsheets/d/1XL5vhW3sbDhbH9Cz0tuDiY8C3ctxq1tqvaCgkFb8cCA/edit?usp=sharing"",""ยโสธร!I528"")"),0.0)</f>
        <v>0</v>
      </c>
      <c r="J633" s="374">
        <f>IFERROR(__xludf.DUMMYFUNCTION("IMPORTRANGE(""https://docs.google.com/spreadsheets/d/1XL5vhW3sbDhbH9Cz0tuDiY8C3ctxq1tqvaCgkFb8cCA/edit?usp=sharing"",""ยโสธร!J528"")"),3.0)</f>
        <v>3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IFERROR(__xludf.DUMMYFUNCTION("IMPORTRANGE(""https://docs.google.com/spreadsheets/d/1XL5vhW3sbDhbH9Cz0tuDiY8C3ctxq1tqvaCgkFb8cCA/edit?usp=sharing"",""ยโสธร!I529"")"),7700000.0)</f>
        <v>7700000</v>
      </c>
      <c r="J634" s="374">
        <f>IFERROR(__xludf.DUMMYFUNCTION("IMPORTRANGE(""https://docs.google.com/spreadsheets/d/1XL5vhW3sbDhbH9Cz0tuDiY8C3ctxq1tqvaCgkFb8cCA/edit?usp=sharing"",""ยโสธร!J529"")"),0.0)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IFERROR(__xludf.DUMMYFUNCTION("IMPORTRANGE(""https://docs.google.com/spreadsheets/d/1XL5vhW3sbDhbH9Cz0tuDiY8C3ctxq1tqvaCgkFb8cCA/edit?usp=sharing"",""ยโสธร!I530"")"),300.0)</f>
        <v>300</v>
      </c>
      <c r="J635" s="544">
        <f>IFERROR(__xludf.DUMMYFUNCTION("IMPORTRANGE(""https://docs.google.com/spreadsheets/d/1XL5vhW3sbDhbH9Cz0tuDiY8C3ctxq1tqvaCgkFb8cCA/edit?usp=sharing"",""ยโสธร!J530"")"),0.0)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6948143</v>
      </c>
      <c r="M8" s="41">
        <f t="shared" si="1"/>
        <v>2089540</v>
      </c>
      <c r="N8" s="41">
        <f t="shared" si="1"/>
        <v>2126712.69</v>
      </c>
      <c r="O8" s="40">
        <f t="shared" ref="O8:O16" si="3">IF(L8&gt;0,N8*100/L8,0)</f>
        <v>30.60836097</v>
      </c>
      <c r="P8" s="40">
        <f t="shared" ref="P8:P16" si="4">IF(M8&gt;0,N8*100/M8,0)</f>
        <v>101.7789892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6948143</v>
      </c>
      <c r="M10" s="48">
        <f t="shared" si="5"/>
        <v>2089540</v>
      </c>
      <c r="N10" s="48">
        <f t="shared" si="5"/>
        <v>2126712.69</v>
      </c>
      <c r="O10" s="47">
        <f t="shared" si="3"/>
        <v>30.60836097</v>
      </c>
      <c r="P10" s="47">
        <f t="shared" si="4"/>
        <v>101.7789892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6762143</v>
      </c>
      <c r="M12" s="58">
        <f t="shared" si="7"/>
        <v>2089540</v>
      </c>
      <c r="N12" s="58">
        <f t="shared" si="7"/>
        <v>1942712.69</v>
      </c>
      <c r="O12" s="58">
        <f t="shared" si="3"/>
        <v>28.72924589</v>
      </c>
      <c r="P12" s="58">
        <f t="shared" si="4"/>
        <v>92.97322329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2541100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4221043</v>
      </c>
      <c r="M14" s="58">
        <f t="shared" si="9"/>
        <v>0</v>
      </c>
      <c r="N14" s="58">
        <f t="shared" si="9"/>
        <v>536744.69</v>
      </c>
      <c r="O14" s="61">
        <f t="shared" si="3"/>
        <v>12.71592566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186000</v>
      </c>
      <c r="M16" s="58">
        <f t="shared" si="11"/>
        <v>0</v>
      </c>
      <c r="N16" s="58">
        <f t="shared" si="11"/>
        <v>184000</v>
      </c>
      <c r="O16" s="70">
        <f t="shared" si="3"/>
        <v>98.92473118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4066990</v>
      </c>
      <c r="M18" s="41">
        <f t="shared" si="12"/>
        <v>2089540</v>
      </c>
      <c r="N18" s="41">
        <f t="shared" si="12"/>
        <v>1589968</v>
      </c>
      <c r="O18" s="40">
        <f t="shared" ref="O18:O20" si="14">IF(L18&gt;0,N18*100/L18,0)</f>
        <v>39.09446544</v>
      </c>
      <c r="P18" s="40">
        <f t="shared" ref="P18:P26" si="15">IF(M18&gt;0,N18*100/M18,0)</f>
        <v>76.09177139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4066990</v>
      </c>
      <c r="M20" s="48">
        <f t="shared" si="16"/>
        <v>2089540</v>
      </c>
      <c r="N20" s="48">
        <f t="shared" si="16"/>
        <v>1589968</v>
      </c>
      <c r="O20" s="47">
        <f t="shared" si="14"/>
        <v>39.09446544</v>
      </c>
      <c r="P20" s="47">
        <f t="shared" si="15"/>
        <v>76.09177139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3880990</v>
      </c>
      <c r="M22" s="62">
        <f t="shared" si="18"/>
        <v>2089540</v>
      </c>
      <c r="N22" s="61">
        <f t="shared" si="18"/>
        <v>1405968</v>
      </c>
      <c r="O22" s="61">
        <f t="shared" si="19"/>
        <v>36.22704516</v>
      </c>
      <c r="P22" s="61">
        <f t="shared" si="15"/>
        <v>67.28600553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2541100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1339890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186000</v>
      </c>
      <c r="M26" s="70">
        <f t="shared" si="23"/>
        <v>0</v>
      </c>
      <c r="N26" s="70">
        <f t="shared" si="23"/>
        <v>184000</v>
      </c>
      <c r="O26" s="70">
        <f t="shared" si="19"/>
        <v>98.92473118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2881153</v>
      </c>
      <c r="M28" s="41">
        <f t="shared" si="24"/>
        <v>0</v>
      </c>
      <c r="N28" s="41">
        <f t="shared" si="24"/>
        <v>536744.69</v>
      </c>
      <c r="O28" s="40">
        <f t="shared" ref="O28:O30" si="26">IF(L28&gt;0,N28*100/L28,0)</f>
        <v>18.62951013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2881153</v>
      </c>
      <c r="M30" s="48">
        <f t="shared" si="28"/>
        <v>0</v>
      </c>
      <c r="N30" s="48">
        <f t="shared" si="28"/>
        <v>536744.69</v>
      </c>
      <c r="O30" s="47">
        <f t="shared" si="26"/>
        <v>18.62951013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2881153</v>
      </c>
      <c r="M32" s="61">
        <f t="shared" si="30"/>
        <v>0</v>
      </c>
      <c r="N32" s="61">
        <f t="shared" si="30"/>
        <v>536744.69</v>
      </c>
      <c r="O32" s="61">
        <f t="shared" si="31"/>
        <v>18.62951013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2881153</v>
      </c>
      <c r="M34" s="61">
        <f t="shared" si="33"/>
        <v>0</v>
      </c>
      <c r="N34" s="61">
        <f t="shared" si="33"/>
        <v>536744.69</v>
      </c>
      <c r="O34" s="61">
        <f t="shared" si="31"/>
        <v>18.62951013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4066990</v>
      </c>
      <c r="M37" s="75">
        <f t="shared" si="34"/>
        <v>2089540</v>
      </c>
      <c r="N37" s="75">
        <f t="shared" si="34"/>
        <v>1589968</v>
      </c>
      <c r="O37" s="76">
        <f t="shared" si="31"/>
        <v>39.09446544</v>
      </c>
      <c r="P37" s="76">
        <f t="shared" si="27"/>
        <v>76.09177139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904100</v>
      </c>
      <c r="M41" s="102">
        <f t="shared" si="35"/>
        <v>452000</v>
      </c>
      <c r="N41" s="102">
        <f t="shared" si="35"/>
        <v>310237</v>
      </c>
      <c r="O41" s="101">
        <f t="shared" ref="O41:O43" si="37">IF(L41&gt;0,N41*100/L41,0)</f>
        <v>34.31445637</v>
      </c>
      <c r="P41" s="101">
        <f t="shared" ref="P41:P43" si="38">IF(M41&gt;0,N41*100/M41,0)</f>
        <v>68.63650442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904100</v>
      </c>
      <c r="M43" s="102">
        <f t="shared" si="39"/>
        <v>452000</v>
      </c>
      <c r="N43" s="102">
        <f t="shared" si="39"/>
        <v>310237</v>
      </c>
      <c r="O43" s="101">
        <f t="shared" si="37"/>
        <v>34.31445637</v>
      </c>
      <c r="P43" s="101">
        <f t="shared" si="38"/>
        <v>68.63650442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904100</v>
      </c>
      <c r="M45" s="115">
        <f>IFERROR(__xludf.DUMMYFUNCTION("IMPORTRANGE(""https://docs.google.com/spreadsheets/d/1Yj_ptqi66GCucihVvJfMjLAmec39IyEx_6qawtMGysU/edit?usp=sharing"",""สบก!Q48"")"),452000.0)</f>
        <v>452000</v>
      </c>
      <c r="N45" s="115">
        <f>IFERROR(__xludf.DUMMYFUNCTION("IMPORTRANGE(""https://docs.google.com/spreadsheets/d/1Yj_ptqi66GCucihVvJfMjLAmec39IyEx_6qawtMGysU/edit?usp=sharing"",""สบก!R48"")"),310237.0)</f>
        <v>310237</v>
      </c>
      <c r="O45" s="116">
        <f>IF(L45&gt;0,N45*100/L45,0)</f>
        <v>34.31445637</v>
      </c>
      <c r="P45" s="116">
        <f>IF(M45&gt;0,N45*100/M45,0)</f>
        <v>68.63650442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IFERROR(__xludf.DUMMYFUNCTION("IMPORTRANGE(""https://docs.google.com/spreadsheets/d/1Yj_ptqi66GCucihVvJfMjLAmec39IyEx_6qawtMGysU/edit?usp=sharing"",""สบก!M48"")"),904100.0)</f>
        <v>904100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IFERROR(__xludf.DUMMYFUNCTION("IMPORTRANGE(""https://docs.google.com/spreadsheets/d/1Yj_ptqi66GCucihVvJfMjLAmec39IyEx_6qawtMGysU/edit?usp=sharing"",""สบก!N48"")"),0.0)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IFERROR(__xludf.DUMMYFUNCTION("IMPORTRANGE(""https://docs.google.com/spreadsheets/d/1Yj_ptqi66GCucihVvJfMjLAmec39IyEx_6qawtMGysU/edit?usp=sharing"",""สบก!O48"")"),0.0)</f>
        <v>0</v>
      </c>
      <c r="M49" s="125"/>
      <c r="N49" s="115">
        <f>IFERROR(__xludf.DUMMYFUNCTION("IMPORTRANGE(""https://docs.google.com/spreadsheets/d/1Yj_ptqi66GCucihVvJfMjLAmec39IyEx_6qawtMGysU/edit?usp=sharing"",""สบก!S48"")"),0.0)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979200</v>
      </c>
      <c r="M53" s="151">
        <f t="shared" si="40"/>
        <v>507240</v>
      </c>
      <c r="N53" s="151">
        <f t="shared" si="40"/>
        <v>291486</v>
      </c>
      <c r="O53" s="150">
        <f t="shared" ref="O53:O55" si="42">IF(L53&gt;0,N53*100/L53,0)</f>
        <v>29.76776961</v>
      </c>
      <c r="P53" s="150">
        <f t="shared" ref="P53:P55" si="43">IF(M53&gt;0,N53*100/M53,0)</f>
        <v>57.46510528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979200</v>
      </c>
      <c r="M55" s="151">
        <f t="shared" si="44"/>
        <v>507240</v>
      </c>
      <c r="N55" s="151">
        <f t="shared" si="44"/>
        <v>291486</v>
      </c>
      <c r="O55" s="150">
        <f t="shared" si="42"/>
        <v>29.76776961</v>
      </c>
      <c r="P55" s="150">
        <f t="shared" si="43"/>
        <v>57.46510528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979200</v>
      </c>
      <c r="M57" s="115">
        <f>IFERROR(__xludf.DUMMYFUNCTION("IMPORTRANGE(""https://docs.google.com/spreadsheets/d/1Yj_ptqi66GCucihVvJfMjLAmec39IyEx_6qawtMGysU/edit?usp=sharing"",""สบก!Z48"")"),507240.0)</f>
        <v>507240</v>
      </c>
      <c r="N57" s="115">
        <f>IFERROR(__xludf.DUMMYFUNCTION("IMPORTRANGE(""https://docs.google.com/spreadsheets/d/1Yj_ptqi66GCucihVvJfMjLAmec39IyEx_6qawtMGysU/edit?usp=sharing"",""สบก!AA48"")"),291486.0)</f>
        <v>291486</v>
      </c>
      <c r="O57" s="116">
        <f>IF(L57&gt;0,N57*100/L57,0)</f>
        <v>29.76776961</v>
      </c>
      <c r="P57" s="116">
        <f>IF(M57&gt;0,N57*100/M57,0)</f>
        <v>57.46510528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IFERROR(__xludf.DUMMYFUNCTION("IMPORTRANGE(""https://docs.google.com/spreadsheets/d/1Yj_ptqi66GCucihVvJfMjLAmec39IyEx_6qawtMGysU/edit?usp=sharing"",""สบก!V48"")"),979200.0)</f>
        <v>979200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IFERROR(__xludf.DUMMYFUNCTION("IMPORTRANGE(""https://docs.google.com/spreadsheets/d/1Yj_ptqi66GCucihVvJfMjLAmec39IyEx_6qawtMGysU/edit?usp=sharing"",""สบก!W48"")"),0.0)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IFERROR(__xludf.DUMMYFUNCTION("IMPORTRANGE(""https://docs.google.com/spreadsheets/d/1Yj_ptqi66GCucihVvJfMjLAmec39IyEx_6qawtMGysU/edit?usp=sharing"",""สบก!X48"")"),0.0)</f>
        <v>0</v>
      </c>
      <c r="M61" s="125"/>
      <c r="N61" s="115">
        <f>IFERROR(__xludf.DUMMYFUNCTION("IMPORTRANGE(""https://docs.google.com/spreadsheets/d/1Yj_ptqi66GCucihVvJfMjLAmec39IyEx_6qawtMGysU/edit?usp=sharing"",""สบก!AB48"")"),0.0)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IFERROR(__xludf.DUMMYFUNCTION("IMPORTRANGE(""https://docs.google.com/spreadsheets/d/1XL5vhW3sbDhbH9Cz0tuDiY8C3ctxq1tqvaCgkFb8cCA/edit?usp=sharing"",""ร้อยเอ็ด!I9"")"),1.0)</f>
        <v>1</v>
      </c>
      <c r="J64" s="172">
        <f>IFERROR(__xludf.DUMMYFUNCTION("IMPORTRANGE(""https://docs.google.com/spreadsheets/d/1XL5vhW3sbDhbH9Cz0tuDiY8C3ctxq1tqvaCgkFb8cCA/edit?usp=sharing"",""ร้อยเอ็ด!J9"")"),1.0)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IFERROR(__xludf.DUMMYFUNCTION("IMPORTRANGE(""https://docs.google.com/spreadsheets/d/1XL5vhW3sbDhbH9Cz0tuDiY8C3ctxq1tqvaCgkFb8cCA/edit?usp=sharing"",""ร้อยเอ็ด!I10"")"),40.0)</f>
        <v>40</v>
      </c>
      <c r="J65" s="172">
        <f>IFERROR(__xludf.DUMMYFUNCTION("IMPORTRANGE(""https://docs.google.com/spreadsheets/d/1XL5vhW3sbDhbH9Cz0tuDiY8C3ctxq1tqvaCgkFb8cCA/edit?usp=sharing"",""ร้อยเอ็ด!J10"")"),40.0)</f>
        <v>40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887400</v>
      </c>
      <c r="M66" s="183">
        <f t="shared" si="46"/>
        <v>480320</v>
      </c>
      <c r="N66" s="183">
        <f t="shared" si="46"/>
        <v>390486</v>
      </c>
      <c r="O66" s="182">
        <f t="shared" ref="O66:O68" si="48">IF(L66&gt;0,N66*100/L66,0)</f>
        <v>44.00338066</v>
      </c>
      <c r="P66" s="182">
        <f t="shared" ref="P66:P68" si="49">IF(M66&gt;0,N66*100/M66,0)</f>
        <v>81.29705197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887400</v>
      </c>
      <c r="M68" s="188">
        <f t="shared" si="50"/>
        <v>480320</v>
      </c>
      <c r="N68" s="188">
        <f t="shared" si="50"/>
        <v>390486</v>
      </c>
      <c r="O68" s="187">
        <f t="shared" si="48"/>
        <v>44.00338066</v>
      </c>
      <c r="P68" s="187">
        <f t="shared" si="49"/>
        <v>81.29705197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887400</v>
      </c>
      <c r="M70" s="201">
        <f>IFERROR(__xludf.DUMMYFUNCTION("IMPORTRANGE(""https://docs.google.com/spreadsheets/d/1Yj_ptqi66GCucihVvJfMjLAmec39IyEx_6qawtMGysU/edit?usp=sharing"",""สบก!AI48"")"),480320.0)</f>
        <v>480320</v>
      </c>
      <c r="N70" s="202">
        <f>IFERROR(__xludf.DUMMYFUNCTION("IMPORTRANGE(""https://docs.google.com/spreadsheets/d/1Yj_ptqi66GCucihVvJfMjLAmec39IyEx_6qawtMGysU/edit?usp=sharing"",""สบก!AJ48"")"),390486.0)</f>
        <v>390486</v>
      </c>
      <c r="O70" s="203">
        <f>IF(L70&gt;0,N70*100/L70,0)</f>
        <v>44.00338066</v>
      </c>
      <c r="P70" s="203">
        <f>IF(M70&gt;0,N70*100/M70,0)</f>
        <v>81.29705197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IFERROR(__xludf.DUMMYFUNCTION("IMPORTRANGE(""https://docs.google.com/spreadsheets/d/1Yj_ptqi66GCucihVvJfMjLAmec39IyEx_6qawtMGysU/edit?usp=sharing"",""สบก!AE48"")"),463400.0)</f>
        <v>463400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IFERROR(__xludf.DUMMYFUNCTION("IMPORTRANGE(""https://docs.google.com/spreadsheets/d/1Yj_ptqi66GCucihVvJfMjLAmec39IyEx_6qawtMGysU/edit?usp=sharing"",""สบก!AF48"")"),424000.0)</f>
        <v>424000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IFERROR(__xludf.DUMMYFUNCTION("IMPORTRANGE(""https://docs.google.com/spreadsheets/d/1Yj_ptqi66GCucihVvJfMjLAmec39IyEx_6qawtMGysU/edit?usp=sharing"",""สบก!AG48"")"),0.0)</f>
        <v>0</v>
      </c>
      <c r="M74" s="125"/>
      <c r="N74" s="115">
        <f>IFERROR(__xludf.DUMMYFUNCTION("IMPORTRANGE(""https://docs.google.com/spreadsheets/d/1Yj_ptqi66GCucihVvJfMjLAmec39IyEx_6qawtMGysU/edit?usp=sharing"",""สบก!AK48"")"),0.0)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IFERROR(__xludf.DUMMYFUNCTION("IMPORTRANGE(""https://docs.google.com/spreadsheets/d/1XL5vhW3sbDhbH9Cz0tuDiY8C3ctxq1tqvaCgkFb8cCA/edit?usp=sharing"",""ร้อยเอ็ด!J16"")"),0.0)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IFERROR(__xludf.DUMMYFUNCTION("IMPORTRANGE(""https://docs.google.com/spreadsheets/d/1XL5vhW3sbDhbH9Cz0tuDiY8C3ctxq1tqvaCgkFb8cCA/edit?usp=sharing"",""ร้อยเอ็ด!J17"")"),1.0)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IFERROR(__xludf.DUMMYFUNCTION("IMPORTRANGE(""https://docs.google.com/spreadsheets/d/1XL5vhW3sbDhbH9Cz0tuDiY8C3ctxq1tqvaCgkFb8cCA/edit?usp=sharing"",""ร้อยเอ็ด!J18"")"),1.0)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IFERROR(__xludf.DUMMYFUNCTION("IMPORTRANGE(""https://docs.google.com/spreadsheets/d/1XL5vhW3sbDhbH9Cz0tuDiY8C3ctxq1tqvaCgkFb8cCA/edit?usp=sharing"",""ร้อยเอ็ด!J19"")"),1.0)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IFERROR(__xludf.DUMMYFUNCTION("IMPORTRANGE(""https://docs.google.com/spreadsheets/d/1XL5vhW3sbDhbH9Cz0tuDiY8C3ctxq1tqvaCgkFb8cCA/edit?usp=sharing"",""ร้อยเอ็ด!I20"")"),1.0)</f>
        <v>1</v>
      </c>
      <c r="J80" s="235">
        <f>IFERROR(__xludf.DUMMYFUNCTION("IMPORTRANGE(""https://docs.google.com/spreadsheets/d/1XL5vhW3sbDhbH9Cz0tuDiY8C3ctxq1tqvaCgkFb8cCA/edit?usp=sharing"",""ร้อยเอ็ด!J20"")"),1.0)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IFERROR(__xludf.DUMMYFUNCTION("IMPORTRANGE(""https://docs.google.com/spreadsheets/d/1XL5vhW3sbDhbH9Cz0tuDiY8C3ctxq1tqvaCgkFb8cCA/edit?usp=sharing"",""ร้อยเอ็ด!I21"")"),40.0)</f>
        <v>40</v>
      </c>
      <c r="J81" s="235">
        <f>IFERROR(__xludf.DUMMYFUNCTION("IMPORTRANGE(""https://docs.google.com/spreadsheets/d/1XL5vhW3sbDhbH9Cz0tuDiY8C3ctxq1tqvaCgkFb8cCA/edit?usp=sharing"",""ร้อยเอ็ด!J21"")"),40.0)</f>
        <v>40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IFERROR(__xludf.DUMMYFUNCTION("IMPORTRANGE(""https://docs.google.com/spreadsheets/d/1XL5vhW3sbDhbH9Cz0tuDiY8C3ctxq1tqvaCgkFb8cCA/edit?usp=sharing"",""ร้อยเอ็ด!I22"")"),0.0)</f>
        <v>0</v>
      </c>
      <c r="J82" s="238">
        <f>IFERROR(__xludf.DUMMYFUNCTION("IMPORTRANGE(""https://docs.google.com/spreadsheets/d/1XL5vhW3sbDhbH9Cz0tuDiY8C3ctxq1tqvaCgkFb8cCA/edit?usp=sharing"",""ร้อยเอ็ด!J22"")"),0.0)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IFERROR(__xludf.DUMMYFUNCTION("IMPORTRANGE(""https://docs.google.com/spreadsheets/d/1XL5vhW3sbDhbH9Cz0tuDiY8C3ctxq1tqvaCgkFb8cCA/edit?usp=sharing"",""ร้อยเอ็ด!I23"")"),0.0)</f>
        <v>0</v>
      </c>
      <c r="J83" s="238">
        <f>IFERROR(__xludf.DUMMYFUNCTION("IMPORTRANGE(""https://docs.google.com/spreadsheets/d/1XL5vhW3sbDhbH9Cz0tuDiY8C3ctxq1tqvaCgkFb8cCA/edit?usp=sharing"",""ร้อยเอ็ด!J23"")"),0.0)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IFERROR(__xludf.DUMMYFUNCTION("IMPORTRANGE(""https://docs.google.com/spreadsheets/d/1XL5vhW3sbDhbH9Cz0tuDiY8C3ctxq1tqvaCgkFb8cCA/edit?usp=sharing"",""ร้อยเอ็ด!I24"")"),1.0)</f>
        <v>1</v>
      </c>
      <c r="J84" s="223">
        <f>IFERROR(__xludf.DUMMYFUNCTION("IMPORTRANGE(""https://docs.google.com/spreadsheets/d/1XL5vhW3sbDhbH9Cz0tuDiY8C3ctxq1tqvaCgkFb8cCA/edit?usp=sharing"",""ร้อยเอ็ด!J24"")"),1.0)</f>
        <v>1</v>
      </c>
      <c r="K84" s="196">
        <f t="shared" si="51"/>
        <v>100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IFERROR(__xludf.DUMMYFUNCTION("IMPORTRANGE(""https://docs.google.com/spreadsheets/d/1XL5vhW3sbDhbH9Cz0tuDiY8C3ctxq1tqvaCgkFb8cCA/edit?usp=sharing"",""ร้อยเอ็ด!I25"")"),40.0)</f>
        <v>40</v>
      </c>
      <c r="J85" s="223">
        <f>IFERROR(__xludf.DUMMYFUNCTION("IMPORTRANGE(""https://docs.google.com/spreadsheets/d/1XL5vhW3sbDhbH9Cz0tuDiY8C3ctxq1tqvaCgkFb8cCA/edit?usp=sharing"",""ร้อยเอ็ด!J25"")"),40.0)</f>
        <v>40</v>
      </c>
      <c r="K85" s="196">
        <f t="shared" si="51"/>
        <v>100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IFERROR(__xludf.DUMMYFUNCTION("IMPORTRANGE(""https://docs.google.com/spreadsheets/d/1XL5vhW3sbDhbH9Cz0tuDiY8C3ctxq1tqvaCgkFb8cCA/edit?usp=sharing"",""ร้อยเอ็ด!I26"")"),0.0)</f>
        <v>0</v>
      </c>
      <c r="J86" s="238">
        <f>IFERROR(__xludf.DUMMYFUNCTION("IMPORTRANGE(""https://docs.google.com/spreadsheets/d/1XL5vhW3sbDhbH9Cz0tuDiY8C3ctxq1tqvaCgkFb8cCA/edit?usp=sharing"",""ร้อยเอ็ด!J26"")"),0.0)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IFERROR(__xludf.DUMMYFUNCTION("IMPORTRANGE(""https://docs.google.com/spreadsheets/d/1XL5vhW3sbDhbH9Cz0tuDiY8C3ctxq1tqvaCgkFb8cCA/edit?usp=sharing"",""ร้อยเอ็ด!I27"")"),0.0)</f>
        <v>0</v>
      </c>
      <c r="J87" s="238">
        <f>IFERROR(__xludf.DUMMYFUNCTION("IMPORTRANGE(""https://docs.google.com/spreadsheets/d/1XL5vhW3sbDhbH9Cz0tuDiY8C3ctxq1tqvaCgkFb8cCA/edit?usp=sharing"",""ร้อยเอ็ด!J27"")"),0.0)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IFERROR(__xludf.DUMMYFUNCTION("IMPORTRANGE(""https://docs.google.com/spreadsheets/d/1XL5vhW3sbDhbH9Cz0tuDiY8C3ctxq1tqvaCgkFb8cCA/edit?usp=sharing"",""ร้อยเอ็ด!I28"")"),0.0)</f>
        <v>0</v>
      </c>
      <c r="J88" s="238">
        <f>IFERROR(__xludf.DUMMYFUNCTION("IMPORTRANGE(""https://docs.google.com/spreadsheets/d/1XL5vhW3sbDhbH9Cz0tuDiY8C3ctxq1tqvaCgkFb8cCA/edit?usp=sharing"",""ร้อยเอ็ด!J28"")"),0.0)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IFERROR(__xludf.DUMMYFUNCTION("IMPORTRANGE(""https://docs.google.com/spreadsheets/d/1XL5vhW3sbDhbH9Cz0tuDiY8C3ctxq1tqvaCgkFb8cCA/edit?usp=sharing"",""ร้อยเอ็ด!J29"")"),1.0)</f>
        <v>1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IFERROR(__xludf.DUMMYFUNCTION("IMPORTRANGE(""https://docs.google.com/spreadsheets/d/1XL5vhW3sbDhbH9Cz0tuDiY8C3ctxq1tqvaCgkFb8cCA/edit?usp=sharing"",""ร้อยเอ็ด!J30"")"),0.0)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IFERROR(__xludf.DUMMYFUNCTION("IMPORTRANGE(""https://docs.google.com/spreadsheets/d/1XL5vhW3sbDhbH9Cz0tuDiY8C3ctxq1tqvaCgkFb8cCA/edit?usp=sharing"",""ร้อยเอ็ด!I32"")"),0.0)</f>
        <v>0</v>
      </c>
      <c r="J92" s="172">
        <f>IFERROR(__xludf.DUMMYFUNCTION("IMPORTRANGE(""https://docs.google.com/spreadsheets/d/1XL5vhW3sbDhbH9Cz0tuDiY8C3ctxq1tqvaCgkFb8cCA/edit?usp=sharing"",""ร้อยเอ็ด!J32"")"),0.0)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IFERROR(__xludf.DUMMYFUNCTION("IMPORTRANGE(""https://docs.google.com/spreadsheets/d/1XL5vhW3sbDhbH9Cz0tuDiY8C3ctxq1tqvaCgkFb8cCA/edit?usp=sharing"",""ร้อยเอ็ด!I33"")"),0.0)</f>
        <v>0</v>
      </c>
      <c r="J93" s="172">
        <f>IFERROR(__xludf.DUMMYFUNCTION("IMPORTRANGE(""https://docs.google.com/spreadsheets/d/1XL5vhW3sbDhbH9Cz0tuDiY8C3ctxq1tqvaCgkFb8cCA/edit?usp=sharing"",""ร้อยเอ็ด!J33"")"),0.0)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IFERROR(__xludf.DUMMYFUNCTION("IMPORTRANGE(""https://docs.google.com/spreadsheets/d/1Yj_ptqi66GCucihVvJfMjLAmec39IyEx_6qawtMGysU/edit?usp=sharing"",""สบก!AR48"")"),0.0)</f>
        <v>0</v>
      </c>
      <c r="N98" s="202">
        <f>IFERROR(__xludf.DUMMYFUNCTION("IMPORTRANGE(""https://docs.google.com/spreadsheets/d/1Yj_ptqi66GCucihVvJfMjLAmec39IyEx_6qawtMGysU/edit?usp=sharing"",""สบก!AS48"")"),0.0)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IFERROR(__xludf.DUMMYFUNCTION("IMPORTRANGE(""https://docs.google.com/spreadsheets/d/1Yj_ptqi66GCucihVvJfMjLAmec39IyEx_6qawtMGysU/edit?usp=sharing"",""สบก!AN48"")"),0.0)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IFERROR(__xludf.DUMMYFUNCTION("IMPORTRANGE(""https://docs.google.com/spreadsheets/d/1Yj_ptqi66GCucihVvJfMjLAmec39IyEx_6qawtMGysU/edit?usp=sharing"",""สบก!AO48"")"),0.0)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IFERROR(__xludf.DUMMYFUNCTION("IMPORTRANGE(""https://docs.google.com/spreadsheets/d/1Yj_ptqi66GCucihVvJfMjLAmec39IyEx_6qawtMGysU/edit?usp=sharing"",""สบก!AP48"")"),0.0)</f>
        <v>0</v>
      </c>
      <c r="M102" s="125"/>
      <c r="N102" s="115">
        <f>IFERROR(__xludf.DUMMYFUNCTION("IMPORTRANGE(""https://docs.google.com/spreadsheets/d/1Yj_ptqi66GCucihVvJfMjLAmec39IyEx_6qawtMGysU/edit?usp=sharing"",""สบก!AT48"")"),0.0)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IFERROR(__xludf.DUMMYFUNCTION("IMPORTRANGE(""https://docs.google.com/spreadsheets/d/1XL5vhW3sbDhbH9Cz0tuDiY8C3ctxq1tqvaCgkFb8cCA/edit?usp=sharing"",""ร้อยเอ็ด!J39"")"),0.0)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IFERROR(__xludf.DUMMYFUNCTION("IMPORTRANGE(""https://docs.google.com/spreadsheets/d/1XL5vhW3sbDhbH9Cz0tuDiY8C3ctxq1tqvaCgkFb8cCA/edit?usp=sharing"",""ร้อยเอ็ด!J40"")"),0.0)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IFERROR(__xludf.DUMMYFUNCTION("IMPORTRANGE(""https://docs.google.com/spreadsheets/d/1XL5vhW3sbDhbH9Cz0tuDiY8C3ctxq1tqvaCgkFb8cCA/edit?usp=sharing"",""ร้อยเอ็ด!J41"")"),0.0)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IFERROR(__xludf.DUMMYFUNCTION("IMPORTRANGE(""https://docs.google.com/spreadsheets/d/1XL5vhW3sbDhbH9Cz0tuDiY8C3ctxq1tqvaCgkFb8cCA/edit?usp=sharing"",""ร้อยเอ็ด!J42"")"),0.0)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IFERROR(__xludf.DUMMYFUNCTION("IMPORTRANGE(""https://docs.google.com/spreadsheets/d/1XL5vhW3sbDhbH9Cz0tuDiY8C3ctxq1tqvaCgkFb8cCA/edit?usp=sharing"",""ร้อยเอ็ด!I43"")"),0.0)</f>
        <v>0</v>
      </c>
      <c r="J108" s="238">
        <f>IFERROR(__xludf.DUMMYFUNCTION("IMPORTRANGE(""https://docs.google.com/spreadsheets/d/1XL5vhW3sbDhbH9Cz0tuDiY8C3ctxq1tqvaCgkFb8cCA/edit?usp=sharing"",""ร้อยเอ็ด!J43"")"),0.0)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IFERROR(__xludf.DUMMYFUNCTION("IMPORTRANGE(""https://docs.google.com/spreadsheets/d/1XL5vhW3sbDhbH9Cz0tuDiY8C3ctxq1tqvaCgkFb8cCA/edit?usp=sharing"",""ร้อยเอ็ด!I44"")"),0.0)</f>
        <v>0</v>
      </c>
      <c r="J109" s="238">
        <f>IFERROR(__xludf.DUMMYFUNCTION("IMPORTRANGE(""https://docs.google.com/spreadsheets/d/1XL5vhW3sbDhbH9Cz0tuDiY8C3ctxq1tqvaCgkFb8cCA/edit?usp=sharing"",""ร้อยเอ็ด!J44"")"),0.0)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IFERROR(__xludf.DUMMYFUNCTION("IMPORTRANGE(""https://docs.google.com/spreadsheets/d/1XL5vhW3sbDhbH9Cz0tuDiY8C3ctxq1tqvaCgkFb8cCA/edit?usp=sharing"",""ร้อยเอ็ด!I45"")"),0.0)</f>
        <v>0</v>
      </c>
      <c r="J110" s="238">
        <f>IFERROR(__xludf.DUMMYFUNCTION("IMPORTRANGE(""https://docs.google.com/spreadsheets/d/1XL5vhW3sbDhbH9Cz0tuDiY8C3ctxq1tqvaCgkFb8cCA/edit?usp=sharing"",""ร้อยเอ็ด!J45"")"),0.0)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IFERROR(__xludf.DUMMYFUNCTION("IMPORTRANGE(""https://docs.google.com/spreadsheets/d/1XL5vhW3sbDhbH9Cz0tuDiY8C3ctxq1tqvaCgkFb8cCA/edit?usp=sharing"",""ร้อยเอ็ด!I46"")"),0.0)</f>
        <v>0</v>
      </c>
      <c r="J111" s="238">
        <f>IFERROR(__xludf.DUMMYFUNCTION("IMPORTRANGE(""https://docs.google.com/spreadsheets/d/1XL5vhW3sbDhbH9Cz0tuDiY8C3ctxq1tqvaCgkFb8cCA/edit?usp=sharing"",""ร้อยเอ็ด!J46"")"),0.0)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IFERROR(__xludf.DUMMYFUNCTION("IMPORTRANGE(""https://docs.google.com/spreadsheets/d/1XL5vhW3sbDhbH9Cz0tuDiY8C3ctxq1tqvaCgkFb8cCA/edit?usp=sharing"",""ร้อยเอ็ด!I47"")"),0.0)</f>
        <v>0</v>
      </c>
      <c r="J112" s="238">
        <f>IFERROR(__xludf.DUMMYFUNCTION("IMPORTRANGE(""https://docs.google.com/spreadsheets/d/1XL5vhW3sbDhbH9Cz0tuDiY8C3ctxq1tqvaCgkFb8cCA/edit?usp=sharing"",""ร้อยเอ็ด!J47"")"),0.0)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IFERROR(__xludf.DUMMYFUNCTION("IMPORTRANGE(""https://docs.google.com/spreadsheets/d/1XL5vhW3sbDhbH9Cz0tuDiY8C3ctxq1tqvaCgkFb8cCA/edit?usp=sharing"",""ร้อยเอ็ด!I48"")"),0.0)</f>
        <v>0</v>
      </c>
      <c r="J113" s="238">
        <f>IFERROR(__xludf.DUMMYFUNCTION("IMPORTRANGE(""https://docs.google.com/spreadsheets/d/1XL5vhW3sbDhbH9Cz0tuDiY8C3ctxq1tqvaCgkFb8cCA/edit?usp=sharing"",""ร้อยเอ็ด!J48"")"),0.0)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IFERROR(__xludf.DUMMYFUNCTION("IMPORTRANGE(""https://docs.google.com/spreadsheets/d/1XL5vhW3sbDhbH9Cz0tuDiY8C3ctxq1tqvaCgkFb8cCA/edit?usp=sharing"",""ร้อยเอ็ด!J49"")"),0.0)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IFERROR(__xludf.DUMMYFUNCTION("IMPORTRANGE(""https://docs.google.com/spreadsheets/d/1XL5vhW3sbDhbH9Cz0tuDiY8C3ctxq1tqvaCgkFb8cCA/edit?usp=sharing"",""ร้อยเอ็ด!J50"")"),0.0)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IFERROR(__xludf.DUMMYFUNCTION("IMPORTRANGE(""https://docs.google.com/spreadsheets/d/1XL5vhW3sbDhbH9Cz0tuDiY8C3ctxq1tqvaCgkFb8cCA/edit?usp=sharing"",""ร้อยเอ็ด!I52"")"),0.0)</f>
        <v>0</v>
      </c>
      <c r="J117" s="172">
        <f>IFERROR(__xludf.DUMMYFUNCTION("IMPORTRANGE(""https://docs.google.com/spreadsheets/d/1XL5vhW3sbDhbH9Cz0tuDiY8C3ctxq1tqvaCgkFb8cCA/edit?usp=sharing"",""ร้อยเอ็ด!J52"")"),0.0)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IFERROR(__xludf.DUMMYFUNCTION("IMPORTRANGE(""https://docs.google.com/spreadsheets/d/1Yj_ptqi66GCucihVvJfMjLAmec39IyEx_6qawtMGysU/edit?usp=sharing"",""สบก!BA48"")"),0.0)</f>
        <v>0</v>
      </c>
      <c r="N122" s="202">
        <f>IFERROR(__xludf.DUMMYFUNCTION("IMPORTRANGE(""https://docs.google.com/spreadsheets/d/1Yj_ptqi66GCucihVvJfMjLAmec39IyEx_6qawtMGysU/edit?usp=sharing"",""สบก!BB48"")"),0.0)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IFERROR(__xludf.DUMMYFUNCTION("IMPORTRANGE(""https://docs.google.com/spreadsheets/d/1Yj_ptqi66GCucihVvJfMjLAmec39IyEx_6qawtMGysU/edit?usp=sharing"",""สบก!AW48"")"),0.0)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IFERROR(__xludf.DUMMYFUNCTION("IMPORTRANGE(""https://docs.google.com/spreadsheets/d/1Yj_ptqi66GCucihVvJfMjLAmec39IyEx_6qawtMGysU/edit?usp=sharing"",""สบก!AX48"")"),0.0)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IFERROR(__xludf.DUMMYFUNCTION("IMPORTRANGE(""https://docs.google.com/spreadsheets/d/1Yj_ptqi66GCucihVvJfMjLAmec39IyEx_6qawtMGysU/edit?usp=sharing"",""สบก!AY48"")"),0.0)</f>
        <v>0</v>
      </c>
      <c r="M126" s="125"/>
      <c r="N126" s="115">
        <f>IFERROR(__xludf.DUMMYFUNCTION("IMPORTRANGE(""https://docs.google.com/spreadsheets/d/1Yj_ptqi66GCucihVvJfMjLAmec39IyEx_6qawtMGysU/edit?usp=sharing"",""สบก!BC48"")"),0.0)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IFERROR(__xludf.DUMMYFUNCTION("IMPORTRANGE(""https://docs.google.com/spreadsheets/d/1XL5vhW3sbDhbH9Cz0tuDiY8C3ctxq1tqvaCgkFb8cCA/edit?usp=sharing"",""ร้อยเอ็ด!J58"")"),0.0)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IFERROR(__xludf.DUMMYFUNCTION("IMPORTRANGE(""https://docs.google.com/spreadsheets/d/1XL5vhW3sbDhbH9Cz0tuDiY8C3ctxq1tqvaCgkFb8cCA/edit?usp=sharing"",""ร้อยเอ็ด!J59"")"),0.0)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IFERROR(__xludf.DUMMYFUNCTION("IMPORTRANGE(""https://docs.google.com/spreadsheets/d/1XL5vhW3sbDhbH9Cz0tuDiY8C3ctxq1tqvaCgkFb8cCA/edit?usp=sharing"",""ร้อยเอ็ด!J60"")"),0.0)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IFERROR(__xludf.DUMMYFUNCTION("IMPORTRANGE(""https://docs.google.com/spreadsheets/d/1XL5vhW3sbDhbH9Cz0tuDiY8C3ctxq1tqvaCgkFb8cCA/edit?usp=sharing"",""ร้อยเอ็ด!J61"")"),0.0)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IFERROR(__xludf.DUMMYFUNCTION("IMPORTRANGE(""https://docs.google.com/spreadsheets/d/1XL5vhW3sbDhbH9Cz0tuDiY8C3ctxq1tqvaCgkFb8cCA/edit?usp=sharing"",""ร้อยเอ็ด!I62"")"),0.0)</f>
        <v>0</v>
      </c>
      <c r="J132" s="238">
        <f>IFERROR(__xludf.DUMMYFUNCTION("IMPORTRANGE(""https://docs.google.com/spreadsheets/d/1XL5vhW3sbDhbH9Cz0tuDiY8C3ctxq1tqvaCgkFb8cCA/edit?usp=sharing"",""ร้อยเอ็ด!J62"")"),0.0)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IFERROR(__xludf.DUMMYFUNCTION("IMPORTRANGE(""https://docs.google.com/spreadsheets/d/1XL5vhW3sbDhbH9Cz0tuDiY8C3ctxq1tqvaCgkFb8cCA/edit?usp=sharing"",""ร้อยเอ็ด!I63"")"),0.0)</f>
        <v>0</v>
      </c>
      <c r="J133" s="238">
        <f>IFERROR(__xludf.DUMMYFUNCTION("IMPORTRANGE(""https://docs.google.com/spreadsheets/d/1XL5vhW3sbDhbH9Cz0tuDiY8C3ctxq1tqvaCgkFb8cCA/edit?usp=sharing"",""ร้อยเอ็ด!J63"")"),0.0)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IFERROR(__xludf.DUMMYFUNCTION("IMPORTRANGE(""https://docs.google.com/spreadsheets/d/1XL5vhW3sbDhbH9Cz0tuDiY8C3ctxq1tqvaCgkFb8cCA/edit?usp=sharing"",""ร้อยเอ็ด!J64"")"),0.0)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IFERROR(__xludf.DUMMYFUNCTION("IMPORTRANGE(""https://docs.google.com/spreadsheets/d/1XL5vhW3sbDhbH9Cz0tuDiY8C3ctxq1tqvaCgkFb8cCA/edit?usp=sharing"",""ร้อยเอ็ด!J65"")"),0.0)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IFERROR(__xludf.DUMMYFUNCTION("IMPORTRANGE(""https://docs.google.com/spreadsheets/d/1XL5vhW3sbDhbH9Cz0tuDiY8C3ctxq1tqvaCgkFb8cCA/edit?usp=sharing"",""ร้อยเอ็ด!I68"")"),0.0)</f>
        <v>0</v>
      </c>
      <c r="J138" s="301">
        <f>IFERROR(__xludf.DUMMYFUNCTION("IMPORTRANGE(""https://docs.google.com/spreadsheets/d/1XL5vhW3sbDhbH9Cz0tuDiY8C3ctxq1tqvaCgkFb8cCA/edit?usp=sharing"",""ร้อยเอ็ด!J68"")"),0.0)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76100</v>
      </c>
      <c r="M140" s="183">
        <f t="shared" si="65"/>
        <v>45750</v>
      </c>
      <c r="N140" s="183">
        <f t="shared" si="65"/>
        <v>45615</v>
      </c>
      <c r="O140" s="182">
        <f t="shared" ref="O140:O142" si="67">IF(L140&gt;0,N140*100/L140,0)</f>
        <v>59.94086728</v>
      </c>
      <c r="P140" s="182">
        <f t="shared" ref="P140:P142" si="68">IF(M140&gt;0,N140*100/M140,0)</f>
        <v>99.70491803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76100</v>
      </c>
      <c r="M142" s="188">
        <f t="shared" si="69"/>
        <v>45750</v>
      </c>
      <c r="N142" s="188">
        <f t="shared" si="69"/>
        <v>45615</v>
      </c>
      <c r="O142" s="187">
        <f t="shared" si="67"/>
        <v>59.94086728</v>
      </c>
      <c r="P142" s="187">
        <f t="shared" si="68"/>
        <v>99.70491803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76100</v>
      </c>
      <c r="M144" s="201">
        <f>IFERROR(__xludf.DUMMYFUNCTION("IMPORTRANGE(""https://docs.google.com/spreadsheets/d/1Yj_ptqi66GCucihVvJfMjLAmec39IyEx_6qawtMGysU/edit?usp=sharing"",""สบก!BJ48"")"),45750.0)</f>
        <v>45750</v>
      </c>
      <c r="N144" s="202">
        <f>IFERROR(__xludf.DUMMYFUNCTION("IMPORTRANGE(""https://docs.google.com/spreadsheets/d/1Yj_ptqi66GCucihVvJfMjLAmec39IyEx_6qawtMGysU/edit?usp=sharing"",""สบก!BK48"")"),45615.0)</f>
        <v>45615</v>
      </c>
      <c r="O144" s="203">
        <f>IF(L144&gt;0,N144*100/L144,0)</f>
        <v>59.94086728</v>
      </c>
      <c r="P144" s="203">
        <f>IF(M144&gt;0,N144*100/M144,0)</f>
        <v>99.70491803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IFERROR(__xludf.DUMMYFUNCTION("IMPORTRANGE(""https://docs.google.com/spreadsheets/d/1Yj_ptqi66GCucihVvJfMjLAmec39IyEx_6qawtMGysU/edit?usp=sharing"",""สบก!BF48"")"),0.0)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IFERROR(__xludf.DUMMYFUNCTION("IMPORTRANGE(""https://docs.google.com/spreadsheets/d/1Yj_ptqi66GCucihVvJfMjLAmec39IyEx_6qawtMGysU/edit?usp=sharing"",""สบก!BG48"")"),76100.0)</f>
        <v>76100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IFERROR(__xludf.DUMMYFUNCTION("IMPORTRANGE(""https://docs.google.com/spreadsheets/d/1Yj_ptqi66GCucihVvJfMjLAmec39IyEx_6qawtMGysU/edit?usp=sharing"",""สบก!BH48"")"),0.0)</f>
        <v>0</v>
      </c>
      <c r="M148" s="125"/>
      <c r="N148" s="115">
        <f>IFERROR(__xludf.DUMMYFUNCTION("IMPORTRANGE(""https://docs.google.com/spreadsheets/d/1Yj_ptqi66GCucihVvJfMjLAmec39IyEx_6qawtMGysU/edit?usp=sharing"",""สบก!BL48"")"),0.0)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IFERROR(__xludf.DUMMYFUNCTION("IMPORTRANGE(""https://docs.google.com/spreadsheets/d/1XL5vhW3sbDhbH9Cz0tuDiY8C3ctxq1tqvaCgkFb8cCA/edit?usp=sharing"",""ร้อยเอ็ด!I74"")"),4.0)</f>
        <v>4</v>
      </c>
      <c r="J149" s="309">
        <f>IFERROR(__xludf.DUMMYFUNCTION("IMPORTRANGE(""https://docs.google.com/spreadsheets/d/1XL5vhW3sbDhbH9Cz0tuDiY8C3ctxq1tqvaCgkFb8cCA/edit?usp=sharing"",""ร้อยเอ็ด!J74"")"),1.0)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IFERROR(__xludf.DUMMYFUNCTION("IMPORTRANGE(""https://docs.google.com/spreadsheets/d/1XL5vhW3sbDhbH9Cz0tuDiY8C3ctxq1tqvaCgkFb8cCA/edit?usp=sharing"",""ร้อยเอ็ด!J79"")"),0.0)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IFERROR(__xludf.DUMMYFUNCTION("IMPORTRANGE(""https://docs.google.com/spreadsheets/d/1XL5vhW3sbDhbH9Cz0tuDiY8C3ctxq1tqvaCgkFb8cCA/edit?usp=sharing"",""ร้อยเอ็ด!J80"")"),1.0)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IFERROR(__xludf.DUMMYFUNCTION("IMPORTRANGE(""https://docs.google.com/spreadsheets/d/1XL5vhW3sbDhbH9Cz0tuDiY8C3ctxq1tqvaCgkFb8cCA/edit?usp=sharing"",""ร้อยเอ็ด!J81"")"),1.0)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IFERROR(__xludf.DUMMYFUNCTION("IMPORTRANGE(""https://docs.google.com/spreadsheets/d/1XL5vhW3sbDhbH9Cz0tuDiY8C3ctxq1tqvaCgkFb8cCA/edit?usp=sharing"",""ร้อยเอ็ด!J82"")"),1.0)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IFERROR(__xludf.DUMMYFUNCTION("IMPORTRANGE(""https://docs.google.com/spreadsheets/d/1XL5vhW3sbDhbH9Cz0tuDiY8C3ctxq1tqvaCgkFb8cCA/edit?usp=sharing"",""ร้อยเอ็ด!I83"")"),4.0)</f>
        <v>4</v>
      </c>
      <c r="J158" s="223">
        <f>IFERROR(__xludf.DUMMYFUNCTION("IMPORTRANGE(""https://docs.google.com/spreadsheets/d/1XL5vhW3sbDhbH9Cz0tuDiY8C3ctxq1tqvaCgkFb8cCA/edit?usp=sharing"",""ร้อยเอ็ด!J83"")"),1.0)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IFERROR(__xludf.DUMMYFUNCTION("IMPORTRANGE(""https://docs.google.com/spreadsheets/d/1XL5vhW3sbDhbH9Cz0tuDiY8C3ctxq1tqvaCgkFb8cCA/edit?usp=sharing"",""ร้อยเอ็ด!J84"")"),0.0)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IFERROR(__xludf.DUMMYFUNCTION("IMPORTRANGE(""https://docs.google.com/spreadsheets/d/1XL5vhW3sbDhbH9Cz0tuDiY8C3ctxq1tqvaCgkFb8cCA/edit?usp=sharing"",""ร้อยเอ็ด!J85"")"),0.0)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IFERROR(__xludf.DUMMYFUNCTION("IMPORTRANGE(""https://docs.google.com/spreadsheets/d/1XL5vhW3sbDhbH9Cz0tuDiY8C3ctxq1tqvaCgkFb8cCA/edit?usp=sharing"",""ร้อยเอ็ด!J86"")"),0.0)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IFERROR(__xludf.DUMMYFUNCTION("IMPORTRANGE(""https://docs.google.com/spreadsheets/d/1XL5vhW3sbDhbH9Cz0tuDiY8C3ctxq1tqvaCgkFb8cCA/edit?usp=sharing"",""ร้อยเอ็ด!J87"")"),0.0)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IFERROR(__xludf.DUMMYFUNCTION("IMPORTRANGE(""https://docs.google.com/spreadsheets/d/1XL5vhW3sbDhbH9Cz0tuDiY8C3ctxq1tqvaCgkFb8cCA/edit?usp=sharing"",""ร้อยเอ็ด!J88"")"),0.0)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IFERROR(__xludf.DUMMYFUNCTION("IMPORTRANGE(""https://docs.google.com/spreadsheets/d/1XL5vhW3sbDhbH9Cz0tuDiY8C3ctxq1tqvaCgkFb8cCA/edit?usp=sharing"",""ร้อยเอ็ด!I89"")"),3.0)</f>
        <v>3</v>
      </c>
      <c r="J164" s="317">
        <f>IFERROR(__xludf.DUMMYFUNCTION("IMPORTRANGE(""https://docs.google.com/spreadsheets/d/1XL5vhW3sbDhbH9Cz0tuDiY8C3ctxq1tqvaCgkFb8cCA/edit?usp=sharing"",""ร้อยเอ็ด!J89"")"),3.0)</f>
        <v>3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IFERROR(__xludf.DUMMYFUNCTION("IMPORTRANGE(""https://docs.google.com/spreadsheets/d/1XL5vhW3sbDhbH9Cz0tuDiY8C3ctxq1tqvaCgkFb8cCA/edit?usp=sharing"",""ร้อยเอ็ด!J94"")"),0.0)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IFERROR(__xludf.DUMMYFUNCTION("IMPORTRANGE(""https://docs.google.com/spreadsheets/d/1XL5vhW3sbDhbH9Cz0tuDiY8C3ctxq1tqvaCgkFb8cCA/edit?usp=sharing"",""ร้อยเอ็ด!J95"")"),1.0)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IFERROR(__xludf.DUMMYFUNCTION("IMPORTRANGE(""https://docs.google.com/spreadsheets/d/1XL5vhW3sbDhbH9Cz0tuDiY8C3ctxq1tqvaCgkFb8cCA/edit?usp=sharing"",""ร้อยเอ็ด!J96"")"),1.0)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IFERROR(__xludf.DUMMYFUNCTION("IMPORTRANGE(""https://docs.google.com/spreadsheets/d/1XL5vhW3sbDhbH9Cz0tuDiY8C3ctxq1tqvaCgkFb8cCA/edit?usp=sharing"",""ร้อยเอ็ด!J97"")"),1.0)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IFERROR(__xludf.DUMMYFUNCTION("IMPORTRANGE(""https://docs.google.com/spreadsheets/d/1XL5vhW3sbDhbH9Cz0tuDiY8C3ctxq1tqvaCgkFb8cCA/edit?usp=sharing"",""ร้อยเอ็ด!I98"")"),3.0)</f>
        <v>3</v>
      </c>
      <c r="J173" s="223">
        <f>IFERROR(__xludf.DUMMYFUNCTION("IMPORTRANGE(""https://docs.google.com/spreadsheets/d/1XL5vhW3sbDhbH9Cz0tuDiY8C3ctxq1tqvaCgkFb8cCA/edit?usp=sharing"",""ร้อยเอ็ด!J98"")"),3.0)</f>
        <v>3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IFERROR(__xludf.DUMMYFUNCTION("IMPORTRANGE(""https://docs.google.com/spreadsheets/d/1XL5vhW3sbDhbH9Cz0tuDiY8C3ctxq1tqvaCgkFb8cCA/edit?usp=sharing"",""ร้อยเอ็ด!J99"")"),0.0)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IFERROR(__xludf.DUMMYFUNCTION("IMPORTRANGE(""https://docs.google.com/spreadsheets/d/1XL5vhW3sbDhbH9Cz0tuDiY8C3ctxq1tqvaCgkFb8cCA/edit?usp=sharing"",""ร้อยเอ็ด!J100"")"),0.0)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IFERROR(__xludf.DUMMYFUNCTION("IMPORTRANGE(""https://docs.google.com/spreadsheets/d/1XL5vhW3sbDhbH9Cz0tuDiY8C3ctxq1tqvaCgkFb8cCA/edit?usp=sharing"",""ร้อยเอ็ด!I101"")"),0.0)</f>
        <v>0</v>
      </c>
      <c r="J176" s="317">
        <f>IFERROR(__xludf.DUMMYFUNCTION("IMPORTRANGE(""https://docs.google.com/spreadsheets/d/1XL5vhW3sbDhbH9Cz0tuDiY8C3ctxq1tqvaCgkFb8cCA/edit?usp=sharing"",""ร้อยเอ็ด!J101"")"),0.0)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IFERROR(__xludf.DUMMYFUNCTION("IMPORTRANGE(""https://docs.google.com/spreadsheets/d/1XL5vhW3sbDhbH9Cz0tuDiY8C3ctxq1tqvaCgkFb8cCA/edit?usp=sharing"",""ร้อยเอ็ด!J106"")"),0.0)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IFERROR(__xludf.DUMMYFUNCTION("IMPORTRANGE(""https://docs.google.com/spreadsheets/d/1XL5vhW3sbDhbH9Cz0tuDiY8C3ctxq1tqvaCgkFb8cCA/edit?usp=sharing"",""ร้อยเอ็ด!J107"")"),0.0)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IFERROR(__xludf.DUMMYFUNCTION("IMPORTRANGE(""https://docs.google.com/spreadsheets/d/1XL5vhW3sbDhbH9Cz0tuDiY8C3ctxq1tqvaCgkFb8cCA/edit?usp=sharing"",""ร้อยเอ็ด!J108"")"),0.0)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IFERROR(__xludf.DUMMYFUNCTION("IMPORTRANGE(""https://docs.google.com/spreadsheets/d/1XL5vhW3sbDhbH9Cz0tuDiY8C3ctxq1tqvaCgkFb8cCA/edit?usp=sharing"",""ร้อยเอ็ด!J109"")"),0.0)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IFERROR(__xludf.DUMMYFUNCTION("IMPORTRANGE(""https://docs.google.com/spreadsheets/d/1XL5vhW3sbDhbH9Cz0tuDiY8C3ctxq1tqvaCgkFb8cCA/edit?usp=sharing"",""ร้อยเอ็ด!I110"")"),0.0)</f>
        <v>0</v>
      </c>
      <c r="J185" s="238">
        <f>IFERROR(__xludf.DUMMYFUNCTION("IMPORTRANGE(""https://docs.google.com/spreadsheets/d/1XL5vhW3sbDhbH9Cz0tuDiY8C3ctxq1tqvaCgkFb8cCA/edit?usp=sharing"",""ร้อยเอ็ด!J110"")"),0.0)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IFERROR(__xludf.DUMMYFUNCTION("IMPORTRANGE(""https://docs.google.com/spreadsheets/d/1XL5vhW3sbDhbH9Cz0tuDiY8C3ctxq1tqvaCgkFb8cCA/edit?usp=sharing"",""ร้อยเอ็ด!I111"")"),0.0)</f>
        <v>0</v>
      </c>
      <c r="J186" s="238">
        <f>IFERROR(__xludf.DUMMYFUNCTION("IMPORTRANGE(""https://docs.google.com/spreadsheets/d/1XL5vhW3sbDhbH9Cz0tuDiY8C3ctxq1tqvaCgkFb8cCA/edit?usp=sharing"",""ร้อยเอ็ด!J111"")"),0.0)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IFERROR(__xludf.DUMMYFUNCTION("IMPORTRANGE(""https://docs.google.com/spreadsheets/d/1XL5vhW3sbDhbH9Cz0tuDiY8C3ctxq1tqvaCgkFb8cCA/edit?usp=sharing"",""ร้อยเอ็ด!J112"")"),0.0)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IFERROR(__xludf.DUMMYFUNCTION("IMPORTRANGE(""https://docs.google.com/spreadsheets/d/1XL5vhW3sbDhbH9Cz0tuDiY8C3ctxq1tqvaCgkFb8cCA/edit?usp=sharing"",""ร้อยเอ็ด!J113"")"),0.0)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IFERROR(__xludf.DUMMYFUNCTION("IMPORTRANGE(""https://docs.google.com/spreadsheets/d/1XL5vhW3sbDhbH9Cz0tuDiY8C3ctxq1tqvaCgkFb8cCA/edit?usp=sharing"",""ร้อยเอ็ด!I114"")"),64000.0)</f>
        <v>64000</v>
      </c>
      <c r="J189" s="317">
        <f>IFERROR(__xludf.DUMMYFUNCTION("IMPORTRANGE(""https://docs.google.com/spreadsheets/d/1XL5vhW3sbDhbH9Cz0tuDiY8C3ctxq1tqvaCgkFb8cCA/edit?usp=sharing"",""ร้อยเอ็ด!J114"")"),0.0)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IFERROR(__xludf.DUMMYFUNCTION("IMPORTRANGE(""https://docs.google.com/spreadsheets/d/1XL5vhW3sbDhbH9Cz0tuDiY8C3ctxq1tqvaCgkFb8cCA/edit?usp=sharing"",""ร้อยเอ็ด!J119"")"),0.0)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IFERROR(__xludf.DUMMYFUNCTION("IMPORTRANGE(""https://docs.google.com/spreadsheets/d/1XL5vhW3sbDhbH9Cz0tuDiY8C3ctxq1tqvaCgkFb8cCA/edit?usp=sharing"",""ร้อยเอ็ด!J120"")"),1.0)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IFERROR(__xludf.DUMMYFUNCTION("IMPORTRANGE(""https://docs.google.com/spreadsheets/d/1XL5vhW3sbDhbH9Cz0tuDiY8C3ctxq1tqvaCgkFb8cCA/edit?usp=sharing"",""ร้อยเอ็ด!J121"")"),1.0)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IFERROR(__xludf.DUMMYFUNCTION("IMPORTRANGE(""https://docs.google.com/spreadsheets/d/1XL5vhW3sbDhbH9Cz0tuDiY8C3ctxq1tqvaCgkFb8cCA/edit?usp=sharing"",""ร้อยเอ็ด!J122"")"),1.0)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IFERROR(__xludf.DUMMYFUNCTION("IMPORTRANGE(""https://docs.google.com/spreadsheets/d/1XL5vhW3sbDhbH9Cz0tuDiY8C3ctxq1tqvaCgkFb8cCA/edit?usp=sharing"",""ร้อยเอ็ด!I124"")"),64000.0)</f>
        <v>64000</v>
      </c>
      <c r="J199" s="223">
        <f>IFERROR(__xludf.DUMMYFUNCTION("IMPORTRANGE(""https://docs.google.com/spreadsheets/d/1XL5vhW3sbDhbH9Cz0tuDiY8C3ctxq1tqvaCgkFb8cCA/edit?usp=sharing"",""ร้อยเอ็ด!J124"")"),64000.0)</f>
        <v>64000</v>
      </c>
      <c r="K199" s="196">
        <f t="shared" ref="K199:K201" si="71">IF(I199&gt;0,J199*100/I199,0)</f>
        <v>100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IFERROR(__xludf.DUMMYFUNCTION("IMPORTRANGE(""https://docs.google.com/spreadsheets/d/1XL5vhW3sbDhbH9Cz0tuDiY8C3ctxq1tqvaCgkFb8cCA/edit?usp=sharing"",""ร้อยเอ็ด!I125"")"),64000.0)</f>
        <v>64000</v>
      </c>
      <c r="J200" s="223">
        <f>IFERROR(__xludf.DUMMYFUNCTION("IMPORTRANGE(""https://docs.google.com/spreadsheets/d/1XL5vhW3sbDhbH9Cz0tuDiY8C3ctxq1tqvaCgkFb8cCA/edit?usp=sharing"",""ร้อยเอ็ด!J125"")"),0.0)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IFERROR(__xludf.DUMMYFUNCTION("IMPORTRANGE(""https://docs.google.com/spreadsheets/d/1XL5vhW3sbDhbH9Cz0tuDiY8C3ctxq1tqvaCgkFb8cCA/edit?usp=sharing"",""ร้อยเอ็ด!I126"")"),0.0)</f>
        <v>0</v>
      </c>
      <c r="J201" s="223">
        <f>IFERROR(__xludf.DUMMYFUNCTION("IMPORTRANGE(""https://docs.google.com/spreadsheets/d/1XL5vhW3sbDhbH9Cz0tuDiY8C3ctxq1tqvaCgkFb8cCA/edit?usp=sharing"",""ร้อยเอ็ด!J126"")"),0.0)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IFERROR(__xludf.DUMMYFUNCTION("IMPORTRANGE(""https://docs.google.com/spreadsheets/d/1XL5vhW3sbDhbH9Cz0tuDiY8C3ctxq1tqvaCgkFb8cCA/edit?usp=sharing"",""ร้อยเอ็ด!J127"")"),0.0)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IFERROR(__xludf.DUMMYFUNCTION("IMPORTRANGE(""https://docs.google.com/spreadsheets/d/1XL5vhW3sbDhbH9Cz0tuDiY8C3ctxq1tqvaCgkFb8cCA/edit?usp=sharing"",""ร้อยเอ็ด!J128"")"),0.0)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IFERROR(__xludf.DUMMYFUNCTION("IMPORTRANGE(""https://docs.google.com/spreadsheets/d/1XL5vhW3sbDhbH9Cz0tuDiY8C3ctxq1tqvaCgkFb8cCA/edit?usp=sharing"",""ร้อยเอ็ด!I129"")"),0.0)</f>
        <v>0</v>
      </c>
      <c r="J204" s="317">
        <f>IFERROR(__xludf.DUMMYFUNCTION("IMPORTRANGE(""https://docs.google.com/spreadsheets/d/1XL5vhW3sbDhbH9Cz0tuDiY8C3ctxq1tqvaCgkFb8cCA/edit?usp=sharing"",""ร้อยเอ็ด!J129"")"),0.0)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IFERROR(__xludf.DUMMYFUNCTION("IMPORTRANGE(""https://docs.google.com/spreadsheets/d/1XL5vhW3sbDhbH9Cz0tuDiY8C3ctxq1tqvaCgkFb8cCA/edit?usp=sharing"",""ร้อยเอ็ด!J134"")"),0.0)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IFERROR(__xludf.DUMMYFUNCTION("IMPORTRANGE(""https://docs.google.com/spreadsheets/d/1XL5vhW3sbDhbH9Cz0tuDiY8C3ctxq1tqvaCgkFb8cCA/edit?usp=sharing"",""ร้อยเอ็ด!J135"")"),0.0)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IFERROR(__xludf.DUMMYFUNCTION("IMPORTRANGE(""https://docs.google.com/spreadsheets/d/1XL5vhW3sbDhbH9Cz0tuDiY8C3ctxq1tqvaCgkFb8cCA/edit?usp=sharing"",""ร้อยเอ็ด!J136"")"),0.0)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IFERROR(__xludf.DUMMYFUNCTION("IMPORTRANGE(""https://docs.google.com/spreadsheets/d/1XL5vhW3sbDhbH9Cz0tuDiY8C3ctxq1tqvaCgkFb8cCA/edit?usp=sharing"",""ร้อยเอ็ด!J137"")"),0.0)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IFERROR(__xludf.DUMMYFUNCTION("IMPORTRANGE(""https://docs.google.com/spreadsheets/d/1XL5vhW3sbDhbH9Cz0tuDiY8C3ctxq1tqvaCgkFb8cCA/edit?usp=sharing"",""ร้อยเอ็ด!I138"")"),0.0)</f>
        <v>0</v>
      </c>
      <c r="J213" s="238">
        <f>IFERROR(__xludf.DUMMYFUNCTION("IMPORTRANGE(""https://docs.google.com/spreadsheets/d/1XL5vhW3sbDhbH9Cz0tuDiY8C3ctxq1tqvaCgkFb8cCA/edit?usp=sharing"",""ร้อยเอ็ด!J138"")"),0.0)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IFERROR(__xludf.DUMMYFUNCTION("IMPORTRANGE(""https://docs.google.com/spreadsheets/d/1XL5vhW3sbDhbH9Cz0tuDiY8C3ctxq1tqvaCgkFb8cCA/edit?usp=sharing"",""ร้อยเอ็ด!I140"")"),0.0)</f>
        <v>0</v>
      </c>
      <c r="J215" s="238">
        <f>IFERROR(__xludf.DUMMYFUNCTION("IMPORTRANGE(""https://docs.google.com/spreadsheets/d/1XL5vhW3sbDhbH9Cz0tuDiY8C3ctxq1tqvaCgkFb8cCA/edit?usp=sharing"",""ร้อยเอ็ด!J140"")"),0.0)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IFERROR(__xludf.DUMMYFUNCTION("IMPORTRANGE(""https://docs.google.com/spreadsheets/d/1XL5vhW3sbDhbH9Cz0tuDiY8C3ctxq1tqvaCgkFb8cCA/edit?usp=sharing"",""ร้อยเอ็ด!I141"")"),0.0)</f>
        <v>0</v>
      </c>
      <c r="J216" s="238">
        <f>IFERROR(__xludf.DUMMYFUNCTION("IMPORTRANGE(""https://docs.google.com/spreadsheets/d/1XL5vhW3sbDhbH9Cz0tuDiY8C3ctxq1tqvaCgkFb8cCA/edit?usp=sharing"",""ร้อยเอ็ด!J141"")"),0.0)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IFERROR(__xludf.DUMMYFUNCTION("IMPORTRANGE(""https://docs.google.com/spreadsheets/d/1XL5vhW3sbDhbH9Cz0tuDiY8C3ctxq1tqvaCgkFb8cCA/edit?usp=sharing"",""ร้อยเอ็ด!J142"")"),0.0)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IFERROR(__xludf.DUMMYFUNCTION("IMPORTRANGE(""https://docs.google.com/spreadsheets/d/1XL5vhW3sbDhbH9Cz0tuDiY8C3ctxq1tqvaCgkFb8cCA/edit?usp=sharing"",""ร้อยเอ็ด!J143"")"),0.0)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IFERROR(__xludf.DUMMYFUNCTION("IMPORTRANGE(""https://docs.google.com/spreadsheets/d/1XL5vhW3sbDhbH9Cz0tuDiY8C3ctxq1tqvaCgkFb8cCA/edit?usp=sharing"",""ร้อยเอ็ด!I144"")"),10.0)</f>
        <v>10</v>
      </c>
      <c r="J219" s="301">
        <f>IFERROR(__xludf.DUMMYFUNCTION("IMPORTRANGE(""https://docs.google.com/spreadsheets/d/1XL5vhW3sbDhbH9Cz0tuDiY8C3ctxq1tqvaCgkFb8cCA/edit?usp=sharing"",""ร้อยเอ็ด!J144"")"),10.0)</f>
        <v>10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16550</v>
      </c>
      <c r="M220" s="183">
        <f t="shared" si="73"/>
        <v>16550</v>
      </c>
      <c r="N220" s="183">
        <f t="shared" si="73"/>
        <v>16510</v>
      </c>
      <c r="O220" s="182">
        <f t="shared" ref="O220:O222" si="75">IF(L220&gt;0,N220*100/L220,0)</f>
        <v>99.75830816</v>
      </c>
      <c r="P220" s="182">
        <f t="shared" ref="P220:P222" si="76">IF(M220&gt;0,N220*100/M220,0)</f>
        <v>99.75830816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16550</v>
      </c>
      <c r="M222" s="188">
        <f t="shared" si="77"/>
        <v>16550</v>
      </c>
      <c r="N222" s="188">
        <f t="shared" si="77"/>
        <v>16510</v>
      </c>
      <c r="O222" s="187">
        <f t="shared" si="75"/>
        <v>99.75830816</v>
      </c>
      <c r="P222" s="187">
        <f t="shared" si="76"/>
        <v>99.75830816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16550</v>
      </c>
      <c r="M224" s="201">
        <f>IFERROR(__xludf.DUMMYFUNCTION("IMPORTRANGE(""https://docs.google.com/spreadsheets/d/1Yj_ptqi66GCucihVvJfMjLAmec39IyEx_6qawtMGysU/edit?usp=sharing"",""สบก!BS48"")"),16550.0)</f>
        <v>16550</v>
      </c>
      <c r="N224" s="202">
        <f>IFERROR(__xludf.DUMMYFUNCTION("IMPORTRANGE(""https://docs.google.com/spreadsheets/d/1Yj_ptqi66GCucihVvJfMjLAmec39IyEx_6qawtMGysU/edit?usp=sharing"",""สบก!BT48"")"),16510.0)</f>
        <v>16510</v>
      </c>
      <c r="O224" s="203">
        <f>IF(L224&gt;0,N224*100/L224,0)</f>
        <v>99.75830816</v>
      </c>
      <c r="P224" s="203">
        <f>IF(M224&gt;0,N224*100/M224,0)</f>
        <v>99.75830816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IFERROR(__xludf.DUMMYFUNCTION("IMPORTRANGE(""https://docs.google.com/spreadsheets/d/1Yj_ptqi66GCucihVvJfMjLAmec39IyEx_6qawtMGysU/edit?usp=sharing"",""สบก!BO48"")"),0.0)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IFERROR(__xludf.DUMMYFUNCTION("IMPORTRANGE(""https://docs.google.com/spreadsheets/d/1Yj_ptqi66GCucihVvJfMjLAmec39IyEx_6qawtMGysU/edit?usp=sharing"",""สบก!BP48"")"),16550.0)</f>
        <v>16550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IFERROR(__xludf.DUMMYFUNCTION("IMPORTRANGE(""https://docs.google.com/spreadsheets/d/1Yj_ptqi66GCucihVvJfMjLAmec39IyEx_6qawtMGysU/edit?usp=sharing"",""สบก!BQ48"")"),0.0)</f>
        <v>0</v>
      </c>
      <c r="M228" s="125"/>
      <c r="N228" s="115">
        <f>IFERROR(__xludf.DUMMYFUNCTION("IMPORTRANGE(""https://docs.google.com/spreadsheets/d/1Yj_ptqi66GCucihVvJfMjLAmec39IyEx_6qawtMGysU/edit?usp=sharing"",""สบก!BU48"")"),0.0)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IFERROR(__xludf.DUMMYFUNCTION("IMPORTRANGE(""https://docs.google.com/spreadsheets/d/1XL5vhW3sbDhbH9Cz0tuDiY8C3ctxq1tqvaCgkFb8cCA/edit?usp=sharing"",""ร้อยเอ็ด!I149"")"),10.0)</f>
        <v>10</v>
      </c>
      <c r="J229" s="301">
        <f>IFERROR(__xludf.DUMMYFUNCTION("IMPORTRANGE(""https://docs.google.com/spreadsheets/d/1XL5vhW3sbDhbH9Cz0tuDiY8C3ctxq1tqvaCgkFb8cCA/edit?usp=sharing"",""ร้อยเอ็ด!J149"")"),10.0)</f>
        <v>10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IFERROR(__xludf.DUMMYFUNCTION("IMPORTRANGE(""https://docs.google.com/spreadsheets/d/1XL5vhW3sbDhbH9Cz0tuDiY8C3ctxq1tqvaCgkFb8cCA/edit?usp=sharing"",""ร้อยเอ็ด!J151"")"),0.0)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IFERROR(__xludf.DUMMYFUNCTION("IMPORTRANGE(""https://docs.google.com/spreadsheets/d/1XL5vhW3sbDhbH9Cz0tuDiY8C3ctxq1tqvaCgkFb8cCA/edit?usp=sharing"",""ร้อยเอ็ด!J152"")"),1.0)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IFERROR(__xludf.DUMMYFUNCTION("IMPORTRANGE(""https://docs.google.com/spreadsheets/d/1XL5vhW3sbDhbH9Cz0tuDiY8C3ctxq1tqvaCgkFb8cCA/edit?usp=sharing"",""ร้อยเอ็ด!J153"")"),1.0)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IFERROR(__xludf.DUMMYFUNCTION("IMPORTRANGE(""https://docs.google.com/spreadsheets/d/1XL5vhW3sbDhbH9Cz0tuDiY8C3ctxq1tqvaCgkFb8cCA/edit?usp=sharing"",""ร้อยเอ็ด!J154"")"),1.0)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IFERROR(__xludf.DUMMYFUNCTION("IMPORTRANGE(""https://docs.google.com/spreadsheets/d/1XL5vhW3sbDhbH9Cz0tuDiY8C3ctxq1tqvaCgkFb8cCA/edit?usp=sharing"",""ร้อยเอ็ด!I155"")"),10.0)</f>
        <v>10</v>
      </c>
      <c r="J235" s="223">
        <f>IFERROR(__xludf.DUMMYFUNCTION("IMPORTRANGE(""https://docs.google.com/spreadsheets/d/1XL5vhW3sbDhbH9Cz0tuDiY8C3ctxq1tqvaCgkFb8cCA/edit?usp=sharing"",""ร้อยเอ็ด!J155"")"),10.0)</f>
        <v>10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IFERROR(__xludf.DUMMYFUNCTION("IMPORTRANGE(""https://docs.google.com/spreadsheets/d/1XL5vhW3sbDhbH9Cz0tuDiY8C3ctxq1tqvaCgkFb8cCA/edit?usp=sharing"",""ร้อยเอ็ด!J156"")"),1.0)</f>
        <v>1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IFERROR(__xludf.DUMMYFUNCTION("IMPORTRANGE(""https://docs.google.com/spreadsheets/d/1XL5vhW3sbDhbH9Cz0tuDiY8C3ctxq1tqvaCgkFb8cCA/edit?usp=sharing"",""ร้อยเอ็ด!J157"")"),0.0)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IFERROR(__xludf.DUMMYFUNCTION("IMPORTRANGE(""https://docs.google.com/spreadsheets/d/1XL5vhW3sbDhbH9Cz0tuDiY8C3ctxq1tqvaCgkFb8cCA/edit?usp=sharing"",""ร้อยเอ็ด!I158"")"),0.0)</f>
        <v>0</v>
      </c>
      <c r="J238" s="301">
        <f>IFERROR(__xludf.DUMMYFUNCTION("IMPORTRANGE(""https://docs.google.com/spreadsheets/d/1XL5vhW3sbDhbH9Cz0tuDiY8C3ctxq1tqvaCgkFb8cCA/edit?usp=sharing"",""ร้อยเอ็ด!J158"")"),0.0)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IFERROR(__xludf.DUMMYFUNCTION("IMPORTRANGE(""https://docs.google.com/spreadsheets/d/1XL5vhW3sbDhbH9Cz0tuDiY8C3ctxq1tqvaCgkFb8cCA/edit?usp=sharing"",""ร้อยเอ็ด!J159"")"),"")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IFERROR(__xludf.DUMMYFUNCTION("IMPORTRANGE(""https://docs.google.com/spreadsheets/d/1XL5vhW3sbDhbH9Cz0tuDiY8C3ctxq1tqvaCgkFb8cCA/edit?usp=sharing"",""ร้อยเอ็ด!J161"")"),1.0)</f>
        <v>1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IFERROR(__xludf.DUMMYFUNCTION("IMPORTRANGE(""https://docs.google.com/spreadsheets/d/1XL5vhW3sbDhbH9Cz0tuDiY8C3ctxq1tqvaCgkFb8cCA/edit?usp=sharing"",""ร้อยเอ็ด!J162"")"),1.0)</f>
        <v>1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IFERROR(__xludf.DUMMYFUNCTION("IMPORTRANGE(""https://docs.google.com/spreadsheets/d/1XL5vhW3sbDhbH9Cz0tuDiY8C3ctxq1tqvaCgkFb8cCA/edit?usp=sharing"",""ร้อยเอ็ด!J163"")"),1.0)</f>
        <v>1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IFERROR(__xludf.DUMMYFUNCTION("IMPORTRANGE(""https://docs.google.com/spreadsheets/d/1XL5vhW3sbDhbH9Cz0tuDiY8C3ctxq1tqvaCgkFb8cCA/edit?usp=sharing"",""ร้อยเอ็ด!I164"")"),0.0)</f>
        <v>0</v>
      </c>
      <c r="J244" s="222">
        <f>IFERROR(__xludf.DUMMYFUNCTION("IMPORTRANGE(""https://docs.google.com/spreadsheets/d/1XL5vhW3sbDhbH9Cz0tuDiY8C3ctxq1tqvaCgkFb8cCA/edit?usp=sharing"",""ร้อยเอ็ด!J164"")"),0.0)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IFERROR(__xludf.DUMMYFUNCTION("IMPORTRANGE(""https://docs.google.com/spreadsheets/d/1XL5vhW3sbDhbH9Cz0tuDiY8C3ctxq1tqvaCgkFb8cCA/edit?usp=sharing"",""ร้อยเอ็ด!J165"")"),0.0)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IFERROR(__xludf.DUMMYFUNCTION("IMPORTRANGE(""https://docs.google.com/spreadsheets/d/1XL5vhW3sbDhbH9Cz0tuDiY8C3ctxq1tqvaCgkFb8cCA/edit?usp=sharing"",""ร้อยเอ็ด!J166"")"),0.0)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IFERROR(__xludf.DUMMYFUNCTION("IMPORTRANGE(""https://docs.google.com/spreadsheets/d/1XL5vhW3sbDhbH9Cz0tuDiY8C3ctxq1tqvaCgkFb8cCA/edit?usp=sharing"",""ร้อยเอ็ด!I169"")"),0.0)</f>
        <v>0</v>
      </c>
      <c r="J249" s="349">
        <f>IFERROR(__xludf.DUMMYFUNCTION("IMPORTRANGE(""https://docs.google.com/spreadsheets/d/1XL5vhW3sbDhbH9Cz0tuDiY8C3ctxq1tqvaCgkFb8cCA/edit?usp=sharing"",""ร้อยเอ็ด!J169"")"),0.0)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IFERROR(__xludf.DUMMYFUNCTION("IMPORTRANGE(""https://docs.google.com/spreadsheets/d/1Yj_ptqi66GCucihVvJfMjLAmec39IyEx_6qawtMGysU/edit?usp=sharing"",""สบก!CB48"")"),0.0)</f>
        <v>0</v>
      </c>
      <c r="N254" s="202">
        <f>IFERROR(__xludf.DUMMYFUNCTION("IMPORTRANGE(""https://docs.google.com/spreadsheets/d/1Yj_ptqi66GCucihVvJfMjLAmec39IyEx_6qawtMGysU/edit?usp=sharing"",""สบก!CC48"")"),0.0)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IFERROR(__xludf.DUMMYFUNCTION("IMPORTRANGE(""https://docs.google.com/spreadsheets/d/1Yj_ptqi66GCucihVvJfMjLAmec39IyEx_6qawtMGysU/edit?usp=sharing"",""สบก!BX48"")"),0.0)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IFERROR(__xludf.DUMMYFUNCTION("IMPORTRANGE(""https://docs.google.com/spreadsheets/d/1Yj_ptqi66GCucihVvJfMjLAmec39IyEx_6qawtMGysU/edit?usp=sharing"",""สบก!BY48"")"),0.0)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IFERROR(__xludf.DUMMYFUNCTION("IMPORTRANGE(""https://docs.google.com/spreadsheets/d/1Yj_ptqi66GCucihVvJfMjLAmec39IyEx_6qawtMGysU/edit?usp=sharing"",""สบก!BZ48"")"),0.0)</f>
        <v>0</v>
      </c>
      <c r="M258" s="125"/>
      <c r="N258" s="115">
        <f>IFERROR(__xludf.DUMMYFUNCTION("IMPORTRANGE(""https://docs.google.com/spreadsheets/d/1Yj_ptqi66GCucihVvJfMjLAmec39IyEx_6qawtMGysU/edit?usp=sharing"",""สบก!CD48"")"),0.0)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IFERROR(__xludf.DUMMYFUNCTION("IMPORTRANGE(""https://docs.google.com/spreadsheets/d/1XL5vhW3sbDhbH9Cz0tuDiY8C3ctxq1tqvaCgkFb8cCA/edit?usp=sharing"",""ร้อยเอ็ด!J175"")"),0.0)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IFERROR(__xludf.DUMMYFUNCTION("IMPORTRANGE(""https://docs.google.com/spreadsheets/d/1XL5vhW3sbDhbH9Cz0tuDiY8C3ctxq1tqvaCgkFb8cCA/edit?usp=sharing"",""ร้อยเอ็ด!J176"")"),0.0)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IFERROR(__xludf.DUMMYFUNCTION("IMPORTRANGE(""https://docs.google.com/spreadsheets/d/1XL5vhW3sbDhbH9Cz0tuDiY8C3ctxq1tqvaCgkFb8cCA/edit?usp=sharing"",""ร้อยเอ็ด!J177"")"),0.0)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IFERROR(__xludf.DUMMYFUNCTION("IMPORTRANGE(""https://docs.google.com/spreadsheets/d/1XL5vhW3sbDhbH9Cz0tuDiY8C3ctxq1tqvaCgkFb8cCA/edit?usp=sharing"",""ร้อยเอ็ด!J178"")"),0.0)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IFERROR(__xludf.DUMMYFUNCTION("IMPORTRANGE(""https://docs.google.com/spreadsheets/d/1XL5vhW3sbDhbH9Cz0tuDiY8C3ctxq1tqvaCgkFb8cCA/edit?usp=sharing"",""ร้อยเอ็ด!I179"")"),0.0)</f>
        <v>0</v>
      </c>
      <c r="J264" s="223">
        <f>IFERROR(__xludf.DUMMYFUNCTION("IMPORTRANGE(""https://docs.google.com/spreadsheets/d/1XL5vhW3sbDhbH9Cz0tuDiY8C3ctxq1tqvaCgkFb8cCA/edit?usp=sharing"",""ร้อยเอ็ด!J179"")"),0.0)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IFERROR(__xludf.DUMMYFUNCTION("IMPORTRANGE(""https://docs.google.com/spreadsheets/d/1XL5vhW3sbDhbH9Cz0tuDiY8C3ctxq1tqvaCgkFb8cCA/edit?usp=sharing"",""ร้อยเอ็ด!I180"")"),0.0)</f>
        <v>0</v>
      </c>
      <c r="J265" s="223">
        <f>IFERROR(__xludf.DUMMYFUNCTION("IMPORTRANGE(""https://docs.google.com/spreadsheets/d/1XL5vhW3sbDhbH9Cz0tuDiY8C3ctxq1tqvaCgkFb8cCA/edit?usp=sharing"",""ร้อยเอ็ด!J180"")"),0.0)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IFERROR(__xludf.DUMMYFUNCTION("IMPORTRANGE(""https://docs.google.com/spreadsheets/d/1XL5vhW3sbDhbH9Cz0tuDiY8C3ctxq1tqvaCgkFb8cCA/edit?usp=sharing"",""ร้อยเอ็ด!I181"")"),0.0)</f>
        <v>0</v>
      </c>
      <c r="J266" s="223">
        <f>IFERROR(__xludf.DUMMYFUNCTION("IMPORTRANGE(""https://docs.google.com/spreadsheets/d/1XL5vhW3sbDhbH9Cz0tuDiY8C3ctxq1tqvaCgkFb8cCA/edit?usp=sharing"",""ร้อยเอ็ด!J181"")"),0.0)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IFERROR(__xludf.DUMMYFUNCTION("IMPORTRANGE(""https://docs.google.com/spreadsheets/d/1XL5vhW3sbDhbH9Cz0tuDiY8C3ctxq1tqvaCgkFb8cCA/edit?usp=sharing"",""ร้อยเอ็ด!I182"")"),0.0)</f>
        <v>0</v>
      </c>
      <c r="J267" s="223">
        <f>IFERROR(__xludf.DUMMYFUNCTION("IMPORTRANGE(""https://docs.google.com/spreadsheets/d/1XL5vhW3sbDhbH9Cz0tuDiY8C3ctxq1tqvaCgkFb8cCA/edit?usp=sharing"",""ร้อยเอ็ด!J182"")"),0.0)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IFERROR(__xludf.DUMMYFUNCTION("IMPORTRANGE(""https://docs.google.com/spreadsheets/d/1XL5vhW3sbDhbH9Cz0tuDiY8C3ctxq1tqvaCgkFb8cCA/edit?usp=sharing"",""ร้อยเอ็ด!J183"")"),0.0)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IFERROR(__xludf.DUMMYFUNCTION("IMPORTRANGE(""https://docs.google.com/spreadsheets/d/1XL5vhW3sbDhbH9Cz0tuDiY8C3ctxq1tqvaCgkFb8cCA/edit?usp=sharing"",""ร้อยเอ็ด!J184"")"),0.0)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IFERROR(__xludf.DUMMYFUNCTION("IMPORTRANGE(""https://docs.google.com/spreadsheets/d/1XL5vhW3sbDhbH9Cz0tuDiY8C3ctxq1tqvaCgkFb8cCA/edit?usp=sharing"",""ร้อยเอ็ด!I185"")"),15.0)</f>
        <v>15</v>
      </c>
      <c r="J270" s="349">
        <f>IFERROR(__xludf.DUMMYFUNCTION("IMPORTRANGE(""https://docs.google.com/spreadsheets/d/1XL5vhW3sbDhbH9Cz0tuDiY8C3ctxq1tqvaCgkFb8cCA/edit?usp=sharing"",""ร้อยเอ็ด!J185"")"),15.0)</f>
        <v>15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30820</v>
      </c>
      <c r="O271" s="182">
        <f t="shared" ref="O271:O273" si="86">IF(L271&gt;0,N271*100/L271,0)</f>
        <v>55.83333333</v>
      </c>
      <c r="P271" s="182">
        <f t="shared" ref="P271:P273" si="87">IF(M271&gt;0,N271*100/M271,0)</f>
        <v>95.56589147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30820</v>
      </c>
      <c r="O273" s="187">
        <f t="shared" si="86"/>
        <v>55.83333333</v>
      </c>
      <c r="P273" s="187">
        <f t="shared" si="87"/>
        <v>95.56589147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IFERROR(__xludf.DUMMYFUNCTION("IMPORTRANGE(""https://docs.google.com/spreadsheets/d/1Yj_ptqi66GCucihVvJfMjLAmec39IyEx_6qawtMGysU/edit?usp=sharing"",""สบก!CK48"")"),32250.0)</f>
        <v>32250</v>
      </c>
      <c r="N275" s="202">
        <f>IFERROR(__xludf.DUMMYFUNCTION("IMPORTRANGE(""https://docs.google.com/spreadsheets/d/1Yj_ptqi66GCucihVvJfMjLAmec39IyEx_6qawtMGysU/edit?usp=sharing"",""สบก!CL48"")"),30820.0)</f>
        <v>30820</v>
      </c>
      <c r="O275" s="203">
        <f>IF(L275&gt;0,N275*100/L275,0)</f>
        <v>55.83333333</v>
      </c>
      <c r="P275" s="203">
        <f>IF(M275&gt;0,N275*100/M275,0)</f>
        <v>95.56589147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IFERROR(__xludf.DUMMYFUNCTION("IMPORTRANGE(""https://docs.google.com/spreadsheets/d/1Yj_ptqi66GCucihVvJfMjLAmec39IyEx_6qawtMGysU/edit?usp=sharing"",""สบก!CG48"")"),0.0)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IFERROR(__xludf.DUMMYFUNCTION("IMPORTRANGE(""https://docs.google.com/spreadsheets/d/1Yj_ptqi66GCucihVvJfMjLAmec39IyEx_6qawtMGysU/edit?usp=sharing"",""สบก!CH48"")"),55200.0)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IFERROR(__xludf.DUMMYFUNCTION("IMPORTRANGE(""https://docs.google.com/spreadsheets/d/1Yj_ptqi66GCucihVvJfMjLAmec39IyEx_6qawtMGysU/edit?usp=sharing"",""สบก!CI48"")"),0.0)</f>
        <v>0</v>
      </c>
      <c r="M279" s="125"/>
      <c r="N279" s="115">
        <f>IFERROR(__xludf.DUMMYFUNCTION("IMPORTRANGE(""https://docs.google.com/spreadsheets/d/1Yj_ptqi66GCucihVvJfMjLAmec39IyEx_6qawtMGysU/edit?usp=sharing"",""สบก!CM48"")"),0.0)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IFERROR(__xludf.DUMMYFUNCTION("IMPORTRANGE(""https://docs.google.com/spreadsheets/d/1XL5vhW3sbDhbH9Cz0tuDiY8C3ctxq1tqvaCgkFb8cCA/edit?usp=sharing"",""ร้อยเอ็ด!J191"")"),0.0)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IFERROR(__xludf.DUMMYFUNCTION("IMPORTRANGE(""https://docs.google.com/spreadsheets/d/1XL5vhW3sbDhbH9Cz0tuDiY8C3ctxq1tqvaCgkFb8cCA/edit?usp=sharing"",""ร้อยเอ็ด!J192"")"),1.0)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IFERROR(__xludf.DUMMYFUNCTION("IMPORTRANGE(""https://docs.google.com/spreadsheets/d/1XL5vhW3sbDhbH9Cz0tuDiY8C3ctxq1tqvaCgkFb8cCA/edit?usp=sharing"",""ร้อยเอ็ด!J193"")"),1.0)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IFERROR(__xludf.DUMMYFUNCTION("IMPORTRANGE(""https://docs.google.com/spreadsheets/d/1XL5vhW3sbDhbH9Cz0tuDiY8C3ctxq1tqvaCgkFb8cCA/edit?usp=sharing"",""ร้อยเอ็ด!J194"")"),1.0)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IFERROR(__xludf.DUMMYFUNCTION("IMPORTRANGE(""https://docs.google.com/spreadsheets/d/1XL5vhW3sbDhbH9Cz0tuDiY8C3ctxq1tqvaCgkFb8cCA/edit?usp=sharing"",""ร้อยเอ็ด!I195"")"),15.0)</f>
        <v>15</v>
      </c>
      <c r="J285" s="223">
        <f>IFERROR(__xludf.DUMMYFUNCTION("IMPORTRANGE(""https://docs.google.com/spreadsheets/d/1XL5vhW3sbDhbH9Cz0tuDiY8C3ctxq1tqvaCgkFb8cCA/edit?usp=sharing"",""ร้อยเอ็ด!J195"")"),15.0)</f>
        <v>15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IFERROR(__xludf.DUMMYFUNCTION("IMPORTRANGE(""https://docs.google.com/spreadsheets/d/1XL5vhW3sbDhbH9Cz0tuDiY8C3ctxq1tqvaCgkFb8cCA/edit?usp=sharing"",""ร้อยเอ็ด!J196"")"),0.0)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IFERROR(__xludf.DUMMYFUNCTION("IMPORTRANGE(""https://docs.google.com/spreadsheets/d/1XL5vhW3sbDhbH9Cz0tuDiY8C3ctxq1tqvaCgkFb8cCA/edit?usp=sharing"",""ร้อยเอ็ด!J197"")"),0.0)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IFERROR(__xludf.DUMMYFUNCTION("IMPORTRANGE(""https://docs.google.com/spreadsheets/d/1XL5vhW3sbDhbH9Cz0tuDiY8C3ctxq1tqvaCgkFb8cCA/edit?usp=sharing"",""ร้อยเอ็ด!I199"")"),0.0)</f>
        <v>0</v>
      </c>
      <c r="J289" s="349">
        <f>IFERROR(__xludf.DUMMYFUNCTION("IMPORTRANGE(""https://docs.google.com/spreadsheets/d/1XL5vhW3sbDhbH9Cz0tuDiY8C3ctxq1tqvaCgkFb8cCA/edit?usp=sharing"",""ร้อยเอ็ด!J199"")"),0.0)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IFERROR(__xludf.DUMMYFUNCTION("IMPORTRANGE(""https://docs.google.com/spreadsheets/d/1Yj_ptqi66GCucihVvJfMjLAmec39IyEx_6qawtMGysU/edit?usp=sharing"",""สบก!CT48"")"),0.0)</f>
        <v>0</v>
      </c>
      <c r="N294" s="202">
        <f>IFERROR(__xludf.DUMMYFUNCTION("IMPORTRANGE(""https://docs.google.com/spreadsheets/d/1Yj_ptqi66GCucihVvJfMjLAmec39IyEx_6qawtMGysU/edit?usp=sharing"",""สบก!CU48"")"),0.0)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IFERROR(__xludf.DUMMYFUNCTION("IMPORTRANGE(""https://docs.google.com/spreadsheets/d/1Yj_ptqi66GCucihVvJfMjLAmec39IyEx_6qawtMGysU/edit?usp=sharing"",""สบก!CP48"")"),0.0)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IFERROR(__xludf.DUMMYFUNCTION("IMPORTRANGE(""https://docs.google.com/spreadsheets/d/1Yj_ptqi66GCucihVvJfMjLAmec39IyEx_6qawtMGysU/edit?usp=sharing"",""สบก!CQ48"")"),0.0)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IFERROR(__xludf.DUMMYFUNCTION("IMPORTRANGE(""https://docs.google.com/spreadsheets/d/1Yj_ptqi66GCucihVvJfMjLAmec39IyEx_6qawtMGysU/edit?usp=sharing"",""สบก!CR48"")"),0.0)</f>
        <v>0</v>
      </c>
      <c r="M298" s="125"/>
      <c r="N298" s="115">
        <f>IFERROR(__xludf.DUMMYFUNCTION("IMPORTRANGE(""https://docs.google.com/spreadsheets/d/1Yj_ptqi66GCucihVvJfMjLAmec39IyEx_6qawtMGysU/edit?usp=sharing"",""สบก!CV48"")"),0.0)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IFERROR(__xludf.DUMMYFUNCTION("IMPORTRANGE(""https://docs.google.com/spreadsheets/d/1XL5vhW3sbDhbH9Cz0tuDiY8C3ctxq1tqvaCgkFb8cCA/edit?usp=sharing"",""ร้อยเอ็ด!J205"")"),0.0)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IFERROR(__xludf.DUMMYFUNCTION("IMPORTRANGE(""https://docs.google.com/spreadsheets/d/1XL5vhW3sbDhbH9Cz0tuDiY8C3ctxq1tqvaCgkFb8cCA/edit?usp=sharing"",""ร้อยเอ็ด!J206"")"),0.0)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IFERROR(__xludf.DUMMYFUNCTION("IMPORTRANGE(""https://docs.google.com/spreadsheets/d/1XL5vhW3sbDhbH9Cz0tuDiY8C3ctxq1tqvaCgkFb8cCA/edit?usp=sharing"",""ร้อยเอ็ด!J207"")"),0.0)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IFERROR(__xludf.DUMMYFUNCTION("IMPORTRANGE(""https://docs.google.com/spreadsheets/d/1XL5vhW3sbDhbH9Cz0tuDiY8C3ctxq1tqvaCgkFb8cCA/edit?usp=sharing"",""ร้อยเอ็ด!J208"")"),0.0)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IFERROR(__xludf.DUMMYFUNCTION("IMPORTRANGE(""https://docs.google.com/spreadsheets/d/1XL5vhW3sbDhbH9Cz0tuDiY8C3ctxq1tqvaCgkFb8cCA/edit?usp=sharing"",""ร้อยเอ็ด!I209"")"),0.0)</f>
        <v>0</v>
      </c>
      <c r="J304" s="238">
        <f>IFERROR(__xludf.DUMMYFUNCTION("IMPORTRANGE(""https://docs.google.com/spreadsheets/d/1XL5vhW3sbDhbH9Cz0tuDiY8C3ctxq1tqvaCgkFb8cCA/edit?usp=sharing"",""ร้อยเอ็ด!J209"")"),0.0)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IFERROR(__xludf.DUMMYFUNCTION("IMPORTRANGE(""https://docs.google.com/spreadsheets/d/1XL5vhW3sbDhbH9Cz0tuDiY8C3ctxq1tqvaCgkFb8cCA/edit?usp=sharing"",""ร้อยเอ็ด!I211"")"),0.0)</f>
        <v>0</v>
      </c>
      <c r="J306" s="238">
        <f>IFERROR(__xludf.DUMMYFUNCTION("IMPORTRANGE(""https://docs.google.com/spreadsheets/d/1XL5vhW3sbDhbH9Cz0tuDiY8C3ctxq1tqvaCgkFb8cCA/edit?usp=sharing"",""ร้อยเอ็ด!J211"")"),0.0)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IFERROR(__xludf.DUMMYFUNCTION("IMPORTRANGE(""https://docs.google.com/spreadsheets/d/1XL5vhW3sbDhbH9Cz0tuDiY8C3ctxq1tqvaCgkFb8cCA/edit?usp=sharing"",""ร้อยเอ็ด!J212"")"),0.0)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IFERROR(__xludf.DUMMYFUNCTION("IMPORTRANGE(""https://docs.google.com/spreadsheets/d/1XL5vhW3sbDhbH9Cz0tuDiY8C3ctxq1tqvaCgkFb8cCA/edit?usp=sharing"",""ร้อยเอ็ด!J213"")"),0.0)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IFERROR(__xludf.DUMMYFUNCTION("IMPORTRANGE(""https://docs.google.com/spreadsheets/d/1XL5vhW3sbDhbH9Cz0tuDiY8C3ctxq1tqvaCgkFb8cCA/edit?usp=sharing"",""ร้อยเอ็ด!I214"")"),0.0)</f>
        <v>0</v>
      </c>
      <c r="J309" s="366">
        <f>IFERROR(__xludf.DUMMYFUNCTION("IMPORTRANGE(""https://docs.google.com/spreadsheets/d/1XL5vhW3sbDhbH9Cz0tuDiY8C3ctxq1tqvaCgkFb8cCA/edit?usp=sharing"",""ร้อยเอ็ด!J214"")"),0.0)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IFERROR(__xludf.DUMMYFUNCTION("IMPORTRANGE(""https://docs.google.com/spreadsheets/d/1Yj_ptqi66GCucihVvJfMjLAmec39IyEx_6qawtMGysU/edit?usp=sharing"",""สบก!DC48"")"),0.0)</f>
        <v>0</v>
      </c>
      <c r="N314" s="202">
        <f>IFERROR(__xludf.DUMMYFUNCTION("IMPORTRANGE(""https://docs.google.com/spreadsheets/d/1Yj_ptqi66GCucihVvJfMjLAmec39IyEx_6qawtMGysU/edit?usp=sharing"",""สบก!DD48"")"),0.0)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IFERROR(__xludf.DUMMYFUNCTION("IMPORTRANGE(""https://docs.google.com/spreadsheets/d/1Yj_ptqi66GCucihVvJfMjLAmec39IyEx_6qawtMGysU/edit?usp=sharing"",""สบก!CY48"")"),0.0)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IFERROR(__xludf.DUMMYFUNCTION("IMPORTRANGE(""https://docs.google.com/spreadsheets/d/1Yj_ptqi66GCucihVvJfMjLAmec39IyEx_6qawtMGysU/edit?usp=sharing"",""สบก!CZ48"")"),0.0)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IFERROR(__xludf.DUMMYFUNCTION("IMPORTRANGE(""https://docs.google.com/spreadsheets/d/1Yj_ptqi66GCucihVvJfMjLAmec39IyEx_6qawtMGysU/edit?usp=sharing"",""สบก!DA48"")"),0.0)</f>
        <v>0</v>
      </c>
      <c r="M318" s="125"/>
      <c r="N318" s="115">
        <f>IFERROR(__xludf.DUMMYFUNCTION("IMPORTRANGE(""https://docs.google.com/spreadsheets/d/1Yj_ptqi66GCucihVvJfMjLAmec39IyEx_6qawtMGysU/edit?usp=sharing"",""สบก!DE48"")"),0.0)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IFERROR(__xludf.DUMMYFUNCTION("IMPORTRANGE(""https://docs.google.com/spreadsheets/d/1XL5vhW3sbDhbH9Cz0tuDiY8C3ctxq1tqvaCgkFb8cCA/edit?usp=sharing"",""ร้อยเอ็ด!J220"")"),0.0)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IFERROR(__xludf.DUMMYFUNCTION("IMPORTRANGE(""https://docs.google.com/spreadsheets/d/1XL5vhW3sbDhbH9Cz0tuDiY8C3ctxq1tqvaCgkFb8cCA/edit?usp=sharing"",""ร้อยเอ็ด!J221"")"),0.0)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IFERROR(__xludf.DUMMYFUNCTION("IMPORTRANGE(""https://docs.google.com/spreadsheets/d/1XL5vhW3sbDhbH9Cz0tuDiY8C3ctxq1tqvaCgkFb8cCA/edit?usp=sharing"",""ร้อยเอ็ด!J222"")"),0.0)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IFERROR(__xludf.DUMMYFUNCTION("IMPORTRANGE(""https://docs.google.com/spreadsheets/d/1XL5vhW3sbDhbH9Cz0tuDiY8C3ctxq1tqvaCgkFb8cCA/edit?usp=sharing"",""ร้อยเอ็ด!J223"")"),0.0)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IFERROR(__xludf.DUMMYFUNCTION("IMPORTRANGE(""https://docs.google.com/spreadsheets/d/1XL5vhW3sbDhbH9Cz0tuDiY8C3ctxq1tqvaCgkFb8cCA/edit?usp=sharing"",""ร้อยเอ็ด!I224"")"),0.0)</f>
        <v>0</v>
      </c>
      <c r="J324" s="238">
        <f>IFERROR(__xludf.DUMMYFUNCTION("IMPORTRANGE(""https://docs.google.com/spreadsheets/d/1XL5vhW3sbDhbH9Cz0tuDiY8C3ctxq1tqvaCgkFb8cCA/edit?usp=sharing"",""ร้อยเอ็ด!J224"")"),0.0)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IFERROR(__xludf.DUMMYFUNCTION("IMPORTRANGE(""https://docs.google.com/spreadsheets/d/1XL5vhW3sbDhbH9Cz0tuDiY8C3ctxq1tqvaCgkFb8cCA/edit?usp=sharing"",""ร้อยเอ็ด!J225"")"),0.0)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IFERROR(__xludf.DUMMYFUNCTION("IMPORTRANGE(""https://docs.google.com/spreadsheets/d/1XL5vhW3sbDhbH9Cz0tuDiY8C3ctxq1tqvaCgkFb8cCA/edit?usp=sharing"",""ร้อยเอ็ด!J226"")"),0.0)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IFERROR(__xludf.DUMMYFUNCTION("IMPORTRANGE(""https://docs.google.com/spreadsheets/d/1XL5vhW3sbDhbH9Cz0tuDiY8C3ctxq1tqvaCgkFb8cCA/edit?usp=sharing"",""ร้อยเอ็ด!I228"")"),490.0)</f>
        <v>490</v>
      </c>
      <c r="J328" s="372">
        <f>IFERROR(__xludf.DUMMYFUNCTION("IMPORTRANGE(""https://docs.google.com/spreadsheets/d/1XL5vhW3sbDhbH9Cz0tuDiY8C3ctxq1tqvaCgkFb8cCA/edit?usp=sharing"",""ร้อยเอ็ด!J228"")"),93.0)</f>
        <v>93</v>
      </c>
      <c r="K328" s="350">
        <f>IF(I328&gt;0,J328*100/I328,0)</f>
        <v>18.97959184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1148440</v>
      </c>
      <c r="M329" s="183">
        <f t="shared" si="99"/>
        <v>555430</v>
      </c>
      <c r="N329" s="183">
        <f t="shared" si="99"/>
        <v>504814</v>
      </c>
      <c r="O329" s="182">
        <f t="shared" ref="O329:O331" si="101">IF(L329&gt;0,N329*100/L329,0)</f>
        <v>43.95649751</v>
      </c>
      <c r="P329" s="182">
        <f t="shared" ref="P329:P331" si="102">IF(M329&gt;0,N329*100/M329,0)</f>
        <v>90.88706048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1148440</v>
      </c>
      <c r="M331" s="188">
        <f t="shared" si="103"/>
        <v>555430</v>
      </c>
      <c r="N331" s="188">
        <f t="shared" si="103"/>
        <v>504814</v>
      </c>
      <c r="O331" s="187">
        <f t="shared" si="101"/>
        <v>43.95649751</v>
      </c>
      <c r="P331" s="187">
        <f t="shared" si="102"/>
        <v>90.88706048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962440</v>
      </c>
      <c r="M333" s="201">
        <f>IFERROR(__xludf.DUMMYFUNCTION("IMPORTRANGE(""https://docs.google.com/spreadsheets/d/1Yj_ptqi66GCucihVvJfMjLAmec39IyEx_6qawtMGysU/edit?usp=sharing"",""สบก!DL48"")"),555430.0)</f>
        <v>555430</v>
      </c>
      <c r="N333" s="202">
        <f>IFERROR(__xludf.DUMMYFUNCTION("IMPORTRANGE(""https://docs.google.com/spreadsheets/d/1Yj_ptqi66GCucihVvJfMjLAmec39IyEx_6qawtMGysU/edit?usp=sharing"",""สบก!DM48"")"),320814.0)</f>
        <v>320814</v>
      </c>
      <c r="O333" s="203">
        <f>IF(L333&gt;0,N333*100/L333,0)</f>
        <v>33.3334026</v>
      </c>
      <c r="P333" s="203">
        <f>IF(M333&gt;0,N333*100/M333,0)</f>
        <v>57.75957366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IFERROR(__xludf.DUMMYFUNCTION("IMPORTRANGE(""https://docs.google.com/spreadsheets/d/1Yj_ptqi66GCucihVvJfMjLAmec39IyEx_6qawtMGysU/edit?usp=sharing"",""สบก!DH48"")"),194400.0)</f>
        <v>194400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IFERROR(__xludf.DUMMYFUNCTION("IMPORTRANGE(""https://docs.google.com/spreadsheets/d/1Yj_ptqi66GCucihVvJfMjLAmec39IyEx_6qawtMGysU/edit?usp=sharing"",""สบก!DI48"")"),768040.0)</f>
        <v>768040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IFERROR(__xludf.DUMMYFUNCTION("IMPORTRANGE(""https://docs.google.com/spreadsheets/d/1Yj_ptqi66GCucihVvJfMjLAmec39IyEx_6qawtMGysU/edit?usp=sharing"",""สบก!DJ48"")"),186000.0)</f>
        <v>186000</v>
      </c>
      <c r="M337" s="125"/>
      <c r="N337" s="115">
        <f>IFERROR(__xludf.DUMMYFUNCTION("IMPORTRANGE(""https://docs.google.com/spreadsheets/d/1Yj_ptqi66GCucihVvJfMjLAmec39IyEx_6qawtMGysU/edit?usp=sharing"",""สบก!DN48"")"),184000.0)</f>
        <v>184000</v>
      </c>
      <c r="O337" s="125">
        <f>IF(L337&gt;0,N337*100/L337,0)</f>
        <v>98.92473118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IFERROR(__xludf.DUMMYFUNCTION("IMPORTRANGE(""https://docs.google.com/spreadsheets/d/1XL5vhW3sbDhbH9Cz0tuDiY8C3ctxq1tqvaCgkFb8cCA/edit?usp=sharing"",""ร้อยเอ็ด!I234"")"),0.0)</f>
        <v>0</v>
      </c>
      <c r="J339" s="222">
        <f>IFERROR(__xludf.DUMMYFUNCTION("IMPORTRANGE(""https://docs.google.com/spreadsheets/d/1XL5vhW3sbDhbH9Cz0tuDiY8C3ctxq1tqvaCgkFb8cCA/edit?usp=sharing"",""ร้อยเอ็ด!J234"")"),177.0)</f>
        <v>177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IFERROR(__xludf.DUMMYFUNCTION("IMPORTRANGE(""https://docs.google.com/spreadsheets/d/1XL5vhW3sbDhbH9Cz0tuDiY8C3ctxq1tqvaCgkFb8cCA/edit?usp=sharing"",""ร้อยเอ็ด!I235"")"),4600.0)</f>
        <v>4600</v>
      </c>
      <c r="J340" s="222">
        <f>IFERROR(__xludf.DUMMYFUNCTION("IMPORTRANGE(""https://docs.google.com/spreadsheets/d/1XL5vhW3sbDhbH9Cz0tuDiY8C3ctxq1tqvaCgkFb8cCA/edit?usp=sharing"",""ร้อยเอ็ด!J235"")"),1553.23)</f>
        <v>1553.23</v>
      </c>
      <c r="K340" s="375">
        <f t="shared" si="104"/>
        <v>33.76586957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IFERROR(__xludf.DUMMYFUNCTION("IMPORTRANGE(""https://docs.google.com/spreadsheets/d/1XL5vhW3sbDhbH9Cz0tuDiY8C3ctxq1tqvaCgkFb8cCA/edit?usp=sharing"",""ร้อยเอ็ด!I236"")"),490.0)</f>
        <v>490</v>
      </c>
      <c r="J341" s="222">
        <f>IFERROR(__xludf.DUMMYFUNCTION("IMPORTRANGE(""https://docs.google.com/spreadsheets/d/1XL5vhW3sbDhbH9Cz0tuDiY8C3ctxq1tqvaCgkFb8cCA/edit?usp=sharing"",""ร้อยเอ็ด!J236"")"),316.0)</f>
        <v>316</v>
      </c>
      <c r="K341" s="375">
        <f t="shared" si="104"/>
        <v>64.48979592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IFERROR(__xludf.DUMMYFUNCTION("IMPORTRANGE(""https://docs.google.com/spreadsheets/d/1XL5vhW3sbDhbH9Cz0tuDiY8C3ctxq1tqvaCgkFb8cCA/edit?usp=sharing"",""ร้อยเอ็ด!I237"")"),0.0)</f>
        <v>0</v>
      </c>
      <c r="J342" s="222">
        <f>IFERROR(__xludf.DUMMYFUNCTION("IMPORTRANGE(""https://docs.google.com/spreadsheets/d/1XL5vhW3sbDhbH9Cz0tuDiY8C3ctxq1tqvaCgkFb8cCA/edit?usp=sharing"",""ร้อยเอ็ด!J237"")"),3252.3)</f>
        <v>3252.3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IFERROR(__xludf.DUMMYFUNCTION("IMPORTRANGE(""https://docs.google.com/spreadsheets/d/1XL5vhW3sbDhbH9Cz0tuDiY8C3ctxq1tqvaCgkFb8cCA/edit?usp=sharing"",""ร้อยเอ็ด!I238"")"),490.0)</f>
        <v>490</v>
      </c>
      <c r="J343" s="222">
        <f>IFERROR(__xludf.DUMMYFUNCTION("IMPORTRANGE(""https://docs.google.com/spreadsheets/d/1XL5vhW3sbDhbH9Cz0tuDiY8C3ctxq1tqvaCgkFb8cCA/edit?usp=sharing"",""ร้อยเอ็ด!J238"")"),0.0)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IFERROR(__xludf.DUMMYFUNCTION("IMPORTRANGE(""https://docs.google.com/spreadsheets/d/1XL5vhW3sbDhbH9Cz0tuDiY8C3ctxq1tqvaCgkFb8cCA/edit?usp=sharing"",""ร้อยเอ็ด!I239"")"),0.0)</f>
        <v>0</v>
      </c>
      <c r="J344" s="222">
        <f>IFERROR(__xludf.DUMMYFUNCTION("IMPORTRANGE(""https://docs.google.com/spreadsheets/d/1XL5vhW3sbDhbH9Cz0tuDiY8C3ctxq1tqvaCgkFb8cCA/edit?usp=sharing"",""ร้อยเอ็ด!J239"")"),0.0)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IFERROR(__xludf.DUMMYFUNCTION("IMPORTRANGE(""https://docs.google.com/spreadsheets/d/1XL5vhW3sbDhbH9Cz0tuDiY8C3ctxq1tqvaCgkFb8cCA/edit?usp=sharing"",""ร้อยเอ็ด!I240"")"),490.0)</f>
        <v>490</v>
      </c>
      <c r="J345" s="222">
        <f>IFERROR(__xludf.DUMMYFUNCTION("IMPORTRANGE(""https://docs.google.com/spreadsheets/d/1XL5vhW3sbDhbH9Cz0tuDiY8C3ctxq1tqvaCgkFb8cCA/edit?usp=sharing"",""ร้อยเอ็ด!J240"")"),93.0)</f>
        <v>93</v>
      </c>
      <c r="K345" s="375">
        <f t="shared" si="104"/>
        <v>18.97959184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IFERROR(__xludf.DUMMYFUNCTION("IMPORTRANGE(""https://docs.google.com/spreadsheets/d/1XL5vhW3sbDhbH9Cz0tuDiY8C3ctxq1tqvaCgkFb8cCA/edit?usp=sharing"",""ร้อยเอ็ด!I241"")"),0.0)</f>
        <v>0</v>
      </c>
      <c r="J346" s="222">
        <f>IFERROR(__xludf.DUMMYFUNCTION("IMPORTRANGE(""https://docs.google.com/spreadsheets/d/1XL5vhW3sbDhbH9Cz0tuDiY8C3ctxq1tqvaCgkFb8cCA/edit?usp=sharing"",""ร้อยเอ็ด!J241"")"),844.42)</f>
        <v>844.42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IFERROR(__xludf.DUMMYFUNCTION("IMPORTRANGE(""https://docs.google.com/spreadsheets/d/1XL5vhW3sbDhbH9Cz0tuDiY8C3ctxq1tqvaCgkFb8cCA/edit?usp=sharing"",""ร้อยเอ็ด!L242"")"),2881153.0)</f>
        <v>2881153</v>
      </c>
      <c r="M347" s="391"/>
      <c r="N347" s="391">
        <f>IFERROR(__xludf.DUMMYFUNCTION("IMPORTRANGE(""https://docs.google.com/spreadsheets/d/1XL5vhW3sbDhbH9Cz0tuDiY8C3ctxq1tqvaCgkFb8cCA/edit?usp=sharing"",""ร้อยเอ็ด!M242"")"),536744.69)</f>
        <v>536744.69</v>
      </c>
      <c r="O347" s="391">
        <f>+IF(L347&gt;0,N347*100/L347,0)</f>
        <v>18.62951013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IFERROR(__xludf.DUMMYFUNCTION("IMPORTRANGE(""https://docs.google.com/spreadsheets/d/1XL5vhW3sbDhbH9Cz0tuDiY8C3ctxq1tqvaCgkFb8cCA/edit?usp=sharing"",""ร้อยเอ็ด!I244"")"),403.0)</f>
        <v>403</v>
      </c>
      <c r="J349" s="404">
        <f>IFERROR(__xludf.DUMMYFUNCTION("IMPORTRANGE(""https://docs.google.com/spreadsheets/d/1XL5vhW3sbDhbH9Cz0tuDiY8C3ctxq1tqvaCgkFb8cCA/edit?usp=sharing"",""ร้อยเอ็ด!J244"")"),0.0)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IFERROR(__xludf.DUMMYFUNCTION("IMPORTRANGE(""https://docs.google.com/spreadsheets/d/1XL5vhW3sbDhbH9Cz0tuDiY8C3ctxq1tqvaCgkFb8cCA/edit?usp=sharing"",""ร้อยเอ็ด!L244"")"),644830.0)</f>
        <v>644830</v>
      </c>
      <c r="M349" s="406"/>
      <c r="N349" s="406">
        <f>IFERROR(__xludf.DUMMYFUNCTION("IMPORTRANGE(""https://docs.google.com/spreadsheets/d/1XL5vhW3sbDhbH9Cz0tuDiY8C3ctxq1tqvaCgkFb8cCA/edit?usp=sharing"",""ร้อยเอ็ด!M244"")"),99788.0)</f>
        <v>99788</v>
      </c>
      <c r="O349" s="406">
        <f>+IF(L349&gt;0,N349*100/L349,0)</f>
        <v>15.47508646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IFERROR(__xludf.DUMMYFUNCTION("IMPORTRANGE(""https://docs.google.com/spreadsheets/d/1XL5vhW3sbDhbH9Cz0tuDiY8C3ctxq1tqvaCgkFb8cCA/edit?usp=sharing"",""ร้อยเอ็ด!I245"")"),85.0)</f>
        <v>85</v>
      </c>
      <c r="J350" s="404">
        <f>IFERROR(__xludf.DUMMYFUNCTION("IMPORTRANGE(""https://docs.google.com/spreadsheets/d/1XL5vhW3sbDhbH9Cz0tuDiY8C3ctxq1tqvaCgkFb8cCA/edit?usp=sharing"",""ร้อยเอ็ด!J245"")"),0.0)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IFERROR(__xludf.DUMMYFUNCTION("IMPORTRANGE(""https://docs.google.com/spreadsheets/d/1XL5vhW3sbDhbH9Cz0tuDiY8C3ctxq1tqvaCgkFb8cCA/edit?usp=sharing"",""ร้อยเอ็ด!L246"")"),0.0)</f>
        <v>0</v>
      </c>
      <c r="M351" s="197"/>
      <c r="N351" s="197">
        <f>IFERROR(__xludf.DUMMYFUNCTION("IMPORTRANGE(""https://docs.google.com/spreadsheets/d/1XL5vhW3sbDhbH9Cz0tuDiY8C3ctxq1tqvaCgkFb8cCA/edit?usp=sharing"",""ร้อยเอ็ด!M246"")"),0.0)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IFERROR(__xludf.DUMMYFUNCTION("IMPORTRANGE(""https://docs.google.com/spreadsheets/d/1XL5vhW3sbDhbH9Cz0tuDiY8C3ctxq1tqvaCgkFb8cCA/edit?usp=sharing"",""ร้อยเอ็ด!L247"")"),644830.0)</f>
        <v>644830</v>
      </c>
      <c r="M352" s="198"/>
      <c r="N352" s="197">
        <f>IFERROR(__xludf.DUMMYFUNCTION("IMPORTRANGE(""https://docs.google.com/spreadsheets/d/1XL5vhW3sbDhbH9Cz0tuDiY8C3ctxq1tqvaCgkFb8cCA/edit?usp=sharing"",""ร้อยเอ็ด!M247"")"),99788.0)</f>
        <v>99788</v>
      </c>
      <c r="O352" s="198">
        <f t="shared" si="106"/>
        <v>15.47508646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IFERROR(__xludf.DUMMYFUNCTION("IMPORTRANGE(""https://docs.google.com/spreadsheets/d/1XL5vhW3sbDhbH9Cz0tuDiY8C3ctxq1tqvaCgkFb8cCA/edit?usp=sharing"",""ร้อยเอ็ด!L248"")"),0.0)</f>
        <v>0</v>
      </c>
      <c r="M353" s="203"/>
      <c r="N353" s="203">
        <f>IFERROR(__xludf.DUMMYFUNCTION("IMPORTRANGE(""https://docs.google.com/spreadsheets/d/1XL5vhW3sbDhbH9Cz0tuDiY8C3ctxq1tqvaCgkFb8cCA/edit?usp=sharing"",""ร้อยเอ็ด!M248"")"),0.0)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IFERROR(__xludf.DUMMYFUNCTION("IMPORTRANGE(""https://docs.google.com/spreadsheets/d/1XL5vhW3sbDhbH9Cz0tuDiY8C3ctxq1tqvaCgkFb8cCA/edit?usp=sharing"",""ร้อยเอ็ด!L249"")"),644830.0)</f>
        <v>644830</v>
      </c>
      <c r="M354" s="203"/>
      <c r="N354" s="200">
        <f>IFERROR(__xludf.DUMMYFUNCTION("IMPORTRANGE(""https://docs.google.com/spreadsheets/d/1XL5vhW3sbDhbH9Cz0tuDiY8C3ctxq1tqvaCgkFb8cCA/edit?usp=sharing"",""ร้อยเอ็ด!M249"")"),99788.0)</f>
        <v>99788</v>
      </c>
      <c r="O354" s="203">
        <f t="shared" si="106"/>
        <v>15.47508646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IFERROR(__xludf.DUMMYFUNCTION("IMPORTRANGE(""https://docs.google.com/spreadsheets/d/1XL5vhW3sbDhbH9Cz0tuDiY8C3ctxq1tqvaCgkFb8cCA/edit?usp=sharing"",""ร้อยเอ็ด!M250"")"),55788.0)</f>
        <v>55788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IFERROR(__xludf.DUMMYFUNCTION("IMPORTRANGE(""https://docs.google.com/spreadsheets/d/1XL5vhW3sbDhbH9Cz0tuDiY8C3ctxq1tqvaCgkFb8cCA/edit?usp=sharing"",""ร้อยเอ็ด!M251"")"),0.0)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IFERROR(__xludf.DUMMYFUNCTION("IMPORTRANGE(""https://docs.google.com/spreadsheets/d/1XL5vhW3sbDhbH9Cz0tuDiY8C3ctxq1tqvaCgkFb8cCA/edit?usp=sharing"",""ร้อยเอ็ด!M252"")"),44000.0)</f>
        <v>44000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IFERROR(__xludf.DUMMYFUNCTION("IMPORTRANGE(""https://docs.google.com/spreadsheets/d/1XL5vhW3sbDhbH9Cz0tuDiY8C3ctxq1tqvaCgkFb8cCA/edit?usp=sharing"",""ร้อยเอ็ด!M253"")"),0.0)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IFERROR(__xludf.DUMMYFUNCTION("IMPORTRANGE(""https://docs.google.com/spreadsheets/d/1XL5vhW3sbDhbH9Cz0tuDiY8C3ctxq1tqvaCgkFb8cCA/edit?usp=sharing"",""ร้อยเอ็ด!J255"")"),0.0)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IFERROR(__xludf.DUMMYFUNCTION("IMPORTRANGE(""https://docs.google.com/spreadsheets/d/1XL5vhW3sbDhbH9Cz0tuDiY8C3ctxq1tqvaCgkFb8cCA/edit?usp=sharing"",""ร้อยเอ็ด!J256"")"),1.0)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IFERROR(__xludf.DUMMYFUNCTION("IMPORTRANGE(""https://docs.google.com/spreadsheets/d/1XL5vhW3sbDhbH9Cz0tuDiY8C3ctxq1tqvaCgkFb8cCA/edit?usp=sharing"",""ร้อยเอ็ด!J257"")"),1.0)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IFERROR(__xludf.DUMMYFUNCTION("IMPORTRANGE(""https://docs.google.com/spreadsheets/d/1XL5vhW3sbDhbH9Cz0tuDiY8C3ctxq1tqvaCgkFb8cCA/edit?usp=sharing"",""ร้อยเอ็ด!J258"")"),1.0)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IFERROR(__xludf.DUMMYFUNCTION("IMPORTRANGE(""https://docs.google.com/spreadsheets/d/1XL5vhW3sbDhbH9Cz0tuDiY8C3ctxq1tqvaCgkFb8cCA/edit?usp=sharing"",""ร้อยเอ็ด!J166"")"),0.0)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IFERROR(__xludf.DUMMYFUNCTION("IMPORTRANGE(""https://docs.google.com/spreadsheets/d/1XL5vhW3sbDhbH9Cz0tuDiY8C3ctxq1tqvaCgkFb8cCA/edit?usp=sharing"",""ร้อยเอ็ด!J166"")"),0.0)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IFERROR(__xludf.DUMMYFUNCTION("IMPORTRANGE(""https://docs.google.com/spreadsheets/d/1XL5vhW3sbDhbH9Cz0tuDiY8C3ctxq1tqvaCgkFb8cCA/edit?usp=sharing"",""ร้อยเอ็ด!J166"")"),0.0)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IFERROR(__xludf.DUMMYFUNCTION("IMPORTRANGE(""https://docs.google.com/spreadsheets/d/1XL5vhW3sbDhbH9Cz0tuDiY8C3ctxq1tqvaCgkFb8cCA/edit?usp=sharing"",""ร้อยเอ็ด!J166"")"),0.0)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IFERROR(__xludf.DUMMYFUNCTION("IMPORTRANGE(""https://docs.google.com/spreadsheets/d/1XL5vhW3sbDhbH9Cz0tuDiY8C3ctxq1tqvaCgkFb8cCA/edit?usp=sharing"",""ร้อยเอ็ด!I263"")"),85.0)</f>
        <v>85</v>
      </c>
      <c r="J368" s="222">
        <f>IFERROR(__xludf.DUMMYFUNCTION("IMPORTRANGE(""https://docs.google.com/spreadsheets/d/1XL5vhW3sbDhbH9Cz0tuDiY8C3ctxq1tqvaCgkFb8cCA/edit?usp=sharing"",""ร้อยเอ็ด!J263"")"),0.0)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IFERROR(__xludf.DUMMYFUNCTION("IMPORTRANGE(""https://docs.google.com/spreadsheets/d/1XL5vhW3sbDhbH9Cz0tuDiY8C3ctxq1tqvaCgkFb8cCA/edit?usp=sharing"",""ร้อยเอ็ด!I164"")"),0.0)</f>
        <v>0</v>
      </c>
      <c r="J369" s="238">
        <f>IFERROR(__xludf.DUMMYFUNCTION("IMPORTRANGE(""https://docs.google.com/spreadsheets/d/1XL5vhW3sbDhbH9Cz0tuDiY8C3ctxq1tqvaCgkFb8cCA/edit?usp=sharing"",""ร้อยเอ็ด!J164"")"),0.0)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IFERROR(__xludf.DUMMYFUNCTION("IMPORTRANGE(""https://docs.google.com/spreadsheets/d/1XL5vhW3sbDhbH9Cz0tuDiY8C3ctxq1tqvaCgkFb8cCA/edit?usp=sharing"",""ร้อยเอ็ด!I265"")"),85.0)</f>
        <v>85</v>
      </c>
      <c r="J370" s="238">
        <f>IFERROR(__xludf.DUMMYFUNCTION("IMPORTRANGE(""https://docs.google.com/spreadsheets/d/1XL5vhW3sbDhbH9Cz0tuDiY8C3ctxq1tqvaCgkFb8cCA/edit?usp=sharing"",""ร้อยเอ็ด!J265"")"),0.0)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IFERROR(__xludf.DUMMYFUNCTION("IMPORTRANGE(""https://docs.google.com/spreadsheets/d/1XL5vhW3sbDhbH9Cz0tuDiY8C3ctxq1tqvaCgkFb8cCA/edit?usp=sharing"",""ร้อยเอ็ด!I164"")"),0.0)</f>
        <v>0</v>
      </c>
      <c r="J371" s="223">
        <f>IFERROR(__xludf.DUMMYFUNCTION("IMPORTRANGE(""https://docs.google.com/spreadsheets/d/1XL5vhW3sbDhbH9Cz0tuDiY8C3ctxq1tqvaCgkFb8cCA/edit?usp=sharing"",""ร้อยเอ็ด!J164"")"),0.0)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IFERROR(__xludf.DUMMYFUNCTION("IMPORTRANGE(""https://docs.google.com/spreadsheets/d/1XL5vhW3sbDhbH9Cz0tuDiY8C3ctxq1tqvaCgkFb8cCA/edit?usp=sharing"",""ร้อยเอ็ด!I267"")"),85.0)</f>
        <v>85</v>
      </c>
      <c r="J372" s="223">
        <f>IFERROR(__xludf.DUMMYFUNCTION("IMPORTRANGE(""https://docs.google.com/spreadsheets/d/1XL5vhW3sbDhbH9Cz0tuDiY8C3ctxq1tqvaCgkFb8cCA/edit?usp=sharing"",""ร้อยเอ็ด!J267"")"),0.0)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IFERROR(__xludf.DUMMYFUNCTION("IMPORTRANGE(""https://docs.google.com/spreadsheets/d/1XL5vhW3sbDhbH9Cz0tuDiY8C3ctxq1tqvaCgkFb8cCA/edit?usp=sharing"",""ร้อยเอ็ด!I164"")"),0.0)</f>
        <v>0</v>
      </c>
      <c r="J373" s="238">
        <f>IFERROR(__xludf.DUMMYFUNCTION("IMPORTRANGE(""https://docs.google.com/spreadsheets/d/1XL5vhW3sbDhbH9Cz0tuDiY8C3ctxq1tqvaCgkFb8cCA/edit?usp=sharing"",""ร้อยเอ็ด!J164"")"),0.0)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IFERROR(__xludf.DUMMYFUNCTION("IMPORTRANGE(""https://docs.google.com/spreadsheets/d/1XL5vhW3sbDhbH9Cz0tuDiY8C3ctxq1tqvaCgkFb8cCA/edit?usp=sharing"",""ร้อยเอ็ด!I164"")"),0.0)</f>
        <v>0</v>
      </c>
      <c r="J374" s="222">
        <f>IFERROR(__xludf.DUMMYFUNCTION("IMPORTRANGE(""https://docs.google.com/spreadsheets/d/1XL5vhW3sbDhbH9Cz0tuDiY8C3ctxq1tqvaCgkFb8cCA/edit?usp=sharing"",""ร้อยเอ็ด!J164"")"),0.0)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IFERROR(__xludf.DUMMYFUNCTION("IMPORTRANGE(""https://docs.google.com/spreadsheets/d/1XL5vhW3sbDhbH9Cz0tuDiY8C3ctxq1tqvaCgkFb8cCA/edit?usp=sharing"",""ร้อยเอ็ด!I270"")"),403.0)</f>
        <v>403</v>
      </c>
      <c r="J375" s="222">
        <f>IFERROR(__xludf.DUMMYFUNCTION("IMPORTRANGE(""https://docs.google.com/spreadsheets/d/1XL5vhW3sbDhbH9Cz0tuDiY8C3ctxq1tqvaCgkFb8cCA/edit?usp=sharing"",""ร้อยเอ็ด!J270"")"),0.0)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IFERROR(__xludf.DUMMYFUNCTION("IMPORTRANGE(""https://docs.google.com/spreadsheets/d/1XL5vhW3sbDhbH9Cz0tuDiY8C3ctxq1tqvaCgkFb8cCA/edit?usp=sharing"",""ร้อยเอ็ด!I271"")"),180.0)</f>
        <v>180</v>
      </c>
      <c r="J376" s="223">
        <f>IFERROR(__xludf.DUMMYFUNCTION("IMPORTRANGE(""https://docs.google.com/spreadsheets/d/1XL5vhW3sbDhbH9Cz0tuDiY8C3ctxq1tqvaCgkFb8cCA/edit?usp=sharing"",""ร้อยเอ็ด!J271"")"),0.0)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IFERROR(__xludf.DUMMYFUNCTION("IMPORTRANGE(""https://docs.google.com/spreadsheets/d/1XL5vhW3sbDhbH9Cz0tuDiY8C3ctxq1tqvaCgkFb8cCA/edit?usp=sharing"",""ร้อยเอ็ด!I272"")"),223.0)</f>
        <v>223</v>
      </c>
      <c r="J377" s="238">
        <f>IFERROR(__xludf.DUMMYFUNCTION("IMPORTRANGE(""https://docs.google.com/spreadsheets/d/1XL5vhW3sbDhbH9Cz0tuDiY8C3ctxq1tqvaCgkFb8cCA/edit?usp=sharing"",""ร้อยเอ็ด!J272"")"),0.0)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IFERROR(__xludf.DUMMYFUNCTION("IMPORTRANGE(""https://docs.google.com/spreadsheets/d/1XL5vhW3sbDhbH9Cz0tuDiY8C3ctxq1tqvaCgkFb8cCA/edit?usp=sharing"",""ร้อยเอ็ด!J273"")"),0.0)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IFERROR(__xludf.DUMMYFUNCTION("IMPORTRANGE(""https://docs.google.com/spreadsheets/d/1XL5vhW3sbDhbH9Cz0tuDiY8C3ctxq1tqvaCgkFb8cCA/edit?usp=sharing"",""ร้อยเอ็ด!J274"")"),0.0)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IFERROR(__xludf.DUMMYFUNCTION("IMPORTRANGE(""https://docs.google.com/spreadsheets/d/1XL5vhW3sbDhbH9Cz0tuDiY8C3ctxq1tqvaCgkFb8cCA/edit?usp=sharing"",""ร้อยเอ็ด!I275"")"),1000.0)</f>
        <v>1000</v>
      </c>
      <c r="J380" s="404">
        <f>IFERROR(__xludf.DUMMYFUNCTION("IMPORTRANGE(""https://docs.google.com/spreadsheets/d/1XL5vhW3sbDhbH9Cz0tuDiY8C3ctxq1tqvaCgkFb8cCA/edit?usp=sharing"",""ร้อยเอ็ด!J275"")"),0.0)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IFERROR(__xludf.DUMMYFUNCTION("IMPORTRANGE(""https://docs.google.com/spreadsheets/d/1XL5vhW3sbDhbH9Cz0tuDiY8C3ctxq1tqvaCgkFb8cCA/edit?usp=sharing"",""ร้อยเอ็ด!L275"")"),1028520.0)</f>
        <v>1028520</v>
      </c>
      <c r="M380" s="406"/>
      <c r="N380" s="406">
        <f>IFERROR(__xludf.DUMMYFUNCTION("IMPORTRANGE(""https://docs.google.com/spreadsheets/d/1XL5vhW3sbDhbH9Cz0tuDiY8C3ctxq1tqvaCgkFb8cCA/edit?usp=sharing"",""ร้อยเอ็ด!M275"")"),200003.8)</f>
        <v>200003.8</v>
      </c>
      <c r="O380" s="406">
        <f>+IF(L380&gt;0,N380*100/L380,0)</f>
        <v>19.44578618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IFERROR(__xludf.DUMMYFUNCTION("IMPORTRANGE(""https://docs.google.com/spreadsheets/d/1XL5vhW3sbDhbH9Cz0tuDiY8C3ctxq1tqvaCgkFb8cCA/edit?usp=sharing"",""ร้อยเอ็ด!I276"")"),100.0)</f>
        <v>100</v>
      </c>
      <c r="J381" s="404">
        <f>IFERROR(__xludf.DUMMYFUNCTION("IMPORTRANGE(""https://docs.google.com/spreadsheets/d/1XL5vhW3sbDhbH9Cz0tuDiY8C3ctxq1tqvaCgkFb8cCA/edit?usp=sharing"",""ร้อยเอ็ด!J276"")"),0.0)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IFERROR(__xludf.DUMMYFUNCTION("IMPORTRANGE(""https://docs.google.com/spreadsheets/d/1XL5vhW3sbDhbH9Cz0tuDiY8C3ctxq1tqvaCgkFb8cCA/edit?usp=sharing"",""ร้อยเอ็ด!L277"")"),0.0)</f>
        <v>0</v>
      </c>
      <c r="M382" s="197"/>
      <c r="N382" s="197">
        <f>IFERROR(__xludf.DUMMYFUNCTION("IMPORTRANGE(""https://docs.google.com/spreadsheets/d/1XL5vhW3sbDhbH9Cz0tuDiY8C3ctxq1tqvaCgkFb8cCA/edit?usp=sharing"",""ร้อยเอ็ด!M277"")"),0.0)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IFERROR(__xludf.DUMMYFUNCTION("IMPORTRANGE(""https://docs.google.com/spreadsheets/d/1XL5vhW3sbDhbH9Cz0tuDiY8C3ctxq1tqvaCgkFb8cCA/edit?usp=sharing"",""ร้อยเอ็ด!L278"")"),1028520.0)</f>
        <v>1028520</v>
      </c>
      <c r="M383" s="198"/>
      <c r="N383" s="198">
        <f>IFERROR(__xludf.DUMMYFUNCTION("IMPORTRANGE(""https://docs.google.com/spreadsheets/d/1XL5vhW3sbDhbH9Cz0tuDiY8C3ctxq1tqvaCgkFb8cCA/edit?usp=sharing"",""ร้อยเอ็ด!M278"")"),200003.8)</f>
        <v>200003.8</v>
      </c>
      <c r="O383" s="198">
        <f t="shared" si="110"/>
        <v>19.44578618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IFERROR(__xludf.DUMMYFUNCTION("IMPORTRANGE(""https://docs.google.com/spreadsheets/d/1XL5vhW3sbDhbH9Cz0tuDiY8C3ctxq1tqvaCgkFb8cCA/edit?usp=sharing"",""ร้อยเอ็ด!L279"")"),0.0)</f>
        <v>0</v>
      </c>
      <c r="M384" s="203"/>
      <c r="N384" s="203">
        <f>IFERROR(__xludf.DUMMYFUNCTION("IMPORTRANGE(""https://docs.google.com/spreadsheets/d/1XL5vhW3sbDhbH9Cz0tuDiY8C3ctxq1tqvaCgkFb8cCA/edit?usp=sharing"",""ร้อยเอ็ด!M279"")"),0.0)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IFERROR(__xludf.DUMMYFUNCTION("IMPORTRANGE(""https://docs.google.com/spreadsheets/d/1XL5vhW3sbDhbH9Cz0tuDiY8C3ctxq1tqvaCgkFb8cCA/edit?usp=sharing"",""ร้อยเอ็ด!L280"")"),1028520.0)</f>
        <v>1028520</v>
      </c>
      <c r="M385" s="203"/>
      <c r="N385" s="200">
        <f>IFERROR(__xludf.DUMMYFUNCTION("IMPORTRANGE(""https://docs.google.com/spreadsheets/d/1XL5vhW3sbDhbH9Cz0tuDiY8C3ctxq1tqvaCgkFb8cCA/edit?usp=sharing"",""ร้อยเอ็ด!M280"")"),200003.8)</f>
        <v>200003.8</v>
      </c>
      <c r="O385" s="203">
        <f t="shared" si="110"/>
        <v>19.44578618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IFERROR(__xludf.DUMMYFUNCTION("IMPORTRANGE(""https://docs.google.com/spreadsheets/d/1XL5vhW3sbDhbH9Cz0tuDiY8C3ctxq1tqvaCgkFb8cCA/edit?usp=sharing"",""ร้อยเอ็ด!M281"")"),162140.0)</f>
        <v>162140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IFERROR(__xludf.DUMMYFUNCTION("IMPORTRANGE(""https://docs.google.com/spreadsheets/d/1XL5vhW3sbDhbH9Cz0tuDiY8C3ctxq1tqvaCgkFb8cCA/edit?usp=sharing"",""ร้อยเอ็ด!M282"")"),0.0)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IFERROR(__xludf.DUMMYFUNCTION("IMPORTRANGE(""https://docs.google.com/spreadsheets/d/1XL5vhW3sbDhbH9Cz0tuDiY8C3ctxq1tqvaCgkFb8cCA/edit?usp=sharing"",""ร้อยเอ็ด!M283"")"),29096.8)</f>
        <v>29096.8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IFERROR(__xludf.DUMMYFUNCTION("IMPORTRANGE(""https://docs.google.com/spreadsheets/d/1XL5vhW3sbDhbH9Cz0tuDiY8C3ctxq1tqvaCgkFb8cCA/edit?usp=sharing"",""ร้อยเอ็ด!M284"")"),8767.0)</f>
        <v>8767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IFERROR(__xludf.DUMMYFUNCTION("IMPORTRANGE(""https://docs.google.com/spreadsheets/d/1XL5vhW3sbDhbH9Cz0tuDiY8C3ctxq1tqvaCgkFb8cCA/edit?usp=sharing"",""ร้อยเอ็ด!J286"")"),0.0)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IFERROR(__xludf.DUMMYFUNCTION("IMPORTRANGE(""https://docs.google.com/spreadsheets/d/1XL5vhW3sbDhbH9Cz0tuDiY8C3ctxq1tqvaCgkFb8cCA/edit?usp=sharing"",""ร้อยเอ็ด!J287"")"),1.0)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IFERROR(__xludf.DUMMYFUNCTION("IMPORTRANGE(""https://docs.google.com/spreadsheets/d/1XL5vhW3sbDhbH9Cz0tuDiY8C3ctxq1tqvaCgkFb8cCA/edit?usp=sharing"",""ร้อยเอ็ด!J288"")"),1.0)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IFERROR(__xludf.DUMMYFUNCTION("IMPORTRANGE(""https://docs.google.com/spreadsheets/d/1XL5vhW3sbDhbH9Cz0tuDiY8C3ctxq1tqvaCgkFb8cCA/edit?usp=sharing"",""ร้อยเอ็ด!J289"")"),1.0)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IFERROR(__xludf.DUMMYFUNCTION("IMPORTRANGE(""https://docs.google.com/spreadsheets/d/1XL5vhW3sbDhbH9Cz0tuDiY8C3ctxq1tqvaCgkFb8cCA/edit?usp=sharing"",""ร้อยเอ็ด!I291"")"),100.0)</f>
        <v>100</v>
      </c>
      <c r="J396" s="232">
        <f>IFERROR(__xludf.DUMMYFUNCTION("IMPORTRANGE(""https://docs.google.com/spreadsheets/d/1XL5vhW3sbDhbH9Cz0tuDiY8C3ctxq1tqvaCgkFb8cCA/edit?usp=sharing"",""ร้อยเอ็ด!J291"")"),0.0)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IFERROR(__xludf.DUMMYFUNCTION("IMPORTRANGE(""https://docs.google.com/spreadsheets/d/1XL5vhW3sbDhbH9Cz0tuDiY8C3ctxq1tqvaCgkFb8cCA/edit?usp=sharing"",""ร้อยเอ็ด!I292"")"),1000.0)</f>
        <v>1000</v>
      </c>
      <c r="J397" s="232">
        <f>IFERROR(__xludf.DUMMYFUNCTION("IMPORTRANGE(""https://docs.google.com/spreadsheets/d/1XL5vhW3sbDhbH9Cz0tuDiY8C3ctxq1tqvaCgkFb8cCA/edit?usp=sharing"",""ร้อยเอ็ด!J292"")"),0.0)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IFERROR(__xludf.DUMMYFUNCTION("IMPORTRANGE(""https://docs.google.com/spreadsheets/d/1XL5vhW3sbDhbH9Cz0tuDiY8C3ctxq1tqvaCgkFb8cCA/edit?usp=sharing"",""ร้อยเอ็ด!I293"")"),100.0)</f>
        <v>100</v>
      </c>
      <c r="J398" s="232">
        <f>IFERROR(__xludf.DUMMYFUNCTION("IMPORTRANGE(""https://docs.google.com/spreadsheets/d/1XL5vhW3sbDhbH9Cz0tuDiY8C3ctxq1tqvaCgkFb8cCA/edit?usp=sharing"",""ร้อยเอ็ด!J293"")"),0.0)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IFERROR(__xludf.DUMMYFUNCTION("IMPORTRANGE(""https://docs.google.com/spreadsheets/d/1XL5vhW3sbDhbH9Cz0tuDiY8C3ctxq1tqvaCgkFb8cCA/edit?usp=sharing"",""ร้อยเอ็ด!J294"")"),0.0)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IFERROR(__xludf.DUMMYFUNCTION("IMPORTRANGE(""https://docs.google.com/spreadsheets/d/1XL5vhW3sbDhbH9Cz0tuDiY8C3ctxq1tqvaCgkFb8cCA/edit?usp=sharing"",""ร้อยเอ็ด!J295"")"),0.0)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IFERROR(__xludf.DUMMYFUNCTION("IMPORTRANGE(""https://docs.google.com/spreadsheets/d/1XL5vhW3sbDhbH9Cz0tuDiY8C3ctxq1tqvaCgkFb8cCA/edit?usp=sharing"",""ร้อยเอ็ด!I296"")"),150.0)</f>
        <v>150</v>
      </c>
      <c r="J401" s="404">
        <f>IFERROR(__xludf.DUMMYFUNCTION("IMPORTRANGE(""https://docs.google.com/spreadsheets/d/1XL5vhW3sbDhbH9Cz0tuDiY8C3ctxq1tqvaCgkFb8cCA/edit?usp=sharing"",""ร้อยเอ็ด!J296"")"),0.0)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IFERROR(__xludf.DUMMYFUNCTION("IMPORTRANGE(""https://docs.google.com/spreadsheets/d/1XL5vhW3sbDhbH9Cz0tuDiY8C3ctxq1tqvaCgkFb8cCA/edit?usp=sharing"",""ร้อยเอ็ด!L296"")"),175650.0)</f>
        <v>175650</v>
      </c>
      <c r="M401" s="406"/>
      <c r="N401" s="406">
        <f>IFERROR(__xludf.DUMMYFUNCTION("IMPORTRANGE(""https://docs.google.com/spreadsheets/d/1XL5vhW3sbDhbH9Cz0tuDiY8C3ctxq1tqvaCgkFb8cCA/edit?usp=sharing"",""ร้อยเอ็ด!M296"")"),131669.0)</f>
        <v>131669</v>
      </c>
      <c r="O401" s="406">
        <f>+IF(L401&gt;0,N401*100/L401,0)</f>
        <v>74.96100199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IFERROR(__xludf.DUMMYFUNCTION("IMPORTRANGE(""https://docs.google.com/spreadsheets/d/1XL5vhW3sbDhbH9Cz0tuDiY8C3ctxq1tqvaCgkFb8cCA/edit?usp=sharing"",""ร้อยเอ็ด!I297"")"),50.0)</f>
        <v>50</v>
      </c>
      <c r="J402" s="404">
        <f>IFERROR(__xludf.DUMMYFUNCTION("IMPORTRANGE(""https://docs.google.com/spreadsheets/d/1XL5vhW3sbDhbH9Cz0tuDiY8C3ctxq1tqvaCgkFb8cCA/edit?usp=sharing"",""ร้อยเอ็ด!J297"")"),0.0)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IFERROR(__xludf.DUMMYFUNCTION("IMPORTRANGE(""https://docs.google.com/spreadsheets/d/1XL5vhW3sbDhbH9Cz0tuDiY8C3ctxq1tqvaCgkFb8cCA/edit?usp=sharing"",""ร้อยเอ็ด!L298"")"),0.0)</f>
        <v>0</v>
      </c>
      <c r="M403" s="197"/>
      <c r="N403" s="203">
        <f>IFERROR(__xludf.DUMMYFUNCTION("IMPORTRANGE(""https://docs.google.com/spreadsheets/d/1XL5vhW3sbDhbH9Cz0tuDiY8C3ctxq1tqvaCgkFb8cCA/edit?usp=sharing"",""ร้อยเอ็ด!M298"")"),0.0)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IFERROR(__xludf.DUMMYFUNCTION("IMPORTRANGE(""https://docs.google.com/spreadsheets/d/1XL5vhW3sbDhbH9Cz0tuDiY8C3ctxq1tqvaCgkFb8cCA/edit?usp=sharing"",""ร้อยเอ็ด!L299"")"),175650.0)</f>
        <v>175650</v>
      </c>
      <c r="M404" s="198"/>
      <c r="N404" s="203">
        <f>IFERROR(__xludf.DUMMYFUNCTION("IMPORTRANGE(""https://docs.google.com/spreadsheets/d/1XL5vhW3sbDhbH9Cz0tuDiY8C3ctxq1tqvaCgkFb8cCA/edit?usp=sharing"",""ร้อยเอ็ด!M299"")"),131669.0)</f>
        <v>131669</v>
      </c>
      <c r="O404" s="203">
        <f t="shared" si="113"/>
        <v>74.96100199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IFERROR(__xludf.DUMMYFUNCTION("IMPORTRANGE(""https://docs.google.com/spreadsheets/d/1XL5vhW3sbDhbH9Cz0tuDiY8C3ctxq1tqvaCgkFb8cCA/edit?usp=sharing"",""ร้อยเอ็ด!L300"")"),0.0)</f>
        <v>0</v>
      </c>
      <c r="M405" s="203"/>
      <c r="N405" s="203">
        <f>IFERROR(__xludf.DUMMYFUNCTION("IMPORTRANGE(""https://docs.google.com/spreadsheets/d/1XL5vhW3sbDhbH9Cz0tuDiY8C3ctxq1tqvaCgkFb8cCA/edit?usp=sharing"",""ร้อยเอ็ด!M300"")"),0.0)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IFERROR(__xludf.DUMMYFUNCTION("IMPORTRANGE(""https://docs.google.com/spreadsheets/d/1XL5vhW3sbDhbH9Cz0tuDiY8C3ctxq1tqvaCgkFb8cCA/edit?usp=sharing"",""ร้อยเอ็ด!L301"")"),175650.0)</f>
        <v>175650</v>
      </c>
      <c r="M406" s="203"/>
      <c r="N406" s="203">
        <f>IFERROR(__xludf.DUMMYFUNCTION("IMPORTRANGE(""https://docs.google.com/spreadsheets/d/1XL5vhW3sbDhbH9Cz0tuDiY8C3ctxq1tqvaCgkFb8cCA/edit?usp=sharing"",""ร้อยเอ็ด!M301"")"),131669.0)</f>
        <v>131669</v>
      </c>
      <c r="O406" s="203">
        <f t="shared" si="113"/>
        <v>74.96100199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IFERROR(__xludf.DUMMYFUNCTION("IMPORTRANGE(""https://docs.google.com/spreadsheets/d/1XL5vhW3sbDhbH9Cz0tuDiY8C3ctxq1tqvaCgkFb8cCA/edit?usp=sharing"",""ร้อยเอ็ด!M302"")"),103624.0)</f>
        <v>103624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IFERROR(__xludf.DUMMYFUNCTION("IMPORTRANGE(""https://docs.google.com/spreadsheets/d/1XL5vhW3sbDhbH9Cz0tuDiY8C3ctxq1tqvaCgkFb8cCA/edit?usp=sharing"",""ร้อยเอ็ด!M303"")"),0.0)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IFERROR(__xludf.DUMMYFUNCTION("IMPORTRANGE(""https://docs.google.com/spreadsheets/d/1XL5vhW3sbDhbH9Cz0tuDiY8C3ctxq1tqvaCgkFb8cCA/edit?usp=sharing"",""ร้อยเอ็ด!M304"")"),0.0)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IFERROR(__xludf.DUMMYFUNCTION("IMPORTRANGE(""https://docs.google.com/spreadsheets/d/1XL5vhW3sbDhbH9Cz0tuDiY8C3ctxq1tqvaCgkFb8cCA/edit?usp=sharing"",""ร้อยเอ็ด!M305"")"),28045.0)</f>
        <v>28045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IFERROR(__xludf.DUMMYFUNCTION("IMPORTRANGE(""https://docs.google.com/spreadsheets/d/1XL5vhW3sbDhbH9Cz0tuDiY8C3ctxq1tqvaCgkFb8cCA/edit?usp=sharing"",""ร้อยเอ็ด!J307"")"),0.0)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IFERROR(__xludf.DUMMYFUNCTION("IMPORTRANGE(""https://docs.google.com/spreadsheets/d/1XL5vhW3sbDhbH9Cz0tuDiY8C3ctxq1tqvaCgkFb8cCA/edit?usp=sharing"",""ร้อยเอ็ด!J308"")"),1.0)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IFERROR(__xludf.DUMMYFUNCTION("IMPORTRANGE(""https://docs.google.com/spreadsheets/d/1XL5vhW3sbDhbH9Cz0tuDiY8C3ctxq1tqvaCgkFb8cCA/edit?usp=sharing"",""ร้อยเอ็ด!J309"")"),1.0)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IFERROR(__xludf.DUMMYFUNCTION("IMPORTRANGE(""https://docs.google.com/spreadsheets/d/1XL5vhW3sbDhbH9Cz0tuDiY8C3ctxq1tqvaCgkFb8cCA/edit?usp=sharing"",""ร้อยเอ็ด!J310"")"),1.0)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IFERROR(__xludf.DUMMYFUNCTION("IMPORTRANGE(""https://docs.google.com/spreadsheets/d/1XL5vhW3sbDhbH9Cz0tuDiY8C3ctxq1tqvaCgkFb8cCA/edit?usp=sharing"",""ร้อยเอ็ด!I311"")"),50.0)</f>
        <v>50</v>
      </c>
      <c r="J416" s="235">
        <f>IFERROR(__xludf.DUMMYFUNCTION("IMPORTRANGE(""https://docs.google.com/spreadsheets/d/1XL5vhW3sbDhbH9Cz0tuDiY8C3ctxq1tqvaCgkFb8cCA/edit?usp=sharing"",""ร้อยเอ็ด!J311"")"),0.0)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IFERROR(__xludf.DUMMYFUNCTION("IMPORTRANGE(""https://docs.google.com/spreadsheets/d/1XL5vhW3sbDhbH9Cz0tuDiY8C3ctxq1tqvaCgkFb8cCA/edit?usp=sharing"",""ร้อยเอ็ด!I312"")"),15.0)</f>
        <v>15</v>
      </c>
      <c r="J417" s="425">
        <f>IFERROR(__xludf.DUMMYFUNCTION("IMPORTRANGE(""https://docs.google.com/spreadsheets/d/1XL5vhW3sbDhbH9Cz0tuDiY8C3ctxq1tqvaCgkFb8cCA/edit?usp=sharing"",""ร้อยเอ็ด!J312"")"),0.0)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IFERROR(__xludf.DUMMYFUNCTION("IMPORTRANGE(""https://docs.google.com/spreadsheets/d/1XL5vhW3sbDhbH9Cz0tuDiY8C3ctxq1tqvaCgkFb8cCA/edit?usp=sharing"",""ร้อยเอ็ด!I313"")"),45.0)</f>
        <v>45</v>
      </c>
      <c r="J418" s="426">
        <f>IFERROR(__xludf.DUMMYFUNCTION("IMPORTRANGE(""https://docs.google.com/spreadsheets/d/1XL5vhW3sbDhbH9Cz0tuDiY8C3ctxq1tqvaCgkFb8cCA/edit?usp=sharing"",""ร้อยเอ็ด!J313"")"),0.0)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IFERROR(__xludf.DUMMYFUNCTION("IMPORTRANGE(""https://docs.google.com/spreadsheets/d/1XL5vhW3sbDhbH9Cz0tuDiY8C3ctxq1tqvaCgkFb8cCA/edit?usp=sharing"",""ร้อยเอ็ด!I314"")"),15.0)</f>
        <v>15</v>
      </c>
      <c r="J419" s="427">
        <f>IFERROR(__xludf.DUMMYFUNCTION("IMPORTRANGE(""https://docs.google.com/spreadsheets/d/1XL5vhW3sbDhbH9Cz0tuDiY8C3ctxq1tqvaCgkFb8cCA/edit?usp=sharing"",""ร้อยเอ็ด!J314"")"),15.0)</f>
        <v>15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IFERROR(__xludf.DUMMYFUNCTION("IMPORTRANGE(""https://docs.google.com/spreadsheets/d/1XL5vhW3sbDhbH9Cz0tuDiY8C3ctxq1tqvaCgkFb8cCA/edit?usp=sharing"",""ร้อยเอ็ด!I315"")"),15.0)</f>
        <v>15</v>
      </c>
      <c r="J420" s="427">
        <f>IFERROR(__xludf.DUMMYFUNCTION("IMPORTRANGE(""https://docs.google.com/spreadsheets/d/1XL5vhW3sbDhbH9Cz0tuDiY8C3ctxq1tqvaCgkFb8cCA/edit?usp=sharing"",""ร้อยเอ็ด!J315"")"),0.0)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IFERROR(__xludf.DUMMYFUNCTION("IMPORTRANGE(""https://docs.google.com/spreadsheets/d/1XL5vhW3sbDhbH9Cz0tuDiY8C3ctxq1tqvaCgkFb8cCA/edit?usp=sharing"",""ร้อยเอ็ด!I316"")"),25.0)</f>
        <v>25</v>
      </c>
      <c r="J421" s="425">
        <f>IFERROR(__xludf.DUMMYFUNCTION("IMPORTRANGE(""https://docs.google.com/spreadsheets/d/1XL5vhW3sbDhbH9Cz0tuDiY8C3ctxq1tqvaCgkFb8cCA/edit?usp=sharing"",""ร้อยเอ็ด!J316"")"),0.0)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IFERROR(__xludf.DUMMYFUNCTION("IMPORTRANGE(""https://docs.google.com/spreadsheets/d/1XL5vhW3sbDhbH9Cz0tuDiY8C3ctxq1tqvaCgkFb8cCA/edit?usp=sharing"",""ร้อยเอ็ด!I317"")"),75.0)</f>
        <v>75</v>
      </c>
      <c r="J422" s="426">
        <f>IFERROR(__xludf.DUMMYFUNCTION("IMPORTRANGE(""https://docs.google.com/spreadsheets/d/1XL5vhW3sbDhbH9Cz0tuDiY8C3ctxq1tqvaCgkFb8cCA/edit?usp=sharing"",""ร้อยเอ็ด!J317"")"),0.0)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IFERROR(__xludf.DUMMYFUNCTION("IMPORTRANGE(""https://docs.google.com/spreadsheets/d/1XL5vhW3sbDhbH9Cz0tuDiY8C3ctxq1tqvaCgkFb8cCA/edit?usp=sharing"",""ร้อยเอ็ด!I318"")"),25.0)</f>
        <v>25</v>
      </c>
      <c r="J423" s="427">
        <f>IFERROR(__xludf.DUMMYFUNCTION("IMPORTRANGE(""https://docs.google.com/spreadsheets/d/1XL5vhW3sbDhbH9Cz0tuDiY8C3ctxq1tqvaCgkFb8cCA/edit?usp=sharing"",""ร้อยเอ็ด!J318"")"),25.0)</f>
        <v>25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IFERROR(__xludf.DUMMYFUNCTION("IMPORTRANGE(""https://docs.google.com/spreadsheets/d/1XL5vhW3sbDhbH9Cz0tuDiY8C3ctxq1tqvaCgkFb8cCA/edit?usp=sharing"",""ร้อยเอ็ด!I319"")"),25.0)</f>
        <v>25</v>
      </c>
      <c r="J424" s="427">
        <f>IFERROR(__xludf.DUMMYFUNCTION("IMPORTRANGE(""https://docs.google.com/spreadsheets/d/1XL5vhW3sbDhbH9Cz0tuDiY8C3ctxq1tqvaCgkFb8cCA/edit?usp=sharing"",""ร้อยเอ็ด!J319"")"),0.0)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IFERROR(__xludf.DUMMYFUNCTION("IMPORTRANGE(""https://docs.google.com/spreadsheets/d/1XL5vhW3sbDhbH9Cz0tuDiY8C3ctxq1tqvaCgkFb8cCA/edit?usp=sharing"",""ร้อยเอ็ด!I320"")"),25.0)</f>
        <v>25</v>
      </c>
      <c r="J425" s="427">
        <f>IFERROR(__xludf.DUMMYFUNCTION("IMPORTRANGE(""https://docs.google.com/spreadsheets/d/1XL5vhW3sbDhbH9Cz0tuDiY8C3ctxq1tqvaCgkFb8cCA/edit?usp=sharing"",""ร้อยเอ็ด!J320"")"),0.0)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IFERROR(__xludf.DUMMYFUNCTION("IMPORTRANGE(""https://docs.google.com/spreadsheets/d/1XL5vhW3sbDhbH9Cz0tuDiY8C3ctxq1tqvaCgkFb8cCA/edit?usp=sharing"",""ร้อยเอ็ด!I321"")"),10.0)</f>
        <v>10</v>
      </c>
      <c r="J426" s="425">
        <f>IFERROR(__xludf.DUMMYFUNCTION("IMPORTRANGE(""https://docs.google.com/spreadsheets/d/1XL5vhW3sbDhbH9Cz0tuDiY8C3ctxq1tqvaCgkFb8cCA/edit?usp=sharing"",""ร้อยเอ็ด!J321"")"),0.0)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IFERROR(__xludf.DUMMYFUNCTION("IMPORTRANGE(""https://docs.google.com/spreadsheets/d/1XL5vhW3sbDhbH9Cz0tuDiY8C3ctxq1tqvaCgkFb8cCA/edit?usp=sharing"",""ร้อยเอ็ด!I322"")"),30.0)</f>
        <v>30</v>
      </c>
      <c r="J427" s="426">
        <f>IFERROR(__xludf.DUMMYFUNCTION("IMPORTRANGE(""https://docs.google.com/spreadsheets/d/1XL5vhW3sbDhbH9Cz0tuDiY8C3ctxq1tqvaCgkFb8cCA/edit?usp=sharing"",""ร้อยเอ็ด!J322"")"),0.0)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IFERROR(__xludf.DUMMYFUNCTION("IMPORTRANGE(""https://docs.google.com/spreadsheets/d/1XL5vhW3sbDhbH9Cz0tuDiY8C3ctxq1tqvaCgkFb8cCA/edit?usp=sharing"",""ร้อยเอ็ด!I323"")"),10.0)</f>
        <v>10</v>
      </c>
      <c r="J428" s="427">
        <f>IFERROR(__xludf.DUMMYFUNCTION("IMPORTRANGE(""https://docs.google.com/spreadsheets/d/1XL5vhW3sbDhbH9Cz0tuDiY8C3ctxq1tqvaCgkFb8cCA/edit?usp=sharing"",""ร้อยเอ็ด!J323"")"),0.0)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IFERROR(__xludf.DUMMYFUNCTION("IMPORTRANGE(""https://docs.google.com/spreadsheets/d/1XL5vhW3sbDhbH9Cz0tuDiY8C3ctxq1tqvaCgkFb8cCA/edit?usp=sharing"",""ร้อยเอ็ด!I324"")"),10.0)</f>
        <v>10</v>
      </c>
      <c r="J429" s="427">
        <f>IFERROR(__xludf.DUMMYFUNCTION("IMPORTRANGE(""https://docs.google.com/spreadsheets/d/1XL5vhW3sbDhbH9Cz0tuDiY8C3ctxq1tqvaCgkFb8cCA/edit?usp=sharing"",""ร้อยเอ็ด!J324"")"),10.0)</f>
        <v>10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IFERROR(__xludf.DUMMYFUNCTION("IMPORTRANGE(""https://docs.google.com/spreadsheets/d/1XL5vhW3sbDhbH9Cz0tuDiY8C3ctxq1tqvaCgkFb8cCA/edit?usp=sharing"",""ร้อยเอ็ด!I325"")"),40.0)</f>
        <v>40</v>
      </c>
      <c r="J430" s="425">
        <f>IFERROR(__xludf.DUMMYFUNCTION("IMPORTRANGE(""https://docs.google.com/spreadsheets/d/1XL5vhW3sbDhbH9Cz0tuDiY8C3ctxq1tqvaCgkFb8cCA/edit?usp=sharing"",""ร้อยเอ็ด!J325"")"),0.0)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IFERROR(__xludf.DUMMYFUNCTION("IMPORTRANGE(""https://docs.google.com/spreadsheets/d/1XL5vhW3sbDhbH9Cz0tuDiY8C3ctxq1tqvaCgkFb8cCA/edit?usp=sharing"",""ร้อยเอ็ด!I326"")"),15.0)</f>
        <v>15</v>
      </c>
      <c r="J431" s="427">
        <f>IFERROR(__xludf.DUMMYFUNCTION("IMPORTRANGE(""https://docs.google.com/spreadsheets/d/1XL5vhW3sbDhbH9Cz0tuDiY8C3ctxq1tqvaCgkFb8cCA/edit?usp=sharing"",""ร้อยเอ็ด!J326"")"),0.0)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IFERROR(__xludf.DUMMYFUNCTION("IMPORTRANGE(""https://docs.google.com/spreadsheets/d/1XL5vhW3sbDhbH9Cz0tuDiY8C3ctxq1tqvaCgkFb8cCA/edit?usp=sharing"",""ร้อยเอ็ด!I327"")"),25.0)</f>
        <v>25</v>
      </c>
      <c r="J432" s="427">
        <f>IFERROR(__xludf.DUMMYFUNCTION("IMPORTRANGE(""https://docs.google.com/spreadsheets/d/1XL5vhW3sbDhbH9Cz0tuDiY8C3ctxq1tqvaCgkFb8cCA/edit?usp=sharing"",""ร้อยเอ็ด!J327"")"),0.0)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IFERROR(__xludf.DUMMYFUNCTION("IMPORTRANGE(""https://docs.google.com/spreadsheets/d/1XL5vhW3sbDhbH9Cz0tuDiY8C3ctxq1tqvaCgkFb8cCA/edit?usp=sharing"",""ร้อยเอ็ด!J328"")"),0.0)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IFERROR(__xludf.DUMMYFUNCTION("IMPORTRANGE(""https://docs.google.com/spreadsheets/d/1XL5vhW3sbDhbH9Cz0tuDiY8C3ctxq1tqvaCgkFb8cCA/edit?usp=sharing"",""ร้อยเอ็ด!J329"")"),0.0)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IFERROR(__xludf.DUMMYFUNCTION("IMPORTRANGE(""https://docs.google.com/spreadsheets/d/1XL5vhW3sbDhbH9Cz0tuDiY8C3ctxq1tqvaCgkFb8cCA/edit?usp=sharing"",""ร้อยเอ็ด!I330"")"),15.0)</f>
        <v>15</v>
      </c>
      <c r="J435" s="443">
        <f>IFERROR(__xludf.DUMMYFUNCTION("IMPORTRANGE(""https://docs.google.com/spreadsheets/d/1XL5vhW3sbDhbH9Cz0tuDiY8C3ctxq1tqvaCgkFb8cCA/edit?usp=sharing"",""ร้อยเอ็ด!J330"")"),0.0)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IFERROR(__xludf.DUMMYFUNCTION("IMPORTRANGE(""https://docs.google.com/spreadsheets/d/1XL5vhW3sbDhbH9Cz0tuDiY8C3ctxq1tqvaCgkFb8cCA/edit?usp=sharing"",""ร้อยเอ็ด!L330"")"),83000.0)</f>
        <v>83000</v>
      </c>
      <c r="M435" s="445"/>
      <c r="N435" s="445">
        <f>IFERROR(__xludf.DUMMYFUNCTION("IMPORTRANGE(""https://docs.google.com/spreadsheets/d/1XL5vhW3sbDhbH9Cz0tuDiY8C3ctxq1tqvaCgkFb8cCA/edit?usp=sharing"",""ร้อยเอ็ด!M330"")"),0.0)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IFERROR(__xludf.DUMMYFUNCTION("IMPORTRANGE(""https://docs.google.com/spreadsheets/d/1XL5vhW3sbDhbH9Cz0tuDiY8C3ctxq1tqvaCgkFb8cCA/edit?usp=sharing"",""ร้อยเอ็ด!L331"")"),0.0)</f>
        <v>0</v>
      </c>
      <c r="M436" s="197"/>
      <c r="N436" s="203">
        <f>IFERROR(__xludf.DUMMYFUNCTION("IMPORTRANGE(""https://docs.google.com/spreadsheets/d/1XL5vhW3sbDhbH9Cz0tuDiY8C3ctxq1tqvaCgkFb8cCA/edit?usp=sharing"",""ร้อยเอ็ด!M331"")"),0.0)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IFERROR(__xludf.DUMMYFUNCTION("IMPORTRANGE(""https://docs.google.com/spreadsheets/d/1XL5vhW3sbDhbH9Cz0tuDiY8C3ctxq1tqvaCgkFb8cCA/edit?usp=sharing"",""ร้อยเอ็ด!L332"")"),83000.0)</f>
        <v>83000</v>
      </c>
      <c r="M437" s="198"/>
      <c r="N437" s="203">
        <f>IFERROR(__xludf.DUMMYFUNCTION("IMPORTRANGE(""https://docs.google.com/spreadsheets/d/1XL5vhW3sbDhbH9Cz0tuDiY8C3ctxq1tqvaCgkFb8cCA/edit?usp=sharing"",""ร้อยเอ็ด!M332"")"),0.0)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IFERROR(__xludf.DUMMYFUNCTION("IMPORTRANGE(""https://docs.google.com/spreadsheets/d/1XL5vhW3sbDhbH9Cz0tuDiY8C3ctxq1tqvaCgkFb8cCA/edit?usp=sharing"",""ร้อยเอ็ด!L333"")"),0.0)</f>
        <v>0</v>
      </c>
      <c r="M438" s="203"/>
      <c r="N438" s="203">
        <f>IFERROR(__xludf.DUMMYFUNCTION("IMPORTRANGE(""https://docs.google.com/spreadsheets/d/1XL5vhW3sbDhbH9Cz0tuDiY8C3ctxq1tqvaCgkFb8cCA/edit?usp=sharing"",""ร้อยเอ็ด!M333"")"),0.0)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IFERROR(__xludf.DUMMYFUNCTION("IMPORTRANGE(""https://docs.google.com/spreadsheets/d/1XL5vhW3sbDhbH9Cz0tuDiY8C3ctxq1tqvaCgkFb8cCA/edit?usp=sharing"",""ร้อยเอ็ด!L334"")"),83000.0)</f>
        <v>83000</v>
      </c>
      <c r="M439" s="203"/>
      <c r="N439" s="203">
        <f>IFERROR(__xludf.DUMMYFUNCTION("IMPORTRANGE(""https://docs.google.com/spreadsheets/d/1XL5vhW3sbDhbH9Cz0tuDiY8C3ctxq1tqvaCgkFb8cCA/edit?usp=sharing"",""ร้อยเอ็ด!M334"")"),0.0)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IFERROR(__xludf.DUMMYFUNCTION("IMPORTRANGE(""https://docs.google.com/spreadsheets/d/1XL5vhW3sbDhbH9Cz0tuDiY8C3ctxq1tqvaCgkFb8cCA/edit?usp=sharing"",""ร้อยเอ็ด!M335"")"),0.0)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IFERROR(__xludf.DUMMYFUNCTION("IMPORTRANGE(""https://docs.google.com/spreadsheets/d/1XL5vhW3sbDhbH9Cz0tuDiY8C3ctxq1tqvaCgkFb8cCA/edit?usp=sharing"",""ร้อยเอ็ด!M336"")"),0.0)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IFERROR(__xludf.DUMMYFUNCTION("IMPORTRANGE(""https://docs.google.com/spreadsheets/d/1XL5vhW3sbDhbH9Cz0tuDiY8C3ctxq1tqvaCgkFb8cCA/edit?usp=sharing"",""ร้อยเอ็ด!M337"")"),0.0)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IFERROR(__xludf.DUMMYFUNCTION("IMPORTRANGE(""https://docs.google.com/spreadsheets/d/1XL5vhW3sbDhbH9Cz0tuDiY8C3ctxq1tqvaCgkFb8cCA/edit?usp=sharing"",""ร้อยเอ็ด!M338"")"),0.0)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IFERROR(__xludf.DUMMYFUNCTION("IMPORTRANGE(""https://docs.google.com/spreadsheets/d/1XL5vhW3sbDhbH9Cz0tuDiY8C3ctxq1tqvaCgkFb8cCA/edit?usp=sharing"",""ร้อยเอ็ด!J340"")"),0.0)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IFERROR(__xludf.DUMMYFUNCTION("IMPORTRANGE(""https://docs.google.com/spreadsheets/d/1XL5vhW3sbDhbH9Cz0tuDiY8C3ctxq1tqvaCgkFb8cCA/edit?usp=sharing"",""ร้อยเอ็ด!J341"")"),1.0)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IFERROR(__xludf.DUMMYFUNCTION("IMPORTRANGE(""https://docs.google.com/spreadsheets/d/1XL5vhW3sbDhbH9Cz0tuDiY8C3ctxq1tqvaCgkFb8cCA/edit?usp=sharing"",""ร้อยเอ็ด!J342"")"),1.0)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IFERROR(__xludf.DUMMYFUNCTION("IMPORTRANGE(""https://docs.google.com/spreadsheets/d/1XL5vhW3sbDhbH9Cz0tuDiY8C3ctxq1tqvaCgkFb8cCA/edit?usp=sharing"",""ร้อยเอ็ด!J343"")"),1.0)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IFERROR(__xludf.DUMMYFUNCTION("IMPORTRANGE(""https://docs.google.com/spreadsheets/d/1XL5vhW3sbDhbH9Cz0tuDiY8C3ctxq1tqvaCgkFb8cCA/edit?usp=sharing"",""ร้อยเอ็ด!I344"")"),15.0)</f>
        <v>15</v>
      </c>
      <c r="J449" s="235">
        <f>IFERROR(__xludf.DUMMYFUNCTION("IMPORTRANGE(""https://docs.google.com/spreadsheets/d/1XL5vhW3sbDhbH9Cz0tuDiY8C3ctxq1tqvaCgkFb8cCA/edit?usp=sharing"",""ร้อยเอ็ด!J344"")"),0.0)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IFERROR(__xludf.DUMMYFUNCTION("IMPORTRANGE(""https://docs.google.com/spreadsheets/d/1XL5vhW3sbDhbH9Cz0tuDiY8C3ctxq1tqvaCgkFb8cCA/edit?usp=sharing"",""ร้อยเอ็ด!I345"")"),15.0)</f>
        <v>15</v>
      </c>
      <c r="J450" s="223">
        <f>IFERROR(__xludf.DUMMYFUNCTION("IMPORTRANGE(""https://docs.google.com/spreadsheets/d/1XL5vhW3sbDhbH9Cz0tuDiY8C3ctxq1tqvaCgkFb8cCA/edit?usp=sharing"",""ร้อยเอ็ด!J345"")"),0.0)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IFERROR(__xludf.DUMMYFUNCTION("IMPORTRANGE(""https://docs.google.com/spreadsheets/d/1XL5vhW3sbDhbH9Cz0tuDiY8C3ctxq1tqvaCgkFb8cCA/edit?usp=sharing"",""ร้อยเอ็ด!I346"")"),0.0)</f>
        <v>0</v>
      </c>
      <c r="J451" s="222">
        <f>IFERROR(__xludf.DUMMYFUNCTION("IMPORTRANGE(""https://docs.google.com/spreadsheets/d/1XL5vhW3sbDhbH9Cz0tuDiY8C3ctxq1tqvaCgkFb8cCA/edit?usp=sharing"",""ร้อยเอ็ด!J346"")"),0.0)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IFERROR(__xludf.DUMMYFUNCTION("IMPORTRANGE(""https://docs.google.com/spreadsheets/d/1XL5vhW3sbDhbH9Cz0tuDiY8C3ctxq1tqvaCgkFb8cCA/edit?usp=sharing"",""ร้อยเอ็ด!I347"")"),0.0)</f>
        <v>0</v>
      </c>
      <c r="J452" s="222">
        <f>IFERROR(__xludf.DUMMYFUNCTION("IMPORTRANGE(""https://docs.google.com/spreadsheets/d/1XL5vhW3sbDhbH9Cz0tuDiY8C3ctxq1tqvaCgkFb8cCA/edit?usp=sharing"",""ร้อยเอ็ด!J347"")"),0.0)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IFERROR(__xludf.DUMMYFUNCTION("IMPORTRANGE(""https://docs.google.com/spreadsheets/d/1XL5vhW3sbDhbH9Cz0tuDiY8C3ctxq1tqvaCgkFb8cCA/edit?usp=sharing"",""ร้อยเอ็ด!J348"")"),0.0)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IFERROR(__xludf.DUMMYFUNCTION("IMPORTRANGE(""https://docs.google.com/spreadsheets/d/1XL5vhW3sbDhbH9Cz0tuDiY8C3ctxq1tqvaCgkFb8cCA/edit?usp=sharing"",""ร้อยเอ็ด!J349"")"),0.0)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IFERROR(__xludf.DUMMYFUNCTION("IMPORTRANGE(""https://docs.google.com/spreadsheets/d/1XL5vhW3sbDhbH9Cz0tuDiY8C3ctxq1tqvaCgkFb8cCA/edit?usp=sharing"",""ร้อยเอ็ด!I350"")"),47667.0)</f>
        <v>47667</v>
      </c>
      <c r="J455" s="404">
        <f>IFERROR(__xludf.DUMMYFUNCTION("IMPORTRANGE(""https://docs.google.com/spreadsheets/d/1XL5vhW3sbDhbH9Cz0tuDiY8C3ctxq1tqvaCgkFb8cCA/edit?usp=sharing"",""ร้อยเอ็ด!J350"")"),0.0)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IFERROR(__xludf.DUMMYFUNCTION("IMPORTRANGE(""https://docs.google.com/spreadsheets/d/1XL5vhW3sbDhbH9Cz0tuDiY8C3ctxq1tqvaCgkFb8cCA/edit?usp=sharing"",""ร้อยเอ็ด!L350"")"),467053.0)</f>
        <v>467053</v>
      </c>
      <c r="M455" s="406"/>
      <c r="N455" s="406">
        <f>IFERROR(__xludf.DUMMYFUNCTION("IMPORTRANGE(""https://docs.google.com/spreadsheets/d/1XL5vhW3sbDhbH9Cz0tuDiY8C3ctxq1tqvaCgkFb8cCA/edit?usp=sharing"",""ร้อยเอ็ด!M350"")"),46272.28)</f>
        <v>46272.28</v>
      </c>
      <c r="O455" s="406">
        <f t="shared" ref="O455:O459" si="117">+IF(L455&gt;0,N455*100/L455,0)</f>
        <v>9.907286753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IFERROR(__xludf.DUMMYFUNCTION("IMPORTRANGE(""https://docs.google.com/spreadsheets/d/1XL5vhW3sbDhbH9Cz0tuDiY8C3ctxq1tqvaCgkFb8cCA/edit?usp=sharing"",""ร้อยเอ็ด!L351"")"),0.0)</f>
        <v>0</v>
      </c>
      <c r="M456" s="197"/>
      <c r="N456" s="203">
        <f>IFERROR(__xludf.DUMMYFUNCTION("IMPORTRANGE(""https://docs.google.com/spreadsheets/d/1XL5vhW3sbDhbH9Cz0tuDiY8C3ctxq1tqvaCgkFb8cCA/edit?usp=sharing"",""ร้อยเอ็ด!M351"")"),0.0)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IFERROR(__xludf.DUMMYFUNCTION("IMPORTRANGE(""https://docs.google.com/spreadsheets/d/1XL5vhW3sbDhbH9Cz0tuDiY8C3ctxq1tqvaCgkFb8cCA/edit?usp=sharing"",""ร้อยเอ็ด!L352"")"),467053.0)</f>
        <v>467053</v>
      </c>
      <c r="M457" s="198"/>
      <c r="N457" s="203">
        <f>IFERROR(__xludf.DUMMYFUNCTION("IMPORTRANGE(""https://docs.google.com/spreadsheets/d/1XL5vhW3sbDhbH9Cz0tuDiY8C3ctxq1tqvaCgkFb8cCA/edit?usp=sharing"",""ร้อยเอ็ด!M352"")"),46272.28)</f>
        <v>46272.28</v>
      </c>
      <c r="O457" s="203">
        <f t="shared" si="117"/>
        <v>9.907286753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IFERROR(__xludf.DUMMYFUNCTION("IMPORTRANGE(""https://docs.google.com/spreadsheets/d/1XL5vhW3sbDhbH9Cz0tuDiY8C3ctxq1tqvaCgkFb8cCA/edit?usp=sharing"",""ร้อยเอ็ด!L353"")"),0.0)</f>
        <v>0</v>
      </c>
      <c r="M458" s="203"/>
      <c r="N458" s="203">
        <f>IFERROR(__xludf.DUMMYFUNCTION("IMPORTRANGE(""https://docs.google.com/spreadsheets/d/1XL5vhW3sbDhbH9Cz0tuDiY8C3ctxq1tqvaCgkFb8cCA/edit?usp=sharing"",""ร้อยเอ็ด!M353"")"),0.0)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IFERROR(__xludf.DUMMYFUNCTION("IMPORTRANGE(""https://docs.google.com/spreadsheets/d/1XL5vhW3sbDhbH9Cz0tuDiY8C3ctxq1tqvaCgkFb8cCA/edit?usp=sharing"",""ร้อยเอ็ด!L354"")"),467053.0)</f>
        <v>467053</v>
      </c>
      <c r="M459" s="203"/>
      <c r="N459" s="203">
        <f>IFERROR(__xludf.DUMMYFUNCTION("IMPORTRANGE(""https://docs.google.com/spreadsheets/d/1XL5vhW3sbDhbH9Cz0tuDiY8C3ctxq1tqvaCgkFb8cCA/edit?usp=sharing"",""ร้อยเอ็ด!M354"")"),46272.28)</f>
        <v>46272.28</v>
      </c>
      <c r="O459" s="203">
        <f t="shared" si="117"/>
        <v>9.907286753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IFERROR(__xludf.DUMMYFUNCTION("IMPORTRANGE(""https://docs.google.com/spreadsheets/d/1XL5vhW3sbDhbH9Cz0tuDiY8C3ctxq1tqvaCgkFb8cCA/edit?usp=sharing"",""ร้อยเอ็ด!M355"")"),0.0)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IFERROR(__xludf.DUMMYFUNCTION("IMPORTRANGE(""https://docs.google.com/spreadsheets/d/1XL5vhW3sbDhbH9Cz0tuDiY8C3ctxq1tqvaCgkFb8cCA/edit?usp=sharing"",""ร้อยเอ็ด!M356"")"),0.0)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IFERROR(__xludf.DUMMYFUNCTION("IMPORTRANGE(""https://docs.google.com/spreadsheets/d/1XL5vhW3sbDhbH9Cz0tuDiY8C3ctxq1tqvaCgkFb8cCA/edit?usp=sharing"",""ร้อยเอ็ด!M357"")"),28032.28)</f>
        <v>28032.28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IFERROR(__xludf.DUMMYFUNCTION("IMPORTRANGE(""https://docs.google.com/spreadsheets/d/1XL5vhW3sbDhbH9Cz0tuDiY8C3ctxq1tqvaCgkFb8cCA/edit?usp=sharing"",""ร้อยเอ็ด!M358"")"),18240.0)</f>
        <v>18240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IFERROR(__xludf.DUMMYFUNCTION("IMPORTRANGE(""https://docs.google.com/spreadsheets/d/1XL5vhW3sbDhbH9Cz0tuDiY8C3ctxq1tqvaCgkFb8cCA/edit?usp=sharing"",""ร้อยเอ็ด!I359"")"),47667.0)</f>
        <v>47667</v>
      </c>
      <c r="J464" s="301">
        <f>IFERROR(__xludf.DUMMYFUNCTION("IMPORTRANGE(""https://docs.google.com/spreadsheets/d/1XL5vhW3sbDhbH9Cz0tuDiY8C3ctxq1tqvaCgkFb8cCA/edit?usp=sharing"",""ร้อยเอ็ด!J359"")"),0.0)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IFERROR(__xludf.DUMMYFUNCTION("IMPORTRANGE(""https://docs.google.com/spreadsheets/d/1XL5vhW3sbDhbH9Cz0tuDiY8C3ctxq1tqvaCgkFb8cCA/edit?usp=sharing"",""ร้อยเอ็ด!I360"")"),47667.0)</f>
        <v>47667</v>
      </c>
      <c r="J465" s="453">
        <f>IFERROR(__xludf.DUMMYFUNCTION("IMPORTRANGE(""https://docs.google.com/spreadsheets/d/1XL5vhW3sbDhbH9Cz0tuDiY8C3ctxq1tqvaCgkFb8cCA/edit?usp=sharing"",""ร้อยเอ็ด!J360"")"),0.0)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IFERROR(__xludf.DUMMYFUNCTION("IMPORTRANGE(""https://docs.google.com/spreadsheets/d/1XL5vhW3sbDhbH9Cz0tuDiY8C3ctxq1tqvaCgkFb8cCA/edit?usp=sharing"",""ร้อยเอ็ด!I361"")"),5144.0)</f>
        <v>5144</v>
      </c>
      <c r="J466" s="453">
        <f>IFERROR(__xludf.DUMMYFUNCTION("IMPORTRANGE(""https://docs.google.com/spreadsheets/d/1XL5vhW3sbDhbH9Cz0tuDiY8C3ctxq1tqvaCgkFb8cCA/edit?usp=sharing"",""ร้อยเอ็ด!J361"")"),0.0)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IFERROR(__xludf.DUMMYFUNCTION("IMPORTRANGE(""https://docs.google.com/spreadsheets/d/1XL5vhW3sbDhbH9Cz0tuDiY8C3ctxq1tqvaCgkFb8cCA/edit?usp=sharing"",""ร้อยเอ็ด!I362"")"),0.0)</f>
        <v>0</v>
      </c>
      <c r="J467" s="223">
        <f>IFERROR(__xludf.DUMMYFUNCTION("IMPORTRANGE(""https://docs.google.com/spreadsheets/d/1XL5vhW3sbDhbH9Cz0tuDiY8C3ctxq1tqvaCgkFb8cCA/edit?usp=sharing"",""ร้อยเอ็ด!J362"")"),0.0)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IFERROR(__xludf.DUMMYFUNCTION("IMPORTRANGE(""https://docs.google.com/spreadsheets/d/1XL5vhW3sbDhbH9Cz0tuDiY8C3ctxq1tqvaCgkFb8cCA/edit?usp=sharing"",""ร้อยเอ็ด!I363"")"),0.0)</f>
        <v>0</v>
      </c>
      <c r="J468" s="223">
        <f>IFERROR(__xludf.DUMMYFUNCTION("IMPORTRANGE(""https://docs.google.com/spreadsheets/d/1XL5vhW3sbDhbH9Cz0tuDiY8C3ctxq1tqvaCgkFb8cCA/edit?usp=sharing"",""ร้อยเอ็ด!J363"")"),0.0)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IFERROR(__xludf.DUMMYFUNCTION("IMPORTRANGE(""https://docs.google.com/spreadsheets/d/1XL5vhW3sbDhbH9Cz0tuDiY8C3ctxq1tqvaCgkFb8cCA/edit?usp=sharing"",""ร้อยเอ็ด!I364"")"),0.0)</f>
        <v>0</v>
      </c>
      <c r="J469" s="223">
        <f>IFERROR(__xludf.DUMMYFUNCTION("IMPORTRANGE(""https://docs.google.com/spreadsheets/d/1XL5vhW3sbDhbH9Cz0tuDiY8C3ctxq1tqvaCgkFb8cCA/edit?usp=sharing"",""ร้อยเอ็ด!J364"")"),0.0)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IFERROR(__xludf.DUMMYFUNCTION("IMPORTRANGE(""https://docs.google.com/spreadsheets/d/1XL5vhW3sbDhbH9Cz0tuDiY8C3ctxq1tqvaCgkFb8cCA/edit?usp=sharing"",""ร้อยเอ็ด!I365"")"),0.0)</f>
        <v>0</v>
      </c>
      <c r="J470" s="223">
        <f>IFERROR(__xludf.DUMMYFUNCTION("IMPORTRANGE(""https://docs.google.com/spreadsheets/d/1XL5vhW3sbDhbH9Cz0tuDiY8C3ctxq1tqvaCgkFb8cCA/edit?usp=sharing"",""ร้อยเอ็ด!J365"")"),0.0)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IFERROR(__xludf.DUMMYFUNCTION("IMPORTRANGE(""https://docs.google.com/spreadsheets/d/1XL5vhW3sbDhbH9Cz0tuDiY8C3ctxq1tqvaCgkFb8cCA/edit?usp=sharing"",""ร้อยเอ็ด!I366"")"),0.0)</f>
        <v>0</v>
      </c>
      <c r="J471" s="223">
        <f>IFERROR(__xludf.DUMMYFUNCTION("IMPORTRANGE(""https://docs.google.com/spreadsheets/d/1XL5vhW3sbDhbH9Cz0tuDiY8C3ctxq1tqvaCgkFb8cCA/edit?usp=sharing"",""ร้อยเอ็ด!J366"")"),0.0)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IFERROR(__xludf.DUMMYFUNCTION("IMPORTRANGE(""https://docs.google.com/spreadsheets/d/1XL5vhW3sbDhbH9Cz0tuDiY8C3ctxq1tqvaCgkFb8cCA/edit?usp=sharing"",""ร้อยเอ็ด!I367"")"),0.0)</f>
        <v>0</v>
      </c>
      <c r="J472" s="223">
        <f>IFERROR(__xludf.DUMMYFUNCTION("IMPORTRANGE(""https://docs.google.com/spreadsheets/d/1XL5vhW3sbDhbH9Cz0tuDiY8C3ctxq1tqvaCgkFb8cCA/edit?usp=sharing"",""ร้อยเอ็ด!J367"")"),0.0)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IFERROR(__xludf.DUMMYFUNCTION("IMPORTRANGE(""https://docs.google.com/spreadsheets/d/1XL5vhW3sbDhbH9Cz0tuDiY8C3ctxq1tqvaCgkFb8cCA/edit?usp=sharing"",""ร้อยเอ็ด!I368"")"),47667.0)</f>
        <v>47667</v>
      </c>
      <c r="J473" s="453">
        <f>IFERROR(__xludf.DUMMYFUNCTION("IMPORTRANGE(""https://docs.google.com/spreadsheets/d/1XL5vhW3sbDhbH9Cz0tuDiY8C3ctxq1tqvaCgkFb8cCA/edit?usp=sharing"",""ร้อยเอ็ด!J368"")"),0.0)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IFERROR(__xludf.DUMMYFUNCTION("IMPORTRANGE(""https://docs.google.com/spreadsheets/d/1XL5vhW3sbDhbH9Cz0tuDiY8C3ctxq1tqvaCgkFb8cCA/edit?usp=sharing"",""ร้อยเอ็ด!I369"")"),5144.0)</f>
        <v>5144</v>
      </c>
      <c r="J474" s="453">
        <f>IFERROR(__xludf.DUMMYFUNCTION("IMPORTRANGE(""https://docs.google.com/spreadsheets/d/1XL5vhW3sbDhbH9Cz0tuDiY8C3ctxq1tqvaCgkFb8cCA/edit?usp=sharing"",""ร้อยเอ็ด!J369"")"),0.0)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IFERROR(__xludf.DUMMYFUNCTION("IMPORTRANGE(""https://docs.google.com/spreadsheets/d/1XL5vhW3sbDhbH9Cz0tuDiY8C3ctxq1tqvaCgkFb8cCA/edit?usp=sharing"",""ร้อยเอ็ด!I370"")"),0.0)</f>
        <v>0</v>
      </c>
      <c r="J475" s="223">
        <f>IFERROR(__xludf.DUMMYFUNCTION("IMPORTRANGE(""https://docs.google.com/spreadsheets/d/1XL5vhW3sbDhbH9Cz0tuDiY8C3ctxq1tqvaCgkFb8cCA/edit?usp=sharing"",""ร้อยเอ็ด!J370"")"),0.0)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IFERROR(__xludf.DUMMYFUNCTION("IMPORTRANGE(""https://docs.google.com/spreadsheets/d/1XL5vhW3sbDhbH9Cz0tuDiY8C3ctxq1tqvaCgkFb8cCA/edit?usp=sharing"",""ร้อยเอ็ด!I371"")"),0.0)</f>
        <v>0</v>
      </c>
      <c r="J476" s="223">
        <f>IFERROR(__xludf.DUMMYFUNCTION("IMPORTRANGE(""https://docs.google.com/spreadsheets/d/1XL5vhW3sbDhbH9Cz0tuDiY8C3ctxq1tqvaCgkFb8cCA/edit?usp=sharing"",""ร้อยเอ็ด!J371"")"),0.0)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IFERROR(__xludf.DUMMYFUNCTION("IMPORTRANGE(""https://docs.google.com/spreadsheets/d/1XL5vhW3sbDhbH9Cz0tuDiY8C3ctxq1tqvaCgkFb8cCA/edit?usp=sharing"",""ร้อยเอ็ด!I372"")"),0.0)</f>
        <v>0</v>
      </c>
      <c r="J477" s="223">
        <f>IFERROR(__xludf.DUMMYFUNCTION("IMPORTRANGE(""https://docs.google.com/spreadsheets/d/1XL5vhW3sbDhbH9Cz0tuDiY8C3ctxq1tqvaCgkFb8cCA/edit?usp=sharing"",""ร้อยเอ็ด!J372"")"),0.0)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IFERROR(__xludf.DUMMYFUNCTION("IMPORTRANGE(""https://docs.google.com/spreadsheets/d/1XL5vhW3sbDhbH9Cz0tuDiY8C3ctxq1tqvaCgkFb8cCA/edit?usp=sharing"",""ร้อยเอ็ด!I373"")"),0.0)</f>
        <v>0</v>
      </c>
      <c r="J478" s="223">
        <f>IFERROR(__xludf.DUMMYFUNCTION("IMPORTRANGE(""https://docs.google.com/spreadsheets/d/1XL5vhW3sbDhbH9Cz0tuDiY8C3ctxq1tqvaCgkFb8cCA/edit?usp=sharing"",""ร้อยเอ็ด!J373"")"),0.0)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IFERROR(__xludf.DUMMYFUNCTION("IMPORTRANGE(""https://docs.google.com/spreadsheets/d/1XL5vhW3sbDhbH9Cz0tuDiY8C3ctxq1tqvaCgkFb8cCA/edit?usp=sharing"",""ร้อยเอ็ด!I374"")"),0.0)</f>
        <v>0</v>
      </c>
      <c r="J479" s="223">
        <f>IFERROR(__xludf.DUMMYFUNCTION("IMPORTRANGE(""https://docs.google.com/spreadsheets/d/1XL5vhW3sbDhbH9Cz0tuDiY8C3ctxq1tqvaCgkFb8cCA/edit?usp=sharing"",""ร้อยเอ็ด!J374"")"),0.0)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IFERROR(__xludf.DUMMYFUNCTION("IMPORTRANGE(""https://docs.google.com/spreadsheets/d/1XL5vhW3sbDhbH9Cz0tuDiY8C3ctxq1tqvaCgkFb8cCA/edit?usp=sharing"",""ร้อยเอ็ด!I375"")"),0.0)</f>
        <v>0</v>
      </c>
      <c r="J480" s="223">
        <f>IFERROR(__xludf.DUMMYFUNCTION("IMPORTRANGE(""https://docs.google.com/spreadsheets/d/1XL5vhW3sbDhbH9Cz0tuDiY8C3ctxq1tqvaCgkFb8cCA/edit?usp=sharing"",""ร้อยเอ็ด!J375"")"),0.0)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IFERROR(__xludf.DUMMYFUNCTION("IMPORTRANGE(""https://docs.google.com/spreadsheets/d/1XL5vhW3sbDhbH9Cz0tuDiY8C3ctxq1tqvaCgkFb8cCA/edit?usp=sharing"",""ร้อยเอ็ด!I376"")"),47667.0)</f>
        <v>47667</v>
      </c>
      <c r="J481" s="453">
        <f>IFERROR(__xludf.DUMMYFUNCTION("IMPORTRANGE(""https://docs.google.com/spreadsheets/d/1XL5vhW3sbDhbH9Cz0tuDiY8C3ctxq1tqvaCgkFb8cCA/edit?usp=sharing"",""ร้อยเอ็ด!J376"")"),0.0)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IFERROR(__xludf.DUMMYFUNCTION("IMPORTRANGE(""https://docs.google.com/spreadsheets/d/1XL5vhW3sbDhbH9Cz0tuDiY8C3ctxq1tqvaCgkFb8cCA/edit?usp=sharing"",""ร้อยเอ็ด!I377"")"),5144.0)</f>
        <v>5144</v>
      </c>
      <c r="J482" s="453">
        <f>IFERROR(__xludf.DUMMYFUNCTION("IMPORTRANGE(""https://docs.google.com/spreadsheets/d/1XL5vhW3sbDhbH9Cz0tuDiY8C3ctxq1tqvaCgkFb8cCA/edit?usp=sharing"",""ร้อยเอ็ด!J377"")"),0.0)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IFERROR(__xludf.DUMMYFUNCTION("IMPORTRANGE(""https://docs.google.com/spreadsheets/d/1XL5vhW3sbDhbH9Cz0tuDiY8C3ctxq1tqvaCgkFb8cCA/edit?usp=sharing"",""ร้อยเอ็ด!I378"")"),0.0)</f>
        <v>0</v>
      </c>
      <c r="J483" s="223">
        <f>IFERROR(__xludf.DUMMYFUNCTION("IMPORTRANGE(""https://docs.google.com/spreadsheets/d/1XL5vhW3sbDhbH9Cz0tuDiY8C3ctxq1tqvaCgkFb8cCA/edit?usp=sharing"",""ร้อยเอ็ด!J378"")"),0.0)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IFERROR(__xludf.DUMMYFUNCTION("IMPORTRANGE(""https://docs.google.com/spreadsheets/d/1XL5vhW3sbDhbH9Cz0tuDiY8C3ctxq1tqvaCgkFb8cCA/edit?usp=sharing"",""ร้อยเอ็ด!I379"")"),0.0)</f>
        <v>0</v>
      </c>
      <c r="J484" s="223">
        <f>IFERROR(__xludf.DUMMYFUNCTION("IMPORTRANGE(""https://docs.google.com/spreadsheets/d/1XL5vhW3sbDhbH9Cz0tuDiY8C3ctxq1tqvaCgkFb8cCA/edit?usp=sharing"",""ร้อยเอ็ด!J379"")"),0.0)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IFERROR(__xludf.DUMMYFUNCTION("IMPORTRANGE(""https://docs.google.com/spreadsheets/d/1XL5vhW3sbDhbH9Cz0tuDiY8C3ctxq1tqvaCgkFb8cCA/edit?usp=sharing"",""ร้อยเอ็ด!I380"")"),0.0)</f>
        <v>0</v>
      </c>
      <c r="J485" s="223">
        <f>IFERROR(__xludf.DUMMYFUNCTION("IMPORTRANGE(""https://docs.google.com/spreadsheets/d/1XL5vhW3sbDhbH9Cz0tuDiY8C3ctxq1tqvaCgkFb8cCA/edit?usp=sharing"",""ร้อยเอ็ด!J380"")"),0.0)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IFERROR(__xludf.DUMMYFUNCTION("IMPORTRANGE(""https://docs.google.com/spreadsheets/d/1XL5vhW3sbDhbH9Cz0tuDiY8C3ctxq1tqvaCgkFb8cCA/edit?usp=sharing"",""ร้อยเอ็ด!I381"")"),0.0)</f>
        <v>0</v>
      </c>
      <c r="J486" s="223">
        <f>IFERROR(__xludf.DUMMYFUNCTION("IMPORTRANGE(""https://docs.google.com/spreadsheets/d/1XL5vhW3sbDhbH9Cz0tuDiY8C3ctxq1tqvaCgkFb8cCA/edit?usp=sharing"",""ร้อยเอ็ด!J381"")"),0.0)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IFERROR(__xludf.DUMMYFUNCTION("IMPORTRANGE(""https://docs.google.com/spreadsheets/d/1XL5vhW3sbDhbH9Cz0tuDiY8C3ctxq1tqvaCgkFb8cCA/edit?usp=sharing"",""ร้อยเอ็ด!I382"")"),0.0)</f>
        <v>0</v>
      </c>
      <c r="J487" s="453">
        <f>IFERROR(__xludf.DUMMYFUNCTION("IMPORTRANGE(""https://docs.google.com/spreadsheets/d/1XL5vhW3sbDhbH9Cz0tuDiY8C3ctxq1tqvaCgkFb8cCA/edit?usp=sharing"",""ร้อยเอ็ด!J382"")"),0.0)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IFERROR(__xludf.DUMMYFUNCTION("IMPORTRANGE(""https://docs.google.com/spreadsheets/d/1XL5vhW3sbDhbH9Cz0tuDiY8C3ctxq1tqvaCgkFb8cCA/edit?usp=sharing"",""ร้อยเอ็ด!I383"")"),0.0)</f>
        <v>0</v>
      </c>
      <c r="J488" s="453">
        <f>IFERROR(__xludf.DUMMYFUNCTION("IMPORTRANGE(""https://docs.google.com/spreadsheets/d/1XL5vhW3sbDhbH9Cz0tuDiY8C3ctxq1tqvaCgkFb8cCA/edit?usp=sharing"",""ร้อยเอ็ด!J383"")"),0.0)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IFERROR(__xludf.DUMMYFUNCTION("IMPORTRANGE(""https://docs.google.com/spreadsheets/d/1XL5vhW3sbDhbH9Cz0tuDiY8C3ctxq1tqvaCgkFb8cCA/edit?usp=sharing"",""ร้อยเอ็ด!I384"")"),0.0)</f>
        <v>0</v>
      </c>
      <c r="J489" s="223">
        <f>IFERROR(__xludf.DUMMYFUNCTION("IMPORTRANGE(""https://docs.google.com/spreadsheets/d/1XL5vhW3sbDhbH9Cz0tuDiY8C3ctxq1tqvaCgkFb8cCA/edit?usp=sharing"",""ร้อยเอ็ด!J384"")"),0.0)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IFERROR(__xludf.DUMMYFUNCTION("IMPORTRANGE(""https://docs.google.com/spreadsheets/d/1XL5vhW3sbDhbH9Cz0tuDiY8C3ctxq1tqvaCgkFb8cCA/edit?usp=sharing"",""ร้อยเอ็ด!I385"")"),0.0)</f>
        <v>0</v>
      </c>
      <c r="J490" s="223">
        <f>IFERROR(__xludf.DUMMYFUNCTION("IMPORTRANGE(""https://docs.google.com/spreadsheets/d/1XL5vhW3sbDhbH9Cz0tuDiY8C3ctxq1tqvaCgkFb8cCA/edit?usp=sharing"",""ร้อยเอ็ด!J385"")"),0.0)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IFERROR(__xludf.DUMMYFUNCTION("IMPORTRANGE(""https://docs.google.com/spreadsheets/d/1XL5vhW3sbDhbH9Cz0tuDiY8C3ctxq1tqvaCgkFb8cCA/edit?usp=sharing"",""ร้อยเอ็ด!I386"")"),0.0)</f>
        <v>0</v>
      </c>
      <c r="J491" s="223">
        <f>IFERROR(__xludf.DUMMYFUNCTION("IMPORTRANGE(""https://docs.google.com/spreadsheets/d/1XL5vhW3sbDhbH9Cz0tuDiY8C3ctxq1tqvaCgkFb8cCA/edit?usp=sharing"",""ร้อยเอ็ด!J386"")"),0.0)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IFERROR(__xludf.DUMMYFUNCTION("IMPORTRANGE(""https://docs.google.com/spreadsheets/d/1XL5vhW3sbDhbH9Cz0tuDiY8C3ctxq1tqvaCgkFb8cCA/edit?usp=sharing"",""ร้อยเอ็ด!I387"")"),0.0)</f>
        <v>0</v>
      </c>
      <c r="J492" s="223">
        <f>IFERROR(__xludf.DUMMYFUNCTION("IMPORTRANGE(""https://docs.google.com/spreadsheets/d/1XL5vhW3sbDhbH9Cz0tuDiY8C3ctxq1tqvaCgkFb8cCA/edit?usp=sharing"",""ร้อยเอ็ด!J387"")"),0.0)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IFERROR(__xludf.DUMMYFUNCTION("IMPORTRANGE(""https://docs.google.com/spreadsheets/d/1XL5vhW3sbDhbH9Cz0tuDiY8C3ctxq1tqvaCgkFb8cCA/edit?usp=sharing"",""ร้อยเอ็ด!I388"")"),0.0)</f>
        <v>0</v>
      </c>
      <c r="J493" s="223">
        <f>IFERROR(__xludf.DUMMYFUNCTION("IMPORTRANGE(""https://docs.google.com/spreadsheets/d/1XL5vhW3sbDhbH9Cz0tuDiY8C3ctxq1tqvaCgkFb8cCA/edit?usp=sharing"",""ร้อยเอ็ด!J388"")"),0.0)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IFERROR(__xludf.DUMMYFUNCTION("IMPORTRANGE(""https://docs.google.com/spreadsheets/d/1XL5vhW3sbDhbH9Cz0tuDiY8C3ctxq1tqvaCgkFb8cCA/edit?usp=sharing"",""ร้อยเอ็ด!I389"")"),0.0)</f>
        <v>0</v>
      </c>
      <c r="J494" s="469">
        <f>IFERROR(__xludf.DUMMYFUNCTION("IMPORTRANGE(""https://docs.google.com/spreadsheets/d/1XL5vhW3sbDhbH9Cz0tuDiY8C3ctxq1tqvaCgkFb8cCA/edit?usp=sharing"",""ร้อยเอ็ด!J389"")"),0.0)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IFERROR(__xludf.DUMMYFUNCTION("IMPORTRANGE(""https://docs.google.com/spreadsheets/d/1XL5vhW3sbDhbH9Cz0tuDiY8C3ctxq1tqvaCgkFb8cCA/edit?usp=sharing"",""ร้อยเอ็ด!I390"")"),0.0)</f>
        <v>0</v>
      </c>
      <c r="J495" s="469">
        <f>IFERROR(__xludf.DUMMYFUNCTION("IMPORTRANGE(""https://docs.google.com/spreadsheets/d/1XL5vhW3sbDhbH9Cz0tuDiY8C3ctxq1tqvaCgkFb8cCA/edit?usp=sharing"",""ร้อยเอ็ด!J390"")"),0.0)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IFERROR(__xludf.DUMMYFUNCTION("IMPORTRANGE(""https://docs.google.com/spreadsheets/d/1XL5vhW3sbDhbH9Cz0tuDiY8C3ctxq1tqvaCgkFb8cCA/edit?usp=sharing"",""ร้อยเอ็ด!I391"")"),0.0)</f>
        <v>0</v>
      </c>
      <c r="J496" s="469">
        <f>IFERROR(__xludf.DUMMYFUNCTION("IMPORTRANGE(""https://docs.google.com/spreadsheets/d/1XL5vhW3sbDhbH9Cz0tuDiY8C3ctxq1tqvaCgkFb8cCA/edit?usp=sharing"",""ร้อยเอ็ด!J391"")"),0.0)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IFERROR(__xludf.DUMMYFUNCTION("IMPORTRANGE(""https://docs.google.com/spreadsheets/d/1XL5vhW3sbDhbH9Cz0tuDiY8C3ctxq1tqvaCgkFb8cCA/edit?usp=sharing"",""ร้อยเอ็ด!I392"")"),914.0)</f>
        <v>914</v>
      </c>
      <c r="J497" s="476">
        <f>IFERROR(__xludf.DUMMYFUNCTION("IMPORTRANGE(""https://docs.google.com/spreadsheets/d/1XL5vhW3sbDhbH9Cz0tuDiY8C3ctxq1tqvaCgkFb8cCA/edit?usp=sharing"",""ร้อยเอ็ด!J392"")"),0.0)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IFERROR(__xludf.DUMMYFUNCTION("IMPORTRANGE(""https://docs.google.com/spreadsheets/d/1XL5vhW3sbDhbH9Cz0tuDiY8C3ctxq1tqvaCgkFb8cCA/edit?usp=sharing"",""ร้อยเอ็ด!I393"")"),914.0)</f>
        <v>914</v>
      </c>
      <c r="J498" s="453">
        <f>IFERROR(__xludf.DUMMYFUNCTION("IMPORTRANGE(""https://docs.google.com/spreadsheets/d/1XL5vhW3sbDhbH9Cz0tuDiY8C3ctxq1tqvaCgkFb8cCA/edit?usp=sharing"",""ร้อยเอ็ด!J393"")"),0.0)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IFERROR(__xludf.DUMMYFUNCTION("IMPORTRANGE(""https://docs.google.com/spreadsheets/d/1XL5vhW3sbDhbH9Cz0tuDiY8C3ctxq1tqvaCgkFb8cCA/edit?usp=sharing"",""ร้อยเอ็ด!I394"")"),99.0)</f>
        <v>99</v>
      </c>
      <c r="J499" s="453">
        <f>IFERROR(__xludf.DUMMYFUNCTION("IMPORTRANGE(""https://docs.google.com/spreadsheets/d/1XL5vhW3sbDhbH9Cz0tuDiY8C3ctxq1tqvaCgkFb8cCA/edit?usp=sharing"",""ร้อยเอ็ด!J394"")"),0.0)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IFERROR(__xludf.DUMMYFUNCTION("IMPORTRANGE(""https://docs.google.com/spreadsheets/d/1XL5vhW3sbDhbH9Cz0tuDiY8C3ctxq1tqvaCgkFb8cCA/edit?usp=sharing"",""ร้อยเอ็ด!I395"")"),0.0)</f>
        <v>0</v>
      </c>
      <c r="J500" s="195">
        <f>IFERROR(__xludf.DUMMYFUNCTION("IMPORTRANGE(""https://docs.google.com/spreadsheets/d/1XL5vhW3sbDhbH9Cz0tuDiY8C3ctxq1tqvaCgkFb8cCA/edit?usp=sharing"",""ร้อยเอ็ด!J395"")"),0.0)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IFERROR(__xludf.DUMMYFUNCTION("IMPORTRANGE(""https://docs.google.com/spreadsheets/d/1XL5vhW3sbDhbH9Cz0tuDiY8C3ctxq1tqvaCgkFb8cCA/edit?usp=sharing"",""ร้อยเอ็ด!I396"")"),0.0)</f>
        <v>0</v>
      </c>
      <c r="J501" s="195">
        <f>IFERROR(__xludf.DUMMYFUNCTION("IMPORTRANGE(""https://docs.google.com/spreadsheets/d/1XL5vhW3sbDhbH9Cz0tuDiY8C3ctxq1tqvaCgkFb8cCA/edit?usp=sharing"",""ร้อยเอ็ด!J396"")"),0.0)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IFERROR(__xludf.DUMMYFUNCTION("IMPORTRANGE(""https://docs.google.com/spreadsheets/d/1XL5vhW3sbDhbH9Cz0tuDiY8C3ctxq1tqvaCgkFb8cCA/edit?usp=sharing"",""ร้อยเอ็ด!I397"")"),0.0)</f>
        <v>0</v>
      </c>
      <c r="J502" s="223">
        <f>IFERROR(__xludf.DUMMYFUNCTION("IMPORTRANGE(""https://docs.google.com/spreadsheets/d/1XL5vhW3sbDhbH9Cz0tuDiY8C3ctxq1tqvaCgkFb8cCA/edit?usp=sharing"",""ร้อยเอ็ด!J397"")"),0.0)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IFERROR(__xludf.DUMMYFUNCTION("IMPORTRANGE(""https://docs.google.com/spreadsheets/d/1XL5vhW3sbDhbH9Cz0tuDiY8C3ctxq1tqvaCgkFb8cCA/edit?usp=sharing"",""ร้อยเอ็ด!I398"")"),0.0)</f>
        <v>0</v>
      </c>
      <c r="J503" s="232">
        <f>IFERROR(__xludf.DUMMYFUNCTION("IMPORTRANGE(""https://docs.google.com/spreadsheets/d/1XL5vhW3sbDhbH9Cz0tuDiY8C3ctxq1tqvaCgkFb8cCA/edit?usp=sharing"",""ร้อยเอ็ด!J398"")"),0.0)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IFERROR(__xludf.DUMMYFUNCTION("IMPORTRANGE(""https://docs.google.com/spreadsheets/d/1XL5vhW3sbDhbH9Cz0tuDiY8C3ctxq1tqvaCgkFb8cCA/edit?usp=sharing"",""ร้อยเอ็ด!I399"")"),0.0)</f>
        <v>0</v>
      </c>
      <c r="J504" s="223">
        <f>IFERROR(__xludf.DUMMYFUNCTION("IMPORTRANGE(""https://docs.google.com/spreadsheets/d/1XL5vhW3sbDhbH9Cz0tuDiY8C3ctxq1tqvaCgkFb8cCA/edit?usp=sharing"",""ร้อยเอ็ด!J399"")"),0.0)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IFERROR(__xludf.DUMMYFUNCTION("IMPORTRANGE(""https://docs.google.com/spreadsheets/d/1XL5vhW3sbDhbH9Cz0tuDiY8C3ctxq1tqvaCgkFb8cCA/edit?usp=sharing"",""ร้อยเอ็ด!I400"")"),0.0)</f>
        <v>0</v>
      </c>
      <c r="J505" s="232">
        <f>IFERROR(__xludf.DUMMYFUNCTION("IMPORTRANGE(""https://docs.google.com/spreadsheets/d/1XL5vhW3sbDhbH9Cz0tuDiY8C3ctxq1tqvaCgkFb8cCA/edit?usp=sharing"",""ร้อยเอ็ด!J400"")"),0.0)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IFERROR(__xludf.DUMMYFUNCTION("IMPORTRANGE(""https://docs.google.com/spreadsheets/d/1XL5vhW3sbDhbH9Cz0tuDiY8C3ctxq1tqvaCgkFb8cCA/edit?usp=sharing"",""ร้อยเอ็ด!I401"")"),0.0)</f>
        <v>0</v>
      </c>
      <c r="J506" s="223">
        <f>IFERROR(__xludf.DUMMYFUNCTION("IMPORTRANGE(""https://docs.google.com/spreadsheets/d/1XL5vhW3sbDhbH9Cz0tuDiY8C3ctxq1tqvaCgkFb8cCA/edit?usp=sharing"",""ร้อยเอ็ด!J401"")"),0.0)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IFERROR(__xludf.DUMMYFUNCTION("IMPORTRANGE(""https://docs.google.com/spreadsheets/d/1XL5vhW3sbDhbH9Cz0tuDiY8C3ctxq1tqvaCgkFb8cCA/edit?usp=sharing"",""ร้อยเอ็ด!I402"")"),0.0)</f>
        <v>0</v>
      </c>
      <c r="J507" s="232">
        <f>IFERROR(__xludf.DUMMYFUNCTION("IMPORTRANGE(""https://docs.google.com/spreadsheets/d/1XL5vhW3sbDhbH9Cz0tuDiY8C3ctxq1tqvaCgkFb8cCA/edit?usp=sharing"",""ร้อยเอ็ด!J402"")"),0.0)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IFERROR(__xludf.DUMMYFUNCTION("IMPORTRANGE(""https://docs.google.com/spreadsheets/d/1XL5vhW3sbDhbH9Cz0tuDiY8C3ctxq1tqvaCgkFb8cCA/edit?usp=sharing"",""ร้อยเอ็ด!I403"")"),0.0)</f>
        <v>0</v>
      </c>
      <c r="J508" s="195">
        <f>IFERROR(__xludf.DUMMYFUNCTION("IMPORTRANGE(""https://docs.google.com/spreadsheets/d/1XL5vhW3sbDhbH9Cz0tuDiY8C3ctxq1tqvaCgkFb8cCA/edit?usp=sharing"",""ร้อยเอ็ด!J403"")"),0.0)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IFERROR(__xludf.DUMMYFUNCTION("IMPORTRANGE(""https://docs.google.com/spreadsheets/d/1XL5vhW3sbDhbH9Cz0tuDiY8C3ctxq1tqvaCgkFb8cCA/edit?usp=sharing"",""ร้อยเอ็ด!I404"")"),0.0)</f>
        <v>0</v>
      </c>
      <c r="J509" s="195">
        <f>IFERROR(__xludf.DUMMYFUNCTION("IMPORTRANGE(""https://docs.google.com/spreadsheets/d/1XL5vhW3sbDhbH9Cz0tuDiY8C3ctxq1tqvaCgkFb8cCA/edit?usp=sharing"",""ร้อยเอ็ด!J404"")"),0.0)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IFERROR(__xludf.DUMMYFUNCTION("IMPORTRANGE(""https://docs.google.com/spreadsheets/d/1XL5vhW3sbDhbH9Cz0tuDiY8C3ctxq1tqvaCgkFb8cCA/edit?usp=sharing"",""ร้อยเอ็ด!I405"")"),0.0)</f>
        <v>0</v>
      </c>
      <c r="J510" s="232">
        <f>IFERROR(__xludf.DUMMYFUNCTION("IMPORTRANGE(""https://docs.google.com/spreadsheets/d/1XL5vhW3sbDhbH9Cz0tuDiY8C3ctxq1tqvaCgkFb8cCA/edit?usp=sharing"",""ร้อยเอ็ด!J405"")"),0.0)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IFERROR(__xludf.DUMMYFUNCTION("IMPORTRANGE(""https://docs.google.com/spreadsheets/d/1XL5vhW3sbDhbH9Cz0tuDiY8C3ctxq1tqvaCgkFb8cCA/edit?usp=sharing"",""ร้อยเอ็ด!I406"")"),0.0)</f>
        <v>0</v>
      </c>
      <c r="J511" s="232">
        <f>IFERROR(__xludf.DUMMYFUNCTION("IMPORTRANGE(""https://docs.google.com/spreadsheets/d/1XL5vhW3sbDhbH9Cz0tuDiY8C3ctxq1tqvaCgkFb8cCA/edit?usp=sharing"",""ร้อยเอ็ด!J406"")"),0.0)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IFERROR(__xludf.DUMMYFUNCTION("IMPORTRANGE(""https://docs.google.com/spreadsheets/d/1XL5vhW3sbDhbH9Cz0tuDiY8C3ctxq1tqvaCgkFb8cCA/edit?usp=sharing"",""ร้อยเอ็ด!I407"")"),0.0)</f>
        <v>0</v>
      </c>
      <c r="J512" s="232">
        <f>IFERROR(__xludf.DUMMYFUNCTION("IMPORTRANGE(""https://docs.google.com/spreadsheets/d/1XL5vhW3sbDhbH9Cz0tuDiY8C3ctxq1tqvaCgkFb8cCA/edit?usp=sharing"",""ร้อยเอ็ด!J407"")"),0.0)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IFERROR(__xludf.DUMMYFUNCTION("IMPORTRANGE(""https://docs.google.com/spreadsheets/d/1XL5vhW3sbDhbH9Cz0tuDiY8C3ctxq1tqvaCgkFb8cCA/edit?usp=sharing"",""ร้อยเอ็ด!I408"")"),0.0)</f>
        <v>0</v>
      </c>
      <c r="J513" s="232">
        <f>IFERROR(__xludf.DUMMYFUNCTION("IMPORTRANGE(""https://docs.google.com/spreadsheets/d/1XL5vhW3sbDhbH9Cz0tuDiY8C3ctxq1tqvaCgkFb8cCA/edit?usp=sharing"",""ร้อยเอ็ด!J408"")"),0.0)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IFERROR(__xludf.DUMMYFUNCTION("IMPORTRANGE(""https://docs.google.com/spreadsheets/d/1XL5vhW3sbDhbH9Cz0tuDiY8C3ctxq1tqvaCgkFb8cCA/edit?usp=sharing"",""ร้อยเอ็ด!I409"")"),0.0)</f>
        <v>0</v>
      </c>
      <c r="J514" s="232">
        <f>IFERROR(__xludf.DUMMYFUNCTION("IMPORTRANGE(""https://docs.google.com/spreadsheets/d/1XL5vhW3sbDhbH9Cz0tuDiY8C3ctxq1tqvaCgkFb8cCA/edit?usp=sharing"",""ร้อยเอ็ด!J409"")"),0.0)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IFERROR(__xludf.DUMMYFUNCTION("IMPORTRANGE(""https://docs.google.com/spreadsheets/d/1XL5vhW3sbDhbH9Cz0tuDiY8C3ctxq1tqvaCgkFb8cCA/edit?usp=sharing"",""ร้อยเอ็ด!I410"")"),0.0)</f>
        <v>0</v>
      </c>
      <c r="J515" s="232">
        <f>IFERROR(__xludf.DUMMYFUNCTION("IMPORTRANGE(""https://docs.google.com/spreadsheets/d/1XL5vhW3sbDhbH9Cz0tuDiY8C3ctxq1tqvaCgkFb8cCA/edit?usp=sharing"",""ร้อยเอ็ด!J410"")"),0.0)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IFERROR(__xludf.DUMMYFUNCTION("IMPORTRANGE(""https://docs.google.com/spreadsheets/d/1XL5vhW3sbDhbH9Cz0tuDiY8C3ctxq1tqvaCgkFb8cCA/edit?usp=sharing"",""ร้อยเอ็ด!I411"")"),0.0)</f>
        <v>0</v>
      </c>
      <c r="J516" s="301">
        <f>IFERROR(__xludf.DUMMYFUNCTION("IMPORTRANGE(""https://docs.google.com/spreadsheets/d/1XL5vhW3sbDhbH9Cz0tuDiY8C3ctxq1tqvaCgkFb8cCA/edit?usp=sharing"",""ร้อยเอ็ด!J411"")"),0.0)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IFERROR(__xludf.DUMMYFUNCTION("IMPORTRANGE(""https://docs.google.com/spreadsheets/d/1XL5vhW3sbDhbH9Cz0tuDiY8C3ctxq1tqvaCgkFb8cCA/edit?usp=sharing"",""ร้อยเอ็ด!I412"")"),0.0)</f>
        <v>0</v>
      </c>
      <c r="J517" s="317">
        <f>IFERROR(__xludf.DUMMYFUNCTION("IMPORTRANGE(""https://docs.google.com/spreadsheets/d/1XL5vhW3sbDhbH9Cz0tuDiY8C3ctxq1tqvaCgkFb8cCA/edit?usp=sharing"",""ร้อยเอ็ด!J412"")"),0.0)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IFERROR(__xludf.DUMMYFUNCTION("IMPORTRANGE(""https://docs.google.com/spreadsheets/d/1XL5vhW3sbDhbH9Cz0tuDiY8C3ctxq1tqvaCgkFb8cCA/edit?usp=sharing"",""ร้อยเอ็ด!I413"")"),0.0)</f>
        <v>0</v>
      </c>
      <c r="J518" s="317">
        <f>IFERROR(__xludf.DUMMYFUNCTION("IMPORTRANGE(""https://docs.google.com/spreadsheets/d/1XL5vhW3sbDhbH9Cz0tuDiY8C3ctxq1tqvaCgkFb8cCA/edit?usp=sharing"",""ร้อยเอ็ด!J413"")"),0.0)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IFERROR(__xludf.DUMMYFUNCTION("IMPORTRANGE(""https://docs.google.com/spreadsheets/d/1XL5vhW3sbDhbH9Cz0tuDiY8C3ctxq1tqvaCgkFb8cCA/edit?usp=sharing"",""ร้อยเอ็ด!I414"")"),0.0)</f>
        <v>0</v>
      </c>
      <c r="J519" s="222">
        <f>IFERROR(__xludf.DUMMYFUNCTION("IMPORTRANGE(""https://docs.google.com/spreadsheets/d/1XL5vhW3sbDhbH9Cz0tuDiY8C3ctxq1tqvaCgkFb8cCA/edit?usp=sharing"",""ร้อยเอ็ด!J414"")"),0.0)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IFERROR(__xludf.DUMMYFUNCTION("IMPORTRANGE(""https://docs.google.com/spreadsheets/d/1XL5vhW3sbDhbH9Cz0tuDiY8C3ctxq1tqvaCgkFb8cCA/edit?usp=sharing"",""ร้อยเอ็ด!I415"")"),0.0)</f>
        <v>0</v>
      </c>
      <c r="J520" s="222">
        <f>IFERROR(__xludf.DUMMYFUNCTION("IMPORTRANGE(""https://docs.google.com/spreadsheets/d/1XL5vhW3sbDhbH9Cz0tuDiY8C3ctxq1tqvaCgkFb8cCA/edit?usp=sharing"",""ร้อยเอ็ด!J415"")"),0.0)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IFERROR(__xludf.DUMMYFUNCTION("IMPORTRANGE(""https://docs.google.com/spreadsheets/d/1XL5vhW3sbDhbH9Cz0tuDiY8C3ctxq1tqvaCgkFb8cCA/edit?usp=sharing"",""ร้อยเอ็ด!I416"")"),0.0)</f>
        <v>0</v>
      </c>
      <c r="J521" s="222">
        <f>IFERROR(__xludf.DUMMYFUNCTION("IMPORTRANGE(""https://docs.google.com/spreadsheets/d/1XL5vhW3sbDhbH9Cz0tuDiY8C3ctxq1tqvaCgkFb8cCA/edit?usp=sharing"",""ร้อยเอ็ด!J416"")"),0.0)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IFERROR(__xludf.DUMMYFUNCTION("IMPORTRANGE(""https://docs.google.com/spreadsheets/d/1XL5vhW3sbDhbH9Cz0tuDiY8C3ctxq1tqvaCgkFb8cCA/edit?usp=sharing"",""ร้อยเอ็ด!I417"")"),0.0)</f>
        <v>0</v>
      </c>
      <c r="J522" s="222">
        <f>IFERROR(__xludf.DUMMYFUNCTION("IMPORTRANGE(""https://docs.google.com/spreadsheets/d/1XL5vhW3sbDhbH9Cz0tuDiY8C3ctxq1tqvaCgkFb8cCA/edit?usp=sharing"",""ร้อยเอ็ด!J417"")"),0.0)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IFERROR(__xludf.DUMMYFUNCTION("IMPORTRANGE(""https://docs.google.com/spreadsheets/d/1XL5vhW3sbDhbH9Cz0tuDiY8C3ctxq1tqvaCgkFb8cCA/edit?usp=sharing"",""ร้อยเอ็ด!I418"")"),0.0)</f>
        <v>0</v>
      </c>
      <c r="J523" s="222">
        <f>IFERROR(__xludf.DUMMYFUNCTION("IMPORTRANGE(""https://docs.google.com/spreadsheets/d/1XL5vhW3sbDhbH9Cz0tuDiY8C3ctxq1tqvaCgkFb8cCA/edit?usp=sharing"",""ร้อยเอ็ด!J418"")"),0.0)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IFERROR(__xludf.DUMMYFUNCTION("IMPORTRANGE(""https://docs.google.com/spreadsheets/d/1XL5vhW3sbDhbH9Cz0tuDiY8C3ctxq1tqvaCgkFb8cCA/edit?usp=sharing"",""ร้อยเอ็ด!I419"")"),0.0)</f>
        <v>0</v>
      </c>
      <c r="J524" s="222">
        <f>IFERROR(__xludf.DUMMYFUNCTION("IMPORTRANGE(""https://docs.google.com/spreadsheets/d/1XL5vhW3sbDhbH9Cz0tuDiY8C3ctxq1tqvaCgkFb8cCA/edit?usp=sharing"",""ร้อยเอ็ด!J419"")"),0.0)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IFERROR(__xludf.DUMMYFUNCTION("IMPORTRANGE(""https://docs.google.com/spreadsheets/d/1XL5vhW3sbDhbH9Cz0tuDiY8C3ctxq1tqvaCgkFb8cCA/edit?usp=sharing"",""ร้อยเอ็ด!I420"")"),0.0)</f>
        <v>0</v>
      </c>
      <c r="J525" s="317">
        <f>IFERROR(__xludf.DUMMYFUNCTION("IMPORTRANGE(""https://docs.google.com/spreadsheets/d/1XL5vhW3sbDhbH9Cz0tuDiY8C3ctxq1tqvaCgkFb8cCA/edit?usp=sharing"",""ร้อยเอ็ด!J420"")"),0.0)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IFERROR(__xludf.DUMMYFUNCTION("IMPORTRANGE(""https://docs.google.com/spreadsheets/d/1XL5vhW3sbDhbH9Cz0tuDiY8C3ctxq1tqvaCgkFb8cCA/edit?usp=sharing"",""ร้อยเอ็ด!I421"")"),0.0)</f>
        <v>0</v>
      </c>
      <c r="J526" s="317">
        <f>IFERROR(__xludf.DUMMYFUNCTION("IMPORTRANGE(""https://docs.google.com/spreadsheets/d/1XL5vhW3sbDhbH9Cz0tuDiY8C3ctxq1tqvaCgkFb8cCA/edit?usp=sharing"",""ร้อยเอ็ด!J421"")"),0.0)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IFERROR(__xludf.DUMMYFUNCTION("IMPORTRANGE(""https://docs.google.com/spreadsheets/d/1XL5vhW3sbDhbH9Cz0tuDiY8C3ctxq1tqvaCgkFb8cCA/edit?usp=sharing"",""ร้อยเอ็ด!I422"")"),0.0)</f>
        <v>0</v>
      </c>
      <c r="J527" s="232">
        <f>IFERROR(__xludf.DUMMYFUNCTION("IMPORTRANGE(""https://docs.google.com/spreadsheets/d/1XL5vhW3sbDhbH9Cz0tuDiY8C3ctxq1tqvaCgkFb8cCA/edit?usp=sharing"",""ร้อยเอ็ด!J422"")"),0.0)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IFERROR(__xludf.DUMMYFUNCTION("IMPORTRANGE(""https://docs.google.com/spreadsheets/d/1XL5vhW3sbDhbH9Cz0tuDiY8C3ctxq1tqvaCgkFb8cCA/edit?usp=sharing"",""ร้อยเอ็ด!I423"")"),0.0)</f>
        <v>0</v>
      </c>
      <c r="J528" s="232">
        <f>IFERROR(__xludf.DUMMYFUNCTION("IMPORTRANGE(""https://docs.google.com/spreadsheets/d/1XL5vhW3sbDhbH9Cz0tuDiY8C3ctxq1tqvaCgkFb8cCA/edit?usp=sharing"",""ร้อยเอ็ด!J423"")"),0.0)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IFERROR(__xludf.DUMMYFUNCTION("IMPORTRANGE(""https://docs.google.com/spreadsheets/d/1XL5vhW3sbDhbH9Cz0tuDiY8C3ctxq1tqvaCgkFb8cCA/edit?usp=sharing"",""ร้อยเอ็ด!I424"")"),0.0)</f>
        <v>0</v>
      </c>
      <c r="J529" s="232">
        <f>IFERROR(__xludf.DUMMYFUNCTION("IMPORTRANGE(""https://docs.google.com/spreadsheets/d/1XL5vhW3sbDhbH9Cz0tuDiY8C3ctxq1tqvaCgkFb8cCA/edit?usp=sharing"",""ร้อยเอ็ด!J424"")"),0.0)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IFERROR(__xludf.DUMMYFUNCTION("IMPORTRANGE(""https://docs.google.com/spreadsheets/d/1XL5vhW3sbDhbH9Cz0tuDiY8C3ctxq1tqvaCgkFb8cCA/edit?usp=sharing"",""ร้อยเอ็ด!I425"")"),0.0)</f>
        <v>0</v>
      </c>
      <c r="J530" s="232">
        <f>IFERROR(__xludf.DUMMYFUNCTION("IMPORTRANGE(""https://docs.google.com/spreadsheets/d/1XL5vhW3sbDhbH9Cz0tuDiY8C3ctxq1tqvaCgkFb8cCA/edit?usp=sharing"",""ร้อยเอ็ด!J425"")"),0.0)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IFERROR(__xludf.DUMMYFUNCTION("IMPORTRANGE(""https://docs.google.com/spreadsheets/d/1XL5vhW3sbDhbH9Cz0tuDiY8C3ctxq1tqvaCgkFb8cCA/edit?usp=sharing"",""ร้อยเอ็ด!I426"")"),0.0)</f>
        <v>0</v>
      </c>
      <c r="J531" s="232">
        <f>IFERROR(__xludf.DUMMYFUNCTION("IMPORTRANGE(""https://docs.google.com/spreadsheets/d/1XL5vhW3sbDhbH9Cz0tuDiY8C3ctxq1tqvaCgkFb8cCA/edit?usp=sharing"",""ร้อยเอ็ด!J426"")"),0.0)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IFERROR(__xludf.DUMMYFUNCTION("IMPORTRANGE(""https://docs.google.com/spreadsheets/d/1XL5vhW3sbDhbH9Cz0tuDiY8C3ctxq1tqvaCgkFb8cCA/edit?usp=sharing"",""ร้อยเอ็ด!I427"")"),0.0)</f>
        <v>0</v>
      </c>
      <c r="J532" s="499">
        <f>IFERROR(__xludf.DUMMYFUNCTION("IMPORTRANGE(""https://docs.google.com/spreadsheets/d/1XL5vhW3sbDhbH9Cz0tuDiY8C3ctxq1tqvaCgkFb8cCA/edit?usp=sharing"",""ร้อยเอ็ด!J427"")"),0.0)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IFERROR(__xludf.DUMMYFUNCTION("IMPORTRANGE(""https://docs.google.com/spreadsheets/d/1XL5vhW3sbDhbH9Cz0tuDiY8C3ctxq1tqvaCgkFb8cCA/edit?usp=sharing"",""ร้อยเอ็ด!I428"")"),22.0)</f>
        <v>22</v>
      </c>
      <c r="J533" s="443">
        <f>IFERROR(__xludf.DUMMYFUNCTION("IMPORTRANGE(""https://docs.google.com/spreadsheets/d/1XL5vhW3sbDhbH9Cz0tuDiY8C3ctxq1tqvaCgkFb8cCA/edit?usp=sharing"",""ร้อยเอ็ด!J428"")"),22.0)</f>
        <v>22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IFERROR(__xludf.DUMMYFUNCTION("IMPORTRANGE(""https://docs.google.com/spreadsheets/d/1XL5vhW3sbDhbH9Cz0tuDiY8C3ctxq1tqvaCgkFb8cCA/edit?usp=sharing"",""ร้อยเอ็ด!L428"")"),34340.0)</f>
        <v>34340</v>
      </c>
      <c r="M533" s="445"/>
      <c r="N533" s="445">
        <f>IFERROR(__xludf.DUMMYFUNCTION("IMPORTRANGE(""https://docs.google.com/spreadsheets/d/1XL5vhW3sbDhbH9Cz0tuDiY8C3ctxq1tqvaCgkFb8cCA/edit?usp=sharing"",""ร้อยเอ็ด!M428"")"),20580.0)</f>
        <v>20580</v>
      </c>
      <c r="O533" s="445">
        <f t="shared" ref="O533:O537" si="119">+IF(L533&gt;0,N533*100/L533,0)</f>
        <v>59.93011066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IFERROR(__xludf.DUMMYFUNCTION("IMPORTRANGE(""https://docs.google.com/spreadsheets/d/1XL5vhW3sbDhbH9Cz0tuDiY8C3ctxq1tqvaCgkFb8cCA/edit?usp=sharing"",""ร้อยเอ็ด!L429"")"),0.0)</f>
        <v>0</v>
      </c>
      <c r="M534" s="197"/>
      <c r="N534" s="203">
        <f>IFERROR(__xludf.DUMMYFUNCTION("IMPORTRANGE(""https://docs.google.com/spreadsheets/d/1XL5vhW3sbDhbH9Cz0tuDiY8C3ctxq1tqvaCgkFb8cCA/edit?usp=sharing"",""ร้อยเอ็ด!M429"")"),0.0)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IFERROR(__xludf.DUMMYFUNCTION("IMPORTRANGE(""https://docs.google.com/spreadsheets/d/1XL5vhW3sbDhbH9Cz0tuDiY8C3ctxq1tqvaCgkFb8cCA/edit?usp=sharing"",""ร้อยเอ็ด!L430"")"),34340.0)</f>
        <v>34340</v>
      </c>
      <c r="M535" s="198"/>
      <c r="N535" s="203">
        <f>IFERROR(__xludf.DUMMYFUNCTION("IMPORTRANGE(""https://docs.google.com/spreadsheets/d/1XL5vhW3sbDhbH9Cz0tuDiY8C3ctxq1tqvaCgkFb8cCA/edit?usp=sharing"",""ร้อยเอ็ด!M430"")"),20580.0)</f>
        <v>20580</v>
      </c>
      <c r="O535" s="203">
        <f t="shared" si="119"/>
        <v>59.93011066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IFERROR(__xludf.DUMMYFUNCTION("IMPORTRANGE(""https://docs.google.com/spreadsheets/d/1XL5vhW3sbDhbH9Cz0tuDiY8C3ctxq1tqvaCgkFb8cCA/edit?usp=sharing"",""ร้อยเอ็ด!L431"")"),0.0)</f>
        <v>0</v>
      </c>
      <c r="M536" s="203"/>
      <c r="N536" s="203">
        <f>IFERROR(__xludf.DUMMYFUNCTION("IMPORTRANGE(""https://docs.google.com/spreadsheets/d/1XL5vhW3sbDhbH9Cz0tuDiY8C3ctxq1tqvaCgkFb8cCA/edit?usp=sharing"",""ร้อยเอ็ด!M431"")"),0.0)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IFERROR(__xludf.DUMMYFUNCTION("IMPORTRANGE(""https://docs.google.com/spreadsheets/d/1XL5vhW3sbDhbH9Cz0tuDiY8C3ctxq1tqvaCgkFb8cCA/edit?usp=sharing"",""ร้อยเอ็ด!L432"")"),34340.0)</f>
        <v>34340</v>
      </c>
      <c r="M537" s="203"/>
      <c r="N537" s="203">
        <f>IFERROR(__xludf.DUMMYFUNCTION("IMPORTRANGE(""https://docs.google.com/spreadsheets/d/1XL5vhW3sbDhbH9Cz0tuDiY8C3ctxq1tqvaCgkFb8cCA/edit?usp=sharing"",""ร้อยเอ็ด!M432"")"),20580.0)</f>
        <v>20580</v>
      </c>
      <c r="O537" s="203">
        <f t="shared" si="119"/>
        <v>59.93011066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IFERROR(__xludf.DUMMYFUNCTION("IMPORTRANGE(""https://docs.google.com/spreadsheets/d/1XL5vhW3sbDhbH9Cz0tuDiY8C3ctxq1tqvaCgkFb8cCA/edit?usp=sharing"",""ร้อยเอ็ด!M433"")"),19110.0)</f>
        <v>19110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IFERROR(__xludf.DUMMYFUNCTION("IMPORTRANGE(""https://docs.google.com/spreadsheets/d/1XL5vhW3sbDhbH9Cz0tuDiY8C3ctxq1tqvaCgkFb8cCA/edit?usp=sharing"",""ร้อยเอ็ด!M434"")"),0.0)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IFERROR(__xludf.DUMMYFUNCTION("IMPORTRANGE(""https://docs.google.com/spreadsheets/d/1XL5vhW3sbDhbH9Cz0tuDiY8C3ctxq1tqvaCgkFb8cCA/edit?usp=sharing"",""ร้อยเอ็ด!M435"")"),0.0)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IFERROR(__xludf.DUMMYFUNCTION("IMPORTRANGE(""https://docs.google.com/spreadsheets/d/1XL5vhW3sbDhbH9Cz0tuDiY8C3ctxq1tqvaCgkFb8cCA/edit?usp=sharing"",""ร้อยเอ็ด!M436"")"),1470.0)</f>
        <v>1470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IFERROR(__xludf.DUMMYFUNCTION("IMPORTRANGE(""https://docs.google.com/spreadsheets/d/1XL5vhW3sbDhbH9Cz0tuDiY8C3ctxq1tqvaCgkFb8cCA/edit?usp=sharing"",""ร้อยเอ็ด!J438"")"),0.0)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IFERROR(__xludf.DUMMYFUNCTION("IMPORTRANGE(""https://docs.google.com/spreadsheets/d/1XL5vhW3sbDhbH9Cz0tuDiY8C3ctxq1tqvaCgkFb8cCA/edit?usp=sharing"",""ร้อยเอ็ด!J439"")"),1.0)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IFERROR(__xludf.DUMMYFUNCTION("IMPORTRANGE(""https://docs.google.com/spreadsheets/d/1XL5vhW3sbDhbH9Cz0tuDiY8C3ctxq1tqvaCgkFb8cCA/edit?usp=sharing"",""ร้อยเอ็ด!J440"")"),1.0)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IFERROR(__xludf.DUMMYFUNCTION("IMPORTRANGE(""https://docs.google.com/spreadsheets/d/1XL5vhW3sbDhbH9Cz0tuDiY8C3ctxq1tqvaCgkFb8cCA/edit?usp=sharing"",""ร้อยเอ็ด!J441"")"),1.0)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IFERROR(__xludf.DUMMYFUNCTION("IMPORTRANGE(""https://docs.google.com/spreadsheets/d/1XL5vhW3sbDhbH9Cz0tuDiY8C3ctxq1tqvaCgkFb8cCA/edit?usp=sharing"",""ร้อยเอ็ด!I442"")"),22.0)</f>
        <v>22</v>
      </c>
      <c r="J547" s="223">
        <f>IFERROR(__xludf.DUMMYFUNCTION("IMPORTRANGE(""https://docs.google.com/spreadsheets/d/1XL5vhW3sbDhbH9Cz0tuDiY8C3ctxq1tqvaCgkFb8cCA/edit?usp=sharing"",""ร้อยเอ็ด!J442"")"),22.0)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IFERROR(__xludf.DUMMYFUNCTION("IMPORTRANGE(""https://docs.google.com/spreadsheets/d/1XL5vhW3sbDhbH9Cz0tuDiY8C3ctxq1tqvaCgkFb8cCA/edit?usp=sharing"",""ร้อยเอ็ด!J166"")"),0.0)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IFERROR(__xludf.DUMMYFUNCTION("IMPORTRANGE(""https://docs.google.com/spreadsheets/d/1XL5vhW3sbDhbH9Cz0tuDiY8C3ctxq1tqvaCgkFb8cCA/edit?usp=sharing"",""ร้อยเอ็ด!J444"")"),0.0)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IFERROR(__xludf.DUMMYFUNCTION("IMPORTRANGE(""https://docs.google.com/spreadsheets/d/1XL5vhW3sbDhbH9Cz0tuDiY8C3ctxq1tqvaCgkFb8cCA/edit?usp=sharing"",""ร้อยเอ็ด!J445"")"),0.0)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IFERROR(__xludf.DUMMYFUNCTION("IMPORTRANGE(""https://docs.google.com/spreadsheets/d/1XL5vhW3sbDhbH9Cz0tuDiY8C3ctxq1tqvaCgkFb8cCA/edit?usp=sharing"",""ร้อยเอ็ด!I446"")"),0.0)</f>
        <v>0</v>
      </c>
      <c r="J551" s="443">
        <f>IFERROR(__xludf.DUMMYFUNCTION("IMPORTRANGE(""https://docs.google.com/spreadsheets/d/1XL5vhW3sbDhbH9Cz0tuDiY8C3ctxq1tqvaCgkFb8cCA/edit?usp=sharing"",""ร้อยเอ็ด!J446"")"),0.0)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IFERROR(__xludf.DUMMYFUNCTION("IMPORTRANGE(""https://docs.google.com/spreadsheets/d/1XL5vhW3sbDhbH9Cz0tuDiY8C3ctxq1tqvaCgkFb8cCA/edit?usp=sharing"",""ร้อยเอ็ด!L446"")"),0.0)</f>
        <v>0</v>
      </c>
      <c r="M551" s="445"/>
      <c r="N551" s="445">
        <f>IFERROR(__xludf.DUMMYFUNCTION("IMPORTRANGE(""https://docs.google.com/spreadsheets/d/1XL5vhW3sbDhbH9Cz0tuDiY8C3ctxq1tqvaCgkFb8cCA/edit?usp=sharing"",""ร้อยเอ็ด!M446"")"),0.0)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IFERROR(__xludf.DUMMYFUNCTION("IMPORTRANGE(""https://docs.google.com/spreadsheets/d/1XL5vhW3sbDhbH9Cz0tuDiY8C3ctxq1tqvaCgkFb8cCA/edit?usp=sharing"",""ร้อยเอ็ด!L447"")"),0.0)</f>
        <v>0</v>
      </c>
      <c r="M552" s="197"/>
      <c r="N552" s="203">
        <f>IFERROR(__xludf.DUMMYFUNCTION("IMPORTRANGE(""https://docs.google.com/spreadsheets/d/1XL5vhW3sbDhbH9Cz0tuDiY8C3ctxq1tqvaCgkFb8cCA/edit?usp=sharing"",""ร้อยเอ็ด!M447"")"),0.0)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IFERROR(__xludf.DUMMYFUNCTION("IMPORTRANGE(""https://docs.google.com/spreadsheets/d/1XL5vhW3sbDhbH9Cz0tuDiY8C3ctxq1tqvaCgkFb8cCA/edit?usp=sharing"",""ร้อยเอ็ด!L448"")"),0.0)</f>
        <v>0</v>
      </c>
      <c r="M553" s="198"/>
      <c r="N553" s="203">
        <f>IFERROR(__xludf.DUMMYFUNCTION("IMPORTRANGE(""https://docs.google.com/spreadsheets/d/1XL5vhW3sbDhbH9Cz0tuDiY8C3ctxq1tqvaCgkFb8cCA/edit?usp=sharing"",""ร้อยเอ็ด!M448"")"),0.0)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IFERROR(__xludf.DUMMYFUNCTION("IMPORTRANGE(""https://docs.google.com/spreadsheets/d/1XL5vhW3sbDhbH9Cz0tuDiY8C3ctxq1tqvaCgkFb8cCA/edit?usp=sharing"",""ร้อยเอ็ด!L449"")"),0.0)</f>
        <v>0</v>
      </c>
      <c r="M554" s="203"/>
      <c r="N554" s="203">
        <f>IFERROR(__xludf.DUMMYFUNCTION("IMPORTRANGE(""https://docs.google.com/spreadsheets/d/1XL5vhW3sbDhbH9Cz0tuDiY8C3ctxq1tqvaCgkFb8cCA/edit?usp=sharing"",""ร้อยเอ็ด!M449"")"),0.0)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IFERROR(__xludf.DUMMYFUNCTION("IMPORTRANGE(""https://docs.google.com/spreadsheets/d/1XL5vhW3sbDhbH9Cz0tuDiY8C3ctxq1tqvaCgkFb8cCA/edit?usp=sharing"",""ร้อยเอ็ด!L450"")"),0.0)</f>
        <v>0</v>
      </c>
      <c r="M555" s="203"/>
      <c r="N555" s="203">
        <f>IFERROR(__xludf.DUMMYFUNCTION("IMPORTRANGE(""https://docs.google.com/spreadsheets/d/1XL5vhW3sbDhbH9Cz0tuDiY8C3ctxq1tqvaCgkFb8cCA/edit?usp=sharing"",""ร้อยเอ็ด!M450"")"),0.0)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IFERROR(__xludf.DUMMYFUNCTION("IMPORTRANGE(""https://docs.google.com/spreadsheets/d/1XL5vhW3sbDhbH9Cz0tuDiY8C3ctxq1tqvaCgkFb8cCA/edit?usp=sharing"",""ร้อยเอ็ด!M451"")"),0.0)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IFERROR(__xludf.DUMMYFUNCTION("IMPORTRANGE(""https://docs.google.com/spreadsheets/d/1XL5vhW3sbDhbH9Cz0tuDiY8C3ctxq1tqvaCgkFb8cCA/edit?usp=sharing"",""ร้อยเอ็ด!M452"")"),0.0)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IFERROR(__xludf.DUMMYFUNCTION("IMPORTRANGE(""https://docs.google.com/spreadsheets/d/1XL5vhW3sbDhbH9Cz0tuDiY8C3ctxq1tqvaCgkFb8cCA/edit?usp=sharing"",""ร้อยเอ็ด!M453"")"),0.0)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IFERROR(__xludf.DUMMYFUNCTION("IMPORTRANGE(""https://docs.google.com/spreadsheets/d/1XL5vhW3sbDhbH9Cz0tuDiY8C3ctxq1tqvaCgkFb8cCA/edit?usp=sharing"",""ร้อยเอ็ด!M454"")"),0.0)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IFERROR(__xludf.DUMMYFUNCTION("IMPORTRANGE(""https://docs.google.com/spreadsheets/d/1XL5vhW3sbDhbH9Cz0tuDiY8C3ctxq1tqvaCgkFb8cCA/edit?usp=sharing"",""ร้อยเอ็ด!I455"")"),0.0)</f>
        <v>0</v>
      </c>
      <c r="J560" s="195">
        <f>IFERROR(__xludf.DUMMYFUNCTION("IMPORTRANGE(""https://docs.google.com/spreadsheets/d/1XL5vhW3sbDhbH9Cz0tuDiY8C3ctxq1tqvaCgkFb8cCA/edit?usp=sharing"",""ร้อยเอ็ด!J455"")"),0.0)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IFERROR(__xludf.DUMMYFUNCTION("IMPORTRANGE(""https://docs.google.com/spreadsheets/d/1XL5vhW3sbDhbH9Cz0tuDiY8C3ctxq1tqvaCgkFb8cCA/edit?usp=sharing"",""ร้อยเอ็ด!I456"")"),0.0)</f>
        <v>0</v>
      </c>
      <c r="J561" s="238">
        <f>IFERROR(__xludf.DUMMYFUNCTION("IMPORTRANGE(""https://docs.google.com/spreadsheets/d/1XL5vhW3sbDhbH9Cz0tuDiY8C3ctxq1tqvaCgkFb8cCA/edit?usp=sharing"",""ร้อยเอ็ด!J456"")"),0.0)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IFERROR(__xludf.DUMMYFUNCTION("IMPORTRANGE(""https://docs.google.com/spreadsheets/d/1XL5vhW3sbDhbH9Cz0tuDiY8C3ctxq1tqvaCgkFb8cCA/edit?usp=sharing"",""ร้อยเอ็ด!I457"")"),"")</f>
        <v/>
      </c>
      <c r="J562" s="238" t="str">
        <f>IFERROR(__xludf.DUMMYFUNCTION("IMPORTRANGE(""https://docs.google.com/spreadsheets/d/1XL5vhW3sbDhbH9Cz0tuDiY8C3ctxq1tqvaCgkFb8cCA/edit?usp=sharing"",""ร้อยเอ็ด!J457"")"),"")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IFERROR(__xludf.DUMMYFUNCTION("IMPORTRANGE(""https://docs.google.com/spreadsheets/d/1XL5vhW3sbDhbH9Cz0tuDiY8C3ctxq1tqvaCgkFb8cCA/edit?usp=sharing"",""ร้อยเอ็ด!I458"")"),"")</f>
        <v/>
      </c>
      <c r="J563" s="222" t="str">
        <f>IFERROR(__xludf.DUMMYFUNCTION("IMPORTRANGE(""https://docs.google.com/spreadsheets/d/1XL5vhW3sbDhbH9Cz0tuDiY8C3ctxq1tqvaCgkFb8cCA/edit?usp=sharing"",""ร้อยเอ็ด!J458"")"),"")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IFERROR(__xludf.DUMMYFUNCTION("IMPORTRANGE(""https://docs.google.com/spreadsheets/d/1XL5vhW3sbDhbH9Cz0tuDiY8C3ctxq1tqvaCgkFb8cCA/edit?usp=sharing"",""ร้อยเอ็ด!I459"")"),2800.0)</f>
        <v>2800</v>
      </c>
      <c r="J564" s="404">
        <f>IFERROR(__xludf.DUMMYFUNCTION("IMPORTRANGE(""https://docs.google.com/spreadsheets/d/1XL5vhW3sbDhbH9Cz0tuDiY8C3ctxq1tqvaCgkFb8cCA/edit?usp=sharing"",""ร้อยเอ็ด!J459"")"),1603.0)</f>
        <v>1603</v>
      </c>
      <c r="K564" s="405">
        <f t="shared" si="122"/>
        <v>57.25</v>
      </c>
      <c r="L564" s="406">
        <f>IFERROR(__xludf.DUMMYFUNCTION("IMPORTRANGE(""https://docs.google.com/spreadsheets/d/1XL5vhW3sbDhbH9Cz0tuDiY8C3ctxq1tqvaCgkFb8cCA/edit?usp=sharing"",""ร้อยเอ็ด!L459"")"),143040.0)</f>
        <v>143040</v>
      </c>
      <c r="M564" s="406"/>
      <c r="N564" s="406">
        <f>IFERROR(__xludf.DUMMYFUNCTION("IMPORTRANGE(""https://docs.google.com/spreadsheets/d/1XL5vhW3sbDhbH9Cz0tuDiY8C3ctxq1tqvaCgkFb8cCA/edit?usp=sharing"",""ร้อยเอ็ด!M459"")"),30516.16)</f>
        <v>30516.16</v>
      </c>
      <c r="O564" s="406">
        <f t="shared" ref="O564:O568" si="123">+IF(L564&gt;0,N564*100/L564,0)</f>
        <v>21.33400447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IFERROR(__xludf.DUMMYFUNCTION("IMPORTRANGE(""https://docs.google.com/spreadsheets/d/1XL5vhW3sbDhbH9Cz0tuDiY8C3ctxq1tqvaCgkFb8cCA/edit?usp=sharing"",""ร้อยเอ็ด!L460"")"),0.0)</f>
        <v>0</v>
      </c>
      <c r="M565" s="197"/>
      <c r="N565" s="203">
        <f>IFERROR(__xludf.DUMMYFUNCTION("IMPORTRANGE(""https://docs.google.com/spreadsheets/d/1XL5vhW3sbDhbH9Cz0tuDiY8C3ctxq1tqvaCgkFb8cCA/edit?usp=sharing"",""ร้อยเอ็ด!M460"")"),0.0)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IFERROR(__xludf.DUMMYFUNCTION("IMPORTRANGE(""https://docs.google.com/spreadsheets/d/1XL5vhW3sbDhbH9Cz0tuDiY8C3ctxq1tqvaCgkFb8cCA/edit?usp=sharing"",""ร้อยเอ็ด!L461"")"),143040.0)</f>
        <v>143040</v>
      </c>
      <c r="M566" s="198"/>
      <c r="N566" s="203">
        <f>IFERROR(__xludf.DUMMYFUNCTION("IMPORTRANGE(""https://docs.google.com/spreadsheets/d/1XL5vhW3sbDhbH9Cz0tuDiY8C3ctxq1tqvaCgkFb8cCA/edit?usp=sharing"",""ร้อยเอ็ด!M461"")"),30516.16)</f>
        <v>30516.16</v>
      </c>
      <c r="O566" s="203">
        <f t="shared" si="123"/>
        <v>21.33400447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IFERROR(__xludf.DUMMYFUNCTION("IMPORTRANGE(""https://docs.google.com/spreadsheets/d/1XL5vhW3sbDhbH9Cz0tuDiY8C3ctxq1tqvaCgkFb8cCA/edit?usp=sharing"",""ร้อยเอ็ด!L462"")"),0.0)</f>
        <v>0</v>
      </c>
      <c r="M567" s="203"/>
      <c r="N567" s="203">
        <f>IFERROR(__xludf.DUMMYFUNCTION("IMPORTRANGE(""https://docs.google.com/spreadsheets/d/1XL5vhW3sbDhbH9Cz0tuDiY8C3ctxq1tqvaCgkFb8cCA/edit?usp=sharing"",""ร้อยเอ็ด!M462"")"),0.0)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IFERROR(__xludf.DUMMYFUNCTION("IMPORTRANGE(""https://docs.google.com/spreadsheets/d/1XL5vhW3sbDhbH9Cz0tuDiY8C3ctxq1tqvaCgkFb8cCA/edit?usp=sharing"",""ร้อยเอ็ด!L463"")"),143040.0)</f>
        <v>143040</v>
      </c>
      <c r="M568" s="203"/>
      <c r="N568" s="203">
        <f>IFERROR(__xludf.DUMMYFUNCTION("IMPORTRANGE(""https://docs.google.com/spreadsheets/d/1XL5vhW3sbDhbH9Cz0tuDiY8C3ctxq1tqvaCgkFb8cCA/edit?usp=sharing"",""ร้อยเอ็ด!M463"")"),30516.16)</f>
        <v>30516.16</v>
      </c>
      <c r="O568" s="203">
        <f t="shared" si="123"/>
        <v>21.33400447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IFERROR(__xludf.DUMMYFUNCTION("IMPORTRANGE(""https://docs.google.com/spreadsheets/d/1XL5vhW3sbDhbH9Cz0tuDiY8C3ctxq1tqvaCgkFb8cCA/edit?usp=sharing"",""ร้อยเอ็ด!M464"")"),0.0)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IFERROR(__xludf.DUMMYFUNCTION("IMPORTRANGE(""https://docs.google.com/spreadsheets/d/1XL5vhW3sbDhbH9Cz0tuDiY8C3ctxq1tqvaCgkFb8cCA/edit?usp=sharing"",""ร้อยเอ็ด!M465"")"),0.0)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IFERROR(__xludf.DUMMYFUNCTION("IMPORTRANGE(""https://docs.google.com/spreadsheets/d/1XL5vhW3sbDhbH9Cz0tuDiY8C3ctxq1tqvaCgkFb8cCA/edit?usp=sharing"",""ร้อยเอ็ด!M466"")"),30516.16)</f>
        <v>30516.16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IFERROR(__xludf.DUMMYFUNCTION("IMPORTRANGE(""https://docs.google.com/spreadsheets/d/1XL5vhW3sbDhbH9Cz0tuDiY8C3ctxq1tqvaCgkFb8cCA/edit?usp=sharing"",""ร้อยเอ็ด!M467"")"),0.0)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IFERROR(__xludf.DUMMYFUNCTION("IMPORTRANGE(""https://docs.google.com/spreadsheets/d/1XL5vhW3sbDhbH9Cz0tuDiY8C3ctxq1tqvaCgkFb8cCA/edit?usp=sharing"",""ร้อยเอ็ด!I468"")"),2800.0)</f>
        <v>2800</v>
      </c>
      <c r="J573" s="453">
        <f>IFERROR(__xludf.DUMMYFUNCTION("IMPORTRANGE(""https://docs.google.com/spreadsheets/d/1XL5vhW3sbDhbH9Cz0tuDiY8C3ctxq1tqvaCgkFb8cCA/edit?usp=sharing"",""ร้อยเอ็ด!J468"")"),1603.0)</f>
        <v>1603</v>
      </c>
      <c r="K573" s="236">
        <f>IF(I573&gt;0,J573*100/I573,0)</f>
        <v>57.25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IFERROR(__xludf.DUMMYFUNCTION("IMPORTRANGE(""https://docs.google.com/spreadsheets/d/1XL5vhW3sbDhbH9Cz0tuDiY8C3ctxq1tqvaCgkFb8cCA/edit?usp=sharing"",""ร้อยเอ็ด!I470"")"),0.0)</f>
        <v>0</v>
      </c>
      <c r="J575" s="232">
        <f>IFERROR(__xludf.DUMMYFUNCTION("IMPORTRANGE(""https://docs.google.com/spreadsheets/d/1XL5vhW3sbDhbH9Cz0tuDiY8C3ctxq1tqvaCgkFb8cCA/edit?usp=sharing"",""ร้อยเอ็ด!J470"")"),0.0)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IFERROR(__xludf.DUMMYFUNCTION("IMPORTRANGE(""https://docs.google.com/spreadsheets/d/1XL5vhW3sbDhbH9Cz0tuDiY8C3ctxq1tqvaCgkFb8cCA/edit?usp=sharing"",""ร้อยเอ็ด!I471"")"),0.0)</f>
        <v>0</v>
      </c>
      <c r="J576" s="232">
        <f>IFERROR(__xludf.DUMMYFUNCTION("IMPORTRANGE(""https://docs.google.com/spreadsheets/d/1XL5vhW3sbDhbH9Cz0tuDiY8C3ctxq1tqvaCgkFb8cCA/edit?usp=sharing"",""ร้อยเอ็ด!J471"")"),0.0)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IFERROR(__xludf.DUMMYFUNCTION("IMPORTRANGE(""https://docs.google.com/spreadsheets/d/1XL5vhW3sbDhbH9Cz0tuDiY8C3ctxq1tqvaCgkFb8cCA/edit?usp=sharing"",""ร้อยเอ็ด!I472"")"),0.0)</f>
        <v>0</v>
      </c>
      <c r="J577" s="223">
        <f>IFERROR(__xludf.DUMMYFUNCTION("IMPORTRANGE(""https://docs.google.com/spreadsheets/d/1XL5vhW3sbDhbH9Cz0tuDiY8C3ctxq1tqvaCgkFb8cCA/edit?usp=sharing"",""ร้อยเอ็ด!J472"")"),1602.0)</f>
        <v>1602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IFERROR(__xludf.DUMMYFUNCTION("IMPORTRANGE(""https://docs.google.com/spreadsheets/d/1XL5vhW3sbDhbH9Cz0tuDiY8C3ctxq1tqvaCgkFb8cCA/edit?usp=sharing"",""ร้อยเอ็ด!I473"")"),0.0)</f>
        <v>0</v>
      </c>
      <c r="J578" s="232">
        <f>IFERROR(__xludf.DUMMYFUNCTION("IMPORTRANGE(""https://docs.google.com/spreadsheets/d/1XL5vhW3sbDhbH9Cz0tuDiY8C3ctxq1tqvaCgkFb8cCA/edit?usp=sharing"",""ร้อยเอ็ด!J473"")"),1.0)</f>
        <v>1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IFERROR(__xludf.DUMMYFUNCTION("IMPORTRANGE(""https://docs.google.com/spreadsheets/d/1XL5vhW3sbDhbH9Cz0tuDiY8C3ctxq1tqvaCgkFb8cCA/edit?usp=sharing"",""ร้อยเอ็ด!I474"")"),0.0)</f>
        <v>0</v>
      </c>
      <c r="J579" s="232">
        <f>IFERROR(__xludf.DUMMYFUNCTION("IMPORTRANGE(""https://docs.google.com/spreadsheets/d/1XL5vhW3sbDhbH9Cz0tuDiY8C3ctxq1tqvaCgkFb8cCA/edit?usp=sharing"",""ร้อยเอ็ด!J474"")"),0.0)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IFERROR(__xludf.DUMMYFUNCTION("IMPORTRANGE(""https://docs.google.com/spreadsheets/d/1XL5vhW3sbDhbH9Cz0tuDiY8C3ctxq1tqvaCgkFb8cCA/edit?usp=sharing"",""ร้อยเอ็ด!I475"")"),120.0)</f>
        <v>120</v>
      </c>
      <c r="J580" s="404">
        <f>IFERROR(__xludf.DUMMYFUNCTION("IMPORTRANGE(""https://docs.google.com/spreadsheets/d/1XL5vhW3sbDhbH9Cz0tuDiY8C3ctxq1tqvaCgkFb8cCA/edit?usp=sharing"",""ร้อยเอ็ด!J475"")"),0.0)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IFERROR(__xludf.DUMMYFUNCTION("IMPORTRANGE(""https://docs.google.com/spreadsheets/d/1XL5vhW3sbDhbH9Cz0tuDiY8C3ctxq1tqvaCgkFb8cCA/edit?usp=sharing"",""ร้อยเอ็ด!L475"")"),297420.0)</f>
        <v>297420</v>
      </c>
      <c r="M580" s="406"/>
      <c r="N580" s="406">
        <f>IFERROR(__xludf.DUMMYFUNCTION("IMPORTRANGE(""https://docs.google.com/spreadsheets/d/1XL5vhW3sbDhbH9Cz0tuDiY8C3ctxq1tqvaCgkFb8cCA/edit?usp=sharing"",""ร้อยเอ็ด!M475"")"),6435.45)</f>
        <v>6435.45</v>
      </c>
      <c r="O580" s="406">
        <f t="shared" ref="O580:O584" si="125">+IF(L580&gt;0,N580*100/L580,0)</f>
        <v>2.163758322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IFERROR(__xludf.DUMMYFUNCTION("IMPORTRANGE(""https://docs.google.com/spreadsheets/d/1XL5vhW3sbDhbH9Cz0tuDiY8C3ctxq1tqvaCgkFb8cCA/edit?usp=sharing"",""ร้อยเอ็ด!L476"")"),0.0)</f>
        <v>0</v>
      </c>
      <c r="M581" s="197"/>
      <c r="N581" s="203">
        <f>IFERROR(__xludf.DUMMYFUNCTION("IMPORTRANGE(""https://docs.google.com/spreadsheets/d/1XL5vhW3sbDhbH9Cz0tuDiY8C3ctxq1tqvaCgkFb8cCA/edit?usp=sharing"",""ร้อยเอ็ด!M476"")"),0.0)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IFERROR(__xludf.DUMMYFUNCTION("IMPORTRANGE(""https://docs.google.com/spreadsheets/d/1XL5vhW3sbDhbH9Cz0tuDiY8C3ctxq1tqvaCgkFb8cCA/edit?usp=sharing"",""ร้อยเอ็ด!L477"")"),297420.0)</f>
        <v>297420</v>
      </c>
      <c r="M582" s="198"/>
      <c r="N582" s="203">
        <f>IFERROR(__xludf.DUMMYFUNCTION("IMPORTRANGE(""https://docs.google.com/spreadsheets/d/1XL5vhW3sbDhbH9Cz0tuDiY8C3ctxq1tqvaCgkFb8cCA/edit?usp=sharing"",""ร้อยเอ็ด!M477"")"),6435.45)</f>
        <v>6435.45</v>
      </c>
      <c r="O582" s="203">
        <f t="shared" si="125"/>
        <v>2.163758322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IFERROR(__xludf.DUMMYFUNCTION("IMPORTRANGE(""https://docs.google.com/spreadsheets/d/1XL5vhW3sbDhbH9Cz0tuDiY8C3ctxq1tqvaCgkFb8cCA/edit?usp=sharing"",""ร้อยเอ็ด!L478"")"),0.0)</f>
        <v>0</v>
      </c>
      <c r="M583" s="203"/>
      <c r="N583" s="203">
        <f>IFERROR(__xludf.DUMMYFUNCTION("IMPORTRANGE(""https://docs.google.com/spreadsheets/d/1XL5vhW3sbDhbH9Cz0tuDiY8C3ctxq1tqvaCgkFb8cCA/edit?usp=sharing"",""ร้อยเอ็ด!M478"")"),0.0)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IFERROR(__xludf.DUMMYFUNCTION("IMPORTRANGE(""https://docs.google.com/spreadsheets/d/1XL5vhW3sbDhbH9Cz0tuDiY8C3ctxq1tqvaCgkFb8cCA/edit?usp=sharing"",""ร้อยเอ็ด!L479"")"),297420.0)</f>
        <v>297420</v>
      </c>
      <c r="M584" s="203"/>
      <c r="N584" s="203">
        <f>IFERROR(__xludf.DUMMYFUNCTION("IMPORTRANGE(""https://docs.google.com/spreadsheets/d/1XL5vhW3sbDhbH9Cz0tuDiY8C3ctxq1tqvaCgkFb8cCA/edit?usp=sharing"",""ร้อยเอ็ด!M479"")"),6435.45)</f>
        <v>6435.45</v>
      </c>
      <c r="O584" s="203">
        <f t="shared" si="125"/>
        <v>2.163758322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IFERROR(__xludf.DUMMYFUNCTION("IMPORTRANGE(""https://docs.google.com/spreadsheets/d/1XL5vhW3sbDhbH9Cz0tuDiY8C3ctxq1tqvaCgkFb8cCA/edit?usp=sharing"",""ร้อยเอ็ด!M480"")"),0.0)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IFERROR(__xludf.DUMMYFUNCTION("IMPORTRANGE(""https://docs.google.com/spreadsheets/d/1XL5vhW3sbDhbH9Cz0tuDiY8C3ctxq1tqvaCgkFb8cCA/edit?usp=sharing"",""ร้อยเอ็ด!M481"")"),0.0)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IFERROR(__xludf.DUMMYFUNCTION("IMPORTRANGE(""https://docs.google.com/spreadsheets/d/1XL5vhW3sbDhbH9Cz0tuDiY8C3ctxq1tqvaCgkFb8cCA/edit?usp=sharing"",""ร้อยเอ็ด!M482"")"),6435.45)</f>
        <v>6435.45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IFERROR(__xludf.DUMMYFUNCTION("IMPORTRANGE(""https://docs.google.com/spreadsheets/d/1XL5vhW3sbDhbH9Cz0tuDiY8C3ctxq1tqvaCgkFb8cCA/edit?usp=sharing"",""ร้อยเอ็ด!M483"")"),0.0)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IFERROR(__xludf.DUMMYFUNCTION("IMPORTRANGE(""https://docs.google.com/spreadsheets/d/1XL5vhW3sbDhbH9Cz0tuDiY8C3ctxq1tqvaCgkFb8cCA/edit?usp=sharing"",""ร้อยเอ็ด!I484"")"),120.0)</f>
        <v>120</v>
      </c>
      <c r="J589" s="222">
        <f>IFERROR(__xludf.DUMMYFUNCTION("IMPORTRANGE(""https://docs.google.com/spreadsheets/d/1XL5vhW3sbDhbH9Cz0tuDiY8C3ctxq1tqvaCgkFb8cCA/edit?usp=sharing"",""ร้อยเอ็ด!J484"")"),8.0)</f>
        <v>8</v>
      </c>
      <c r="K589" s="196">
        <f t="shared" ref="K589:K596" si="126">IF(I589&gt;0,J589*100/I589,0)</f>
        <v>6.666666667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IFERROR(__xludf.DUMMYFUNCTION("IMPORTRANGE(""https://docs.google.com/spreadsheets/d/1XL5vhW3sbDhbH9Cz0tuDiY8C3ctxq1tqvaCgkFb8cCA/edit?usp=sharing"",""ร้อยเอ็ด!I485"")"),0.0)</f>
        <v>0</v>
      </c>
      <c r="J590" s="222">
        <f>IFERROR(__xludf.DUMMYFUNCTION("IMPORTRANGE(""https://docs.google.com/spreadsheets/d/1XL5vhW3sbDhbH9Cz0tuDiY8C3ctxq1tqvaCgkFb8cCA/edit?usp=sharing"",""ร้อยเอ็ด!J485"")"),5.2)</f>
        <v>5.2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IFERROR(__xludf.DUMMYFUNCTION("IMPORTRANGE(""https://docs.google.com/spreadsheets/d/1XL5vhW3sbDhbH9Cz0tuDiY8C3ctxq1tqvaCgkFb8cCA/edit?usp=sharing"",""ร้อยเอ็ด!I486"")"),120.0)</f>
        <v>120</v>
      </c>
      <c r="J591" s="222">
        <f>IFERROR(__xludf.DUMMYFUNCTION("IMPORTRANGE(""https://docs.google.com/spreadsheets/d/1XL5vhW3sbDhbH9Cz0tuDiY8C3ctxq1tqvaCgkFb8cCA/edit?usp=sharing"",""ร้อยเอ็ด!J486"")"),0.0)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IFERROR(__xludf.DUMMYFUNCTION("IMPORTRANGE(""https://docs.google.com/spreadsheets/d/1XL5vhW3sbDhbH9Cz0tuDiY8C3ctxq1tqvaCgkFb8cCA/edit?usp=sharing"",""ร้อยเอ็ด!I487"")"),0.0)</f>
        <v>0</v>
      </c>
      <c r="J592" s="222">
        <f>IFERROR(__xludf.DUMMYFUNCTION("IMPORTRANGE(""https://docs.google.com/spreadsheets/d/1XL5vhW3sbDhbH9Cz0tuDiY8C3ctxq1tqvaCgkFb8cCA/edit?usp=sharing"",""ร้อยเอ็ด!J487"")"),0.0)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IFERROR(__xludf.DUMMYFUNCTION("IMPORTRANGE(""https://docs.google.com/spreadsheets/d/1XL5vhW3sbDhbH9Cz0tuDiY8C3ctxq1tqvaCgkFb8cCA/edit?usp=sharing"",""ร้อยเอ็ด!I488"")"),120.0)</f>
        <v>120</v>
      </c>
      <c r="J593" s="222">
        <f>IFERROR(__xludf.DUMMYFUNCTION("IMPORTRANGE(""https://docs.google.com/spreadsheets/d/1XL5vhW3sbDhbH9Cz0tuDiY8C3ctxq1tqvaCgkFb8cCA/edit?usp=sharing"",""ร้อยเอ็ด!J488"")"),0.0)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IFERROR(__xludf.DUMMYFUNCTION("IMPORTRANGE(""https://docs.google.com/spreadsheets/d/1XL5vhW3sbDhbH9Cz0tuDiY8C3ctxq1tqvaCgkFb8cCA/edit?usp=sharing"",""ร้อยเอ็ด!I489"")"),0.0)</f>
        <v>0</v>
      </c>
      <c r="J594" s="222">
        <f>IFERROR(__xludf.DUMMYFUNCTION("IMPORTRANGE(""https://docs.google.com/spreadsheets/d/1XL5vhW3sbDhbH9Cz0tuDiY8C3ctxq1tqvaCgkFb8cCA/edit?usp=sharing"",""ร้อยเอ็ด!J489"")"),0.0)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IFERROR(__xludf.DUMMYFUNCTION("IMPORTRANGE(""https://docs.google.com/spreadsheets/d/1XL5vhW3sbDhbH9Cz0tuDiY8C3ctxq1tqvaCgkFb8cCA/edit?usp=sharing"",""ร้อยเอ็ด!I490"")"),120.0)</f>
        <v>120</v>
      </c>
      <c r="J595" s="222">
        <f>IFERROR(__xludf.DUMMYFUNCTION("IMPORTRANGE(""https://docs.google.com/spreadsheets/d/1XL5vhW3sbDhbH9Cz0tuDiY8C3ctxq1tqvaCgkFb8cCA/edit?usp=sharing"",""ร้อยเอ็ด!J490"")"),0.0)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IFERROR(__xludf.DUMMYFUNCTION("IMPORTRANGE(""https://docs.google.com/spreadsheets/d/1XL5vhW3sbDhbH9Cz0tuDiY8C3ctxq1tqvaCgkFb8cCA/edit?usp=sharing"",""ร้อยเอ็ด!I491"")"),0.0)</f>
        <v>0</v>
      </c>
      <c r="J596" s="275">
        <f>IFERROR(__xludf.DUMMYFUNCTION("IMPORTRANGE(""https://docs.google.com/spreadsheets/d/1XL5vhW3sbDhbH9Cz0tuDiY8C3ctxq1tqvaCgkFb8cCA/edit?usp=sharing"",""ร้อยเอ็ด!J491"")"),0.0)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IFERROR(__xludf.DUMMYFUNCTION("IMPORTRANGE(""https://docs.google.com/spreadsheets/d/1XL5vhW3sbDhbH9Cz0tuDiY8C3ctxq1tqvaCgkFb8cCA/edit?usp=sharing"",""ร้อยเอ็ด!I492"")"),100.0)</f>
        <v>100</v>
      </c>
      <c r="J597" s="520">
        <f>IFERROR(__xludf.DUMMYFUNCTION("IMPORTRANGE(""https://docs.google.com/spreadsheets/d/1XL5vhW3sbDhbH9Cz0tuDiY8C3ctxq1tqvaCgkFb8cCA/edit?usp=sharing"",""ร้อยเอ็ด!J492"")"),0.0)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IFERROR(__xludf.DUMMYFUNCTION("IMPORTRANGE(""https://docs.google.com/spreadsheets/d/1XL5vhW3sbDhbH9Cz0tuDiY8C3ctxq1tqvaCgkFb8cCA/edit?usp=sharing"",""ร้อยเอ็ด!L492"")"),7300.0)</f>
        <v>7300</v>
      </c>
      <c r="M597" s="445"/>
      <c r="N597" s="445">
        <f>IFERROR(__xludf.DUMMYFUNCTION("IMPORTRANGE(""https://docs.google.com/spreadsheets/d/1XL5vhW3sbDhbH9Cz0tuDiY8C3ctxq1tqvaCgkFb8cCA/edit?usp=sharing"",""ร้อยเอ็ด!M492"")"),1480.0)</f>
        <v>1480</v>
      </c>
      <c r="O597" s="445">
        <f t="shared" ref="O597:O601" si="127">+IF(L597&gt;0,N597*100/L597,0)</f>
        <v>20.2739726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IFERROR(__xludf.DUMMYFUNCTION("IMPORTRANGE(""https://docs.google.com/spreadsheets/d/1XL5vhW3sbDhbH9Cz0tuDiY8C3ctxq1tqvaCgkFb8cCA/edit?usp=sharing"",""ร้อยเอ็ด!L493"")"),0.0)</f>
        <v>0</v>
      </c>
      <c r="M598" s="197"/>
      <c r="N598" s="203">
        <f>IFERROR(__xludf.DUMMYFUNCTION("IMPORTRANGE(""https://docs.google.com/spreadsheets/d/1XL5vhW3sbDhbH9Cz0tuDiY8C3ctxq1tqvaCgkFb8cCA/edit?usp=sharing"",""ร้อยเอ็ด!M493"")"),0.0)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IFERROR(__xludf.DUMMYFUNCTION("IMPORTRANGE(""https://docs.google.com/spreadsheets/d/1XL5vhW3sbDhbH9Cz0tuDiY8C3ctxq1tqvaCgkFb8cCA/edit?usp=sharing"",""ร้อยเอ็ด!L494"")"),7300.0)</f>
        <v>7300</v>
      </c>
      <c r="M599" s="198"/>
      <c r="N599" s="203">
        <f>IFERROR(__xludf.DUMMYFUNCTION("IMPORTRANGE(""https://docs.google.com/spreadsheets/d/1XL5vhW3sbDhbH9Cz0tuDiY8C3ctxq1tqvaCgkFb8cCA/edit?usp=sharing"",""ร้อยเอ็ด!M494"")"),1480.0)</f>
        <v>1480</v>
      </c>
      <c r="O599" s="203">
        <f t="shared" si="127"/>
        <v>20.2739726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IFERROR(__xludf.DUMMYFUNCTION("IMPORTRANGE(""https://docs.google.com/spreadsheets/d/1XL5vhW3sbDhbH9Cz0tuDiY8C3ctxq1tqvaCgkFb8cCA/edit?usp=sharing"",""ร้อยเอ็ด!L495"")"),0.0)</f>
        <v>0</v>
      </c>
      <c r="M600" s="203"/>
      <c r="N600" s="203">
        <f>IFERROR(__xludf.DUMMYFUNCTION("IMPORTRANGE(""https://docs.google.com/spreadsheets/d/1XL5vhW3sbDhbH9Cz0tuDiY8C3ctxq1tqvaCgkFb8cCA/edit?usp=sharing"",""ร้อยเอ็ด!M495"")"),0.0)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IFERROR(__xludf.DUMMYFUNCTION("IMPORTRANGE(""https://docs.google.com/spreadsheets/d/1XL5vhW3sbDhbH9Cz0tuDiY8C3ctxq1tqvaCgkFb8cCA/edit?usp=sharing"",""ร้อยเอ็ด!L496"")"),7300.0)</f>
        <v>7300</v>
      </c>
      <c r="M601" s="203"/>
      <c r="N601" s="203">
        <f>IFERROR(__xludf.DUMMYFUNCTION("IMPORTRANGE(""https://docs.google.com/spreadsheets/d/1XL5vhW3sbDhbH9Cz0tuDiY8C3ctxq1tqvaCgkFb8cCA/edit?usp=sharing"",""ร้อยเอ็ด!M496"")"),1480.0)</f>
        <v>1480</v>
      </c>
      <c r="O601" s="203">
        <f t="shared" si="127"/>
        <v>20.2739726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IFERROR(__xludf.DUMMYFUNCTION("IMPORTRANGE(""https://docs.google.com/spreadsheets/d/1XL5vhW3sbDhbH9Cz0tuDiY8C3ctxq1tqvaCgkFb8cCA/edit?usp=sharing"",""ร้อยเอ็ด!M497"")"),0.0)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IFERROR(__xludf.DUMMYFUNCTION("IMPORTRANGE(""https://docs.google.com/spreadsheets/d/1XL5vhW3sbDhbH9Cz0tuDiY8C3ctxq1tqvaCgkFb8cCA/edit?usp=sharing"",""ร้อยเอ็ด!M498"")"),0.0)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IFERROR(__xludf.DUMMYFUNCTION("IMPORTRANGE(""https://docs.google.com/spreadsheets/d/1XL5vhW3sbDhbH9Cz0tuDiY8C3ctxq1tqvaCgkFb8cCA/edit?usp=sharing"",""ร้อยเอ็ด!M499"")"),0.0)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IFERROR(__xludf.DUMMYFUNCTION("IMPORTRANGE(""https://docs.google.com/spreadsheets/d/1XL5vhW3sbDhbH9Cz0tuDiY8C3ctxq1tqvaCgkFb8cCA/edit?usp=sharing"",""ร้อยเอ็ด!M500"")"),1480.0)</f>
        <v>1480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IFERROR(__xludf.DUMMYFUNCTION("IMPORTRANGE(""https://docs.google.com/spreadsheets/d/1XL5vhW3sbDhbH9Cz0tuDiY8C3ctxq1tqvaCgkFb8cCA/edit?usp=sharing"",""ร้อยเอ็ด!J502"")"),0.0)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IFERROR(__xludf.DUMMYFUNCTION("IMPORTRANGE(""https://docs.google.com/spreadsheets/d/1XL5vhW3sbDhbH9Cz0tuDiY8C3ctxq1tqvaCgkFb8cCA/edit?usp=sharing"",""ร้อยเอ็ด!J503"")"),1.0)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IFERROR(__xludf.DUMMYFUNCTION("IMPORTRANGE(""https://docs.google.com/spreadsheets/d/1XL5vhW3sbDhbH9Cz0tuDiY8C3ctxq1tqvaCgkFb8cCA/edit?usp=sharing"",""ร้อยเอ็ด!J166"")"),0.0)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IFERROR(__xludf.DUMMYFUNCTION("IMPORTRANGE(""https://docs.google.com/spreadsheets/d/1XL5vhW3sbDhbH9Cz0tuDiY8C3ctxq1tqvaCgkFb8cCA/edit?usp=sharing"",""ร้อยเอ็ด!J166"")"),0.0)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IFERROR(__xludf.DUMMYFUNCTION("IMPORTRANGE(""https://docs.google.com/spreadsheets/d/1XL5vhW3sbDhbH9Cz0tuDiY8C3ctxq1tqvaCgkFb8cCA/edit?usp=sharing"",""ร้อยเอ็ด!I506"")"),100.0)</f>
        <v>100</v>
      </c>
      <c r="J611" s="195">
        <f>IFERROR(__xludf.DUMMYFUNCTION("IMPORTRANGE(""https://docs.google.com/spreadsheets/d/1XL5vhW3sbDhbH9Cz0tuDiY8C3ctxq1tqvaCgkFb8cCA/edit?usp=sharing"",""ร้อยเอ็ด!J506"")"),0.0)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IFERROR(__xludf.DUMMYFUNCTION("IMPORTRANGE(""https://docs.google.com/spreadsheets/d/1XL5vhW3sbDhbH9Cz0tuDiY8C3ctxq1tqvaCgkFb8cCA/edit?usp=sharing"",""ร้อยเอ็ด!I507"")"),0.0)</f>
        <v>0</v>
      </c>
      <c r="J612" s="232">
        <f>IFERROR(__xludf.DUMMYFUNCTION("IMPORTRANGE(""https://docs.google.com/spreadsheets/d/1XL5vhW3sbDhbH9Cz0tuDiY8C3ctxq1tqvaCgkFb8cCA/edit?usp=sharing"",""ร้อยเอ็ด!J507"")"),100.0)</f>
        <v>100</v>
      </c>
      <c r="K612" s="196">
        <f t="shared" si="128"/>
        <v>100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IFERROR(__xludf.DUMMYFUNCTION("IMPORTRANGE(""https://docs.google.com/spreadsheets/d/1XL5vhW3sbDhbH9Cz0tuDiY8C3ctxq1tqvaCgkFb8cCA/edit?usp=sharing"",""ร้อยเอ็ด!I508"")"),0.0)</f>
        <v>0</v>
      </c>
      <c r="J613" s="232">
        <f>IFERROR(__xludf.DUMMYFUNCTION("IMPORTRANGE(""https://docs.google.com/spreadsheets/d/1XL5vhW3sbDhbH9Cz0tuDiY8C3ctxq1tqvaCgkFb8cCA/edit?usp=sharing"",""ร้อยเอ็ด!J508"")"),0.0)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IFERROR(__xludf.DUMMYFUNCTION("IMPORTRANGE(""https://docs.google.com/spreadsheets/d/1XL5vhW3sbDhbH9Cz0tuDiY8C3ctxq1tqvaCgkFb8cCA/edit?usp=sharing"",""ร้อยเอ็ด!I509"")"),0.0)</f>
        <v>0</v>
      </c>
      <c r="J614" s="232">
        <f>IFERROR(__xludf.DUMMYFUNCTION("IMPORTRANGE(""https://docs.google.com/spreadsheets/d/1XL5vhW3sbDhbH9Cz0tuDiY8C3ctxq1tqvaCgkFb8cCA/edit?usp=sharing"",""ร้อยเอ็ด!J509"")"),0.0)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IFERROR(__xludf.DUMMYFUNCTION("IMPORTRANGE(""https://docs.google.com/spreadsheets/d/1XL5vhW3sbDhbH9Cz0tuDiY8C3ctxq1tqvaCgkFb8cCA/edit?usp=sharing"",""ร้อยเอ็ด!I510"")"),0.0)</f>
        <v>0</v>
      </c>
      <c r="J615" s="232">
        <f>IFERROR(__xludf.DUMMYFUNCTION("IMPORTRANGE(""https://docs.google.com/spreadsheets/d/1XL5vhW3sbDhbH9Cz0tuDiY8C3ctxq1tqvaCgkFb8cCA/edit?usp=sharing"",""ร้อยเอ็ด!J510"")"),0.0)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IFERROR(__xludf.DUMMYFUNCTION("IMPORTRANGE(""https://docs.google.com/spreadsheets/d/1XL5vhW3sbDhbH9Cz0tuDiY8C3ctxq1tqvaCgkFb8cCA/edit?usp=sharing"",""ร้อยเอ็ด!I511"")"),0.0)</f>
        <v>0</v>
      </c>
      <c r="J616" s="232">
        <f>IFERROR(__xludf.DUMMYFUNCTION("IMPORTRANGE(""https://docs.google.com/spreadsheets/d/1XL5vhW3sbDhbH9Cz0tuDiY8C3ctxq1tqvaCgkFb8cCA/edit?usp=sharing"",""ร้อยเอ็ด!J511"")"),0.0)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IFERROR(__xludf.DUMMYFUNCTION("IMPORTRANGE(""https://docs.google.com/spreadsheets/d/1XL5vhW3sbDhbH9Cz0tuDiY8C3ctxq1tqvaCgkFb8cCA/edit?usp=sharing"",""ร้อยเอ็ด!I512"")"),0.0)</f>
        <v>0</v>
      </c>
      <c r="J617" s="222">
        <f>IFERROR(__xludf.DUMMYFUNCTION("IMPORTRANGE(""https://docs.google.com/spreadsheets/d/1XL5vhW3sbDhbH9Cz0tuDiY8C3ctxq1tqvaCgkFb8cCA/edit?usp=sharing"",""ร้อยเอ็ด!J512"")"),0.0)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IFERROR(__xludf.DUMMYFUNCTION("IMPORTRANGE(""https://docs.google.com/spreadsheets/d/1XL5vhW3sbDhbH9Cz0tuDiY8C3ctxq1tqvaCgkFb8cCA/edit?usp=sharing"",""ร้อยเอ็ด!I513"")"),0.0)</f>
        <v>0</v>
      </c>
      <c r="J618" s="223">
        <f>IFERROR(__xludf.DUMMYFUNCTION("IMPORTRANGE(""https://docs.google.com/spreadsheets/d/1XL5vhW3sbDhbH9Cz0tuDiY8C3ctxq1tqvaCgkFb8cCA/edit?usp=sharing"",""ร้อยเอ็ด!J513"")"),0.0)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IFERROR(__xludf.DUMMYFUNCTION("IMPORTRANGE(""https://docs.google.com/spreadsheets/d/1XL5vhW3sbDhbH9Cz0tuDiY8C3ctxq1tqvaCgkFb8cCA/edit?usp=sharing"",""ร้อยเอ็ด!I514"")"),0.0)</f>
        <v>0</v>
      </c>
      <c r="J619" s="223">
        <f>IFERROR(__xludf.DUMMYFUNCTION("IMPORTRANGE(""https://docs.google.com/spreadsheets/d/1XL5vhW3sbDhbH9Cz0tuDiY8C3ctxq1tqvaCgkFb8cCA/edit?usp=sharing"",""ร้อยเอ็ด!J514"")"),0.0)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IFERROR(__xludf.DUMMYFUNCTION("IMPORTRANGE(""https://docs.google.com/spreadsheets/d/1XL5vhW3sbDhbH9Cz0tuDiY8C3ctxq1tqvaCgkFb8cCA/edit?usp=sharing"",""ร้อยเอ็ด!I515"")"),50.0)</f>
        <v>50</v>
      </c>
      <c r="J620" s="237">
        <f>IFERROR(__xludf.DUMMYFUNCTION("IMPORTRANGE(""https://docs.google.com/spreadsheets/d/1XL5vhW3sbDhbH9Cz0tuDiY8C3ctxq1tqvaCgkFb8cCA/edit?usp=sharing"",""ร้อยเอ็ด!J515"")"),0.0)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IFERROR(__xludf.DUMMYFUNCTION("IMPORTRANGE(""https://docs.google.com/spreadsheets/d/1XL5vhW3sbDhbH9Cz0tuDiY8C3ctxq1tqvaCgkFb8cCA/edit?usp=sharing"",""ร้อยเอ็ด!I516"")"),0.0)</f>
        <v>0</v>
      </c>
      <c r="J621" s="237">
        <f>IFERROR(__xludf.DUMMYFUNCTION("IMPORTRANGE(""https://docs.google.com/spreadsheets/d/1XL5vhW3sbDhbH9Cz0tuDiY8C3ctxq1tqvaCgkFb8cCA/edit?usp=sharing"",""ร้อยเอ็ด!J516"")"),0.0)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IFERROR(__xludf.DUMMYFUNCTION("IMPORTRANGE(""https://docs.google.com/spreadsheets/d/1XL5vhW3sbDhbH9Cz0tuDiY8C3ctxq1tqvaCgkFb8cCA/edit?usp=sharing"",""ร้อยเอ็ด!I517"")"),0.0)</f>
        <v>0</v>
      </c>
      <c r="J622" s="223">
        <f>IFERROR(__xludf.DUMMYFUNCTION("IMPORTRANGE(""https://docs.google.com/spreadsheets/d/1XL5vhW3sbDhbH9Cz0tuDiY8C3ctxq1tqvaCgkFb8cCA/edit?usp=sharing"",""ร้อยเอ็ด!J517"")"),0.0)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IFERROR(__xludf.DUMMYFUNCTION("IMPORTRANGE(""https://docs.google.com/spreadsheets/d/1XL5vhW3sbDhbH9Cz0tuDiY8C3ctxq1tqvaCgkFb8cCA/edit?usp=sharing"",""ร้อยเอ็ด!I518"")"),0.0)</f>
        <v>0</v>
      </c>
      <c r="J623" s="223">
        <f>IFERROR(__xludf.DUMMYFUNCTION("IMPORTRANGE(""https://docs.google.com/spreadsheets/d/1XL5vhW3sbDhbH9Cz0tuDiY8C3ctxq1tqvaCgkFb8cCA/edit?usp=sharing"",""ร้อยเอ็ด!J518"")"),0.0)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IFERROR(__xludf.DUMMYFUNCTION("IMPORTRANGE(""https://docs.google.com/spreadsheets/d/1XL5vhW3sbDhbH9Cz0tuDiY8C3ctxq1tqvaCgkFb8cCA/edit?usp=sharing"",""ร้อยเอ็ด!I519"")"),0.0)</f>
        <v>0</v>
      </c>
      <c r="J624" s="222">
        <f>IFERROR(__xludf.DUMMYFUNCTION("IMPORTRANGE(""https://docs.google.com/spreadsheets/d/1XL5vhW3sbDhbH9Cz0tuDiY8C3ctxq1tqvaCgkFb8cCA/edit?usp=sharing"",""ร้อยเอ็ด!J519"")"),0.0)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IFERROR(__xludf.DUMMYFUNCTION("IMPORTRANGE(""https://docs.google.com/spreadsheets/d/1XL5vhW3sbDhbH9Cz0tuDiY8C3ctxq1tqvaCgkFb8cCA/edit?usp=sharing"",""ร้อยเอ็ด!I520"")"),0.0)</f>
        <v>0</v>
      </c>
      <c r="J625" s="223">
        <f>IFERROR(__xludf.DUMMYFUNCTION("IMPORTRANGE(""https://docs.google.com/spreadsheets/d/1XL5vhW3sbDhbH9Cz0tuDiY8C3ctxq1tqvaCgkFb8cCA/edit?usp=sharing"",""ร้อยเอ็ด!J520"")"),0.0)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IFERROR(__xludf.DUMMYFUNCTION("IMPORTRANGE(""https://docs.google.com/spreadsheets/d/1XL5vhW3sbDhbH9Cz0tuDiY8C3ctxq1tqvaCgkFb8cCA/edit?usp=sharing"",""ร้อยเอ็ด!I521"")"),0.0)</f>
        <v>0</v>
      </c>
      <c r="J626" s="223">
        <f>IFERROR(__xludf.DUMMYFUNCTION("IMPORTRANGE(""https://docs.google.com/spreadsheets/d/1XL5vhW3sbDhbH9Cz0tuDiY8C3ctxq1tqvaCgkFb8cCA/edit?usp=sharing"",""ร้อยเอ็ด!J521"")"),0.0)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IFERROR(__xludf.DUMMYFUNCTION("IMPORTRANGE(""https://docs.google.com/spreadsheets/d/1XL5vhW3sbDhbH9Cz0tuDiY8C3ctxq1tqvaCgkFb8cCA/edit?usp=sharing"",""ร้อยเอ็ด!I523"")"),5959465.33)</f>
        <v>5959465.33</v>
      </c>
      <c r="J628" s="374">
        <f>IFERROR(__xludf.DUMMYFUNCTION("IMPORTRANGE(""https://docs.google.com/spreadsheets/d/1XL5vhW3sbDhbH9Cz0tuDiY8C3ctxq1tqvaCgkFb8cCA/edit?usp=sharing"",""ร้อยเอ็ด!J523"")"),866344.27)</f>
        <v>866344.27</v>
      </c>
      <c r="K628" s="375">
        <f t="shared" ref="K628:K635" si="130">IF(I628&gt;0,J628*100/I628,0)</f>
        <v>14.53728182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IFERROR(__xludf.DUMMYFUNCTION("IMPORTRANGE(""https://docs.google.com/spreadsheets/d/1XL5vhW3sbDhbH9Cz0tuDiY8C3ctxq1tqvaCgkFb8cCA/edit?usp=sharing"",""ร้อยเอ็ด!I524"")"),610.0)</f>
        <v>610</v>
      </c>
      <c r="J629" s="374">
        <f>IFERROR(__xludf.DUMMYFUNCTION("IMPORTRANGE(""https://docs.google.com/spreadsheets/d/1XL5vhW3sbDhbH9Cz0tuDiY8C3ctxq1tqvaCgkFb8cCA/edit?usp=sharing"",""ร้อยเอ็ด!J524"")"),120.0)</f>
        <v>120</v>
      </c>
      <c r="K629" s="375">
        <f t="shared" si="130"/>
        <v>19.67213115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IFERROR(__xludf.DUMMYFUNCTION("IMPORTRANGE(""https://docs.google.com/spreadsheets/d/1XL5vhW3sbDhbH9Cz0tuDiY8C3ctxq1tqvaCgkFb8cCA/edit?usp=sharing"",""ร้อยเอ็ด!I525"")"),3.435786912E7)</f>
        <v>34357869.12</v>
      </c>
      <c r="J630" s="374">
        <f>IFERROR(__xludf.DUMMYFUNCTION("IMPORTRANGE(""https://docs.google.com/spreadsheets/d/1XL5vhW3sbDhbH9Cz0tuDiY8C3ctxq1tqvaCgkFb8cCA/edit?usp=sharing"",""ร้อยเอ็ด!J525"")"),2221397.6)</f>
        <v>2221397.6</v>
      </c>
      <c r="K630" s="375">
        <f t="shared" si="130"/>
        <v>6.465469649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IFERROR(__xludf.DUMMYFUNCTION("IMPORTRANGE(""https://docs.google.com/spreadsheets/d/1XL5vhW3sbDhbH9Cz0tuDiY8C3ctxq1tqvaCgkFb8cCA/edit?usp=sharing"",""ร้อยเอ็ด!I526"")"),1701.0)</f>
        <v>1701</v>
      </c>
      <c r="J631" s="374">
        <f>IFERROR(__xludf.DUMMYFUNCTION("IMPORTRANGE(""https://docs.google.com/spreadsheets/d/1XL5vhW3sbDhbH9Cz0tuDiY8C3ctxq1tqvaCgkFb8cCA/edit?usp=sharing"",""ร้อยเอ็ด!J526"")"),452.0)</f>
        <v>452</v>
      </c>
      <c r="K631" s="375">
        <f t="shared" si="130"/>
        <v>26.57260435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IFERROR(__xludf.DUMMYFUNCTION("IMPORTRANGE(""https://docs.google.com/spreadsheets/d/1XL5vhW3sbDhbH9Cz0tuDiY8C3ctxq1tqvaCgkFb8cCA/edit?usp=sharing"",""ร้อยเอ็ด!I527"")"),0.0)</f>
        <v>0</v>
      </c>
      <c r="J632" s="374">
        <f>IFERROR(__xludf.DUMMYFUNCTION("IMPORTRANGE(""https://docs.google.com/spreadsheets/d/1XL5vhW3sbDhbH9Cz0tuDiY8C3ctxq1tqvaCgkFb8cCA/edit?usp=sharing"",""ร้อยเอ็ด!J527"")"),876.5)</f>
        <v>876.5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IFERROR(__xludf.DUMMYFUNCTION("IMPORTRANGE(""https://docs.google.com/spreadsheets/d/1XL5vhW3sbDhbH9Cz0tuDiY8C3ctxq1tqvaCgkFb8cCA/edit?usp=sharing"",""ร้อยเอ็ด!I528"")"),0.0)</f>
        <v>0</v>
      </c>
      <c r="J633" s="374">
        <f>IFERROR(__xludf.DUMMYFUNCTION("IMPORTRANGE(""https://docs.google.com/spreadsheets/d/1XL5vhW3sbDhbH9Cz0tuDiY8C3ctxq1tqvaCgkFb8cCA/edit?usp=sharing"",""ร้อยเอ็ด!J528"")"),1.0)</f>
        <v>1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IFERROR(__xludf.DUMMYFUNCTION("IMPORTRANGE(""https://docs.google.com/spreadsheets/d/1XL5vhW3sbDhbH9Cz0tuDiY8C3ctxq1tqvaCgkFb8cCA/edit?usp=sharing"",""ร้อยเอ็ด!I529"")"),3000000.0)</f>
        <v>3000000</v>
      </c>
      <c r="J634" s="374">
        <f>IFERROR(__xludf.DUMMYFUNCTION("IMPORTRANGE(""https://docs.google.com/spreadsheets/d/1XL5vhW3sbDhbH9Cz0tuDiY8C3ctxq1tqvaCgkFb8cCA/edit?usp=sharing"",""ร้อยเอ็ด!J529"")"),0.0)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IFERROR(__xludf.DUMMYFUNCTION("IMPORTRANGE(""https://docs.google.com/spreadsheets/d/1XL5vhW3sbDhbH9Cz0tuDiY8C3ctxq1tqvaCgkFb8cCA/edit?usp=sharing"",""ร้อยเอ็ด!I530"")"),80.0)</f>
        <v>80</v>
      </c>
      <c r="J635" s="544">
        <f>IFERROR(__xludf.DUMMYFUNCTION("IMPORTRANGE(""https://docs.google.com/spreadsheets/d/1XL5vhW3sbDhbH9Cz0tuDiY8C3ctxq1tqvaCgkFb8cCA/edit?usp=sharing"",""ร้อยเอ็ด!J530"")"),0.0)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261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6458551</v>
      </c>
      <c r="M8" s="41">
        <f t="shared" si="1"/>
        <v>1736155</v>
      </c>
      <c r="N8" s="41">
        <f t="shared" si="1"/>
        <v>1402855</v>
      </c>
      <c r="O8" s="40">
        <f t="shared" ref="O8:O16" si="3">IF(L8&gt;0,N8*100/L8,0)</f>
        <v>21.72089374</v>
      </c>
      <c r="P8" s="40">
        <f t="shared" ref="P8:P16" si="4">IF(M8&gt;0,N8*100/M8,0)</f>
        <v>80.80240532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6458551</v>
      </c>
      <c r="M10" s="48">
        <f t="shared" si="5"/>
        <v>1736155</v>
      </c>
      <c r="N10" s="48">
        <f t="shared" si="5"/>
        <v>1402855</v>
      </c>
      <c r="O10" s="47">
        <f t="shared" si="3"/>
        <v>21.72089374</v>
      </c>
      <c r="P10" s="47">
        <f t="shared" si="4"/>
        <v>80.80240532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6281551</v>
      </c>
      <c r="M12" s="58">
        <f t="shared" si="7"/>
        <v>1736155</v>
      </c>
      <c r="N12" s="58">
        <f t="shared" si="7"/>
        <v>1225855</v>
      </c>
      <c r="O12" s="58">
        <f t="shared" si="3"/>
        <v>19.51516433</v>
      </c>
      <c r="P12" s="58">
        <f t="shared" si="4"/>
        <v>70.60746304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2279400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4002151</v>
      </c>
      <c r="M14" s="58">
        <f t="shared" si="9"/>
        <v>0</v>
      </c>
      <c r="N14" s="58">
        <f t="shared" si="9"/>
        <v>199754</v>
      </c>
      <c r="O14" s="61">
        <f t="shared" si="3"/>
        <v>4.991166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177000</v>
      </c>
      <c r="M16" s="58">
        <f t="shared" si="11"/>
        <v>0</v>
      </c>
      <c r="N16" s="58">
        <f t="shared" si="11"/>
        <v>177000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3436205</v>
      </c>
      <c r="M18" s="41">
        <f t="shared" si="12"/>
        <v>1736155</v>
      </c>
      <c r="N18" s="41">
        <f t="shared" si="12"/>
        <v>1203101</v>
      </c>
      <c r="O18" s="40">
        <f t="shared" ref="O18:O20" si="14">IF(L18&gt;0,N18*100/L18,0)</f>
        <v>35.01249198</v>
      </c>
      <c r="P18" s="40">
        <f t="shared" ref="P18:P26" si="15">IF(M18&gt;0,N18*100/M18,0)</f>
        <v>69.29686578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3436205</v>
      </c>
      <c r="M20" s="48">
        <f t="shared" si="16"/>
        <v>1736155</v>
      </c>
      <c r="N20" s="48">
        <f t="shared" si="16"/>
        <v>1203101</v>
      </c>
      <c r="O20" s="47">
        <f t="shared" si="14"/>
        <v>35.01249198</v>
      </c>
      <c r="P20" s="47">
        <f t="shared" si="15"/>
        <v>69.29686578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3259205</v>
      </c>
      <c r="M22" s="62">
        <f t="shared" si="18"/>
        <v>1736155</v>
      </c>
      <c r="N22" s="61">
        <f t="shared" si="18"/>
        <v>1026101</v>
      </c>
      <c r="O22" s="61">
        <f t="shared" si="19"/>
        <v>31.48316844</v>
      </c>
      <c r="P22" s="61">
        <f t="shared" si="15"/>
        <v>59.1019235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2279400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979805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177000</v>
      </c>
      <c r="M26" s="70">
        <f t="shared" si="23"/>
        <v>0</v>
      </c>
      <c r="N26" s="70">
        <f t="shared" si="23"/>
        <v>177000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3022346</v>
      </c>
      <c r="M28" s="41">
        <f t="shared" si="24"/>
        <v>0</v>
      </c>
      <c r="N28" s="41">
        <f t="shared" si="24"/>
        <v>199754</v>
      </c>
      <c r="O28" s="40">
        <f t="shared" ref="O28:O30" si="26">IF(L28&gt;0,N28*100/L28,0)</f>
        <v>6.609236666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3022346</v>
      </c>
      <c r="M30" s="48">
        <f t="shared" si="28"/>
        <v>0</v>
      </c>
      <c r="N30" s="48">
        <f t="shared" si="28"/>
        <v>199754</v>
      </c>
      <c r="O30" s="47">
        <f t="shared" si="26"/>
        <v>6.609236666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3022346</v>
      </c>
      <c r="M32" s="61">
        <f t="shared" si="30"/>
        <v>0</v>
      </c>
      <c r="N32" s="61">
        <f t="shared" si="30"/>
        <v>199754</v>
      </c>
      <c r="O32" s="61">
        <f t="shared" si="31"/>
        <v>6.609236666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3022346</v>
      </c>
      <c r="M34" s="61">
        <f t="shared" si="33"/>
        <v>0</v>
      </c>
      <c r="N34" s="61">
        <f t="shared" si="33"/>
        <v>199754</v>
      </c>
      <c r="O34" s="61">
        <f t="shared" si="31"/>
        <v>6.609236666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3436205</v>
      </c>
      <c r="M37" s="75">
        <f t="shared" si="34"/>
        <v>1736155</v>
      </c>
      <c r="N37" s="75">
        <f t="shared" si="34"/>
        <v>1203101</v>
      </c>
      <c r="O37" s="76">
        <f t="shared" si="31"/>
        <v>35.01249198</v>
      </c>
      <c r="P37" s="76">
        <f t="shared" si="27"/>
        <v>69.29686578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811700</v>
      </c>
      <c r="M41" s="102">
        <f t="shared" si="35"/>
        <v>363500</v>
      </c>
      <c r="N41" s="102">
        <f t="shared" si="35"/>
        <v>385887</v>
      </c>
      <c r="O41" s="101">
        <f t="shared" ref="O41:O43" si="37">IF(L41&gt;0,N41*100/L41,0)</f>
        <v>47.54059382</v>
      </c>
      <c r="P41" s="101">
        <f t="shared" ref="P41:P43" si="38">IF(M41&gt;0,N41*100/M41,0)</f>
        <v>106.1587345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811700</v>
      </c>
      <c r="M43" s="102">
        <f t="shared" si="39"/>
        <v>363500</v>
      </c>
      <c r="N43" s="102">
        <f t="shared" si="39"/>
        <v>385887</v>
      </c>
      <c r="O43" s="101">
        <f t="shared" si="37"/>
        <v>47.54059382</v>
      </c>
      <c r="P43" s="101">
        <f t="shared" si="38"/>
        <v>106.1587345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727100</v>
      </c>
      <c r="M45" s="115">
        <f>IFERROR(__xludf.DUMMYFUNCTION("IMPORTRANGE(""https://docs.google.com/spreadsheets/d/1Yj_ptqi66GCucihVvJfMjLAmec39IyEx_6qawtMGysU/edit?usp=sharing"",""สบก!Q49"")"),363500.0)</f>
        <v>363500</v>
      </c>
      <c r="N45" s="115">
        <f>IFERROR(__xludf.DUMMYFUNCTION("IMPORTRANGE(""https://docs.google.com/spreadsheets/d/1Yj_ptqi66GCucihVvJfMjLAmec39IyEx_6qawtMGysU/edit?usp=sharing"",""สบก!R49"")"),301287.0)</f>
        <v>301287</v>
      </c>
      <c r="O45" s="116">
        <f>IF(L45&gt;0,N45*100/L45,0)</f>
        <v>41.43680374</v>
      </c>
      <c r="P45" s="116">
        <f>IF(M45&gt;0,N45*100/M45,0)</f>
        <v>82.88500688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IFERROR(__xludf.DUMMYFUNCTION("IMPORTRANGE(""https://docs.google.com/spreadsheets/d/1Yj_ptqi66GCucihVvJfMjLAmec39IyEx_6qawtMGysU/edit?usp=sharing"",""สบก!M49"")"),727100.0)</f>
        <v>727100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IFERROR(__xludf.DUMMYFUNCTION("IMPORTRANGE(""https://docs.google.com/spreadsheets/d/1Yj_ptqi66GCucihVvJfMjLAmec39IyEx_6qawtMGysU/edit?usp=sharing"",""สบก!N49"")"),0.0)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IFERROR(__xludf.DUMMYFUNCTION("IMPORTRANGE(""https://docs.google.com/spreadsheets/d/1Yj_ptqi66GCucihVvJfMjLAmec39IyEx_6qawtMGysU/edit?usp=sharing"",""สบก!O49"")"),84600.0)</f>
        <v>84600</v>
      </c>
      <c r="M49" s="125"/>
      <c r="N49" s="115">
        <f>IFERROR(__xludf.DUMMYFUNCTION("IMPORTRANGE(""https://docs.google.com/spreadsheets/d/1Yj_ptqi66GCucihVvJfMjLAmec39IyEx_6qawtMGysU/edit?usp=sharing"",""สบก!S49"")"),84600.0)</f>
        <v>84600</v>
      </c>
      <c r="O49" s="125">
        <f>IF(L49&gt;0,N49*100/L49,0)</f>
        <v>100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787200</v>
      </c>
      <c r="M53" s="151">
        <f t="shared" si="40"/>
        <v>407100</v>
      </c>
      <c r="N53" s="151">
        <f t="shared" si="40"/>
        <v>175670</v>
      </c>
      <c r="O53" s="150">
        <f t="shared" ref="O53:O55" si="42">IF(L53&gt;0,N53*100/L53,0)</f>
        <v>22.31580285</v>
      </c>
      <c r="P53" s="150">
        <f t="shared" ref="P53:P55" si="43">IF(M53&gt;0,N53*100/M53,0)</f>
        <v>43.15155981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787200</v>
      </c>
      <c r="M55" s="151">
        <f t="shared" si="44"/>
        <v>407100</v>
      </c>
      <c r="N55" s="151">
        <f t="shared" si="44"/>
        <v>175670</v>
      </c>
      <c r="O55" s="150">
        <f t="shared" si="42"/>
        <v>22.31580285</v>
      </c>
      <c r="P55" s="150">
        <f t="shared" si="43"/>
        <v>43.15155981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787200</v>
      </c>
      <c r="M57" s="115">
        <f>IFERROR(__xludf.DUMMYFUNCTION("IMPORTRANGE(""https://docs.google.com/spreadsheets/d/1Yj_ptqi66GCucihVvJfMjLAmec39IyEx_6qawtMGysU/edit?usp=sharing"",""สบก!Z49"")"),407100.0)</f>
        <v>407100</v>
      </c>
      <c r="N57" s="115">
        <f>IFERROR(__xludf.DUMMYFUNCTION("IMPORTRANGE(""https://docs.google.com/spreadsheets/d/1Yj_ptqi66GCucihVvJfMjLAmec39IyEx_6qawtMGysU/edit?usp=sharing"",""สบก!AA49"")"),175670.0)</f>
        <v>175670</v>
      </c>
      <c r="O57" s="116">
        <f>IF(L57&gt;0,N57*100/L57,0)</f>
        <v>22.31580285</v>
      </c>
      <c r="P57" s="116">
        <f>IF(M57&gt;0,N57*100/M57,0)</f>
        <v>43.15155981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IFERROR(__xludf.DUMMYFUNCTION("IMPORTRANGE(""https://docs.google.com/spreadsheets/d/1Yj_ptqi66GCucihVvJfMjLAmec39IyEx_6qawtMGysU/edit?usp=sharing"",""สบก!V49"")"),787200.0)</f>
        <v>787200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IFERROR(__xludf.DUMMYFUNCTION("IMPORTRANGE(""https://docs.google.com/spreadsheets/d/1Yj_ptqi66GCucihVvJfMjLAmec39IyEx_6qawtMGysU/edit?usp=sharing"",""สบก!W49"")"),0.0)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IFERROR(__xludf.DUMMYFUNCTION("IMPORTRANGE(""https://docs.google.com/spreadsheets/d/1Yj_ptqi66GCucihVvJfMjLAmec39IyEx_6qawtMGysU/edit?usp=sharing"",""สบก!X49"")"),0.0)</f>
        <v>0</v>
      </c>
      <c r="M61" s="125"/>
      <c r="N61" s="115">
        <f>IFERROR(__xludf.DUMMYFUNCTION("IMPORTRANGE(""https://docs.google.com/spreadsheets/d/1Yj_ptqi66GCucihVvJfMjLAmec39IyEx_6qawtMGysU/edit?usp=sharing"",""สบก!AB49"")"),0.0)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IFERROR(__xludf.DUMMYFUNCTION("IMPORTRANGE(""https://docs.google.com/spreadsheets/d/1XL5vhW3sbDhbH9Cz0tuDiY8C3ctxq1tqvaCgkFb8cCA/edit?usp=sharing"",""เลย!I9"")"),0.0)</f>
        <v>0</v>
      </c>
      <c r="J64" s="172">
        <f>IFERROR(__xludf.DUMMYFUNCTION("IMPORTRANGE(""https://docs.google.com/spreadsheets/d/1XL5vhW3sbDhbH9Cz0tuDiY8C3ctxq1tqvaCgkFb8cCA/edit?usp=sharing"",""เลย!J9"")"),0.0)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IFERROR(__xludf.DUMMYFUNCTION("IMPORTRANGE(""https://docs.google.com/spreadsheets/d/1XL5vhW3sbDhbH9Cz0tuDiY8C3ctxq1tqvaCgkFb8cCA/edit?usp=sharing"",""เลย!I10"")"),0.0)</f>
        <v>0</v>
      </c>
      <c r="J65" s="172">
        <f>IFERROR(__xludf.DUMMYFUNCTION("IMPORTRANGE(""https://docs.google.com/spreadsheets/d/1XL5vhW3sbDhbH9Cz0tuDiY8C3ctxq1tqvaCgkFb8cCA/edit?usp=sharing"",""เลย!J10"")"),0.0)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IFERROR(__xludf.DUMMYFUNCTION("IMPORTRANGE(""https://docs.google.com/spreadsheets/d/1Yj_ptqi66GCucihVvJfMjLAmec39IyEx_6qawtMGysU/edit?usp=sharing"",""สบก!AI49"")"),0.0)</f>
        <v>0</v>
      </c>
      <c r="N70" s="202">
        <f>IFERROR(__xludf.DUMMYFUNCTION("IMPORTRANGE(""https://docs.google.com/spreadsheets/d/1Yj_ptqi66GCucihVvJfMjLAmec39IyEx_6qawtMGysU/edit?usp=sharing"",""สบก!AJ49"")"),0.0)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IFERROR(__xludf.DUMMYFUNCTION("IMPORTRANGE(""https://docs.google.com/spreadsheets/d/1Yj_ptqi66GCucihVvJfMjLAmec39IyEx_6qawtMGysU/edit?usp=sharing"",""สบก!AE49"")"),0.0)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IFERROR(__xludf.DUMMYFUNCTION("IMPORTRANGE(""https://docs.google.com/spreadsheets/d/1Yj_ptqi66GCucihVvJfMjLAmec39IyEx_6qawtMGysU/edit?usp=sharing"",""สบก!AF49"")"),0.0)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IFERROR(__xludf.DUMMYFUNCTION("IMPORTRANGE(""https://docs.google.com/spreadsheets/d/1Yj_ptqi66GCucihVvJfMjLAmec39IyEx_6qawtMGysU/edit?usp=sharing"",""สบก!AG49"")"),0.0)</f>
        <v>0</v>
      </c>
      <c r="M74" s="125"/>
      <c r="N74" s="115">
        <f>IFERROR(__xludf.DUMMYFUNCTION("IMPORTRANGE(""https://docs.google.com/spreadsheets/d/1Yj_ptqi66GCucihVvJfMjLAmec39IyEx_6qawtMGysU/edit?usp=sharing"",""สบก!AK49"")"),0.0)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IFERROR(__xludf.DUMMYFUNCTION("IMPORTRANGE(""https://docs.google.com/spreadsheets/d/1XL5vhW3sbDhbH9Cz0tuDiY8C3ctxq1tqvaCgkFb8cCA/edit?usp=sharing"",""เลย!J16"")"),0.0)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IFERROR(__xludf.DUMMYFUNCTION("IMPORTRANGE(""https://docs.google.com/spreadsheets/d/1XL5vhW3sbDhbH9Cz0tuDiY8C3ctxq1tqvaCgkFb8cCA/edit?usp=sharing"",""เลย!J17"")"),0.0)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IFERROR(__xludf.DUMMYFUNCTION("IMPORTRANGE(""https://docs.google.com/spreadsheets/d/1XL5vhW3sbDhbH9Cz0tuDiY8C3ctxq1tqvaCgkFb8cCA/edit?usp=sharing"",""เลย!J18"")"),0.0)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IFERROR(__xludf.DUMMYFUNCTION("IMPORTRANGE(""https://docs.google.com/spreadsheets/d/1XL5vhW3sbDhbH9Cz0tuDiY8C3ctxq1tqvaCgkFb8cCA/edit?usp=sharing"",""เลย!J19"")"),0.0)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IFERROR(__xludf.DUMMYFUNCTION("IMPORTRANGE(""https://docs.google.com/spreadsheets/d/1XL5vhW3sbDhbH9Cz0tuDiY8C3ctxq1tqvaCgkFb8cCA/edit?usp=sharing"",""เลย!I20"")"),0.0)</f>
        <v>0</v>
      </c>
      <c r="J80" s="235">
        <f>IFERROR(__xludf.DUMMYFUNCTION("IMPORTRANGE(""https://docs.google.com/spreadsheets/d/1XL5vhW3sbDhbH9Cz0tuDiY8C3ctxq1tqvaCgkFb8cCA/edit?usp=sharing"",""เลย!J20"")"),0.0)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IFERROR(__xludf.DUMMYFUNCTION("IMPORTRANGE(""https://docs.google.com/spreadsheets/d/1XL5vhW3sbDhbH9Cz0tuDiY8C3ctxq1tqvaCgkFb8cCA/edit?usp=sharing"",""เลย!I21"")"),0.0)</f>
        <v>0</v>
      </c>
      <c r="J81" s="235">
        <f>IFERROR(__xludf.DUMMYFUNCTION("IMPORTRANGE(""https://docs.google.com/spreadsheets/d/1XL5vhW3sbDhbH9Cz0tuDiY8C3ctxq1tqvaCgkFb8cCA/edit?usp=sharing"",""เลย!J21"")"),0.0)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IFERROR(__xludf.DUMMYFUNCTION("IMPORTRANGE(""https://docs.google.com/spreadsheets/d/1XL5vhW3sbDhbH9Cz0tuDiY8C3ctxq1tqvaCgkFb8cCA/edit?usp=sharing"",""เลย!I22"")"),0.0)</f>
        <v>0</v>
      </c>
      <c r="J82" s="238">
        <f>IFERROR(__xludf.DUMMYFUNCTION("IMPORTRANGE(""https://docs.google.com/spreadsheets/d/1XL5vhW3sbDhbH9Cz0tuDiY8C3ctxq1tqvaCgkFb8cCA/edit?usp=sharing"",""เลย!J22"")"),0.0)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IFERROR(__xludf.DUMMYFUNCTION("IMPORTRANGE(""https://docs.google.com/spreadsheets/d/1XL5vhW3sbDhbH9Cz0tuDiY8C3ctxq1tqvaCgkFb8cCA/edit?usp=sharing"",""เลย!I23"")"),0.0)</f>
        <v>0</v>
      </c>
      <c r="J83" s="238">
        <f>IFERROR(__xludf.DUMMYFUNCTION("IMPORTRANGE(""https://docs.google.com/spreadsheets/d/1XL5vhW3sbDhbH9Cz0tuDiY8C3ctxq1tqvaCgkFb8cCA/edit?usp=sharing"",""เลย!J23"")"),0.0)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IFERROR(__xludf.DUMMYFUNCTION("IMPORTRANGE(""https://docs.google.com/spreadsheets/d/1XL5vhW3sbDhbH9Cz0tuDiY8C3ctxq1tqvaCgkFb8cCA/edit?usp=sharing"",""เลย!I24"")"),0.0)</f>
        <v>0</v>
      </c>
      <c r="J84" s="223">
        <f>IFERROR(__xludf.DUMMYFUNCTION("IMPORTRANGE(""https://docs.google.com/spreadsheets/d/1XL5vhW3sbDhbH9Cz0tuDiY8C3ctxq1tqvaCgkFb8cCA/edit?usp=sharing"",""เลย!J24"")"),0.0)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IFERROR(__xludf.DUMMYFUNCTION("IMPORTRANGE(""https://docs.google.com/spreadsheets/d/1XL5vhW3sbDhbH9Cz0tuDiY8C3ctxq1tqvaCgkFb8cCA/edit?usp=sharing"",""เลย!I25"")"),0.0)</f>
        <v>0</v>
      </c>
      <c r="J85" s="223">
        <f>IFERROR(__xludf.DUMMYFUNCTION("IMPORTRANGE(""https://docs.google.com/spreadsheets/d/1XL5vhW3sbDhbH9Cz0tuDiY8C3ctxq1tqvaCgkFb8cCA/edit?usp=sharing"",""เลย!J25"")"),0.0)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IFERROR(__xludf.DUMMYFUNCTION("IMPORTRANGE(""https://docs.google.com/spreadsheets/d/1XL5vhW3sbDhbH9Cz0tuDiY8C3ctxq1tqvaCgkFb8cCA/edit?usp=sharing"",""เลย!I26"")"),0.0)</f>
        <v>0</v>
      </c>
      <c r="J86" s="238">
        <f>IFERROR(__xludf.DUMMYFUNCTION("IMPORTRANGE(""https://docs.google.com/spreadsheets/d/1XL5vhW3sbDhbH9Cz0tuDiY8C3ctxq1tqvaCgkFb8cCA/edit?usp=sharing"",""เลย!J26"")"),0.0)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IFERROR(__xludf.DUMMYFUNCTION("IMPORTRANGE(""https://docs.google.com/spreadsheets/d/1XL5vhW3sbDhbH9Cz0tuDiY8C3ctxq1tqvaCgkFb8cCA/edit?usp=sharing"",""เลย!I27"")"),0.0)</f>
        <v>0</v>
      </c>
      <c r="J87" s="238">
        <f>IFERROR(__xludf.DUMMYFUNCTION("IMPORTRANGE(""https://docs.google.com/spreadsheets/d/1XL5vhW3sbDhbH9Cz0tuDiY8C3ctxq1tqvaCgkFb8cCA/edit?usp=sharing"",""เลย!J27"")"),0.0)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IFERROR(__xludf.DUMMYFUNCTION("IMPORTRANGE(""https://docs.google.com/spreadsheets/d/1XL5vhW3sbDhbH9Cz0tuDiY8C3ctxq1tqvaCgkFb8cCA/edit?usp=sharing"",""เลย!I28"")"),0.0)</f>
        <v>0</v>
      </c>
      <c r="J88" s="238">
        <f>IFERROR(__xludf.DUMMYFUNCTION("IMPORTRANGE(""https://docs.google.com/spreadsheets/d/1XL5vhW3sbDhbH9Cz0tuDiY8C3ctxq1tqvaCgkFb8cCA/edit?usp=sharing"",""เลย!J28"")"),0.0)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IFERROR(__xludf.DUMMYFUNCTION("IMPORTRANGE(""https://docs.google.com/spreadsheets/d/1XL5vhW3sbDhbH9Cz0tuDiY8C3ctxq1tqvaCgkFb8cCA/edit?usp=sharing"",""เลย!J29"")"),0.0)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IFERROR(__xludf.DUMMYFUNCTION("IMPORTRANGE(""https://docs.google.com/spreadsheets/d/1XL5vhW3sbDhbH9Cz0tuDiY8C3ctxq1tqvaCgkFb8cCA/edit?usp=sharing"",""เลย!J30"")"),0.0)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IFERROR(__xludf.DUMMYFUNCTION("IMPORTRANGE(""https://docs.google.com/spreadsheets/d/1XL5vhW3sbDhbH9Cz0tuDiY8C3ctxq1tqvaCgkFb8cCA/edit?usp=sharing"",""เลย!I32"")"),4.0)</f>
        <v>4</v>
      </c>
      <c r="J92" s="172">
        <f>IFERROR(__xludf.DUMMYFUNCTION("IMPORTRANGE(""https://docs.google.com/spreadsheets/d/1XL5vhW3sbDhbH9Cz0tuDiY8C3ctxq1tqvaCgkFb8cCA/edit?usp=sharing"",""เลย!J32"")"),0.0)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IFERROR(__xludf.DUMMYFUNCTION("IMPORTRANGE(""https://docs.google.com/spreadsheets/d/1XL5vhW3sbDhbH9Cz0tuDiY8C3ctxq1tqvaCgkFb8cCA/edit?usp=sharing"",""เลย!I33"")"),1.0)</f>
        <v>1</v>
      </c>
      <c r="J93" s="172">
        <f>IFERROR(__xludf.DUMMYFUNCTION("IMPORTRANGE(""https://docs.google.com/spreadsheets/d/1XL5vhW3sbDhbH9Cz0tuDiY8C3ctxq1tqvaCgkFb8cCA/edit?usp=sharing"",""เลย!J33"")"),0.0)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98320</v>
      </c>
      <c r="O94" s="182">
        <f t="shared" ref="O94:O96" si="55">IF(L94&gt;0,N94*100/L94,0)</f>
        <v>45.83682984</v>
      </c>
      <c r="P94" s="182">
        <f t="shared" ref="P94:P96" si="56">IF(M94&gt;0,N94*100/M94,0)</f>
        <v>143.0525244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98320</v>
      </c>
      <c r="O96" s="187">
        <f t="shared" si="55"/>
        <v>45.83682984</v>
      </c>
      <c r="P96" s="187">
        <f t="shared" si="56"/>
        <v>143.0525244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IFERROR(__xludf.DUMMYFUNCTION("IMPORTRANGE(""https://docs.google.com/spreadsheets/d/1Yj_ptqi66GCucihVvJfMjLAmec39IyEx_6qawtMGysU/edit?usp=sharing"",""สบก!AR49"")"),68730.0)</f>
        <v>68730</v>
      </c>
      <c r="N98" s="202">
        <f>IFERROR(__xludf.DUMMYFUNCTION("IMPORTRANGE(""https://docs.google.com/spreadsheets/d/1Yj_ptqi66GCucihVvJfMjLAmec39IyEx_6qawtMGysU/edit?usp=sharing"",""สบก!AS49"")"),5920.0)</f>
        <v>5920</v>
      </c>
      <c r="O98" s="203">
        <f>IF(L98&gt;0,N98*100/L98,0)</f>
        <v>4.848484848</v>
      </c>
      <c r="P98" s="203">
        <f>IF(M98&gt;0,N98*100/M98,0)</f>
        <v>8.613414812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IFERROR(__xludf.DUMMYFUNCTION("IMPORTRANGE(""https://docs.google.com/spreadsheets/d/1Yj_ptqi66GCucihVvJfMjLAmec39IyEx_6qawtMGysU/edit?usp=sharing"",""สบก!AN49"")"),0.0)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IFERROR(__xludf.DUMMYFUNCTION("IMPORTRANGE(""https://docs.google.com/spreadsheets/d/1Yj_ptqi66GCucihVvJfMjLAmec39IyEx_6qawtMGysU/edit?usp=sharing"",""สบก!AO49"")"),122100.0)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IFERROR(__xludf.DUMMYFUNCTION("IMPORTRANGE(""https://docs.google.com/spreadsheets/d/1Yj_ptqi66GCucihVvJfMjLAmec39IyEx_6qawtMGysU/edit?usp=sharing"",""สบก!AP49"")"),92400.0)</f>
        <v>92400</v>
      </c>
      <c r="M102" s="125"/>
      <c r="N102" s="115">
        <f>IFERROR(__xludf.DUMMYFUNCTION("IMPORTRANGE(""https://docs.google.com/spreadsheets/d/1Yj_ptqi66GCucihVvJfMjLAmec39IyEx_6qawtMGysU/edit?usp=sharing"",""สบก!AT49"")"),92400.0)</f>
        <v>92400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IFERROR(__xludf.DUMMYFUNCTION("IMPORTRANGE(""https://docs.google.com/spreadsheets/d/1XL5vhW3sbDhbH9Cz0tuDiY8C3ctxq1tqvaCgkFb8cCA/edit?usp=sharing"",""เลย!J39"")"),0.0)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IFERROR(__xludf.DUMMYFUNCTION("IMPORTRANGE(""https://docs.google.com/spreadsheets/d/1XL5vhW3sbDhbH9Cz0tuDiY8C3ctxq1tqvaCgkFb8cCA/edit?usp=sharing"",""เลย!J40"")"),1.0)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IFERROR(__xludf.DUMMYFUNCTION("IMPORTRANGE(""https://docs.google.com/spreadsheets/d/1XL5vhW3sbDhbH9Cz0tuDiY8C3ctxq1tqvaCgkFb8cCA/edit?usp=sharing"",""เลย!J41"")"),1.0)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IFERROR(__xludf.DUMMYFUNCTION("IMPORTRANGE(""https://docs.google.com/spreadsheets/d/1XL5vhW3sbDhbH9Cz0tuDiY8C3ctxq1tqvaCgkFb8cCA/edit?usp=sharing"",""เลย!J42"")"),0.0)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IFERROR(__xludf.DUMMYFUNCTION("IMPORTRANGE(""https://docs.google.com/spreadsheets/d/1XL5vhW3sbDhbH9Cz0tuDiY8C3ctxq1tqvaCgkFb8cCA/edit?usp=sharing"",""เลย!I43"")"),1.0)</f>
        <v>1</v>
      </c>
      <c r="J108" s="238">
        <f>IFERROR(__xludf.DUMMYFUNCTION("IMPORTRANGE(""https://docs.google.com/spreadsheets/d/1XL5vhW3sbDhbH9Cz0tuDiY8C3ctxq1tqvaCgkFb8cCA/edit?usp=sharing"",""เลย!J43"")"),0.0)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IFERROR(__xludf.DUMMYFUNCTION("IMPORTRANGE(""https://docs.google.com/spreadsheets/d/1XL5vhW3sbDhbH9Cz0tuDiY8C3ctxq1tqvaCgkFb8cCA/edit?usp=sharing"",""เลย!I44"")"),4.0)</f>
        <v>4</v>
      </c>
      <c r="J109" s="238">
        <f>IFERROR(__xludf.DUMMYFUNCTION("IMPORTRANGE(""https://docs.google.com/spreadsheets/d/1XL5vhW3sbDhbH9Cz0tuDiY8C3ctxq1tqvaCgkFb8cCA/edit?usp=sharing"",""เลย!J44"")"),0.0)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IFERROR(__xludf.DUMMYFUNCTION("IMPORTRANGE(""https://docs.google.com/spreadsheets/d/1XL5vhW3sbDhbH9Cz0tuDiY8C3ctxq1tqvaCgkFb8cCA/edit?usp=sharing"",""เลย!I45"")"),4.0)</f>
        <v>4</v>
      </c>
      <c r="J110" s="238">
        <f>IFERROR(__xludf.DUMMYFUNCTION("IMPORTRANGE(""https://docs.google.com/spreadsheets/d/1XL5vhW3sbDhbH9Cz0tuDiY8C3ctxq1tqvaCgkFb8cCA/edit?usp=sharing"",""เลย!J45"")"),0.0)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IFERROR(__xludf.DUMMYFUNCTION("IMPORTRANGE(""https://docs.google.com/spreadsheets/d/1XL5vhW3sbDhbH9Cz0tuDiY8C3ctxq1tqvaCgkFb8cCA/edit?usp=sharing"",""เลย!I46"")"),4.0)</f>
        <v>4</v>
      </c>
      <c r="J111" s="238">
        <f>IFERROR(__xludf.DUMMYFUNCTION("IMPORTRANGE(""https://docs.google.com/spreadsheets/d/1XL5vhW3sbDhbH9Cz0tuDiY8C3ctxq1tqvaCgkFb8cCA/edit?usp=sharing"",""เลย!J46"")"),0.0)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IFERROR(__xludf.DUMMYFUNCTION("IMPORTRANGE(""https://docs.google.com/spreadsheets/d/1XL5vhW3sbDhbH9Cz0tuDiY8C3ctxq1tqvaCgkFb8cCA/edit?usp=sharing"",""เลย!I47"")"),4.0)</f>
        <v>4</v>
      </c>
      <c r="J112" s="238">
        <f>IFERROR(__xludf.DUMMYFUNCTION("IMPORTRANGE(""https://docs.google.com/spreadsheets/d/1XL5vhW3sbDhbH9Cz0tuDiY8C3ctxq1tqvaCgkFb8cCA/edit?usp=sharing"",""เลย!J47"")"),0.0)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IFERROR(__xludf.DUMMYFUNCTION("IMPORTRANGE(""https://docs.google.com/spreadsheets/d/1XL5vhW3sbDhbH9Cz0tuDiY8C3ctxq1tqvaCgkFb8cCA/edit?usp=sharing"",""เลย!I48"")"),1.0)</f>
        <v>1</v>
      </c>
      <c r="J113" s="238">
        <f>IFERROR(__xludf.DUMMYFUNCTION("IMPORTRANGE(""https://docs.google.com/spreadsheets/d/1XL5vhW3sbDhbH9Cz0tuDiY8C3ctxq1tqvaCgkFb8cCA/edit?usp=sharing"",""เลย!J48"")"),0.0)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IFERROR(__xludf.DUMMYFUNCTION("IMPORTRANGE(""https://docs.google.com/spreadsheets/d/1XL5vhW3sbDhbH9Cz0tuDiY8C3ctxq1tqvaCgkFb8cCA/edit?usp=sharing"",""เลย!J49"")"),0.0)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IFERROR(__xludf.DUMMYFUNCTION("IMPORTRANGE(""https://docs.google.com/spreadsheets/d/1XL5vhW3sbDhbH9Cz0tuDiY8C3ctxq1tqvaCgkFb8cCA/edit?usp=sharing"",""เลย!J50"")"),0.0)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IFERROR(__xludf.DUMMYFUNCTION("IMPORTRANGE(""https://docs.google.com/spreadsheets/d/1XL5vhW3sbDhbH9Cz0tuDiY8C3ctxq1tqvaCgkFb8cCA/edit?usp=sharing"",""เลย!I52"")"),0.0)</f>
        <v>0</v>
      </c>
      <c r="J117" s="172">
        <f>IFERROR(__xludf.DUMMYFUNCTION("IMPORTRANGE(""https://docs.google.com/spreadsheets/d/1XL5vhW3sbDhbH9Cz0tuDiY8C3ctxq1tqvaCgkFb8cCA/edit?usp=sharing"",""เลย!J52"")"),0.0)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IFERROR(__xludf.DUMMYFUNCTION("IMPORTRANGE(""https://docs.google.com/spreadsheets/d/1Yj_ptqi66GCucihVvJfMjLAmec39IyEx_6qawtMGysU/edit?usp=sharing"",""สบก!BA49"")"),0.0)</f>
        <v>0</v>
      </c>
      <c r="N122" s="202">
        <f>IFERROR(__xludf.DUMMYFUNCTION("IMPORTRANGE(""https://docs.google.com/spreadsheets/d/1Yj_ptqi66GCucihVvJfMjLAmec39IyEx_6qawtMGysU/edit?usp=sharing"",""สบก!BB49"")"),0.0)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IFERROR(__xludf.DUMMYFUNCTION("IMPORTRANGE(""https://docs.google.com/spreadsheets/d/1Yj_ptqi66GCucihVvJfMjLAmec39IyEx_6qawtMGysU/edit?usp=sharing"",""สบก!AW49"")"),0.0)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IFERROR(__xludf.DUMMYFUNCTION("IMPORTRANGE(""https://docs.google.com/spreadsheets/d/1Yj_ptqi66GCucihVvJfMjLAmec39IyEx_6qawtMGysU/edit?usp=sharing"",""สบก!AX49"")"),0.0)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IFERROR(__xludf.DUMMYFUNCTION("IMPORTRANGE(""https://docs.google.com/spreadsheets/d/1Yj_ptqi66GCucihVvJfMjLAmec39IyEx_6qawtMGysU/edit?usp=sharing"",""สบก!AY49"")"),0.0)</f>
        <v>0</v>
      </c>
      <c r="M126" s="125"/>
      <c r="N126" s="115">
        <f>IFERROR(__xludf.DUMMYFUNCTION("IMPORTRANGE(""https://docs.google.com/spreadsheets/d/1Yj_ptqi66GCucihVvJfMjLAmec39IyEx_6qawtMGysU/edit?usp=sharing"",""สบก!BC49"")"),0.0)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IFERROR(__xludf.DUMMYFUNCTION("IMPORTRANGE(""https://docs.google.com/spreadsheets/d/1XL5vhW3sbDhbH9Cz0tuDiY8C3ctxq1tqvaCgkFb8cCA/edit?usp=sharing"",""เลย!J58"")"),0.0)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IFERROR(__xludf.DUMMYFUNCTION("IMPORTRANGE(""https://docs.google.com/spreadsheets/d/1XL5vhW3sbDhbH9Cz0tuDiY8C3ctxq1tqvaCgkFb8cCA/edit?usp=sharing"",""เลย!J59"")"),0.0)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IFERROR(__xludf.DUMMYFUNCTION("IMPORTRANGE(""https://docs.google.com/spreadsheets/d/1XL5vhW3sbDhbH9Cz0tuDiY8C3ctxq1tqvaCgkFb8cCA/edit?usp=sharing"",""เลย!J60"")"),0.0)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IFERROR(__xludf.DUMMYFUNCTION("IMPORTRANGE(""https://docs.google.com/spreadsheets/d/1XL5vhW3sbDhbH9Cz0tuDiY8C3ctxq1tqvaCgkFb8cCA/edit?usp=sharing"",""เลย!J61"")"),0.0)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IFERROR(__xludf.DUMMYFUNCTION("IMPORTRANGE(""https://docs.google.com/spreadsheets/d/1XL5vhW3sbDhbH9Cz0tuDiY8C3ctxq1tqvaCgkFb8cCA/edit?usp=sharing"",""เลย!I62"")"),0.0)</f>
        <v>0</v>
      </c>
      <c r="J132" s="238">
        <f>IFERROR(__xludf.DUMMYFUNCTION("IMPORTRANGE(""https://docs.google.com/spreadsheets/d/1XL5vhW3sbDhbH9Cz0tuDiY8C3ctxq1tqvaCgkFb8cCA/edit?usp=sharing"",""เลย!J62"")"),0.0)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IFERROR(__xludf.DUMMYFUNCTION("IMPORTRANGE(""https://docs.google.com/spreadsheets/d/1XL5vhW3sbDhbH9Cz0tuDiY8C3ctxq1tqvaCgkFb8cCA/edit?usp=sharing"",""เลย!I63"")"),0.0)</f>
        <v>0</v>
      </c>
      <c r="J133" s="238">
        <f>IFERROR(__xludf.DUMMYFUNCTION("IMPORTRANGE(""https://docs.google.com/spreadsheets/d/1XL5vhW3sbDhbH9Cz0tuDiY8C3ctxq1tqvaCgkFb8cCA/edit?usp=sharing"",""เลย!J63"")"),0.0)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IFERROR(__xludf.DUMMYFUNCTION("IMPORTRANGE(""https://docs.google.com/spreadsheets/d/1XL5vhW3sbDhbH9Cz0tuDiY8C3ctxq1tqvaCgkFb8cCA/edit?usp=sharing"",""เลย!J64"")"),0.0)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IFERROR(__xludf.DUMMYFUNCTION("IMPORTRANGE(""https://docs.google.com/spreadsheets/d/1XL5vhW3sbDhbH9Cz0tuDiY8C3ctxq1tqvaCgkFb8cCA/edit?usp=sharing"",""เลย!J65"")"),0.0)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IFERROR(__xludf.DUMMYFUNCTION("IMPORTRANGE(""https://docs.google.com/spreadsheets/d/1XL5vhW3sbDhbH9Cz0tuDiY8C3ctxq1tqvaCgkFb8cCA/edit?usp=sharing"",""เลย!I68"")"),15.0)</f>
        <v>15</v>
      </c>
      <c r="J138" s="301">
        <f>IFERROR(__xludf.DUMMYFUNCTION("IMPORTRANGE(""https://docs.google.com/spreadsheets/d/1XL5vhW3sbDhbH9Cz0tuDiY8C3ctxq1tqvaCgkFb8cCA/edit?usp=sharing"",""เลย!J68"")"),0.0)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581800</v>
      </c>
      <c r="M140" s="183">
        <f t="shared" si="65"/>
        <v>296350</v>
      </c>
      <c r="N140" s="183">
        <f t="shared" si="65"/>
        <v>170660</v>
      </c>
      <c r="O140" s="182">
        <f t="shared" ref="O140:O142" si="67">IF(L140&gt;0,N140*100/L140,0)</f>
        <v>29.33310416</v>
      </c>
      <c r="P140" s="182">
        <f t="shared" ref="P140:P142" si="68">IF(M140&gt;0,N140*100/M140,0)</f>
        <v>57.5873123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581800</v>
      </c>
      <c r="M142" s="188">
        <f t="shared" si="69"/>
        <v>296350</v>
      </c>
      <c r="N142" s="188">
        <f t="shared" si="69"/>
        <v>170660</v>
      </c>
      <c r="O142" s="187">
        <f t="shared" si="67"/>
        <v>29.33310416</v>
      </c>
      <c r="P142" s="187">
        <f t="shared" si="68"/>
        <v>57.5873123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581800</v>
      </c>
      <c r="M144" s="201">
        <f>IFERROR(__xludf.DUMMYFUNCTION("IMPORTRANGE(""https://docs.google.com/spreadsheets/d/1Yj_ptqi66GCucihVvJfMjLAmec39IyEx_6qawtMGysU/edit?usp=sharing"",""สบก!BJ49"")"),296350.0)</f>
        <v>296350</v>
      </c>
      <c r="N144" s="202">
        <f>IFERROR(__xludf.DUMMYFUNCTION("IMPORTRANGE(""https://docs.google.com/spreadsheets/d/1Yj_ptqi66GCucihVvJfMjLAmec39IyEx_6qawtMGysU/edit?usp=sharing"",""สบก!BK49"")"),170660.0)</f>
        <v>170660</v>
      </c>
      <c r="O144" s="203">
        <f>IF(L144&gt;0,N144*100/L144,0)</f>
        <v>29.33310416</v>
      </c>
      <c r="P144" s="203">
        <f>IF(M144&gt;0,N144*100/M144,0)</f>
        <v>57.5873123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IFERROR(__xludf.DUMMYFUNCTION("IMPORTRANGE(""https://docs.google.com/spreadsheets/d/1Yj_ptqi66GCucihVvJfMjLAmec39IyEx_6qawtMGysU/edit?usp=sharing"",""สบก!BF49"")"),459100.0)</f>
        <v>459100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IFERROR(__xludf.DUMMYFUNCTION("IMPORTRANGE(""https://docs.google.com/spreadsheets/d/1Yj_ptqi66GCucihVvJfMjLAmec39IyEx_6qawtMGysU/edit?usp=sharing"",""สบก!BG49"")"),122700.0)</f>
        <v>122700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IFERROR(__xludf.DUMMYFUNCTION("IMPORTRANGE(""https://docs.google.com/spreadsheets/d/1Yj_ptqi66GCucihVvJfMjLAmec39IyEx_6qawtMGysU/edit?usp=sharing"",""สบก!BH49"")"),0.0)</f>
        <v>0</v>
      </c>
      <c r="M148" s="125"/>
      <c r="N148" s="115">
        <f>IFERROR(__xludf.DUMMYFUNCTION("IMPORTRANGE(""https://docs.google.com/spreadsheets/d/1Yj_ptqi66GCucihVvJfMjLAmec39IyEx_6qawtMGysU/edit?usp=sharing"",""สบก!BL49"")"),0.0)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IFERROR(__xludf.DUMMYFUNCTION("IMPORTRANGE(""https://docs.google.com/spreadsheets/d/1XL5vhW3sbDhbH9Cz0tuDiY8C3ctxq1tqvaCgkFb8cCA/edit?usp=sharing"",""เลย!I74"")"),4.0)</f>
        <v>4</v>
      </c>
      <c r="J149" s="309">
        <f>IFERROR(__xludf.DUMMYFUNCTION("IMPORTRANGE(""https://docs.google.com/spreadsheets/d/1XL5vhW3sbDhbH9Cz0tuDiY8C3ctxq1tqvaCgkFb8cCA/edit?usp=sharing"",""เลย!J74"")"),1.0)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IFERROR(__xludf.DUMMYFUNCTION("IMPORTRANGE(""https://docs.google.com/spreadsheets/d/1XL5vhW3sbDhbH9Cz0tuDiY8C3ctxq1tqvaCgkFb8cCA/edit?usp=sharing"",""เลย!J79"")"),0.0)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IFERROR(__xludf.DUMMYFUNCTION("IMPORTRANGE(""https://docs.google.com/spreadsheets/d/1XL5vhW3sbDhbH9Cz0tuDiY8C3ctxq1tqvaCgkFb8cCA/edit?usp=sharing"",""เลย!J80"")"),1.0)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IFERROR(__xludf.DUMMYFUNCTION("IMPORTRANGE(""https://docs.google.com/spreadsheets/d/1XL5vhW3sbDhbH9Cz0tuDiY8C3ctxq1tqvaCgkFb8cCA/edit?usp=sharing"",""เลย!J81"")"),0.0)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IFERROR(__xludf.DUMMYFUNCTION("IMPORTRANGE(""https://docs.google.com/spreadsheets/d/1XL5vhW3sbDhbH9Cz0tuDiY8C3ctxq1tqvaCgkFb8cCA/edit?usp=sharing"",""เลย!J82"")"),0.0)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IFERROR(__xludf.DUMMYFUNCTION("IMPORTRANGE(""https://docs.google.com/spreadsheets/d/1XL5vhW3sbDhbH9Cz0tuDiY8C3ctxq1tqvaCgkFb8cCA/edit?usp=sharing"",""เลย!I83"")"),4.0)</f>
        <v>4</v>
      </c>
      <c r="J158" s="223">
        <f>IFERROR(__xludf.DUMMYFUNCTION("IMPORTRANGE(""https://docs.google.com/spreadsheets/d/1XL5vhW3sbDhbH9Cz0tuDiY8C3ctxq1tqvaCgkFb8cCA/edit?usp=sharing"",""เลย!J83"")"),1.0)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IFERROR(__xludf.DUMMYFUNCTION("IMPORTRANGE(""https://docs.google.com/spreadsheets/d/1XL5vhW3sbDhbH9Cz0tuDiY8C3ctxq1tqvaCgkFb8cCA/edit?usp=sharing"",""เลย!J84"")"),77.0)</f>
        <v>77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IFERROR(__xludf.DUMMYFUNCTION("IMPORTRANGE(""https://docs.google.com/spreadsheets/d/1XL5vhW3sbDhbH9Cz0tuDiY8C3ctxq1tqvaCgkFb8cCA/edit?usp=sharing"",""เลย!J85"")"),77.0)</f>
        <v>77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IFERROR(__xludf.DUMMYFUNCTION("IMPORTRANGE(""https://docs.google.com/spreadsheets/d/1XL5vhW3sbDhbH9Cz0tuDiY8C3ctxq1tqvaCgkFb8cCA/edit?usp=sharing"",""เลย!J86"")"),0.0)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IFERROR(__xludf.DUMMYFUNCTION("IMPORTRANGE(""https://docs.google.com/spreadsheets/d/1XL5vhW3sbDhbH9Cz0tuDiY8C3ctxq1tqvaCgkFb8cCA/edit?usp=sharing"",""เลย!J87"")"),0.0)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IFERROR(__xludf.DUMMYFUNCTION("IMPORTRANGE(""https://docs.google.com/spreadsheets/d/1XL5vhW3sbDhbH9Cz0tuDiY8C3ctxq1tqvaCgkFb8cCA/edit?usp=sharing"",""เลย!J88"")"),0.0)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IFERROR(__xludf.DUMMYFUNCTION("IMPORTRANGE(""https://docs.google.com/spreadsheets/d/1XL5vhW3sbDhbH9Cz0tuDiY8C3ctxq1tqvaCgkFb8cCA/edit?usp=sharing"",""เลย!I89"")"),2.0)</f>
        <v>2</v>
      </c>
      <c r="J164" s="317">
        <f>IFERROR(__xludf.DUMMYFUNCTION("IMPORTRANGE(""https://docs.google.com/spreadsheets/d/1XL5vhW3sbDhbH9Cz0tuDiY8C3ctxq1tqvaCgkFb8cCA/edit?usp=sharing"",""เลย!J89"")"),2.0)</f>
        <v>2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IFERROR(__xludf.DUMMYFUNCTION("IMPORTRANGE(""https://docs.google.com/spreadsheets/d/1XL5vhW3sbDhbH9Cz0tuDiY8C3ctxq1tqvaCgkFb8cCA/edit?usp=sharing"",""เลย!J94"")"),0.0)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IFERROR(__xludf.DUMMYFUNCTION("IMPORTRANGE(""https://docs.google.com/spreadsheets/d/1XL5vhW3sbDhbH9Cz0tuDiY8C3ctxq1tqvaCgkFb8cCA/edit?usp=sharing"",""เลย!J95"")"),1.0)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IFERROR(__xludf.DUMMYFUNCTION("IMPORTRANGE(""https://docs.google.com/spreadsheets/d/1XL5vhW3sbDhbH9Cz0tuDiY8C3ctxq1tqvaCgkFb8cCA/edit?usp=sharing"",""เลย!J96"")"),1.0)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IFERROR(__xludf.DUMMYFUNCTION("IMPORTRANGE(""https://docs.google.com/spreadsheets/d/1XL5vhW3sbDhbH9Cz0tuDiY8C3ctxq1tqvaCgkFb8cCA/edit?usp=sharing"",""เลย!J97"")"),0.0)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IFERROR(__xludf.DUMMYFUNCTION("IMPORTRANGE(""https://docs.google.com/spreadsheets/d/1XL5vhW3sbDhbH9Cz0tuDiY8C3ctxq1tqvaCgkFb8cCA/edit?usp=sharing"",""เลย!I98"")"),2.0)</f>
        <v>2</v>
      </c>
      <c r="J173" s="223">
        <f>IFERROR(__xludf.DUMMYFUNCTION("IMPORTRANGE(""https://docs.google.com/spreadsheets/d/1XL5vhW3sbDhbH9Cz0tuDiY8C3ctxq1tqvaCgkFb8cCA/edit?usp=sharing"",""เลย!J98"")"),2.0)</f>
        <v>2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IFERROR(__xludf.DUMMYFUNCTION("IMPORTRANGE(""https://docs.google.com/spreadsheets/d/1XL5vhW3sbDhbH9Cz0tuDiY8C3ctxq1tqvaCgkFb8cCA/edit?usp=sharing"",""เลย!J99"")"),0.0)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IFERROR(__xludf.DUMMYFUNCTION("IMPORTRANGE(""https://docs.google.com/spreadsheets/d/1XL5vhW3sbDhbH9Cz0tuDiY8C3ctxq1tqvaCgkFb8cCA/edit?usp=sharing"",""เลย!J100"")"),0.0)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IFERROR(__xludf.DUMMYFUNCTION("IMPORTRANGE(""https://docs.google.com/spreadsheets/d/1XL5vhW3sbDhbH9Cz0tuDiY8C3ctxq1tqvaCgkFb8cCA/edit?usp=sharing"",""เลย!I101"")"),2.0)</f>
        <v>2</v>
      </c>
      <c r="J176" s="317">
        <f>IFERROR(__xludf.DUMMYFUNCTION("IMPORTRANGE(""https://docs.google.com/spreadsheets/d/1XL5vhW3sbDhbH9Cz0tuDiY8C3ctxq1tqvaCgkFb8cCA/edit?usp=sharing"",""เลย!J101"")"),2.0)</f>
        <v>2</v>
      </c>
      <c r="K176" s="318">
        <f>IF(I176&gt;0,J176*100/I176,0)</f>
        <v>100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IFERROR(__xludf.DUMMYFUNCTION("IMPORTRANGE(""https://docs.google.com/spreadsheets/d/1XL5vhW3sbDhbH9Cz0tuDiY8C3ctxq1tqvaCgkFb8cCA/edit?usp=sharing"",""เลย!J106"")"),0.0)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IFERROR(__xludf.DUMMYFUNCTION("IMPORTRANGE(""https://docs.google.com/spreadsheets/d/1XL5vhW3sbDhbH9Cz0tuDiY8C3ctxq1tqvaCgkFb8cCA/edit?usp=sharing"",""เลย!J107"")"),1.0)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IFERROR(__xludf.DUMMYFUNCTION("IMPORTRANGE(""https://docs.google.com/spreadsheets/d/1XL5vhW3sbDhbH9Cz0tuDiY8C3ctxq1tqvaCgkFb8cCA/edit?usp=sharing"",""เลย!J108"")"),0.0)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IFERROR(__xludf.DUMMYFUNCTION("IMPORTRANGE(""https://docs.google.com/spreadsheets/d/1XL5vhW3sbDhbH9Cz0tuDiY8C3ctxq1tqvaCgkFb8cCA/edit?usp=sharing"",""เลย!J109"")"),1.0)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IFERROR(__xludf.DUMMYFUNCTION("IMPORTRANGE(""https://docs.google.com/spreadsheets/d/1XL5vhW3sbDhbH9Cz0tuDiY8C3ctxq1tqvaCgkFb8cCA/edit?usp=sharing"",""เลย!I110"")"),2.0)</f>
        <v>2</v>
      </c>
      <c r="J185" s="238" t="str">
        <f>IFERROR(__xludf.DUMMYFUNCTION("IMPORTRANGE(""https://docs.google.com/spreadsheets/d/1XL5vhW3sbDhbH9Cz0tuDiY8C3ctxq1tqvaCgkFb8cCA/edit?usp=sharing"",""เลย!J110"")"),"")</f>
        <v/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IFERROR(__xludf.DUMMYFUNCTION("IMPORTRANGE(""https://docs.google.com/spreadsheets/d/1XL5vhW3sbDhbH9Cz0tuDiY8C3ctxq1tqvaCgkFb8cCA/edit?usp=sharing"",""เลย!I111"")"),2.0)</f>
        <v>2</v>
      </c>
      <c r="J186" s="238">
        <f>IFERROR(__xludf.DUMMYFUNCTION("IMPORTRANGE(""https://docs.google.com/spreadsheets/d/1XL5vhW3sbDhbH9Cz0tuDiY8C3ctxq1tqvaCgkFb8cCA/edit?usp=sharing"",""เลย!J111"")"),2.0)</f>
        <v>2</v>
      </c>
      <c r="K186" s="258">
        <f t="shared" si="70"/>
        <v>100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IFERROR(__xludf.DUMMYFUNCTION("IMPORTRANGE(""https://docs.google.com/spreadsheets/d/1XL5vhW3sbDhbH9Cz0tuDiY8C3ctxq1tqvaCgkFb8cCA/edit?usp=sharing"",""เลย!J112"")"),0.0)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IFERROR(__xludf.DUMMYFUNCTION("IMPORTRANGE(""https://docs.google.com/spreadsheets/d/1XL5vhW3sbDhbH9Cz0tuDiY8C3ctxq1tqvaCgkFb8cCA/edit?usp=sharing"",""เลย!J113"")"),0.0)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IFERROR(__xludf.DUMMYFUNCTION("IMPORTRANGE(""https://docs.google.com/spreadsheets/d/1XL5vhW3sbDhbH9Cz0tuDiY8C3ctxq1tqvaCgkFb8cCA/edit?usp=sharing"",""เลย!I114"")"),128000.0)</f>
        <v>128000</v>
      </c>
      <c r="J189" s="317">
        <f>IFERROR(__xludf.DUMMYFUNCTION("IMPORTRANGE(""https://docs.google.com/spreadsheets/d/1XL5vhW3sbDhbH9Cz0tuDiY8C3ctxq1tqvaCgkFb8cCA/edit?usp=sharing"",""เลย!J114"")"),0.0)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IFERROR(__xludf.DUMMYFUNCTION("IMPORTRANGE(""https://docs.google.com/spreadsheets/d/1XL5vhW3sbDhbH9Cz0tuDiY8C3ctxq1tqvaCgkFb8cCA/edit?usp=sharing"",""เลย!J119"")"),0.0)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IFERROR(__xludf.DUMMYFUNCTION("IMPORTRANGE(""https://docs.google.com/spreadsheets/d/1XL5vhW3sbDhbH9Cz0tuDiY8C3ctxq1tqvaCgkFb8cCA/edit?usp=sharing"",""เลย!J120"")"),1.0)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IFERROR(__xludf.DUMMYFUNCTION("IMPORTRANGE(""https://docs.google.com/spreadsheets/d/1XL5vhW3sbDhbH9Cz0tuDiY8C3ctxq1tqvaCgkFb8cCA/edit?usp=sharing"",""เลย!J121"")"),1.0)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IFERROR(__xludf.DUMMYFUNCTION("IMPORTRANGE(""https://docs.google.com/spreadsheets/d/1XL5vhW3sbDhbH9Cz0tuDiY8C3ctxq1tqvaCgkFb8cCA/edit?usp=sharing"",""เลย!J122"")"),0.0)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IFERROR(__xludf.DUMMYFUNCTION("IMPORTRANGE(""https://docs.google.com/spreadsheets/d/1XL5vhW3sbDhbH9Cz0tuDiY8C3ctxq1tqvaCgkFb8cCA/edit?usp=sharing"",""เลย!I124"")"),128000.0)</f>
        <v>128000</v>
      </c>
      <c r="J199" s="223">
        <f>IFERROR(__xludf.DUMMYFUNCTION("IMPORTRANGE(""https://docs.google.com/spreadsheets/d/1XL5vhW3sbDhbH9Cz0tuDiY8C3ctxq1tqvaCgkFb8cCA/edit?usp=sharing"",""เลย!J124"")"),0.0)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IFERROR(__xludf.DUMMYFUNCTION("IMPORTRANGE(""https://docs.google.com/spreadsheets/d/1XL5vhW3sbDhbH9Cz0tuDiY8C3ctxq1tqvaCgkFb8cCA/edit?usp=sharing"",""เลย!I125"")"),128000.0)</f>
        <v>128000</v>
      </c>
      <c r="J200" s="223">
        <f>IFERROR(__xludf.DUMMYFUNCTION("IMPORTRANGE(""https://docs.google.com/spreadsheets/d/1XL5vhW3sbDhbH9Cz0tuDiY8C3ctxq1tqvaCgkFb8cCA/edit?usp=sharing"",""เลย!J125"")"),0.0)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IFERROR(__xludf.DUMMYFUNCTION("IMPORTRANGE(""https://docs.google.com/spreadsheets/d/1XL5vhW3sbDhbH9Cz0tuDiY8C3ctxq1tqvaCgkFb8cCA/edit?usp=sharing"",""เลย!I126"")"),15.0)</f>
        <v>15</v>
      </c>
      <c r="J201" s="223">
        <f>IFERROR(__xludf.DUMMYFUNCTION("IMPORTRANGE(""https://docs.google.com/spreadsheets/d/1XL5vhW3sbDhbH9Cz0tuDiY8C3ctxq1tqvaCgkFb8cCA/edit?usp=sharing"",""เลย!J126"")"),0.0)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IFERROR(__xludf.DUMMYFUNCTION("IMPORTRANGE(""https://docs.google.com/spreadsheets/d/1XL5vhW3sbDhbH9Cz0tuDiY8C3ctxq1tqvaCgkFb8cCA/edit?usp=sharing"",""เลย!J127"")"),0.0)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IFERROR(__xludf.DUMMYFUNCTION("IMPORTRANGE(""https://docs.google.com/spreadsheets/d/1XL5vhW3sbDhbH9Cz0tuDiY8C3ctxq1tqvaCgkFb8cCA/edit?usp=sharing"",""เลย!J128"")"),0.0)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IFERROR(__xludf.DUMMYFUNCTION("IMPORTRANGE(""https://docs.google.com/spreadsheets/d/1XL5vhW3sbDhbH9Cz0tuDiY8C3ctxq1tqvaCgkFb8cCA/edit?usp=sharing"",""เลย!I129"")"),0.0)</f>
        <v>0</v>
      </c>
      <c r="J204" s="317">
        <f>IFERROR(__xludf.DUMMYFUNCTION("IMPORTRANGE(""https://docs.google.com/spreadsheets/d/1XL5vhW3sbDhbH9Cz0tuDiY8C3ctxq1tqvaCgkFb8cCA/edit?usp=sharing"",""เลย!J129"")"),0.0)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IFERROR(__xludf.DUMMYFUNCTION("IMPORTRANGE(""https://docs.google.com/spreadsheets/d/1XL5vhW3sbDhbH9Cz0tuDiY8C3ctxq1tqvaCgkFb8cCA/edit?usp=sharing"",""เลย!J134"")"),0.0)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IFERROR(__xludf.DUMMYFUNCTION("IMPORTRANGE(""https://docs.google.com/spreadsheets/d/1XL5vhW3sbDhbH9Cz0tuDiY8C3ctxq1tqvaCgkFb8cCA/edit?usp=sharing"",""เลย!J135"")"),0.0)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IFERROR(__xludf.DUMMYFUNCTION("IMPORTRANGE(""https://docs.google.com/spreadsheets/d/1XL5vhW3sbDhbH9Cz0tuDiY8C3ctxq1tqvaCgkFb8cCA/edit?usp=sharing"",""เลย!J136"")"),0.0)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IFERROR(__xludf.DUMMYFUNCTION("IMPORTRANGE(""https://docs.google.com/spreadsheets/d/1XL5vhW3sbDhbH9Cz0tuDiY8C3ctxq1tqvaCgkFb8cCA/edit?usp=sharing"",""เลย!J137"")"),0.0)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IFERROR(__xludf.DUMMYFUNCTION("IMPORTRANGE(""https://docs.google.com/spreadsheets/d/1XL5vhW3sbDhbH9Cz0tuDiY8C3ctxq1tqvaCgkFb8cCA/edit?usp=sharing"",""เลย!I138"")"),0.0)</f>
        <v>0</v>
      </c>
      <c r="J213" s="238">
        <f>IFERROR(__xludf.DUMMYFUNCTION("IMPORTRANGE(""https://docs.google.com/spreadsheets/d/1XL5vhW3sbDhbH9Cz0tuDiY8C3ctxq1tqvaCgkFb8cCA/edit?usp=sharing"",""เลย!J138"")"),0.0)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IFERROR(__xludf.DUMMYFUNCTION("IMPORTRANGE(""https://docs.google.com/spreadsheets/d/1XL5vhW3sbDhbH9Cz0tuDiY8C3ctxq1tqvaCgkFb8cCA/edit?usp=sharing"",""เลย!I140"")"),0.0)</f>
        <v>0</v>
      </c>
      <c r="J215" s="238">
        <f>IFERROR(__xludf.DUMMYFUNCTION("IMPORTRANGE(""https://docs.google.com/spreadsheets/d/1XL5vhW3sbDhbH9Cz0tuDiY8C3ctxq1tqvaCgkFb8cCA/edit?usp=sharing"",""เลย!J140"")"),0.0)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IFERROR(__xludf.DUMMYFUNCTION("IMPORTRANGE(""https://docs.google.com/spreadsheets/d/1XL5vhW3sbDhbH9Cz0tuDiY8C3ctxq1tqvaCgkFb8cCA/edit?usp=sharing"",""เลย!I141"")"),0.0)</f>
        <v>0</v>
      </c>
      <c r="J216" s="238">
        <f>IFERROR(__xludf.DUMMYFUNCTION("IMPORTRANGE(""https://docs.google.com/spreadsheets/d/1XL5vhW3sbDhbH9Cz0tuDiY8C3ctxq1tqvaCgkFb8cCA/edit?usp=sharing"",""เลย!J141"")"),0.0)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IFERROR(__xludf.DUMMYFUNCTION("IMPORTRANGE(""https://docs.google.com/spreadsheets/d/1XL5vhW3sbDhbH9Cz0tuDiY8C3ctxq1tqvaCgkFb8cCA/edit?usp=sharing"",""เลย!J142"")"),0.0)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IFERROR(__xludf.DUMMYFUNCTION("IMPORTRANGE(""https://docs.google.com/spreadsheets/d/1XL5vhW3sbDhbH9Cz0tuDiY8C3ctxq1tqvaCgkFb8cCA/edit?usp=sharing"",""เลย!J143"")"),0.0)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IFERROR(__xludf.DUMMYFUNCTION("IMPORTRANGE(""https://docs.google.com/spreadsheets/d/1XL5vhW3sbDhbH9Cz0tuDiY8C3ctxq1tqvaCgkFb8cCA/edit?usp=sharing"",""เลย!I144"")"),15.0)</f>
        <v>15</v>
      </c>
      <c r="J219" s="301">
        <f>IFERROR(__xludf.DUMMYFUNCTION("IMPORTRANGE(""https://docs.google.com/spreadsheets/d/1XL5vhW3sbDhbH9Cz0tuDiY8C3ctxq1tqvaCgkFb8cCA/edit?usp=sharing"",""เลย!J144"")"),15.0)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19125</v>
      </c>
      <c r="O220" s="182">
        <f t="shared" ref="O220:O222" si="75">IF(L220&gt;0,N220*100/L220,0)</f>
        <v>90.53254438</v>
      </c>
      <c r="P220" s="182">
        <f t="shared" ref="P220:P222" si="76">IF(M220&gt;0,N220*100/M220,0)</f>
        <v>90.53254438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19125</v>
      </c>
      <c r="O222" s="187">
        <f t="shared" si="75"/>
        <v>90.53254438</v>
      </c>
      <c r="P222" s="187">
        <f t="shared" si="76"/>
        <v>90.53254438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IFERROR(__xludf.DUMMYFUNCTION("IMPORTRANGE(""https://docs.google.com/spreadsheets/d/1Yj_ptqi66GCucihVvJfMjLAmec39IyEx_6qawtMGysU/edit?usp=sharing"",""สบก!BS49"")"),21125.0)</f>
        <v>21125</v>
      </c>
      <c r="N224" s="202">
        <f>IFERROR(__xludf.DUMMYFUNCTION("IMPORTRANGE(""https://docs.google.com/spreadsheets/d/1Yj_ptqi66GCucihVvJfMjLAmec39IyEx_6qawtMGysU/edit?usp=sharing"",""สบก!BT49"")"),19125.0)</f>
        <v>19125</v>
      </c>
      <c r="O224" s="203">
        <f>IF(L224&gt;0,N224*100/L224,0)</f>
        <v>90.53254438</v>
      </c>
      <c r="P224" s="203">
        <f>IF(M224&gt;0,N224*100/M224,0)</f>
        <v>90.53254438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IFERROR(__xludf.DUMMYFUNCTION("IMPORTRANGE(""https://docs.google.com/spreadsheets/d/1Yj_ptqi66GCucihVvJfMjLAmec39IyEx_6qawtMGysU/edit?usp=sharing"",""สบก!BO49"")"),0.0)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IFERROR(__xludf.DUMMYFUNCTION("IMPORTRANGE(""https://docs.google.com/spreadsheets/d/1Yj_ptqi66GCucihVvJfMjLAmec39IyEx_6qawtMGysU/edit?usp=sharing"",""สบก!BP49"")"),21125.0)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IFERROR(__xludf.DUMMYFUNCTION("IMPORTRANGE(""https://docs.google.com/spreadsheets/d/1Yj_ptqi66GCucihVvJfMjLAmec39IyEx_6qawtMGysU/edit?usp=sharing"",""สบก!BQ49"")"),0.0)</f>
        <v>0</v>
      </c>
      <c r="M228" s="125"/>
      <c r="N228" s="115">
        <f>IFERROR(__xludf.DUMMYFUNCTION("IMPORTRANGE(""https://docs.google.com/spreadsheets/d/1Yj_ptqi66GCucihVvJfMjLAmec39IyEx_6qawtMGysU/edit?usp=sharing"",""สบก!BU49"")"),0.0)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IFERROR(__xludf.DUMMYFUNCTION("IMPORTRANGE(""https://docs.google.com/spreadsheets/d/1XL5vhW3sbDhbH9Cz0tuDiY8C3ctxq1tqvaCgkFb8cCA/edit?usp=sharing"",""เลย!I149"")"),15.0)</f>
        <v>15</v>
      </c>
      <c r="J229" s="301">
        <f>IFERROR(__xludf.DUMMYFUNCTION("IMPORTRANGE(""https://docs.google.com/spreadsheets/d/1XL5vhW3sbDhbH9Cz0tuDiY8C3ctxq1tqvaCgkFb8cCA/edit?usp=sharing"",""เลย!J149"")"),15.0)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IFERROR(__xludf.DUMMYFUNCTION("IMPORTRANGE(""https://docs.google.com/spreadsheets/d/1XL5vhW3sbDhbH9Cz0tuDiY8C3ctxq1tqvaCgkFb8cCA/edit?usp=sharing"",""เลย!J151"")"),0.0)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IFERROR(__xludf.DUMMYFUNCTION("IMPORTRANGE(""https://docs.google.com/spreadsheets/d/1XL5vhW3sbDhbH9Cz0tuDiY8C3ctxq1tqvaCgkFb8cCA/edit?usp=sharing"",""เลย!J152"")"),1.0)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IFERROR(__xludf.DUMMYFUNCTION("IMPORTRANGE(""https://docs.google.com/spreadsheets/d/1XL5vhW3sbDhbH9Cz0tuDiY8C3ctxq1tqvaCgkFb8cCA/edit?usp=sharing"",""เลย!J153"")"),1.0)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IFERROR(__xludf.DUMMYFUNCTION("IMPORTRANGE(""https://docs.google.com/spreadsheets/d/1XL5vhW3sbDhbH9Cz0tuDiY8C3ctxq1tqvaCgkFb8cCA/edit?usp=sharing"",""เลย!J154"")"),0.0)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IFERROR(__xludf.DUMMYFUNCTION("IMPORTRANGE(""https://docs.google.com/spreadsheets/d/1XL5vhW3sbDhbH9Cz0tuDiY8C3ctxq1tqvaCgkFb8cCA/edit?usp=sharing"",""เลย!I155"")"),15.0)</f>
        <v>15</v>
      </c>
      <c r="J235" s="223">
        <f>IFERROR(__xludf.DUMMYFUNCTION("IMPORTRANGE(""https://docs.google.com/spreadsheets/d/1XL5vhW3sbDhbH9Cz0tuDiY8C3ctxq1tqvaCgkFb8cCA/edit?usp=sharing"",""เลย!J155"")"),15.0)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IFERROR(__xludf.DUMMYFUNCTION("IMPORTRANGE(""https://docs.google.com/spreadsheets/d/1XL5vhW3sbDhbH9Cz0tuDiY8C3ctxq1tqvaCgkFb8cCA/edit?usp=sharing"",""เลย!J156"")"),0.0)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IFERROR(__xludf.DUMMYFUNCTION("IMPORTRANGE(""https://docs.google.com/spreadsheets/d/1XL5vhW3sbDhbH9Cz0tuDiY8C3ctxq1tqvaCgkFb8cCA/edit?usp=sharing"",""เลย!J157"")"),0.0)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IFERROR(__xludf.DUMMYFUNCTION("IMPORTRANGE(""https://docs.google.com/spreadsheets/d/1XL5vhW3sbDhbH9Cz0tuDiY8C3ctxq1tqvaCgkFb8cCA/edit?usp=sharing"",""เลย!I158"")"),0.0)</f>
        <v>0</v>
      </c>
      <c r="J238" s="301">
        <f>IFERROR(__xludf.DUMMYFUNCTION("IMPORTRANGE(""https://docs.google.com/spreadsheets/d/1XL5vhW3sbDhbH9Cz0tuDiY8C3ctxq1tqvaCgkFb8cCA/edit?usp=sharing"",""เลย!J158"")"),0.0)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IFERROR(__xludf.DUMMYFUNCTION("IMPORTRANGE(""https://docs.google.com/spreadsheets/d/1XL5vhW3sbDhbH9Cz0tuDiY8C3ctxq1tqvaCgkFb8cCA/edit?usp=sharing"",""เลย!J159"")"),"")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IFERROR(__xludf.DUMMYFUNCTION("IMPORTRANGE(""https://docs.google.com/spreadsheets/d/1XL5vhW3sbDhbH9Cz0tuDiY8C3ctxq1tqvaCgkFb8cCA/edit?usp=sharing"",""เลย!J161"")"),0.0)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IFERROR(__xludf.DUMMYFUNCTION("IMPORTRANGE(""https://docs.google.com/spreadsheets/d/1XL5vhW3sbDhbH9Cz0tuDiY8C3ctxq1tqvaCgkFb8cCA/edit?usp=sharing"",""เลย!J162"")"),0.0)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IFERROR(__xludf.DUMMYFUNCTION("IMPORTRANGE(""https://docs.google.com/spreadsheets/d/1XL5vhW3sbDhbH9Cz0tuDiY8C3ctxq1tqvaCgkFb8cCA/edit?usp=sharing"",""เลย!J163"")"),0.0)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IFERROR(__xludf.DUMMYFUNCTION("IMPORTRANGE(""https://docs.google.com/spreadsheets/d/1XL5vhW3sbDhbH9Cz0tuDiY8C3ctxq1tqvaCgkFb8cCA/edit?usp=sharing"",""เลย!I164"")"),0.0)</f>
        <v>0</v>
      </c>
      <c r="J244" s="222">
        <f>IFERROR(__xludf.DUMMYFUNCTION("IMPORTRANGE(""https://docs.google.com/spreadsheets/d/1XL5vhW3sbDhbH9Cz0tuDiY8C3ctxq1tqvaCgkFb8cCA/edit?usp=sharing"",""เลย!J164"")"),0.0)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IFERROR(__xludf.DUMMYFUNCTION("IMPORTRANGE(""https://docs.google.com/spreadsheets/d/1XL5vhW3sbDhbH9Cz0tuDiY8C3ctxq1tqvaCgkFb8cCA/edit?usp=sharing"",""เลย!J165"")"),0.0)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IFERROR(__xludf.DUMMYFUNCTION("IMPORTRANGE(""https://docs.google.com/spreadsheets/d/1XL5vhW3sbDhbH9Cz0tuDiY8C3ctxq1tqvaCgkFb8cCA/edit?usp=sharing"",""เลย!J166"")"),0.0)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IFERROR(__xludf.DUMMYFUNCTION("IMPORTRANGE(""https://docs.google.com/spreadsheets/d/1XL5vhW3sbDhbH9Cz0tuDiY8C3ctxq1tqvaCgkFb8cCA/edit?usp=sharing"",""เลย!I169"")"),0.0)</f>
        <v>0</v>
      </c>
      <c r="J249" s="349">
        <f>IFERROR(__xludf.DUMMYFUNCTION("IMPORTRANGE(""https://docs.google.com/spreadsheets/d/1XL5vhW3sbDhbH9Cz0tuDiY8C3ctxq1tqvaCgkFb8cCA/edit?usp=sharing"",""เลย!J169"")"),0.0)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IFERROR(__xludf.DUMMYFUNCTION("IMPORTRANGE(""https://docs.google.com/spreadsheets/d/1Yj_ptqi66GCucihVvJfMjLAmec39IyEx_6qawtMGysU/edit?usp=sharing"",""สบก!CB49"")"),0.0)</f>
        <v>0</v>
      </c>
      <c r="N254" s="202">
        <f>IFERROR(__xludf.DUMMYFUNCTION("IMPORTRANGE(""https://docs.google.com/spreadsheets/d/1Yj_ptqi66GCucihVvJfMjLAmec39IyEx_6qawtMGysU/edit?usp=sharing"",""สบก!CC49"")"),0.0)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IFERROR(__xludf.DUMMYFUNCTION("IMPORTRANGE(""https://docs.google.com/spreadsheets/d/1Yj_ptqi66GCucihVvJfMjLAmec39IyEx_6qawtMGysU/edit?usp=sharing"",""สบก!BX49"")"),0.0)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IFERROR(__xludf.DUMMYFUNCTION("IMPORTRANGE(""https://docs.google.com/spreadsheets/d/1Yj_ptqi66GCucihVvJfMjLAmec39IyEx_6qawtMGysU/edit?usp=sharing"",""สบก!BY49"")"),0.0)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IFERROR(__xludf.DUMMYFUNCTION("IMPORTRANGE(""https://docs.google.com/spreadsheets/d/1Yj_ptqi66GCucihVvJfMjLAmec39IyEx_6qawtMGysU/edit?usp=sharing"",""สบก!BZ49"")"),0.0)</f>
        <v>0</v>
      </c>
      <c r="M258" s="125"/>
      <c r="N258" s="115">
        <f>IFERROR(__xludf.DUMMYFUNCTION("IMPORTRANGE(""https://docs.google.com/spreadsheets/d/1Yj_ptqi66GCucihVvJfMjLAmec39IyEx_6qawtMGysU/edit?usp=sharing"",""สบก!CD49"")"),0.0)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IFERROR(__xludf.DUMMYFUNCTION("IMPORTRANGE(""https://docs.google.com/spreadsheets/d/1XL5vhW3sbDhbH9Cz0tuDiY8C3ctxq1tqvaCgkFb8cCA/edit?usp=sharing"",""เลย!J175"")"),0.0)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IFERROR(__xludf.DUMMYFUNCTION("IMPORTRANGE(""https://docs.google.com/spreadsheets/d/1XL5vhW3sbDhbH9Cz0tuDiY8C3ctxq1tqvaCgkFb8cCA/edit?usp=sharing"",""เลย!J176"")"),0.0)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IFERROR(__xludf.DUMMYFUNCTION("IMPORTRANGE(""https://docs.google.com/spreadsheets/d/1XL5vhW3sbDhbH9Cz0tuDiY8C3ctxq1tqvaCgkFb8cCA/edit?usp=sharing"",""เลย!J177"")"),0.0)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IFERROR(__xludf.DUMMYFUNCTION("IMPORTRANGE(""https://docs.google.com/spreadsheets/d/1XL5vhW3sbDhbH9Cz0tuDiY8C3ctxq1tqvaCgkFb8cCA/edit?usp=sharing"",""เลย!J178"")"),0.0)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IFERROR(__xludf.DUMMYFUNCTION("IMPORTRANGE(""https://docs.google.com/spreadsheets/d/1XL5vhW3sbDhbH9Cz0tuDiY8C3ctxq1tqvaCgkFb8cCA/edit?usp=sharing"",""เลย!I179"")"),0.0)</f>
        <v>0</v>
      </c>
      <c r="J264" s="223">
        <f>IFERROR(__xludf.DUMMYFUNCTION("IMPORTRANGE(""https://docs.google.com/spreadsheets/d/1XL5vhW3sbDhbH9Cz0tuDiY8C3ctxq1tqvaCgkFb8cCA/edit?usp=sharing"",""เลย!J179"")"),0.0)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IFERROR(__xludf.DUMMYFUNCTION("IMPORTRANGE(""https://docs.google.com/spreadsheets/d/1XL5vhW3sbDhbH9Cz0tuDiY8C3ctxq1tqvaCgkFb8cCA/edit?usp=sharing"",""เลย!I180"")"),0.0)</f>
        <v>0</v>
      </c>
      <c r="J265" s="223">
        <f>IFERROR(__xludf.DUMMYFUNCTION("IMPORTRANGE(""https://docs.google.com/spreadsheets/d/1XL5vhW3sbDhbH9Cz0tuDiY8C3ctxq1tqvaCgkFb8cCA/edit?usp=sharing"",""เลย!J180"")"),0.0)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IFERROR(__xludf.DUMMYFUNCTION("IMPORTRANGE(""https://docs.google.com/spreadsheets/d/1XL5vhW3sbDhbH9Cz0tuDiY8C3ctxq1tqvaCgkFb8cCA/edit?usp=sharing"",""เลย!I181"")"),0.0)</f>
        <v>0</v>
      </c>
      <c r="J266" s="223">
        <f>IFERROR(__xludf.DUMMYFUNCTION("IMPORTRANGE(""https://docs.google.com/spreadsheets/d/1XL5vhW3sbDhbH9Cz0tuDiY8C3ctxq1tqvaCgkFb8cCA/edit?usp=sharing"",""เลย!J181"")"),0.0)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IFERROR(__xludf.DUMMYFUNCTION("IMPORTRANGE(""https://docs.google.com/spreadsheets/d/1XL5vhW3sbDhbH9Cz0tuDiY8C3ctxq1tqvaCgkFb8cCA/edit?usp=sharing"",""เลย!I182"")"),0.0)</f>
        <v>0</v>
      </c>
      <c r="J267" s="223">
        <f>IFERROR(__xludf.DUMMYFUNCTION("IMPORTRANGE(""https://docs.google.com/spreadsheets/d/1XL5vhW3sbDhbH9Cz0tuDiY8C3ctxq1tqvaCgkFb8cCA/edit?usp=sharing"",""เลย!J182"")"),0.0)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IFERROR(__xludf.DUMMYFUNCTION("IMPORTRANGE(""https://docs.google.com/spreadsheets/d/1XL5vhW3sbDhbH9Cz0tuDiY8C3ctxq1tqvaCgkFb8cCA/edit?usp=sharing"",""เลย!J183"")"),0.0)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IFERROR(__xludf.DUMMYFUNCTION("IMPORTRANGE(""https://docs.google.com/spreadsheets/d/1XL5vhW3sbDhbH9Cz0tuDiY8C3ctxq1tqvaCgkFb8cCA/edit?usp=sharing"",""เลย!J184"")"),0.0)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IFERROR(__xludf.DUMMYFUNCTION("IMPORTRANGE(""https://docs.google.com/spreadsheets/d/1XL5vhW3sbDhbH9Cz0tuDiY8C3ctxq1tqvaCgkFb8cCA/edit?usp=sharing"",""เลย!I185"")"),15.0)</f>
        <v>15</v>
      </c>
      <c r="J270" s="349">
        <f>IFERROR(__xludf.DUMMYFUNCTION("IMPORTRANGE(""https://docs.google.com/spreadsheets/d/1XL5vhW3sbDhbH9Cz0tuDiY8C3ctxq1tqvaCgkFb8cCA/edit?usp=sharing"",""เลย!J185"")"),0.0)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IFERROR(__xludf.DUMMYFUNCTION("IMPORTRANGE(""https://docs.google.com/spreadsheets/d/1Yj_ptqi66GCucihVvJfMjLAmec39IyEx_6qawtMGysU/edit?usp=sharing"",""สบก!CK49"")"),32250.0)</f>
        <v>32250</v>
      </c>
      <c r="N275" s="202">
        <f>IFERROR(__xludf.DUMMYFUNCTION("IMPORTRANGE(""https://docs.google.com/spreadsheets/d/1Yj_ptqi66GCucihVvJfMjLAmec39IyEx_6qawtMGysU/edit?usp=sharing"",""สบก!CL49"")"),0.0)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IFERROR(__xludf.DUMMYFUNCTION("IMPORTRANGE(""https://docs.google.com/spreadsheets/d/1Yj_ptqi66GCucihVvJfMjLAmec39IyEx_6qawtMGysU/edit?usp=sharing"",""สบก!CG49"")"),0.0)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IFERROR(__xludf.DUMMYFUNCTION("IMPORTRANGE(""https://docs.google.com/spreadsheets/d/1Yj_ptqi66GCucihVvJfMjLAmec39IyEx_6qawtMGysU/edit?usp=sharing"",""สบก!CH49"")"),55200.0)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IFERROR(__xludf.DUMMYFUNCTION("IMPORTRANGE(""https://docs.google.com/spreadsheets/d/1Yj_ptqi66GCucihVvJfMjLAmec39IyEx_6qawtMGysU/edit?usp=sharing"",""สบก!CI49"")"),0.0)</f>
        <v>0</v>
      </c>
      <c r="M279" s="125"/>
      <c r="N279" s="115">
        <f>IFERROR(__xludf.DUMMYFUNCTION("IMPORTRANGE(""https://docs.google.com/spreadsheets/d/1Yj_ptqi66GCucihVvJfMjLAmec39IyEx_6qawtMGysU/edit?usp=sharing"",""สบก!CM49"")"),0.0)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IFERROR(__xludf.DUMMYFUNCTION("IMPORTRANGE(""https://docs.google.com/spreadsheets/d/1XL5vhW3sbDhbH9Cz0tuDiY8C3ctxq1tqvaCgkFb8cCA/edit?usp=sharing"",""เลย!J191"")"),0.0)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IFERROR(__xludf.DUMMYFUNCTION("IMPORTRANGE(""https://docs.google.com/spreadsheets/d/1XL5vhW3sbDhbH9Cz0tuDiY8C3ctxq1tqvaCgkFb8cCA/edit?usp=sharing"",""เลย!J192"")"),1.0)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IFERROR(__xludf.DUMMYFUNCTION("IMPORTRANGE(""https://docs.google.com/spreadsheets/d/1XL5vhW3sbDhbH9Cz0tuDiY8C3ctxq1tqvaCgkFb8cCA/edit?usp=sharing"",""เลย!J193"")"),1.0)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IFERROR(__xludf.DUMMYFUNCTION("IMPORTRANGE(""https://docs.google.com/spreadsheets/d/1XL5vhW3sbDhbH9Cz0tuDiY8C3ctxq1tqvaCgkFb8cCA/edit?usp=sharing"",""เลย!J194"")"),0.0)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IFERROR(__xludf.DUMMYFUNCTION("IMPORTRANGE(""https://docs.google.com/spreadsheets/d/1XL5vhW3sbDhbH9Cz0tuDiY8C3ctxq1tqvaCgkFb8cCA/edit?usp=sharing"",""เลย!I195"")"),15.0)</f>
        <v>15</v>
      </c>
      <c r="J285" s="223">
        <f>IFERROR(__xludf.DUMMYFUNCTION("IMPORTRANGE(""https://docs.google.com/spreadsheets/d/1XL5vhW3sbDhbH9Cz0tuDiY8C3ctxq1tqvaCgkFb8cCA/edit?usp=sharing"",""เลย!J195"")"),0.0)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IFERROR(__xludf.DUMMYFUNCTION("IMPORTRANGE(""https://docs.google.com/spreadsheets/d/1XL5vhW3sbDhbH9Cz0tuDiY8C3ctxq1tqvaCgkFb8cCA/edit?usp=sharing"",""เลย!J196"")"),0.0)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IFERROR(__xludf.DUMMYFUNCTION("IMPORTRANGE(""https://docs.google.com/spreadsheets/d/1XL5vhW3sbDhbH9Cz0tuDiY8C3ctxq1tqvaCgkFb8cCA/edit?usp=sharing"",""เลย!J197"")"),0.0)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IFERROR(__xludf.DUMMYFUNCTION("IMPORTRANGE(""https://docs.google.com/spreadsheets/d/1XL5vhW3sbDhbH9Cz0tuDiY8C3ctxq1tqvaCgkFb8cCA/edit?usp=sharing"",""เลย!I199"")"),0.0)</f>
        <v>0</v>
      </c>
      <c r="J289" s="349">
        <f>IFERROR(__xludf.DUMMYFUNCTION("IMPORTRANGE(""https://docs.google.com/spreadsheets/d/1XL5vhW3sbDhbH9Cz0tuDiY8C3ctxq1tqvaCgkFb8cCA/edit?usp=sharing"",""เลย!J199"")"),0.0)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IFERROR(__xludf.DUMMYFUNCTION("IMPORTRANGE(""https://docs.google.com/spreadsheets/d/1Yj_ptqi66GCucihVvJfMjLAmec39IyEx_6qawtMGysU/edit?usp=sharing"",""สบก!CT49"")"),0.0)</f>
        <v>0</v>
      </c>
      <c r="N294" s="202">
        <f>IFERROR(__xludf.DUMMYFUNCTION("IMPORTRANGE(""https://docs.google.com/spreadsheets/d/1Yj_ptqi66GCucihVvJfMjLAmec39IyEx_6qawtMGysU/edit?usp=sharing"",""สบก!CU49"")"),0.0)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IFERROR(__xludf.DUMMYFUNCTION("IMPORTRANGE(""https://docs.google.com/spreadsheets/d/1Yj_ptqi66GCucihVvJfMjLAmec39IyEx_6qawtMGysU/edit?usp=sharing"",""สบก!CP49"")"),0.0)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IFERROR(__xludf.DUMMYFUNCTION("IMPORTRANGE(""https://docs.google.com/spreadsheets/d/1Yj_ptqi66GCucihVvJfMjLAmec39IyEx_6qawtMGysU/edit?usp=sharing"",""สบก!CQ49"")"),0.0)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IFERROR(__xludf.DUMMYFUNCTION("IMPORTRANGE(""https://docs.google.com/spreadsheets/d/1Yj_ptqi66GCucihVvJfMjLAmec39IyEx_6qawtMGysU/edit?usp=sharing"",""สบก!CR49"")"),0.0)</f>
        <v>0</v>
      </c>
      <c r="M298" s="125"/>
      <c r="N298" s="115">
        <f>IFERROR(__xludf.DUMMYFUNCTION("IMPORTRANGE(""https://docs.google.com/spreadsheets/d/1Yj_ptqi66GCucihVvJfMjLAmec39IyEx_6qawtMGysU/edit?usp=sharing"",""สบก!CV49"")"),0.0)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IFERROR(__xludf.DUMMYFUNCTION("IMPORTRANGE(""https://docs.google.com/spreadsheets/d/1XL5vhW3sbDhbH9Cz0tuDiY8C3ctxq1tqvaCgkFb8cCA/edit?usp=sharing"",""เลย!J205"")"),0.0)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IFERROR(__xludf.DUMMYFUNCTION("IMPORTRANGE(""https://docs.google.com/spreadsheets/d/1XL5vhW3sbDhbH9Cz0tuDiY8C3ctxq1tqvaCgkFb8cCA/edit?usp=sharing"",""เลย!J206"")"),0.0)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IFERROR(__xludf.DUMMYFUNCTION("IMPORTRANGE(""https://docs.google.com/spreadsheets/d/1XL5vhW3sbDhbH9Cz0tuDiY8C3ctxq1tqvaCgkFb8cCA/edit?usp=sharing"",""เลย!J207"")"),0.0)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IFERROR(__xludf.DUMMYFUNCTION("IMPORTRANGE(""https://docs.google.com/spreadsheets/d/1XL5vhW3sbDhbH9Cz0tuDiY8C3ctxq1tqvaCgkFb8cCA/edit?usp=sharing"",""เลย!J208"")"),0.0)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IFERROR(__xludf.DUMMYFUNCTION("IMPORTRANGE(""https://docs.google.com/spreadsheets/d/1XL5vhW3sbDhbH9Cz0tuDiY8C3ctxq1tqvaCgkFb8cCA/edit?usp=sharing"",""เลย!I209"")"),0.0)</f>
        <v>0</v>
      </c>
      <c r="J304" s="238">
        <f>IFERROR(__xludf.DUMMYFUNCTION("IMPORTRANGE(""https://docs.google.com/spreadsheets/d/1XL5vhW3sbDhbH9Cz0tuDiY8C3ctxq1tqvaCgkFb8cCA/edit?usp=sharing"",""เลย!J209"")"),0.0)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IFERROR(__xludf.DUMMYFUNCTION("IMPORTRANGE(""https://docs.google.com/spreadsheets/d/1XL5vhW3sbDhbH9Cz0tuDiY8C3ctxq1tqvaCgkFb8cCA/edit?usp=sharing"",""เลย!I211"")"),0.0)</f>
        <v>0</v>
      </c>
      <c r="J306" s="238">
        <f>IFERROR(__xludf.DUMMYFUNCTION("IMPORTRANGE(""https://docs.google.com/spreadsheets/d/1XL5vhW3sbDhbH9Cz0tuDiY8C3ctxq1tqvaCgkFb8cCA/edit?usp=sharing"",""เลย!J211"")"),0.0)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IFERROR(__xludf.DUMMYFUNCTION("IMPORTRANGE(""https://docs.google.com/spreadsheets/d/1XL5vhW3sbDhbH9Cz0tuDiY8C3ctxq1tqvaCgkFb8cCA/edit?usp=sharing"",""เลย!J212"")"),0.0)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IFERROR(__xludf.DUMMYFUNCTION("IMPORTRANGE(""https://docs.google.com/spreadsheets/d/1XL5vhW3sbDhbH9Cz0tuDiY8C3ctxq1tqvaCgkFb8cCA/edit?usp=sharing"",""เลย!J213"")"),0.0)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IFERROR(__xludf.DUMMYFUNCTION("IMPORTRANGE(""https://docs.google.com/spreadsheets/d/1XL5vhW3sbDhbH9Cz0tuDiY8C3ctxq1tqvaCgkFb8cCA/edit?usp=sharing"",""เลย!I214"")"),0.0)</f>
        <v>0</v>
      </c>
      <c r="J309" s="366">
        <f>IFERROR(__xludf.DUMMYFUNCTION("IMPORTRANGE(""https://docs.google.com/spreadsheets/d/1XL5vhW3sbDhbH9Cz0tuDiY8C3ctxq1tqvaCgkFb8cCA/edit?usp=sharing"",""เลย!J214"")"),0.0)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IFERROR(__xludf.DUMMYFUNCTION("IMPORTRANGE(""https://docs.google.com/spreadsheets/d/1Yj_ptqi66GCucihVvJfMjLAmec39IyEx_6qawtMGysU/edit?usp=sharing"",""สบก!DC49"")"),0.0)</f>
        <v>0</v>
      </c>
      <c r="N314" s="202">
        <f>IFERROR(__xludf.DUMMYFUNCTION("IMPORTRANGE(""https://docs.google.com/spreadsheets/d/1Yj_ptqi66GCucihVvJfMjLAmec39IyEx_6qawtMGysU/edit?usp=sharing"",""สบก!DD49"")"),0.0)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IFERROR(__xludf.DUMMYFUNCTION("IMPORTRANGE(""https://docs.google.com/spreadsheets/d/1Yj_ptqi66GCucihVvJfMjLAmec39IyEx_6qawtMGysU/edit?usp=sharing"",""สบก!CY49"")"),0.0)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IFERROR(__xludf.DUMMYFUNCTION("IMPORTRANGE(""https://docs.google.com/spreadsheets/d/1Yj_ptqi66GCucihVvJfMjLAmec39IyEx_6qawtMGysU/edit?usp=sharing"",""สบก!CZ49"")"),0.0)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IFERROR(__xludf.DUMMYFUNCTION("IMPORTRANGE(""https://docs.google.com/spreadsheets/d/1Yj_ptqi66GCucihVvJfMjLAmec39IyEx_6qawtMGysU/edit?usp=sharing"",""สบก!DA49"")"),0.0)</f>
        <v>0</v>
      </c>
      <c r="M318" s="125"/>
      <c r="N318" s="115">
        <f>IFERROR(__xludf.DUMMYFUNCTION("IMPORTRANGE(""https://docs.google.com/spreadsheets/d/1Yj_ptqi66GCucihVvJfMjLAmec39IyEx_6qawtMGysU/edit?usp=sharing"",""สบก!DE49"")"),0.0)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IFERROR(__xludf.DUMMYFUNCTION("IMPORTRANGE(""https://docs.google.com/spreadsheets/d/1XL5vhW3sbDhbH9Cz0tuDiY8C3ctxq1tqvaCgkFb8cCA/edit?usp=sharing"",""เลย!J220"")"),0.0)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IFERROR(__xludf.DUMMYFUNCTION("IMPORTRANGE(""https://docs.google.com/spreadsheets/d/1XL5vhW3sbDhbH9Cz0tuDiY8C3ctxq1tqvaCgkFb8cCA/edit?usp=sharing"",""เลย!J221"")"),0.0)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IFERROR(__xludf.DUMMYFUNCTION("IMPORTRANGE(""https://docs.google.com/spreadsheets/d/1XL5vhW3sbDhbH9Cz0tuDiY8C3ctxq1tqvaCgkFb8cCA/edit?usp=sharing"",""เลย!J222"")"),0.0)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IFERROR(__xludf.DUMMYFUNCTION("IMPORTRANGE(""https://docs.google.com/spreadsheets/d/1XL5vhW3sbDhbH9Cz0tuDiY8C3ctxq1tqvaCgkFb8cCA/edit?usp=sharing"",""เลย!J223"")"),0.0)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IFERROR(__xludf.DUMMYFUNCTION("IMPORTRANGE(""https://docs.google.com/spreadsheets/d/1XL5vhW3sbDhbH9Cz0tuDiY8C3ctxq1tqvaCgkFb8cCA/edit?usp=sharing"",""เลย!I224"")"),0.0)</f>
        <v>0</v>
      </c>
      <c r="J324" s="238">
        <f>IFERROR(__xludf.DUMMYFUNCTION("IMPORTRANGE(""https://docs.google.com/spreadsheets/d/1XL5vhW3sbDhbH9Cz0tuDiY8C3ctxq1tqvaCgkFb8cCA/edit?usp=sharing"",""เลย!J224"")"),0.0)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IFERROR(__xludf.DUMMYFUNCTION("IMPORTRANGE(""https://docs.google.com/spreadsheets/d/1XL5vhW3sbDhbH9Cz0tuDiY8C3ctxq1tqvaCgkFb8cCA/edit?usp=sharing"",""เลย!J225"")"),0.0)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IFERROR(__xludf.DUMMYFUNCTION("IMPORTRANGE(""https://docs.google.com/spreadsheets/d/1XL5vhW3sbDhbH9Cz0tuDiY8C3ctxq1tqvaCgkFb8cCA/edit?usp=sharing"",""เลย!J226"")"),0.0)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IFERROR(__xludf.DUMMYFUNCTION("IMPORTRANGE(""https://docs.google.com/spreadsheets/d/1XL5vhW3sbDhbH9Cz0tuDiY8C3ctxq1tqvaCgkFb8cCA/edit?usp=sharing"",""เลย!I228"")"),410.0)</f>
        <v>410</v>
      </c>
      <c r="J328" s="372">
        <f>IFERROR(__xludf.DUMMYFUNCTION("IMPORTRANGE(""https://docs.google.com/spreadsheets/d/1XL5vhW3sbDhbH9Cz0tuDiY8C3ctxq1tqvaCgkFb8cCA/edit?usp=sharing"",""เลย!J228"")"),154.0)</f>
        <v>154</v>
      </c>
      <c r="K328" s="350">
        <f>IF(I328&gt;0,J328*100/I328,0)</f>
        <v>37.56097561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964680</v>
      </c>
      <c r="M329" s="183">
        <f t="shared" si="99"/>
        <v>547100</v>
      </c>
      <c r="N329" s="183">
        <f t="shared" si="99"/>
        <v>353439</v>
      </c>
      <c r="O329" s="182">
        <f t="shared" ref="O329:O331" si="101">IF(L329&gt;0,N329*100/L329,0)</f>
        <v>36.63795248</v>
      </c>
      <c r="P329" s="182">
        <f t="shared" ref="P329:P331" si="102">IF(M329&gt;0,N329*100/M329,0)</f>
        <v>64.6022665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964680</v>
      </c>
      <c r="M331" s="188">
        <f t="shared" si="103"/>
        <v>547100</v>
      </c>
      <c r="N331" s="188">
        <f t="shared" si="103"/>
        <v>353439</v>
      </c>
      <c r="O331" s="187">
        <f t="shared" si="101"/>
        <v>36.63795248</v>
      </c>
      <c r="P331" s="187">
        <f t="shared" si="102"/>
        <v>64.6022665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964680</v>
      </c>
      <c r="M333" s="201">
        <f>IFERROR(__xludf.DUMMYFUNCTION("IMPORTRANGE(""https://docs.google.com/spreadsheets/d/1Yj_ptqi66GCucihVvJfMjLAmec39IyEx_6qawtMGysU/edit?usp=sharing"",""สบก!DL49"")"),547100.0)</f>
        <v>547100</v>
      </c>
      <c r="N333" s="202">
        <f>IFERROR(__xludf.DUMMYFUNCTION("IMPORTRANGE(""https://docs.google.com/spreadsheets/d/1Yj_ptqi66GCucihVvJfMjLAmec39IyEx_6qawtMGysU/edit?usp=sharing"",""สบก!DM49"")"),353439.0)</f>
        <v>353439</v>
      </c>
      <c r="O333" s="203">
        <f>IF(L333&gt;0,N333*100/L333,0)</f>
        <v>36.63795248</v>
      </c>
      <c r="P333" s="203">
        <f>IF(M333&gt;0,N333*100/M333,0)</f>
        <v>64.6022665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IFERROR(__xludf.DUMMYFUNCTION("IMPORTRANGE(""https://docs.google.com/spreadsheets/d/1Yj_ptqi66GCucihVvJfMjLAmec39IyEx_6qawtMGysU/edit?usp=sharing"",""สบก!DH49"")"),306000.0)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IFERROR(__xludf.DUMMYFUNCTION("IMPORTRANGE(""https://docs.google.com/spreadsheets/d/1Yj_ptqi66GCucihVvJfMjLAmec39IyEx_6qawtMGysU/edit?usp=sharing"",""สบก!DI49"")"),658680.0)</f>
        <v>658680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IFERROR(__xludf.DUMMYFUNCTION("IMPORTRANGE(""https://docs.google.com/spreadsheets/d/1Yj_ptqi66GCucihVvJfMjLAmec39IyEx_6qawtMGysU/edit?usp=sharing"",""สบก!DJ49"")"),0.0)</f>
        <v>0</v>
      </c>
      <c r="M337" s="125"/>
      <c r="N337" s="115">
        <f>IFERROR(__xludf.DUMMYFUNCTION("IMPORTRANGE(""https://docs.google.com/spreadsheets/d/1Yj_ptqi66GCucihVvJfMjLAmec39IyEx_6qawtMGysU/edit?usp=sharing"",""สบก!DN49"")"),0.0)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IFERROR(__xludf.DUMMYFUNCTION("IMPORTRANGE(""https://docs.google.com/spreadsheets/d/1XL5vhW3sbDhbH9Cz0tuDiY8C3ctxq1tqvaCgkFb8cCA/edit?usp=sharing"",""เลย!I234"")"),0.0)</f>
        <v>0</v>
      </c>
      <c r="J339" s="222">
        <f>IFERROR(__xludf.DUMMYFUNCTION("IMPORTRANGE(""https://docs.google.com/spreadsheets/d/1XL5vhW3sbDhbH9Cz0tuDiY8C3ctxq1tqvaCgkFb8cCA/edit?usp=sharing"",""เลย!J234"")"),53.0)</f>
        <v>53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IFERROR(__xludf.DUMMYFUNCTION("IMPORTRANGE(""https://docs.google.com/spreadsheets/d/1XL5vhW3sbDhbH9Cz0tuDiY8C3ctxq1tqvaCgkFb8cCA/edit?usp=sharing"",""เลย!I235"")"),4040.0)</f>
        <v>4040</v>
      </c>
      <c r="J340" s="222">
        <f>IFERROR(__xludf.DUMMYFUNCTION("IMPORTRANGE(""https://docs.google.com/spreadsheets/d/1XL5vhW3sbDhbH9Cz0tuDiY8C3ctxq1tqvaCgkFb8cCA/edit?usp=sharing"",""เลย!J235"")"),608.52)</f>
        <v>608.52</v>
      </c>
      <c r="K340" s="375">
        <f t="shared" si="104"/>
        <v>15.06237624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IFERROR(__xludf.DUMMYFUNCTION("IMPORTRANGE(""https://docs.google.com/spreadsheets/d/1XL5vhW3sbDhbH9Cz0tuDiY8C3ctxq1tqvaCgkFb8cCA/edit?usp=sharing"",""เลย!I236"")"),410.0)</f>
        <v>410</v>
      </c>
      <c r="J341" s="222">
        <f>IFERROR(__xludf.DUMMYFUNCTION("IMPORTRANGE(""https://docs.google.com/spreadsheets/d/1XL5vhW3sbDhbH9Cz0tuDiY8C3ctxq1tqvaCgkFb8cCA/edit?usp=sharing"",""เลย!J236"")"),156.0)</f>
        <v>156</v>
      </c>
      <c r="K341" s="375">
        <f t="shared" si="104"/>
        <v>38.04878049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IFERROR(__xludf.DUMMYFUNCTION("IMPORTRANGE(""https://docs.google.com/spreadsheets/d/1XL5vhW3sbDhbH9Cz0tuDiY8C3ctxq1tqvaCgkFb8cCA/edit?usp=sharing"",""เลย!I237"")"),0.0)</f>
        <v>0</v>
      </c>
      <c r="J342" s="222">
        <f>IFERROR(__xludf.DUMMYFUNCTION("IMPORTRANGE(""https://docs.google.com/spreadsheets/d/1XL5vhW3sbDhbH9Cz0tuDiY8C3ctxq1tqvaCgkFb8cCA/edit?usp=sharing"",""เลย!J237"")"),2397.0)</f>
        <v>2397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IFERROR(__xludf.DUMMYFUNCTION("IMPORTRANGE(""https://docs.google.com/spreadsheets/d/1XL5vhW3sbDhbH9Cz0tuDiY8C3ctxq1tqvaCgkFb8cCA/edit?usp=sharing"",""เลย!I238"")"),410.0)</f>
        <v>410</v>
      </c>
      <c r="J343" s="222">
        <f>IFERROR(__xludf.DUMMYFUNCTION("IMPORTRANGE(""https://docs.google.com/spreadsheets/d/1XL5vhW3sbDhbH9Cz0tuDiY8C3ctxq1tqvaCgkFb8cCA/edit?usp=sharing"",""เลย!J238"")"),0.0)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IFERROR(__xludf.DUMMYFUNCTION("IMPORTRANGE(""https://docs.google.com/spreadsheets/d/1XL5vhW3sbDhbH9Cz0tuDiY8C3ctxq1tqvaCgkFb8cCA/edit?usp=sharing"",""เลย!I239"")"),0.0)</f>
        <v>0</v>
      </c>
      <c r="J344" s="222">
        <f>IFERROR(__xludf.DUMMYFUNCTION("IMPORTRANGE(""https://docs.google.com/spreadsheets/d/1XL5vhW3sbDhbH9Cz0tuDiY8C3ctxq1tqvaCgkFb8cCA/edit?usp=sharing"",""เลย!J239"")"),0.0)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IFERROR(__xludf.DUMMYFUNCTION("IMPORTRANGE(""https://docs.google.com/spreadsheets/d/1XL5vhW3sbDhbH9Cz0tuDiY8C3ctxq1tqvaCgkFb8cCA/edit?usp=sharing"",""เลย!I240"")"),410.0)</f>
        <v>410</v>
      </c>
      <c r="J345" s="222">
        <f>IFERROR(__xludf.DUMMYFUNCTION("IMPORTRANGE(""https://docs.google.com/spreadsheets/d/1XL5vhW3sbDhbH9Cz0tuDiY8C3ctxq1tqvaCgkFb8cCA/edit?usp=sharing"",""เลย!J240"")"),154.0)</f>
        <v>154</v>
      </c>
      <c r="K345" s="375">
        <f t="shared" si="104"/>
        <v>37.56097561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IFERROR(__xludf.DUMMYFUNCTION("IMPORTRANGE(""https://docs.google.com/spreadsheets/d/1XL5vhW3sbDhbH9Cz0tuDiY8C3ctxq1tqvaCgkFb8cCA/edit?usp=sharing"",""เลย!I241"")"),0.0)</f>
        <v>0</v>
      </c>
      <c r="J346" s="222">
        <f>IFERROR(__xludf.DUMMYFUNCTION("IMPORTRANGE(""https://docs.google.com/spreadsheets/d/1XL5vhW3sbDhbH9Cz0tuDiY8C3ctxq1tqvaCgkFb8cCA/edit?usp=sharing"",""เลย!J241"")"),2339.07)</f>
        <v>2339.07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IFERROR(__xludf.DUMMYFUNCTION("IMPORTRANGE(""https://docs.google.com/spreadsheets/d/1XL5vhW3sbDhbH9Cz0tuDiY8C3ctxq1tqvaCgkFb8cCA/edit?usp=sharing"",""เลย!L242"")"),3022346.0)</f>
        <v>3022346</v>
      </c>
      <c r="M347" s="391"/>
      <c r="N347" s="391">
        <f>IFERROR(__xludf.DUMMYFUNCTION("IMPORTRANGE(""https://docs.google.com/spreadsheets/d/1XL5vhW3sbDhbH9Cz0tuDiY8C3ctxq1tqvaCgkFb8cCA/edit?usp=sharing"",""เลย!M242"")"),199754.0)</f>
        <v>199754</v>
      </c>
      <c r="O347" s="391">
        <f>+IF(L347&gt;0,N347*100/L347,0)</f>
        <v>6.609236666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IFERROR(__xludf.DUMMYFUNCTION("IMPORTRANGE(""https://docs.google.com/spreadsheets/d/1XL5vhW3sbDhbH9Cz0tuDiY8C3ctxq1tqvaCgkFb8cCA/edit?usp=sharing"",""เลย!I244"")"),235.0)</f>
        <v>235</v>
      </c>
      <c r="J349" s="404">
        <f>IFERROR(__xludf.DUMMYFUNCTION("IMPORTRANGE(""https://docs.google.com/spreadsheets/d/1XL5vhW3sbDhbH9Cz0tuDiY8C3ctxq1tqvaCgkFb8cCA/edit?usp=sharing"",""เลย!J244"")"),0.0)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IFERROR(__xludf.DUMMYFUNCTION("IMPORTRANGE(""https://docs.google.com/spreadsheets/d/1XL5vhW3sbDhbH9Cz0tuDiY8C3ctxq1tqvaCgkFb8cCA/edit?usp=sharing"",""เลย!L244"")"),509680.0)</f>
        <v>509680</v>
      </c>
      <c r="M349" s="406"/>
      <c r="N349" s="406">
        <f>IFERROR(__xludf.DUMMYFUNCTION("IMPORTRANGE(""https://docs.google.com/spreadsheets/d/1XL5vhW3sbDhbH9Cz0tuDiY8C3ctxq1tqvaCgkFb8cCA/edit?usp=sharing"",""เลย!M244"")"),46190.0)</f>
        <v>46190</v>
      </c>
      <c r="O349" s="406">
        <f>+IF(L349&gt;0,N349*100/L349,0)</f>
        <v>9.06254905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IFERROR(__xludf.DUMMYFUNCTION("IMPORTRANGE(""https://docs.google.com/spreadsheets/d/1XL5vhW3sbDhbH9Cz0tuDiY8C3ctxq1tqvaCgkFb8cCA/edit?usp=sharing"",""เลย!I245"")"),90.0)</f>
        <v>90</v>
      </c>
      <c r="J350" s="404">
        <f>IFERROR(__xludf.DUMMYFUNCTION("IMPORTRANGE(""https://docs.google.com/spreadsheets/d/1XL5vhW3sbDhbH9Cz0tuDiY8C3ctxq1tqvaCgkFb8cCA/edit?usp=sharing"",""เลย!J245"")"),0.0)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IFERROR(__xludf.DUMMYFUNCTION("IMPORTRANGE(""https://docs.google.com/spreadsheets/d/1XL5vhW3sbDhbH9Cz0tuDiY8C3ctxq1tqvaCgkFb8cCA/edit?usp=sharing"",""เลย!L246"")"),0.0)</f>
        <v>0</v>
      </c>
      <c r="M351" s="197"/>
      <c r="N351" s="197">
        <f>IFERROR(__xludf.DUMMYFUNCTION("IMPORTRANGE(""https://docs.google.com/spreadsheets/d/1XL5vhW3sbDhbH9Cz0tuDiY8C3ctxq1tqvaCgkFb8cCA/edit?usp=sharing"",""เลย!M246"")"),0.0)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IFERROR(__xludf.DUMMYFUNCTION("IMPORTRANGE(""https://docs.google.com/spreadsheets/d/1XL5vhW3sbDhbH9Cz0tuDiY8C3ctxq1tqvaCgkFb8cCA/edit?usp=sharing"",""เลย!L247"")"),509680.0)</f>
        <v>509680</v>
      </c>
      <c r="M352" s="198"/>
      <c r="N352" s="197">
        <f>IFERROR(__xludf.DUMMYFUNCTION("IMPORTRANGE(""https://docs.google.com/spreadsheets/d/1XL5vhW3sbDhbH9Cz0tuDiY8C3ctxq1tqvaCgkFb8cCA/edit?usp=sharing"",""เลย!M247"")"),46190.0)</f>
        <v>46190</v>
      </c>
      <c r="O352" s="198">
        <f t="shared" si="106"/>
        <v>9.06254905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IFERROR(__xludf.DUMMYFUNCTION("IMPORTRANGE(""https://docs.google.com/spreadsheets/d/1XL5vhW3sbDhbH9Cz0tuDiY8C3ctxq1tqvaCgkFb8cCA/edit?usp=sharing"",""เลย!L248"")"),0.0)</f>
        <v>0</v>
      </c>
      <c r="M353" s="203"/>
      <c r="N353" s="203">
        <f>IFERROR(__xludf.DUMMYFUNCTION("IMPORTRANGE(""https://docs.google.com/spreadsheets/d/1XL5vhW3sbDhbH9Cz0tuDiY8C3ctxq1tqvaCgkFb8cCA/edit?usp=sharing"",""เลย!M248"")"),0.0)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IFERROR(__xludf.DUMMYFUNCTION("IMPORTRANGE(""https://docs.google.com/spreadsheets/d/1XL5vhW3sbDhbH9Cz0tuDiY8C3ctxq1tqvaCgkFb8cCA/edit?usp=sharing"",""เลย!L249"")"),509680.0)</f>
        <v>509680</v>
      </c>
      <c r="M354" s="203"/>
      <c r="N354" s="200">
        <f>IFERROR(__xludf.DUMMYFUNCTION("IMPORTRANGE(""https://docs.google.com/spreadsheets/d/1XL5vhW3sbDhbH9Cz0tuDiY8C3ctxq1tqvaCgkFb8cCA/edit?usp=sharing"",""เลย!M249"")"),46190.0)</f>
        <v>46190</v>
      </c>
      <c r="O354" s="203">
        <f t="shared" si="106"/>
        <v>9.06254905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IFERROR(__xludf.DUMMYFUNCTION("IMPORTRANGE(""https://docs.google.com/spreadsheets/d/1XL5vhW3sbDhbH9Cz0tuDiY8C3ctxq1tqvaCgkFb8cCA/edit?usp=sharing"",""เลย!M250"")"),0.0)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IFERROR(__xludf.DUMMYFUNCTION("IMPORTRANGE(""https://docs.google.com/spreadsheets/d/1XL5vhW3sbDhbH9Cz0tuDiY8C3ctxq1tqvaCgkFb8cCA/edit?usp=sharing"",""เลย!M251"")"),0.0)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IFERROR(__xludf.DUMMYFUNCTION("IMPORTRANGE(""https://docs.google.com/spreadsheets/d/1XL5vhW3sbDhbH9Cz0tuDiY8C3ctxq1tqvaCgkFb8cCA/edit?usp=sharing"",""เลย!M252"")"),33000.0)</f>
        <v>33000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IFERROR(__xludf.DUMMYFUNCTION("IMPORTRANGE(""https://docs.google.com/spreadsheets/d/1XL5vhW3sbDhbH9Cz0tuDiY8C3ctxq1tqvaCgkFb8cCA/edit?usp=sharing"",""เลย!M253"")"),13190.0)</f>
        <v>13190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IFERROR(__xludf.DUMMYFUNCTION("IMPORTRANGE(""https://docs.google.com/spreadsheets/d/1XL5vhW3sbDhbH9Cz0tuDiY8C3ctxq1tqvaCgkFb8cCA/edit?usp=sharing"",""เลย!J255"")"),0.0)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IFERROR(__xludf.DUMMYFUNCTION("IMPORTRANGE(""https://docs.google.com/spreadsheets/d/1XL5vhW3sbDhbH9Cz0tuDiY8C3ctxq1tqvaCgkFb8cCA/edit?usp=sharing"",""เลย!J256"")"),1.0)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IFERROR(__xludf.DUMMYFUNCTION("IMPORTRANGE(""https://docs.google.com/spreadsheets/d/1XL5vhW3sbDhbH9Cz0tuDiY8C3ctxq1tqvaCgkFb8cCA/edit?usp=sharing"",""เลย!J257"")"),1.0)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IFERROR(__xludf.DUMMYFUNCTION("IMPORTRANGE(""https://docs.google.com/spreadsheets/d/1XL5vhW3sbDhbH9Cz0tuDiY8C3ctxq1tqvaCgkFb8cCA/edit?usp=sharing"",""เลย!J258"")"),0.0)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IFERROR(__xludf.DUMMYFUNCTION("IMPORTRANGE(""https://docs.google.com/spreadsheets/d/1XL5vhW3sbDhbH9Cz0tuDiY8C3ctxq1tqvaCgkFb8cCA/edit?usp=sharing"",""เลย!J166"")"),0.0)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IFERROR(__xludf.DUMMYFUNCTION("IMPORTRANGE(""https://docs.google.com/spreadsheets/d/1XL5vhW3sbDhbH9Cz0tuDiY8C3ctxq1tqvaCgkFb8cCA/edit?usp=sharing"",""เลย!J166"")"),0.0)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IFERROR(__xludf.DUMMYFUNCTION("IMPORTRANGE(""https://docs.google.com/spreadsheets/d/1XL5vhW3sbDhbH9Cz0tuDiY8C3ctxq1tqvaCgkFb8cCA/edit?usp=sharing"",""เลย!J166"")"),0.0)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IFERROR(__xludf.DUMMYFUNCTION("IMPORTRANGE(""https://docs.google.com/spreadsheets/d/1XL5vhW3sbDhbH9Cz0tuDiY8C3ctxq1tqvaCgkFb8cCA/edit?usp=sharing"",""เลย!J166"")"),0.0)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IFERROR(__xludf.DUMMYFUNCTION("IMPORTRANGE(""https://docs.google.com/spreadsheets/d/1XL5vhW3sbDhbH9Cz0tuDiY8C3ctxq1tqvaCgkFb8cCA/edit?usp=sharing"",""เลย!I263"")"),90.0)</f>
        <v>90</v>
      </c>
      <c r="J368" s="222">
        <f>IFERROR(__xludf.DUMMYFUNCTION("IMPORTRANGE(""https://docs.google.com/spreadsheets/d/1XL5vhW3sbDhbH9Cz0tuDiY8C3ctxq1tqvaCgkFb8cCA/edit?usp=sharing"",""เลย!J263"")"),0.0)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IFERROR(__xludf.DUMMYFUNCTION("IMPORTRANGE(""https://docs.google.com/spreadsheets/d/1XL5vhW3sbDhbH9Cz0tuDiY8C3ctxq1tqvaCgkFb8cCA/edit?usp=sharing"",""เลย!I164"")"),0.0)</f>
        <v>0</v>
      </c>
      <c r="J369" s="238">
        <f>IFERROR(__xludf.DUMMYFUNCTION("IMPORTRANGE(""https://docs.google.com/spreadsheets/d/1XL5vhW3sbDhbH9Cz0tuDiY8C3ctxq1tqvaCgkFb8cCA/edit?usp=sharing"",""เลย!J164"")"),0.0)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IFERROR(__xludf.DUMMYFUNCTION("IMPORTRANGE(""https://docs.google.com/spreadsheets/d/1XL5vhW3sbDhbH9Cz0tuDiY8C3ctxq1tqvaCgkFb8cCA/edit?usp=sharing"",""เลย!I265"")"),90.0)</f>
        <v>90</v>
      </c>
      <c r="J370" s="238">
        <f>IFERROR(__xludf.DUMMYFUNCTION("IMPORTRANGE(""https://docs.google.com/spreadsheets/d/1XL5vhW3sbDhbH9Cz0tuDiY8C3ctxq1tqvaCgkFb8cCA/edit?usp=sharing"",""เลย!J265"")"),0.0)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IFERROR(__xludf.DUMMYFUNCTION("IMPORTRANGE(""https://docs.google.com/spreadsheets/d/1XL5vhW3sbDhbH9Cz0tuDiY8C3ctxq1tqvaCgkFb8cCA/edit?usp=sharing"",""เลย!I164"")"),0.0)</f>
        <v>0</v>
      </c>
      <c r="J371" s="223">
        <f>IFERROR(__xludf.DUMMYFUNCTION("IMPORTRANGE(""https://docs.google.com/spreadsheets/d/1XL5vhW3sbDhbH9Cz0tuDiY8C3ctxq1tqvaCgkFb8cCA/edit?usp=sharing"",""เลย!J164"")"),0.0)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IFERROR(__xludf.DUMMYFUNCTION("IMPORTRANGE(""https://docs.google.com/spreadsheets/d/1XL5vhW3sbDhbH9Cz0tuDiY8C3ctxq1tqvaCgkFb8cCA/edit?usp=sharing"",""เลย!I267"")"),90.0)</f>
        <v>90</v>
      </c>
      <c r="J372" s="223">
        <f>IFERROR(__xludf.DUMMYFUNCTION("IMPORTRANGE(""https://docs.google.com/spreadsheets/d/1XL5vhW3sbDhbH9Cz0tuDiY8C3ctxq1tqvaCgkFb8cCA/edit?usp=sharing"",""เลย!J267"")"),0.0)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IFERROR(__xludf.DUMMYFUNCTION("IMPORTRANGE(""https://docs.google.com/spreadsheets/d/1XL5vhW3sbDhbH9Cz0tuDiY8C3ctxq1tqvaCgkFb8cCA/edit?usp=sharing"",""เลย!I164"")"),0.0)</f>
        <v>0</v>
      </c>
      <c r="J373" s="238">
        <f>IFERROR(__xludf.DUMMYFUNCTION("IMPORTRANGE(""https://docs.google.com/spreadsheets/d/1XL5vhW3sbDhbH9Cz0tuDiY8C3ctxq1tqvaCgkFb8cCA/edit?usp=sharing"",""เลย!J164"")"),0.0)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IFERROR(__xludf.DUMMYFUNCTION("IMPORTRANGE(""https://docs.google.com/spreadsheets/d/1XL5vhW3sbDhbH9Cz0tuDiY8C3ctxq1tqvaCgkFb8cCA/edit?usp=sharing"",""เลย!I164"")"),0.0)</f>
        <v>0</v>
      </c>
      <c r="J374" s="222">
        <f>IFERROR(__xludf.DUMMYFUNCTION("IMPORTRANGE(""https://docs.google.com/spreadsheets/d/1XL5vhW3sbDhbH9Cz0tuDiY8C3ctxq1tqvaCgkFb8cCA/edit?usp=sharing"",""เลย!J164"")"),0.0)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IFERROR(__xludf.DUMMYFUNCTION("IMPORTRANGE(""https://docs.google.com/spreadsheets/d/1XL5vhW3sbDhbH9Cz0tuDiY8C3ctxq1tqvaCgkFb8cCA/edit?usp=sharing"",""เลย!I270"")"),235.0)</f>
        <v>235</v>
      </c>
      <c r="J375" s="222">
        <f>IFERROR(__xludf.DUMMYFUNCTION("IMPORTRANGE(""https://docs.google.com/spreadsheets/d/1XL5vhW3sbDhbH9Cz0tuDiY8C3ctxq1tqvaCgkFb8cCA/edit?usp=sharing"",""เลย!J270"")"),0.0)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IFERROR(__xludf.DUMMYFUNCTION("IMPORTRANGE(""https://docs.google.com/spreadsheets/d/1XL5vhW3sbDhbH9Cz0tuDiY8C3ctxq1tqvaCgkFb8cCA/edit?usp=sharing"",""เลย!I271"")"),100.0)</f>
        <v>100</v>
      </c>
      <c r="J376" s="223">
        <f>IFERROR(__xludf.DUMMYFUNCTION("IMPORTRANGE(""https://docs.google.com/spreadsheets/d/1XL5vhW3sbDhbH9Cz0tuDiY8C3ctxq1tqvaCgkFb8cCA/edit?usp=sharing"",""เลย!J271"")"),0.0)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IFERROR(__xludf.DUMMYFUNCTION("IMPORTRANGE(""https://docs.google.com/spreadsheets/d/1XL5vhW3sbDhbH9Cz0tuDiY8C3ctxq1tqvaCgkFb8cCA/edit?usp=sharing"",""เลย!I272"")"),135.0)</f>
        <v>135</v>
      </c>
      <c r="J377" s="238">
        <f>IFERROR(__xludf.DUMMYFUNCTION("IMPORTRANGE(""https://docs.google.com/spreadsheets/d/1XL5vhW3sbDhbH9Cz0tuDiY8C3ctxq1tqvaCgkFb8cCA/edit?usp=sharing"",""เลย!J272"")"),0.0)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IFERROR(__xludf.DUMMYFUNCTION("IMPORTRANGE(""https://docs.google.com/spreadsheets/d/1XL5vhW3sbDhbH9Cz0tuDiY8C3ctxq1tqvaCgkFb8cCA/edit?usp=sharing"",""เลย!J273"")"),0.0)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IFERROR(__xludf.DUMMYFUNCTION("IMPORTRANGE(""https://docs.google.com/spreadsheets/d/1XL5vhW3sbDhbH9Cz0tuDiY8C3ctxq1tqvaCgkFb8cCA/edit?usp=sharing"",""เลย!J274"")"),0.0)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IFERROR(__xludf.DUMMYFUNCTION("IMPORTRANGE(""https://docs.google.com/spreadsheets/d/1XL5vhW3sbDhbH9Cz0tuDiY8C3ctxq1tqvaCgkFb8cCA/edit?usp=sharing"",""เลย!I275"")"),1000.0)</f>
        <v>1000</v>
      </c>
      <c r="J380" s="404">
        <f>IFERROR(__xludf.DUMMYFUNCTION("IMPORTRANGE(""https://docs.google.com/spreadsheets/d/1XL5vhW3sbDhbH9Cz0tuDiY8C3ctxq1tqvaCgkFb8cCA/edit?usp=sharing"",""เลย!J275"")"),0.0)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IFERROR(__xludf.DUMMYFUNCTION("IMPORTRANGE(""https://docs.google.com/spreadsheets/d/1XL5vhW3sbDhbH9Cz0tuDiY8C3ctxq1tqvaCgkFb8cCA/edit?usp=sharing"",""เลย!L275"")"),1028520.0)</f>
        <v>1028520</v>
      </c>
      <c r="M380" s="406"/>
      <c r="N380" s="406">
        <f>IFERROR(__xludf.DUMMYFUNCTION("IMPORTRANGE(""https://docs.google.com/spreadsheets/d/1XL5vhW3sbDhbH9Cz0tuDiY8C3ctxq1tqvaCgkFb8cCA/edit?usp=sharing"",""เลย!M275"")"),33000.0)</f>
        <v>33000</v>
      </c>
      <c r="O380" s="406">
        <f>+IF(L380&gt;0,N380*100/L380,0)</f>
        <v>3.208493758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IFERROR(__xludf.DUMMYFUNCTION("IMPORTRANGE(""https://docs.google.com/spreadsheets/d/1XL5vhW3sbDhbH9Cz0tuDiY8C3ctxq1tqvaCgkFb8cCA/edit?usp=sharing"",""เลย!I276"")"),100.0)</f>
        <v>100</v>
      </c>
      <c r="J381" s="404">
        <f>IFERROR(__xludf.DUMMYFUNCTION("IMPORTRANGE(""https://docs.google.com/spreadsheets/d/1XL5vhW3sbDhbH9Cz0tuDiY8C3ctxq1tqvaCgkFb8cCA/edit?usp=sharing"",""เลย!J276"")"),0.0)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IFERROR(__xludf.DUMMYFUNCTION("IMPORTRANGE(""https://docs.google.com/spreadsheets/d/1XL5vhW3sbDhbH9Cz0tuDiY8C3ctxq1tqvaCgkFb8cCA/edit?usp=sharing"",""เลย!L277"")"),0.0)</f>
        <v>0</v>
      </c>
      <c r="M382" s="197"/>
      <c r="N382" s="197">
        <f>IFERROR(__xludf.DUMMYFUNCTION("IMPORTRANGE(""https://docs.google.com/spreadsheets/d/1XL5vhW3sbDhbH9Cz0tuDiY8C3ctxq1tqvaCgkFb8cCA/edit?usp=sharing"",""เลย!M277"")"),0.0)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IFERROR(__xludf.DUMMYFUNCTION("IMPORTRANGE(""https://docs.google.com/spreadsheets/d/1XL5vhW3sbDhbH9Cz0tuDiY8C3ctxq1tqvaCgkFb8cCA/edit?usp=sharing"",""เลย!L278"")"),1028520.0)</f>
        <v>1028520</v>
      </c>
      <c r="M383" s="198"/>
      <c r="N383" s="198">
        <f>IFERROR(__xludf.DUMMYFUNCTION("IMPORTRANGE(""https://docs.google.com/spreadsheets/d/1XL5vhW3sbDhbH9Cz0tuDiY8C3ctxq1tqvaCgkFb8cCA/edit?usp=sharing"",""เลย!M278"")"),33000.0)</f>
        <v>33000</v>
      </c>
      <c r="O383" s="198">
        <f t="shared" si="110"/>
        <v>3.208493758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IFERROR(__xludf.DUMMYFUNCTION("IMPORTRANGE(""https://docs.google.com/spreadsheets/d/1XL5vhW3sbDhbH9Cz0tuDiY8C3ctxq1tqvaCgkFb8cCA/edit?usp=sharing"",""เลย!L279"")"),0.0)</f>
        <v>0</v>
      </c>
      <c r="M384" s="203"/>
      <c r="N384" s="203">
        <f>IFERROR(__xludf.DUMMYFUNCTION("IMPORTRANGE(""https://docs.google.com/spreadsheets/d/1XL5vhW3sbDhbH9Cz0tuDiY8C3ctxq1tqvaCgkFb8cCA/edit?usp=sharing"",""เลย!M279"")"),0.0)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IFERROR(__xludf.DUMMYFUNCTION("IMPORTRANGE(""https://docs.google.com/spreadsheets/d/1XL5vhW3sbDhbH9Cz0tuDiY8C3ctxq1tqvaCgkFb8cCA/edit?usp=sharing"",""เลย!L280"")"),1028520.0)</f>
        <v>1028520</v>
      </c>
      <c r="M385" s="203"/>
      <c r="N385" s="200">
        <f>IFERROR(__xludf.DUMMYFUNCTION("IMPORTRANGE(""https://docs.google.com/spreadsheets/d/1XL5vhW3sbDhbH9Cz0tuDiY8C3ctxq1tqvaCgkFb8cCA/edit?usp=sharing"",""เลย!M280"")"),33000.0)</f>
        <v>33000</v>
      </c>
      <c r="O385" s="203">
        <f t="shared" si="110"/>
        <v>3.208493758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IFERROR(__xludf.DUMMYFUNCTION("IMPORTRANGE(""https://docs.google.com/spreadsheets/d/1XL5vhW3sbDhbH9Cz0tuDiY8C3ctxq1tqvaCgkFb8cCA/edit?usp=sharing"",""เลย!M281"")"),0.0)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IFERROR(__xludf.DUMMYFUNCTION("IMPORTRANGE(""https://docs.google.com/spreadsheets/d/1XL5vhW3sbDhbH9Cz0tuDiY8C3ctxq1tqvaCgkFb8cCA/edit?usp=sharing"",""เลย!M282"")"),0.0)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IFERROR(__xludf.DUMMYFUNCTION("IMPORTRANGE(""https://docs.google.com/spreadsheets/d/1XL5vhW3sbDhbH9Cz0tuDiY8C3ctxq1tqvaCgkFb8cCA/edit?usp=sharing"",""เลย!M283"")"),33000.0)</f>
        <v>33000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IFERROR(__xludf.DUMMYFUNCTION("IMPORTRANGE(""https://docs.google.com/spreadsheets/d/1XL5vhW3sbDhbH9Cz0tuDiY8C3ctxq1tqvaCgkFb8cCA/edit?usp=sharing"",""เลย!M284"")"),0.0)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IFERROR(__xludf.DUMMYFUNCTION("IMPORTRANGE(""https://docs.google.com/spreadsheets/d/1XL5vhW3sbDhbH9Cz0tuDiY8C3ctxq1tqvaCgkFb8cCA/edit?usp=sharing"",""เลย!J286"")"),0.0)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IFERROR(__xludf.DUMMYFUNCTION("IMPORTRANGE(""https://docs.google.com/spreadsheets/d/1XL5vhW3sbDhbH9Cz0tuDiY8C3ctxq1tqvaCgkFb8cCA/edit?usp=sharing"",""เลย!J287"")"),1.0)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IFERROR(__xludf.DUMMYFUNCTION("IMPORTRANGE(""https://docs.google.com/spreadsheets/d/1XL5vhW3sbDhbH9Cz0tuDiY8C3ctxq1tqvaCgkFb8cCA/edit?usp=sharing"",""เลย!J288"")"),1.0)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IFERROR(__xludf.DUMMYFUNCTION("IMPORTRANGE(""https://docs.google.com/spreadsheets/d/1XL5vhW3sbDhbH9Cz0tuDiY8C3ctxq1tqvaCgkFb8cCA/edit?usp=sharing"",""เลย!J289"")"),0.0)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IFERROR(__xludf.DUMMYFUNCTION("IMPORTRANGE(""https://docs.google.com/spreadsheets/d/1XL5vhW3sbDhbH9Cz0tuDiY8C3ctxq1tqvaCgkFb8cCA/edit?usp=sharing"",""เลย!I291"")"),100.0)</f>
        <v>100</v>
      </c>
      <c r="J396" s="232">
        <f>IFERROR(__xludf.DUMMYFUNCTION("IMPORTRANGE(""https://docs.google.com/spreadsheets/d/1XL5vhW3sbDhbH9Cz0tuDiY8C3ctxq1tqvaCgkFb8cCA/edit?usp=sharing"",""เลย!J291"")"),0.0)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IFERROR(__xludf.DUMMYFUNCTION("IMPORTRANGE(""https://docs.google.com/spreadsheets/d/1XL5vhW3sbDhbH9Cz0tuDiY8C3ctxq1tqvaCgkFb8cCA/edit?usp=sharing"",""เลย!I292"")"),1000.0)</f>
        <v>1000</v>
      </c>
      <c r="J397" s="232">
        <f>IFERROR(__xludf.DUMMYFUNCTION("IMPORTRANGE(""https://docs.google.com/spreadsheets/d/1XL5vhW3sbDhbH9Cz0tuDiY8C3ctxq1tqvaCgkFb8cCA/edit?usp=sharing"",""เลย!J292"")"),0.0)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IFERROR(__xludf.DUMMYFUNCTION("IMPORTRANGE(""https://docs.google.com/spreadsheets/d/1XL5vhW3sbDhbH9Cz0tuDiY8C3ctxq1tqvaCgkFb8cCA/edit?usp=sharing"",""เลย!I293"")"),100.0)</f>
        <v>100</v>
      </c>
      <c r="J398" s="232">
        <f>IFERROR(__xludf.DUMMYFUNCTION("IMPORTRANGE(""https://docs.google.com/spreadsheets/d/1XL5vhW3sbDhbH9Cz0tuDiY8C3ctxq1tqvaCgkFb8cCA/edit?usp=sharing"",""เลย!J293"")"),0.0)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IFERROR(__xludf.DUMMYFUNCTION("IMPORTRANGE(""https://docs.google.com/spreadsheets/d/1XL5vhW3sbDhbH9Cz0tuDiY8C3ctxq1tqvaCgkFb8cCA/edit?usp=sharing"",""เลย!J294"")"),0.0)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IFERROR(__xludf.DUMMYFUNCTION("IMPORTRANGE(""https://docs.google.com/spreadsheets/d/1XL5vhW3sbDhbH9Cz0tuDiY8C3ctxq1tqvaCgkFb8cCA/edit?usp=sharing"",""เลย!J295"")"),0.0)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IFERROR(__xludf.DUMMYFUNCTION("IMPORTRANGE(""https://docs.google.com/spreadsheets/d/1XL5vhW3sbDhbH9Cz0tuDiY8C3ctxq1tqvaCgkFb8cCA/edit?usp=sharing"",""เลย!I296"")"),120.0)</f>
        <v>120</v>
      </c>
      <c r="J401" s="404">
        <f>IFERROR(__xludf.DUMMYFUNCTION("IMPORTRANGE(""https://docs.google.com/spreadsheets/d/1XL5vhW3sbDhbH9Cz0tuDiY8C3ctxq1tqvaCgkFb8cCA/edit?usp=sharing"",""เลย!J296"")"),0.0)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IFERROR(__xludf.DUMMYFUNCTION("IMPORTRANGE(""https://docs.google.com/spreadsheets/d/1XL5vhW3sbDhbH9Cz0tuDiY8C3ctxq1tqvaCgkFb8cCA/edit?usp=sharing"",""เลย!L296"")"),147110.0)</f>
        <v>147110</v>
      </c>
      <c r="M401" s="406"/>
      <c r="N401" s="406">
        <f>IFERROR(__xludf.DUMMYFUNCTION("IMPORTRANGE(""https://docs.google.com/spreadsheets/d/1XL5vhW3sbDhbH9Cz0tuDiY8C3ctxq1tqvaCgkFb8cCA/edit?usp=sharing"",""เลย!M296"")"),6060.0)</f>
        <v>6060</v>
      </c>
      <c r="O401" s="406">
        <f>+IF(L401&gt;0,N401*100/L401,0)</f>
        <v>4.11936646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IFERROR(__xludf.DUMMYFUNCTION("IMPORTRANGE(""https://docs.google.com/spreadsheets/d/1XL5vhW3sbDhbH9Cz0tuDiY8C3ctxq1tqvaCgkFb8cCA/edit?usp=sharing"",""เลย!I297"")"),40.0)</f>
        <v>40</v>
      </c>
      <c r="J402" s="404">
        <f>IFERROR(__xludf.DUMMYFUNCTION("IMPORTRANGE(""https://docs.google.com/spreadsheets/d/1XL5vhW3sbDhbH9Cz0tuDiY8C3ctxq1tqvaCgkFb8cCA/edit?usp=sharing"",""เลย!J297"")"),0.0)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IFERROR(__xludf.DUMMYFUNCTION("IMPORTRANGE(""https://docs.google.com/spreadsheets/d/1XL5vhW3sbDhbH9Cz0tuDiY8C3ctxq1tqvaCgkFb8cCA/edit?usp=sharing"",""เลย!L298"")"),0.0)</f>
        <v>0</v>
      </c>
      <c r="M403" s="197"/>
      <c r="N403" s="203">
        <f>IFERROR(__xludf.DUMMYFUNCTION("IMPORTRANGE(""https://docs.google.com/spreadsheets/d/1XL5vhW3sbDhbH9Cz0tuDiY8C3ctxq1tqvaCgkFb8cCA/edit?usp=sharing"",""เลย!M298"")"),0.0)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IFERROR(__xludf.DUMMYFUNCTION("IMPORTRANGE(""https://docs.google.com/spreadsheets/d/1XL5vhW3sbDhbH9Cz0tuDiY8C3ctxq1tqvaCgkFb8cCA/edit?usp=sharing"",""เลย!L299"")"),147110.0)</f>
        <v>147110</v>
      </c>
      <c r="M404" s="198"/>
      <c r="N404" s="203">
        <f>IFERROR(__xludf.DUMMYFUNCTION("IMPORTRANGE(""https://docs.google.com/spreadsheets/d/1XL5vhW3sbDhbH9Cz0tuDiY8C3ctxq1tqvaCgkFb8cCA/edit?usp=sharing"",""เลย!M299"")"),6060.0)</f>
        <v>6060</v>
      </c>
      <c r="O404" s="203">
        <f t="shared" si="113"/>
        <v>4.11936646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IFERROR(__xludf.DUMMYFUNCTION("IMPORTRANGE(""https://docs.google.com/spreadsheets/d/1XL5vhW3sbDhbH9Cz0tuDiY8C3ctxq1tqvaCgkFb8cCA/edit?usp=sharing"",""เลย!L300"")"),0.0)</f>
        <v>0</v>
      </c>
      <c r="M405" s="203"/>
      <c r="N405" s="203">
        <f>IFERROR(__xludf.DUMMYFUNCTION("IMPORTRANGE(""https://docs.google.com/spreadsheets/d/1XL5vhW3sbDhbH9Cz0tuDiY8C3ctxq1tqvaCgkFb8cCA/edit?usp=sharing"",""เลย!M300"")"),0.0)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IFERROR(__xludf.DUMMYFUNCTION("IMPORTRANGE(""https://docs.google.com/spreadsheets/d/1XL5vhW3sbDhbH9Cz0tuDiY8C3ctxq1tqvaCgkFb8cCA/edit?usp=sharing"",""เลย!L301"")"),147110.0)</f>
        <v>147110</v>
      </c>
      <c r="M406" s="203"/>
      <c r="N406" s="203">
        <f>IFERROR(__xludf.DUMMYFUNCTION("IMPORTRANGE(""https://docs.google.com/spreadsheets/d/1XL5vhW3sbDhbH9Cz0tuDiY8C3ctxq1tqvaCgkFb8cCA/edit?usp=sharing"",""เลย!M301"")"),6060.0)</f>
        <v>6060</v>
      </c>
      <c r="O406" s="203">
        <f t="shared" si="113"/>
        <v>4.11936646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IFERROR(__xludf.DUMMYFUNCTION("IMPORTRANGE(""https://docs.google.com/spreadsheets/d/1XL5vhW3sbDhbH9Cz0tuDiY8C3ctxq1tqvaCgkFb8cCA/edit?usp=sharing"",""เลย!M302"")"),0.0)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IFERROR(__xludf.DUMMYFUNCTION("IMPORTRANGE(""https://docs.google.com/spreadsheets/d/1XL5vhW3sbDhbH9Cz0tuDiY8C3ctxq1tqvaCgkFb8cCA/edit?usp=sharing"",""เลย!M303"")"),0.0)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IFERROR(__xludf.DUMMYFUNCTION("IMPORTRANGE(""https://docs.google.com/spreadsheets/d/1XL5vhW3sbDhbH9Cz0tuDiY8C3ctxq1tqvaCgkFb8cCA/edit?usp=sharing"",""เลย!M304"")"),0.0)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IFERROR(__xludf.DUMMYFUNCTION("IMPORTRANGE(""https://docs.google.com/spreadsheets/d/1XL5vhW3sbDhbH9Cz0tuDiY8C3ctxq1tqvaCgkFb8cCA/edit?usp=sharing"",""เลย!M305"")"),6060.0)</f>
        <v>6060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IFERROR(__xludf.DUMMYFUNCTION("IMPORTRANGE(""https://docs.google.com/spreadsheets/d/1XL5vhW3sbDhbH9Cz0tuDiY8C3ctxq1tqvaCgkFb8cCA/edit?usp=sharing"",""เลย!J307"")"),0.0)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IFERROR(__xludf.DUMMYFUNCTION("IMPORTRANGE(""https://docs.google.com/spreadsheets/d/1XL5vhW3sbDhbH9Cz0tuDiY8C3ctxq1tqvaCgkFb8cCA/edit?usp=sharing"",""เลย!J308"")"),1.0)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IFERROR(__xludf.DUMMYFUNCTION("IMPORTRANGE(""https://docs.google.com/spreadsheets/d/1XL5vhW3sbDhbH9Cz0tuDiY8C3ctxq1tqvaCgkFb8cCA/edit?usp=sharing"",""เลย!J309"")"),1.0)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IFERROR(__xludf.DUMMYFUNCTION("IMPORTRANGE(""https://docs.google.com/spreadsheets/d/1XL5vhW3sbDhbH9Cz0tuDiY8C3ctxq1tqvaCgkFb8cCA/edit?usp=sharing"",""เลย!J310"")"),0.0)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IFERROR(__xludf.DUMMYFUNCTION("IMPORTRANGE(""https://docs.google.com/spreadsheets/d/1XL5vhW3sbDhbH9Cz0tuDiY8C3ctxq1tqvaCgkFb8cCA/edit?usp=sharing"",""เลย!I311"")"),40.0)</f>
        <v>40</v>
      </c>
      <c r="J416" s="235">
        <f>IFERROR(__xludf.DUMMYFUNCTION("IMPORTRANGE(""https://docs.google.com/spreadsheets/d/1XL5vhW3sbDhbH9Cz0tuDiY8C3ctxq1tqvaCgkFb8cCA/edit?usp=sharing"",""เลย!J311"")"),0.0)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IFERROR(__xludf.DUMMYFUNCTION("IMPORTRANGE(""https://docs.google.com/spreadsheets/d/1XL5vhW3sbDhbH9Cz0tuDiY8C3ctxq1tqvaCgkFb8cCA/edit?usp=sharing"",""เลย!I312"")"),15.0)</f>
        <v>15</v>
      </c>
      <c r="J417" s="425">
        <f>IFERROR(__xludf.DUMMYFUNCTION("IMPORTRANGE(""https://docs.google.com/spreadsheets/d/1XL5vhW3sbDhbH9Cz0tuDiY8C3ctxq1tqvaCgkFb8cCA/edit?usp=sharing"",""เลย!J312"")"),0.0)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IFERROR(__xludf.DUMMYFUNCTION("IMPORTRANGE(""https://docs.google.com/spreadsheets/d/1XL5vhW3sbDhbH9Cz0tuDiY8C3ctxq1tqvaCgkFb8cCA/edit?usp=sharing"",""เลย!I313"")"),45.0)</f>
        <v>45</v>
      </c>
      <c r="J418" s="426">
        <f>IFERROR(__xludf.DUMMYFUNCTION("IMPORTRANGE(""https://docs.google.com/spreadsheets/d/1XL5vhW3sbDhbH9Cz0tuDiY8C3ctxq1tqvaCgkFb8cCA/edit?usp=sharing"",""เลย!J313"")"),0.0)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IFERROR(__xludf.DUMMYFUNCTION("IMPORTRANGE(""https://docs.google.com/spreadsheets/d/1XL5vhW3sbDhbH9Cz0tuDiY8C3ctxq1tqvaCgkFb8cCA/edit?usp=sharing"",""เลย!I314"")"),15.0)</f>
        <v>15</v>
      </c>
      <c r="J419" s="427">
        <f>IFERROR(__xludf.DUMMYFUNCTION("IMPORTRANGE(""https://docs.google.com/spreadsheets/d/1XL5vhW3sbDhbH9Cz0tuDiY8C3ctxq1tqvaCgkFb8cCA/edit?usp=sharing"",""เลย!J314"")"),0.0)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IFERROR(__xludf.DUMMYFUNCTION("IMPORTRANGE(""https://docs.google.com/spreadsheets/d/1XL5vhW3sbDhbH9Cz0tuDiY8C3ctxq1tqvaCgkFb8cCA/edit?usp=sharing"",""เลย!I315"")"),15.0)</f>
        <v>15</v>
      </c>
      <c r="J420" s="427">
        <f>IFERROR(__xludf.DUMMYFUNCTION("IMPORTRANGE(""https://docs.google.com/spreadsheets/d/1XL5vhW3sbDhbH9Cz0tuDiY8C3ctxq1tqvaCgkFb8cCA/edit?usp=sharing"",""เลย!J315"")"),0.0)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IFERROR(__xludf.DUMMYFUNCTION("IMPORTRANGE(""https://docs.google.com/spreadsheets/d/1XL5vhW3sbDhbH9Cz0tuDiY8C3ctxq1tqvaCgkFb8cCA/edit?usp=sharing"",""เลย!I316"")"),15.0)</f>
        <v>15</v>
      </c>
      <c r="J421" s="425">
        <f>IFERROR(__xludf.DUMMYFUNCTION("IMPORTRANGE(""https://docs.google.com/spreadsheets/d/1XL5vhW3sbDhbH9Cz0tuDiY8C3ctxq1tqvaCgkFb8cCA/edit?usp=sharing"",""เลย!J316"")"),0.0)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IFERROR(__xludf.DUMMYFUNCTION("IMPORTRANGE(""https://docs.google.com/spreadsheets/d/1XL5vhW3sbDhbH9Cz0tuDiY8C3ctxq1tqvaCgkFb8cCA/edit?usp=sharing"",""เลย!I317"")"),45.0)</f>
        <v>45</v>
      </c>
      <c r="J422" s="426">
        <f>IFERROR(__xludf.DUMMYFUNCTION("IMPORTRANGE(""https://docs.google.com/spreadsheets/d/1XL5vhW3sbDhbH9Cz0tuDiY8C3ctxq1tqvaCgkFb8cCA/edit?usp=sharing"",""เลย!J317"")"),0.0)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IFERROR(__xludf.DUMMYFUNCTION("IMPORTRANGE(""https://docs.google.com/spreadsheets/d/1XL5vhW3sbDhbH9Cz0tuDiY8C3ctxq1tqvaCgkFb8cCA/edit?usp=sharing"",""เลย!I318"")"),15.0)</f>
        <v>15</v>
      </c>
      <c r="J423" s="427">
        <f>IFERROR(__xludf.DUMMYFUNCTION("IMPORTRANGE(""https://docs.google.com/spreadsheets/d/1XL5vhW3sbDhbH9Cz0tuDiY8C3ctxq1tqvaCgkFb8cCA/edit?usp=sharing"",""เลย!J318"")"),0.0)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IFERROR(__xludf.DUMMYFUNCTION("IMPORTRANGE(""https://docs.google.com/spreadsheets/d/1XL5vhW3sbDhbH9Cz0tuDiY8C3ctxq1tqvaCgkFb8cCA/edit?usp=sharing"",""เลย!I319"")"),15.0)</f>
        <v>15</v>
      </c>
      <c r="J424" s="427">
        <f>IFERROR(__xludf.DUMMYFUNCTION("IMPORTRANGE(""https://docs.google.com/spreadsheets/d/1XL5vhW3sbDhbH9Cz0tuDiY8C3ctxq1tqvaCgkFb8cCA/edit?usp=sharing"",""เลย!J319"")"),0.0)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IFERROR(__xludf.DUMMYFUNCTION("IMPORTRANGE(""https://docs.google.com/spreadsheets/d/1XL5vhW3sbDhbH9Cz0tuDiY8C3ctxq1tqvaCgkFb8cCA/edit?usp=sharing"",""เลย!I320"")"),15.0)</f>
        <v>15</v>
      </c>
      <c r="J425" s="427">
        <f>IFERROR(__xludf.DUMMYFUNCTION("IMPORTRANGE(""https://docs.google.com/spreadsheets/d/1XL5vhW3sbDhbH9Cz0tuDiY8C3ctxq1tqvaCgkFb8cCA/edit?usp=sharing"",""เลย!J320"")"),0.0)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IFERROR(__xludf.DUMMYFUNCTION("IMPORTRANGE(""https://docs.google.com/spreadsheets/d/1XL5vhW3sbDhbH9Cz0tuDiY8C3ctxq1tqvaCgkFb8cCA/edit?usp=sharing"",""เลย!I321"")"),10.0)</f>
        <v>10</v>
      </c>
      <c r="J426" s="425">
        <f>IFERROR(__xludf.DUMMYFUNCTION("IMPORTRANGE(""https://docs.google.com/spreadsheets/d/1XL5vhW3sbDhbH9Cz0tuDiY8C3ctxq1tqvaCgkFb8cCA/edit?usp=sharing"",""เลย!J321"")"),0.0)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IFERROR(__xludf.DUMMYFUNCTION("IMPORTRANGE(""https://docs.google.com/spreadsheets/d/1XL5vhW3sbDhbH9Cz0tuDiY8C3ctxq1tqvaCgkFb8cCA/edit?usp=sharing"",""เลย!I322"")"),30.0)</f>
        <v>30</v>
      </c>
      <c r="J427" s="426">
        <f>IFERROR(__xludf.DUMMYFUNCTION("IMPORTRANGE(""https://docs.google.com/spreadsheets/d/1XL5vhW3sbDhbH9Cz0tuDiY8C3ctxq1tqvaCgkFb8cCA/edit?usp=sharing"",""เลย!J322"")"),0.0)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IFERROR(__xludf.DUMMYFUNCTION("IMPORTRANGE(""https://docs.google.com/spreadsheets/d/1XL5vhW3sbDhbH9Cz0tuDiY8C3ctxq1tqvaCgkFb8cCA/edit?usp=sharing"",""เลย!I323"")"),10.0)</f>
        <v>10</v>
      </c>
      <c r="J428" s="427">
        <f>IFERROR(__xludf.DUMMYFUNCTION("IMPORTRANGE(""https://docs.google.com/spreadsheets/d/1XL5vhW3sbDhbH9Cz0tuDiY8C3ctxq1tqvaCgkFb8cCA/edit?usp=sharing"",""เลย!J323"")"),0.0)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IFERROR(__xludf.DUMMYFUNCTION("IMPORTRANGE(""https://docs.google.com/spreadsheets/d/1XL5vhW3sbDhbH9Cz0tuDiY8C3ctxq1tqvaCgkFb8cCA/edit?usp=sharing"",""เลย!I324"")"),10.0)</f>
        <v>10</v>
      </c>
      <c r="J429" s="427">
        <f>IFERROR(__xludf.DUMMYFUNCTION("IMPORTRANGE(""https://docs.google.com/spreadsheets/d/1XL5vhW3sbDhbH9Cz0tuDiY8C3ctxq1tqvaCgkFb8cCA/edit?usp=sharing"",""เลย!J324"")"),0.0)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IFERROR(__xludf.DUMMYFUNCTION("IMPORTRANGE(""https://docs.google.com/spreadsheets/d/1XL5vhW3sbDhbH9Cz0tuDiY8C3ctxq1tqvaCgkFb8cCA/edit?usp=sharing"",""เลย!I325"")"),30.0)</f>
        <v>30</v>
      </c>
      <c r="J430" s="425">
        <f>IFERROR(__xludf.DUMMYFUNCTION("IMPORTRANGE(""https://docs.google.com/spreadsheets/d/1XL5vhW3sbDhbH9Cz0tuDiY8C3ctxq1tqvaCgkFb8cCA/edit?usp=sharing"",""เลย!J325"")"),0.0)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IFERROR(__xludf.DUMMYFUNCTION("IMPORTRANGE(""https://docs.google.com/spreadsheets/d/1XL5vhW3sbDhbH9Cz0tuDiY8C3ctxq1tqvaCgkFb8cCA/edit?usp=sharing"",""เลย!I326"")"),15.0)</f>
        <v>15</v>
      </c>
      <c r="J431" s="427">
        <f>IFERROR(__xludf.DUMMYFUNCTION("IMPORTRANGE(""https://docs.google.com/spreadsheets/d/1XL5vhW3sbDhbH9Cz0tuDiY8C3ctxq1tqvaCgkFb8cCA/edit?usp=sharing"",""เลย!J326"")"),0.0)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IFERROR(__xludf.DUMMYFUNCTION("IMPORTRANGE(""https://docs.google.com/spreadsheets/d/1XL5vhW3sbDhbH9Cz0tuDiY8C3ctxq1tqvaCgkFb8cCA/edit?usp=sharing"",""เลย!I327"")"),15.0)</f>
        <v>15</v>
      </c>
      <c r="J432" s="427">
        <f>IFERROR(__xludf.DUMMYFUNCTION("IMPORTRANGE(""https://docs.google.com/spreadsheets/d/1XL5vhW3sbDhbH9Cz0tuDiY8C3ctxq1tqvaCgkFb8cCA/edit?usp=sharing"",""เลย!J327"")"),0.0)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IFERROR(__xludf.DUMMYFUNCTION("IMPORTRANGE(""https://docs.google.com/spreadsheets/d/1XL5vhW3sbDhbH9Cz0tuDiY8C3ctxq1tqvaCgkFb8cCA/edit?usp=sharing"",""เลย!J328"")"),0.0)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IFERROR(__xludf.DUMMYFUNCTION("IMPORTRANGE(""https://docs.google.com/spreadsheets/d/1XL5vhW3sbDhbH9Cz0tuDiY8C3ctxq1tqvaCgkFb8cCA/edit?usp=sharing"",""เลย!J329"")"),0.0)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IFERROR(__xludf.DUMMYFUNCTION("IMPORTRANGE(""https://docs.google.com/spreadsheets/d/1XL5vhW3sbDhbH9Cz0tuDiY8C3ctxq1tqvaCgkFb8cCA/edit?usp=sharing"",""เลย!I330"")"),10.0)</f>
        <v>10</v>
      </c>
      <c r="J435" s="443">
        <f>IFERROR(__xludf.DUMMYFUNCTION("IMPORTRANGE(""https://docs.google.com/spreadsheets/d/1XL5vhW3sbDhbH9Cz0tuDiY8C3ctxq1tqvaCgkFb8cCA/edit?usp=sharing"",""เลย!J330"")"),0.0)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IFERROR(__xludf.DUMMYFUNCTION("IMPORTRANGE(""https://docs.google.com/spreadsheets/d/1XL5vhW3sbDhbH9Cz0tuDiY8C3ctxq1tqvaCgkFb8cCA/edit?usp=sharing"",""เลย!L330"")"),72000.0)</f>
        <v>72000</v>
      </c>
      <c r="M435" s="445"/>
      <c r="N435" s="445">
        <f>IFERROR(__xludf.DUMMYFUNCTION("IMPORTRANGE(""https://docs.google.com/spreadsheets/d/1XL5vhW3sbDhbH9Cz0tuDiY8C3ctxq1tqvaCgkFb8cCA/edit?usp=sharing"",""เลย!M330"")"),0.0)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IFERROR(__xludf.DUMMYFUNCTION("IMPORTRANGE(""https://docs.google.com/spreadsheets/d/1XL5vhW3sbDhbH9Cz0tuDiY8C3ctxq1tqvaCgkFb8cCA/edit?usp=sharing"",""เลย!L331"")"),0.0)</f>
        <v>0</v>
      </c>
      <c r="M436" s="197"/>
      <c r="N436" s="203">
        <f>IFERROR(__xludf.DUMMYFUNCTION("IMPORTRANGE(""https://docs.google.com/spreadsheets/d/1XL5vhW3sbDhbH9Cz0tuDiY8C3ctxq1tqvaCgkFb8cCA/edit?usp=sharing"",""เลย!M331"")"),0.0)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IFERROR(__xludf.DUMMYFUNCTION("IMPORTRANGE(""https://docs.google.com/spreadsheets/d/1XL5vhW3sbDhbH9Cz0tuDiY8C3ctxq1tqvaCgkFb8cCA/edit?usp=sharing"",""เลย!L332"")"),72000.0)</f>
        <v>72000</v>
      </c>
      <c r="M437" s="198"/>
      <c r="N437" s="203">
        <f>IFERROR(__xludf.DUMMYFUNCTION("IMPORTRANGE(""https://docs.google.com/spreadsheets/d/1XL5vhW3sbDhbH9Cz0tuDiY8C3ctxq1tqvaCgkFb8cCA/edit?usp=sharing"",""เลย!M332"")"),0.0)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IFERROR(__xludf.DUMMYFUNCTION("IMPORTRANGE(""https://docs.google.com/spreadsheets/d/1XL5vhW3sbDhbH9Cz0tuDiY8C3ctxq1tqvaCgkFb8cCA/edit?usp=sharing"",""เลย!L333"")"),0.0)</f>
        <v>0</v>
      </c>
      <c r="M438" s="203"/>
      <c r="N438" s="203">
        <f>IFERROR(__xludf.DUMMYFUNCTION("IMPORTRANGE(""https://docs.google.com/spreadsheets/d/1XL5vhW3sbDhbH9Cz0tuDiY8C3ctxq1tqvaCgkFb8cCA/edit?usp=sharing"",""เลย!M333"")"),0.0)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IFERROR(__xludf.DUMMYFUNCTION("IMPORTRANGE(""https://docs.google.com/spreadsheets/d/1XL5vhW3sbDhbH9Cz0tuDiY8C3ctxq1tqvaCgkFb8cCA/edit?usp=sharing"",""เลย!L334"")"),72000.0)</f>
        <v>72000</v>
      </c>
      <c r="M439" s="203"/>
      <c r="N439" s="203">
        <f>IFERROR(__xludf.DUMMYFUNCTION("IMPORTRANGE(""https://docs.google.com/spreadsheets/d/1XL5vhW3sbDhbH9Cz0tuDiY8C3ctxq1tqvaCgkFb8cCA/edit?usp=sharing"",""เลย!M334"")"),0.0)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IFERROR(__xludf.DUMMYFUNCTION("IMPORTRANGE(""https://docs.google.com/spreadsheets/d/1XL5vhW3sbDhbH9Cz0tuDiY8C3ctxq1tqvaCgkFb8cCA/edit?usp=sharing"",""เลย!M335"")"),0.0)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IFERROR(__xludf.DUMMYFUNCTION("IMPORTRANGE(""https://docs.google.com/spreadsheets/d/1XL5vhW3sbDhbH9Cz0tuDiY8C3ctxq1tqvaCgkFb8cCA/edit?usp=sharing"",""เลย!M336"")"),0.0)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IFERROR(__xludf.DUMMYFUNCTION("IMPORTRANGE(""https://docs.google.com/spreadsheets/d/1XL5vhW3sbDhbH9Cz0tuDiY8C3ctxq1tqvaCgkFb8cCA/edit?usp=sharing"",""เลย!M337"")"),0.0)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IFERROR(__xludf.DUMMYFUNCTION("IMPORTRANGE(""https://docs.google.com/spreadsheets/d/1XL5vhW3sbDhbH9Cz0tuDiY8C3ctxq1tqvaCgkFb8cCA/edit?usp=sharing"",""เลย!M338"")"),0.0)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IFERROR(__xludf.DUMMYFUNCTION("IMPORTRANGE(""https://docs.google.com/spreadsheets/d/1XL5vhW3sbDhbH9Cz0tuDiY8C3ctxq1tqvaCgkFb8cCA/edit?usp=sharing"",""เลย!J340"")"),0.0)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IFERROR(__xludf.DUMMYFUNCTION("IMPORTRANGE(""https://docs.google.com/spreadsheets/d/1XL5vhW3sbDhbH9Cz0tuDiY8C3ctxq1tqvaCgkFb8cCA/edit?usp=sharing"",""เลย!J341"")"),1.0)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IFERROR(__xludf.DUMMYFUNCTION("IMPORTRANGE(""https://docs.google.com/spreadsheets/d/1XL5vhW3sbDhbH9Cz0tuDiY8C3ctxq1tqvaCgkFb8cCA/edit?usp=sharing"",""เลย!J342"")"),1.0)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IFERROR(__xludf.DUMMYFUNCTION("IMPORTRANGE(""https://docs.google.com/spreadsheets/d/1XL5vhW3sbDhbH9Cz0tuDiY8C3ctxq1tqvaCgkFb8cCA/edit?usp=sharing"",""เลย!J343"")"),0.0)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IFERROR(__xludf.DUMMYFUNCTION("IMPORTRANGE(""https://docs.google.com/spreadsheets/d/1XL5vhW3sbDhbH9Cz0tuDiY8C3ctxq1tqvaCgkFb8cCA/edit?usp=sharing"",""เลย!I344"")"),10.0)</f>
        <v>10</v>
      </c>
      <c r="J449" s="235">
        <f>IFERROR(__xludf.DUMMYFUNCTION("IMPORTRANGE(""https://docs.google.com/spreadsheets/d/1XL5vhW3sbDhbH9Cz0tuDiY8C3ctxq1tqvaCgkFb8cCA/edit?usp=sharing"",""เลย!J344"")"),0.0)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IFERROR(__xludf.DUMMYFUNCTION("IMPORTRANGE(""https://docs.google.com/spreadsheets/d/1XL5vhW3sbDhbH9Cz0tuDiY8C3ctxq1tqvaCgkFb8cCA/edit?usp=sharing"",""เลย!I345"")"),10.0)</f>
        <v>10</v>
      </c>
      <c r="J450" s="223">
        <f>IFERROR(__xludf.DUMMYFUNCTION("IMPORTRANGE(""https://docs.google.com/spreadsheets/d/1XL5vhW3sbDhbH9Cz0tuDiY8C3ctxq1tqvaCgkFb8cCA/edit?usp=sharing"",""เลย!J345"")"),0.0)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IFERROR(__xludf.DUMMYFUNCTION("IMPORTRANGE(""https://docs.google.com/spreadsheets/d/1XL5vhW3sbDhbH9Cz0tuDiY8C3ctxq1tqvaCgkFb8cCA/edit?usp=sharing"",""เลย!I346"")"),0.0)</f>
        <v>0</v>
      </c>
      <c r="J451" s="222">
        <f>IFERROR(__xludf.DUMMYFUNCTION("IMPORTRANGE(""https://docs.google.com/spreadsheets/d/1XL5vhW3sbDhbH9Cz0tuDiY8C3ctxq1tqvaCgkFb8cCA/edit?usp=sharing"",""เลย!J346"")"),0.0)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IFERROR(__xludf.DUMMYFUNCTION("IMPORTRANGE(""https://docs.google.com/spreadsheets/d/1XL5vhW3sbDhbH9Cz0tuDiY8C3ctxq1tqvaCgkFb8cCA/edit?usp=sharing"",""เลย!I347"")"),0.0)</f>
        <v>0</v>
      </c>
      <c r="J452" s="222">
        <f>IFERROR(__xludf.DUMMYFUNCTION("IMPORTRANGE(""https://docs.google.com/spreadsheets/d/1XL5vhW3sbDhbH9Cz0tuDiY8C3ctxq1tqvaCgkFb8cCA/edit?usp=sharing"",""เลย!J347"")"),0.0)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IFERROR(__xludf.DUMMYFUNCTION("IMPORTRANGE(""https://docs.google.com/spreadsheets/d/1XL5vhW3sbDhbH9Cz0tuDiY8C3ctxq1tqvaCgkFb8cCA/edit?usp=sharing"",""เลย!J348"")"),0.0)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IFERROR(__xludf.DUMMYFUNCTION("IMPORTRANGE(""https://docs.google.com/spreadsheets/d/1XL5vhW3sbDhbH9Cz0tuDiY8C3ctxq1tqvaCgkFb8cCA/edit?usp=sharing"",""เลย!J349"")"),0.0)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IFERROR(__xludf.DUMMYFUNCTION("IMPORTRANGE(""https://docs.google.com/spreadsheets/d/1XL5vhW3sbDhbH9Cz0tuDiY8C3ctxq1tqvaCgkFb8cCA/edit?usp=sharing"",""เลย!I350"")"),54567.0)</f>
        <v>54567</v>
      </c>
      <c r="J455" s="404">
        <f>IFERROR(__xludf.DUMMYFUNCTION("IMPORTRANGE(""https://docs.google.com/spreadsheets/d/1XL5vhW3sbDhbH9Cz0tuDiY8C3ctxq1tqvaCgkFb8cCA/edit?usp=sharing"",""เลย!J350"")"),0.0)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IFERROR(__xludf.DUMMYFUNCTION("IMPORTRANGE(""https://docs.google.com/spreadsheets/d/1XL5vhW3sbDhbH9Cz0tuDiY8C3ctxq1tqvaCgkFb8cCA/edit?usp=sharing"",""เลย!L350"")"),489836.0)</f>
        <v>489836</v>
      </c>
      <c r="M455" s="406"/>
      <c r="N455" s="406">
        <f>IFERROR(__xludf.DUMMYFUNCTION("IMPORTRANGE(""https://docs.google.com/spreadsheets/d/1XL5vhW3sbDhbH9Cz0tuDiY8C3ctxq1tqvaCgkFb8cCA/edit?usp=sharing"",""เลย!M350"")"),54280.0)</f>
        <v>54280</v>
      </c>
      <c r="O455" s="406">
        <f t="shared" ref="O455:O459" si="117">+IF(L455&gt;0,N455*100/L455,0)</f>
        <v>11.08125985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IFERROR(__xludf.DUMMYFUNCTION("IMPORTRANGE(""https://docs.google.com/spreadsheets/d/1XL5vhW3sbDhbH9Cz0tuDiY8C3ctxq1tqvaCgkFb8cCA/edit?usp=sharing"",""เลย!L351"")"),0.0)</f>
        <v>0</v>
      </c>
      <c r="M456" s="197"/>
      <c r="N456" s="203">
        <f>IFERROR(__xludf.DUMMYFUNCTION("IMPORTRANGE(""https://docs.google.com/spreadsheets/d/1XL5vhW3sbDhbH9Cz0tuDiY8C3ctxq1tqvaCgkFb8cCA/edit?usp=sharing"",""เลย!M351"")"),0.0)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IFERROR(__xludf.DUMMYFUNCTION("IMPORTRANGE(""https://docs.google.com/spreadsheets/d/1XL5vhW3sbDhbH9Cz0tuDiY8C3ctxq1tqvaCgkFb8cCA/edit?usp=sharing"",""เลย!L352"")"),489836.0)</f>
        <v>489836</v>
      </c>
      <c r="M457" s="198"/>
      <c r="N457" s="203">
        <f>IFERROR(__xludf.DUMMYFUNCTION("IMPORTRANGE(""https://docs.google.com/spreadsheets/d/1XL5vhW3sbDhbH9Cz0tuDiY8C3ctxq1tqvaCgkFb8cCA/edit?usp=sharing"",""เลย!M352"")"),54280.0)</f>
        <v>54280</v>
      </c>
      <c r="O457" s="203">
        <f t="shared" si="117"/>
        <v>11.08125985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IFERROR(__xludf.DUMMYFUNCTION("IMPORTRANGE(""https://docs.google.com/spreadsheets/d/1XL5vhW3sbDhbH9Cz0tuDiY8C3ctxq1tqvaCgkFb8cCA/edit?usp=sharing"",""เลย!L353"")"),0.0)</f>
        <v>0</v>
      </c>
      <c r="M458" s="203"/>
      <c r="N458" s="203">
        <f>IFERROR(__xludf.DUMMYFUNCTION("IMPORTRANGE(""https://docs.google.com/spreadsheets/d/1XL5vhW3sbDhbH9Cz0tuDiY8C3ctxq1tqvaCgkFb8cCA/edit?usp=sharing"",""เลย!M353"")"),0.0)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IFERROR(__xludf.DUMMYFUNCTION("IMPORTRANGE(""https://docs.google.com/spreadsheets/d/1XL5vhW3sbDhbH9Cz0tuDiY8C3ctxq1tqvaCgkFb8cCA/edit?usp=sharing"",""เลย!L354"")"),489836.0)</f>
        <v>489836</v>
      </c>
      <c r="M459" s="203"/>
      <c r="N459" s="203">
        <f>IFERROR(__xludf.DUMMYFUNCTION("IMPORTRANGE(""https://docs.google.com/spreadsheets/d/1XL5vhW3sbDhbH9Cz0tuDiY8C3ctxq1tqvaCgkFb8cCA/edit?usp=sharing"",""เลย!M354"")"),54280.0)</f>
        <v>54280</v>
      </c>
      <c r="O459" s="203">
        <f t="shared" si="117"/>
        <v>11.08125985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IFERROR(__xludf.DUMMYFUNCTION("IMPORTRANGE(""https://docs.google.com/spreadsheets/d/1XL5vhW3sbDhbH9Cz0tuDiY8C3ctxq1tqvaCgkFb8cCA/edit?usp=sharing"",""เลย!M355"")"),0.0)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IFERROR(__xludf.DUMMYFUNCTION("IMPORTRANGE(""https://docs.google.com/spreadsheets/d/1XL5vhW3sbDhbH9Cz0tuDiY8C3ctxq1tqvaCgkFb8cCA/edit?usp=sharing"",""เลย!M356"")"),0.0)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IFERROR(__xludf.DUMMYFUNCTION("IMPORTRANGE(""https://docs.google.com/spreadsheets/d/1XL5vhW3sbDhbH9Cz0tuDiY8C3ctxq1tqvaCgkFb8cCA/edit?usp=sharing"",""เลย!M357"")"),31175.0)</f>
        <v>31175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IFERROR(__xludf.DUMMYFUNCTION("IMPORTRANGE(""https://docs.google.com/spreadsheets/d/1XL5vhW3sbDhbH9Cz0tuDiY8C3ctxq1tqvaCgkFb8cCA/edit?usp=sharing"",""เลย!M358"")"),23105.0)</f>
        <v>23105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IFERROR(__xludf.DUMMYFUNCTION("IMPORTRANGE(""https://docs.google.com/spreadsheets/d/1XL5vhW3sbDhbH9Cz0tuDiY8C3ctxq1tqvaCgkFb8cCA/edit?usp=sharing"",""เลย!I359"")"),54567.0)</f>
        <v>54567</v>
      </c>
      <c r="J464" s="301">
        <f>IFERROR(__xludf.DUMMYFUNCTION("IMPORTRANGE(""https://docs.google.com/spreadsheets/d/1XL5vhW3sbDhbH9Cz0tuDiY8C3ctxq1tqvaCgkFb8cCA/edit?usp=sharing"",""เลย!J359"")"),0.0)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IFERROR(__xludf.DUMMYFUNCTION("IMPORTRANGE(""https://docs.google.com/spreadsheets/d/1XL5vhW3sbDhbH9Cz0tuDiY8C3ctxq1tqvaCgkFb8cCA/edit?usp=sharing"",""เลย!I360"")"),54567.0)</f>
        <v>54567</v>
      </c>
      <c r="J465" s="453">
        <f>IFERROR(__xludf.DUMMYFUNCTION("IMPORTRANGE(""https://docs.google.com/spreadsheets/d/1XL5vhW3sbDhbH9Cz0tuDiY8C3ctxq1tqvaCgkFb8cCA/edit?usp=sharing"",""เลย!J360"")"),57180.577999999994)</f>
        <v>57180.578</v>
      </c>
      <c r="K465" s="236">
        <f t="shared" si="118"/>
        <v>104.7896677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IFERROR(__xludf.DUMMYFUNCTION("IMPORTRANGE(""https://docs.google.com/spreadsheets/d/1XL5vhW3sbDhbH9Cz0tuDiY8C3ctxq1tqvaCgkFb8cCA/edit?usp=sharing"",""เลย!I361"")"),5802.0)</f>
        <v>5802</v>
      </c>
      <c r="J466" s="453">
        <f>IFERROR(__xludf.DUMMYFUNCTION("IMPORTRANGE(""https://docs.google.com/spreadsheets/d/1XL5vhW3sbDhbH9Cz0tuDiY8C3ctxq1tqvaCgkFb8cCA/edit?usp=sharing"",""เลย!J361"")"),5802.0)</f>
        <v>5802</v>
      </c>
      <c r="K466" s="236">
        <f t="shared" si="118"/>
        <v>100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IFERROR(__xludf.DUMMYFUNCTION("IMPORTRANGE(""https://docs.google.com/spreadsheets/d/1XL5vhW3sbDhbH9Cz0tuDiY8C3ctxq1tqvaCgkFb8cCA/edit?usp=sharing"",""เลย!I362"")"),0.0)</f>
        <v>0</v>
      </c>
      <c r="J467" s="223">
        <f>IFERROR(__xludf.DUMMYFUNCTION("IMPORTRANGE(""https://docs.google.com/spreadsheets/d/1XL5vhW3sbDhbH9Cz0tuDiY8C3ctxq1tqvaCgkFb8cCA/edit?usp=sharing"",""เลย!J362"")"),53746.2155)</f>
        <v>53746.2155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IFERROR(__xludf.DUMMYFUNCTION("IMPORTRANGE(""https://docs.google.com/spreadsheets/d/1XL5vhW3sbDhbH9Cz0tuDiY8C3ctxq1tqvaCgkFb8cCA/edit?usp=sharing"",""เลย!I363"")"),0.0)</f>
        <v>0</v>
      </c>
      <c r="J468" s="223">
        <f>IFERROR(__xludf.DUMMYFUNCTION("IMPORTRANGE(""https://docs.google.com/spreadsheets/d/1XL5vhW3sbDhbH9Cz0tuDiY8C3ctxq1tqvaCgkFb8cCA/edit?usp=sharing"",""เลย!J363"")"),5569.0)</f>
        <v>5569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IFERROR(__xludf.DUMMYFUNCTION("IMPORTRANGE(""https://docs.google.com/spreadsheets/d/1XL5vhW3sbDhbH9Cz0tuDiY8C3ctxq1tqvaCgkFb8cCA/edit?usp=sharing"",""เลย!I364"")"),0.0)</f>
        <v>0</v>
      </c>
      <c r="J469" s="223">
        <f>IFERROR(__xludf.DUMMYFUNCTION("IMPORTRANGE(""https://docs.google.com/spreadsheets/d/1XL5vhW3sbDhbH9Cz0tuDiY8C3ctxq1tqvaCgkFb8cCA/edit?usp=sharing"",""เลย!J364"")"),2197.0225)</f>
        <v>2197.0225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IFERROR(__xludf.DUMMYFUNCTION("IMPORTRANGE(""https://docs.google.com/spreadsheets/d/1XL5vhW3sbDhbH9Cz0tuDiY8C3ctxq1tqvaCgkFb8cCA/edit?usp=sharing"",""เลย!I365"")"),0.0)</f>
        <v>0</v>
      </c>
      <c r="J470" s="223">
        <f>IFERROR(__xludf.DUMMYFUNCTION("IMPORTRANGE(""https://docs.google.com/spreadsheets/d/1XL5vhW3sbDhbH9Cz0tuDiY8C3ctxq1tqvaCgkFb8cCA/edit?usp=sharing"",""เลย!J365"")"),99.0)</f>
        <v>99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IFERROR(__xludf.DUMMYFUNCTION("IMPORTRANGE(""https://docs.google.com/spreadsheets/d/1XL5vhW3sbDhbH9Cz0tuDiY8C3ctxq1tqvaCgkFb8cCA/edit?usp=sharing"",""เลย!I366"")"),0.0)</f>
        <v>0</v>
      </c>
      <c r="J471" s="223">
        <f>IFERROR(__xludf.DUMMYFUNCTION("IMPORTRANGE(""https://docs.google.com/spreadsheets/d/1XL5vhW3sbDhbH9Cz0tuDiY8C3ctxq1tqvaCgkFb8cCA/edit?usp=sharing"",""เลย!J366"")"),1237.34)</f>
        <v>1237.34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IFERROR(__xludf.DUMMYFUNCTION("IMPORTRANGE(""https://docs.google.com/spreadsheets/d/1XL5vhW3sbDhbH9Cz0tuDiY8C3ctxq1tqvaCgkFb8cCA/edit?usp=sharing"",""เลย!I367"")"),0.0)</f>
        <v>0</v>
      </c>
      <c r="J472" s="223">
        <f>IFERROR(__xludf.DUMMYFUNCTION("IMPORTRANGE(""https://docs.google.com/spreadsheets/d/1XL5vhW3sbDhbH9Cz0tuDiY8C3ctxq1tqvaCgkFb8cCA/edit?usp=sharing"",""เลย!J367"")"),134.0)</f>
        <v>134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IFERROR(__xludf.DUMMYFUNCTION("IMPORTRANGE(""https://docs.google.com/spreadsheets/d/1XL5vhW3sbDhbH9Cz0tuDiY8C3ctxq1tqvaCgkFb8cCA/edit?usp=sharing"",""เลย!I368"")"),54567.0)</f>
        <v>54567</v>
      </c>
      <c r="J473" s="453">
        <f>IFERROR(__xludf.DUMMYFUNCTION("IMPORTRANGE(""https://docs.google.com/spreadsheets/d/1XL5vhW3sbDhbH9Cz0tuDiY8C3ctxq1tqvaCgkFb8cCA/edit?usp=sharing"",""เลย!J368"")"),0.0)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IFERROR(__xludf.DUMMYFUNCTION("IMPORTRANGE(""https://docs.google.com/spreadsheets/d/1XL5vhW3sbDhbH9Cz0tuDiY8C3ctxq1tqvaCgkFb8cCA/edit?usp=sharing"",""เลย!I369"")"),5802.0)</f>
        <v>5802</v>
      </c>
      <c r="J474" s="453">
        <f>IFERROR(__xludf.DUMMYFUNCTION("IMPORTRANGE(""https://docs.google.com/spreadsheets/d/1XL5vhW3sbDhbH9Cz0tuDiY8C3ctxq1tqvaCgkFb8cCA/edit?usp=sharing"",""เลย!J369"")"),0.0)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IFERROR(__xludf.DUMMYFUNCTION("IMPORTRANGE(""https://docs.google.com/spreadsheets/d/1XL5vhW3sbDhbH9Cz0tuDiY8C3ctxq1tqvaCgkFb8cCA/edit?usp=sharing"",""เลย!I370"")"),0.0)</f>
        <v>0</v>
      </c>
      <c r="J475" s="223">
        <f>IFERROR(__xludf.DUMMYFUNCTION("IMPORTRANGE(""https://docs.google.com/spreadsheets/d/1XL5vhW3sbDhbH9Cz0tuDiY8C3ctxq1tqvaCgkFb8cCA/edit?usp=sharing"",""เลย!J370"")"),0.0)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IFERROR(__xludf.DUMMYFUNCTION("IMPORTRANGE(""https://docs.google.com/spreadsheets/d/1XL5vhW3sbDhbH9Cz0tuDiY8C3ctxq1tqvaCgkFb8cCA/edit?usp=sharing"",""เลย!I371"")"),0.0)</f>
        <v>0</v>
      </c>
      <c r="J476" s="223">
        <f>IFERROR(__xludf.DUMMYFUNCTION("IMPORTRANGE(""https://docs.google.com/spreadsheets/d/1XL5vhW3sbDhbH9Cz0tuDiY8C3ctxq1tqvaCgkFb8cCA/edit?usp=sharing"",""เลย!J371"")"),0.0)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IFERROR(__xludf.DUMMYFUNCTION("IMPORTRANGE(""https://docs.google.com/spreadsheets/d/1XL5vhW3sbDhbH9Cz0tuDiY8C3ctxq1tqvaCgkFb8cCA/edit?usp=sharing"",""เลย!I372"")"),0.0)</f>
        <v>0</v>
      </c>
      <c r="J477" s="223">
        <f>IFERROR(__xludf.DUMMYFUNCTION("IMPORTRANGE(""https://docs.google.com/spreadsheets/d/1XL5vhW3sbDhbH9Cz0tuDiY8C3ctxq1tqvaCgkFb8cCA/edit?usp=sharing"",""เลย!J372"")"),0.0)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IFERROR(__xludf.DUMMYFUNCTION("IMPORTRANGE(""https://docs.google.com/spreadsheets/d/1XL5vhW3sbDhbH9Cz0tuDiY8C3ctxq1tqvaCgkFb8cCA/edit?usp=sharing"",""เลย!I373"")"),0.0)</f>
        <v>0</v>
      </c>
      <c r="J478" s="223">
        <f>IFERROR(__xludf.DUMMYFUNCTION("IMPORTRANGE(""https://docs.google.com/spreadsheets/d/1XL5vhW3sbDhbH9Cz0tuDiY8C3ctxq1tqvaCgkFb8cCA/edit?usp=sharing"",""เลย!J373"")"),0.0)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IFERROR(__xludf.DUMMYFUNCTION("IMPORTRANGE(""https://docs.google.com/spreadsheets/d/1XL5vhW3sbDhbH9Cz0tuDiY8C3ctxq1tqvaCgkFb8cCA/edit?usp=sharing"",""เลย!I374"")"),0.0)</f>
        <v>0</v>
      </c>
      <c r="J479" s="223">
        <f>IFERROR(__xludf.DUMMYFUNCTION("IMPORTRANGE(""https://docs.google.com/spreadsheets/d/1XL5vhW3sbDhbH9Cz0tuDiY8C3ctxq1tqvaCgkFb8cCA/edit?usp=sharing"",""เลย!J374"")"),0.0)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IFERROR(__xludf.DUMMYFUNCTION("IMPORTRANGE(""https://docs.google.com/spreadsheets/d/1XL5vhW3sbDhbH9Cz0tuDiY8C3ctxq1tqvaCgkFb8cCA/edit?usp=sharing"",""เลย!I375"")"),0.0)</f>
        <v>0</v>
      </c>
      <c r="J480" s="223">
        <f>IFERROR(__xludf.DUMMYFUNCTION("IMPORTRANGE(""https://docs.google.com/spreadsheets/d/1XL5vhW3sbDhbH9Cz0tuDiY8C3ctxq1tqvaCgkFb8cCA/edit?usp=sharing"",""เลย!J375"")"),0.0)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IFERROR(__xludf.DUMMYFUNCTION("IMPORTRANGE(""https://docs.google.com/spreadsheets/d/1XL5vhW3sbDhbH9Cz0tuDiY8C3ctxq1tqvaCgkFb8cCA/edit?usp=sharing"",""เลย!I376"")"),54567.0)</f>
        <v>54567</v>
      </c>
      <c r="J481" s="453">
        <f>IFERROR(__xludf.DUMMYFUNCTION("IMPORTRANGE(""https://docs.google.com/spreadsheets/d/1XL5vhW3sbDhbH9Cz0tuDiY8C3ctxq1tqvaCgkFb8cCA/edit?usp=sharing"",""เลย!J376"")"),0.0)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IFERROR(__xludf.DUMMYFUNCTION("IMPORTRANGE(""https://docs.google.com/spreadsheets/d/1XL5vhW3sbDhbH9Cz0tuDiY8C3ctxq1tqvaCgkFb8cCA/edit?usp=sharing"",""เลย!I377"")"),5802.0)</f>
        <v>5802</v>
      </c>
      <c r="J482" s="453">
        <f>IFERROR(__xludf.DUMMYFUNCTION("IMPORTRANGE(""https://docs.google.com/spreadsheets/d/1XL5vhW3sbDhbH9Cz0tuDiY8C3ctxq1tqvaCgkFb8cCA/edit?usp=sharing"",""เลย!J377"")"),0.0)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IFERROR(__xludf.DUMMYFUNCTION("IMPORTRANGE(""https://docs.google.com/spreadsheets/d/1XL5vhW3sbDhbH9Cz0tuDiY8C3ctxq1tqvaCgkFb8cCA/edit?usp=sharing"",""เลย!I378"")"),0.0)</f>
        <v>0</v>
      </c>
      <c r="J483" s="223">
        <f>IFERROR(__xludf.DUMMYFUNCTION("IMPORTRANGE(""https://docs.google.com/spreadsheets/d/1XL5vhW3sbDhbH9Cz0tuDiY8C3ctxq1tqvaCgkFb8cCA/edit?usp=sharing"",""เลย!J378"")"),0.0)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IFERROR(__xludf.DUMMYFUNCTION("IMPORTRANGE(""https://docs.google.com/spreadsheets/d/1XL5vhW3sbDhbH9Cz0tuDiY8C3ctxq1tqvaCgkFb8cCA/edit?usp=sharing"",""เลย!I379"")"),0.0)</f>
        <v>0</v>
      </c>
      <c r="J484" s="223">
        <f>IFERROR(__xludf.DUMMYFUNCTION("IMPORTRANGE(""https://docs.google.com/spreadsheets/d/1XL5vhW3sbDhbH9Cz0tuDiY8C3ctxq1tqvaCgkFb8cCA/edit?usp=sharing"",""เลย!J379"")"),0.0)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IFERROR(__xludf.DUMMYFUNCTION("IMPORTRANGE(""https://docs.google.com/spreadsheets/d/1XL5vhW3sbDhbH9Cz0tuDiY8C3ctxq1tqvaCgkFb8cCA/edit?usp=sharing"",""เลย!I380"")"),0.0)</f>
        <v>0</v>
      </c>
      <c r="J485" s="223">
        <f>IFERROR(__xludf.DUMMYFUNCTION("IMPORTRANGE(""https://docs.google.com/spreadsheets/d/1XL5vhW3sbDhbH9Cz0tuDiY8C3ctxq1tqvaCgkFb8cCA/edit?usp=sharing"",""เลย!J380"")"),0.0)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IFERROR(__xludf.DUMMYFUNCTION("IMPORTRANGE(""https://docs.google.com/spreadsheets/d/1XL5vhW3sbDhbH9Cz0tuDiY8C3ctxq1tqvaCgkFb8cCA/edit?usp=sharing"",""เลย!I381"")"),0.0)</f>
        <v>0</v>
      </c>
      <c r="J486" s="223">
        <f>IFERROR(__xludf.DUMMYFUNCTION("IMPORTRANGE(""https://docs.google.com/spreadsheets/d/1XL5vhW3sbDhbH9Cz0tuDiY8C3ctxq1tqvaCgkFb8cCA/edit?usp=sharing"",""เลย!J381"")"),0.0)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IFERROR(__xludf.DUMMYFUNCTION("IMPORTRANGE(""https://docs.google.com/spreadsheets/d/1XL5vhW3sbDhbH9Cz0tuDiY8C3ctxq1tqvaCgkFb8cCA/edit?usp=sharing"",""เลย!I382"")"),0.0)</f>
        <v>0</v>
      </c>
      <c r="J487" s="453">
        <f>IFERROR(__xludf.DUMMYFUNCTION("IMPORTRANGE(""https://docs.google.com/spreadsheets/d/1XL5vhW3sbDhbH9Cz0tuDiY8C3ctxq1tqvaCgkFb8cCA/edit?usp=sharing"",""เลย!J382"")"),0.0)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IFERROR(__xludf.DUMMYFUNCTION("IMPORTRANGE(""https://docs.google.com/spreadsheets/d/1XL5vhW3sbDhbH9Cz0tuDiY8C3ctxq1tqvaCgkFb8cCA/edit?usp=sharing"",""เลย!I383"")"),0.0)</f>
        <v>0</v>
      </c>
      <c r="J488" s="453">
        <f>IFERROR(__xludf.DUMMYFUNCTION("IMPORTRANGE(""https://docs.google.com/spreadsheets/d/1XL5vhW3sbDhbH9Cz0tuDiY8C3ctxq1tqvaCgkFb8cCA/edit?usp=sharing"",""เลย!J383"")"),0.0)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IFERROR(__xludf.DUMMYFUNCTION("IMPORTRANGE(""https://docs.google.com/spreadsheets/d/1XL5vhW3sbDhbH9Cz0tuDiY8C3ctxq1tqvaCgkFb8cCA/edit?usp=sharing"",""เลย!I384"")"),0.0)</f>
        <v>0</v>
      </c>
      <c r="J489" s="223">
        <f>IFERROR(__xludf.DUMMYFUNCTION("IMPORTRANGE(""https://docs.google.com/spreadsheets/d/1XL5vhW3sbDhbH9Cz0tuDiY8C3ctxq1tqvaCgkFb8cCA/edit?usp=sharing"",""เลย!J384"")"),0.0)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IFERROR(__xludf.DUMMYFUNCTION("IMPORTRANGE(""https://docs.google.com/spreadsheets/d/1XL5vhW3sbDhbH9Cz0tuDiY8C3ctxq1tqvaCgkFb8cCA/edit?usp=sharing"",""เลย!I385"")"),0.0)</f>
        <v>0</v>
      </c>
      <c r="J490" s="223">
        <f>IFERROR(__xludf.DUMMYFUNCTION("IMPORTRANGE(""https://docs.google.com/spreadsheets/d/1XL5vhW3sbDhbH9Cz0tuDiY8C3ctxq1tqvaCgkFb8cCA/edit?usp=sharing"",""เลย!J385"")"),0.0)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IFERROR(__xludf.DUMMYFUNCTION("IMPORTRANGE(""https://docs.google.com/spreadsheets/d/1XL5vhW3sbDhbH9Cz0tuDiY8C3ctxq1tqvaCgkFb8cCA/edit?usp=sharing"",""เลย!I386"")"),0.0)</f>
        <v>0</v>
      </c>
      <c r="J491" s="223">
        <f>IFERROR(__xludf.DUMMYFUNCTION("IMPORTRANGE(""https://docs.google.com/spreadsheets/d/1XL5vhW3sbDhbH9Cz0tuDiY8C3ctxq1tqvaCgkFb8cCA/edit?usp=sharing"",""เลย!J386"")"),0.0)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IFERROR(__xludf.DUMMYFUNCTION("IMPORTRANGE(""https://docs.google.com/spreadsheets/d/1XL5vhW3sbDhbH9Cz0tuDiY8C3ctxq1tqvaCgkFb8cCA/edit?usp=sharing"",""เลย!I387"")"),0.0)</f>
        <v>0</v>
      </c>
      <c r="J492" s="223">
        <f>IFERROR(__xludf.DUMMYFUNCTION("IMPORTRANGE(""https://docs.google.com/spreadsheets/d/1XL5vhW3sbDhbH9Cz0tuDiY8C3ctxq1tqvaCgkFb8cCA/edit?usp=sharing"",""เลย!J387"")"),0.0)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IFERROR(__xludf.DUMMYFUNCTION("IMPORTRANGE(""https://docs.google.com/spreadsheets/d/1XL5vhW3sbDhbH9Cz0tuDiY8C3ctxq1tqvaCgkFb8cCA/edit?usp=sharing"",""เลย!I388"")"),0.0)</f>
        <v>0</v>
      </c>
      <c r="J493" s="223">
        <f>IFERROR(__xludf.DUMMYFUNCTION("IMPORTRANGE(""https://docs.google.com/spreadsheets/d/1XL5vhW3sbDhbH9Cz0tuDiY8C3ctxq1tqvaCgkFb8cCA/edit?usp=sharing"",""เลย!J388"")"),0.0)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IFERROR(__xludf.DUMMYFUNCTION("IMPORTRANGE(""https://docs.google.com/spreadsheets/d/1XL5vhW3sbDhbH9Cz0tuDiY8C3ctxq1tqvaCgkFb8cCA/edit?usp=sharing"",""เลย!I389"")"),0.0)</f>
        <v>0</v>
      </c>
      <c r="J494" s="469">
        <f>IFERROR(__xludf.DUMMYFUNCTION("IMPORTRANGE(""https://docs.google.com/spreadsheets/d/1XL5vhW3sbDhbH9Cz0tuDiY8C3ctxq1tqvaCgkFb8cCA/edit?usp=sharing"",""เลย!J389"")"),0.0)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IFERROR(__xludf.DUMMYFUNCTION("IMPORTRANGE(""https://docs.google.com/spreadsheets/d/1XL5vhW3sbDhbH9Cz0tuDiY8C3ctxq1tqvaCgkFb8cCA/edit?usp=sharing"",""เลย!I390"")"),0.0)</f>
        <v>0</v>
      </c>
      <c r="J495" s="469">
        <f>IFERROR(__xludf.DUMMYFUNCTION("IMPORTRANGE(""https://docs.google.com/spreadsheets/d/1XL5vhW3sbDhbH9Cz0tuDiY8C3ctxq1tqvaCgkFb8cCA/edit?usp=sharing"",""เลย!J390"")"),0.0)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IFERROR(__xludf.DUMMYFUNCTION("IMPORTRANGE(""https://docs.google.com/spreadsheets/d/1XL5vhW3sbDhbH9Cz0tuDiY8C3ctxq1tqvaCgkFb8cCA/edit?usp=sharing"",""เลย!I391"")"),0.0)</f>
        <v>0</v>
      </c>
      <c r="J496" s="469">
        <f>IFERROR(__xludf.DUMMYFUNCTION("IMPORTRANGE(""https://docs.google.com/spreadsheets/d/1XL5vhW3sbDhbH9Cz0tuDiY8C3ctxq1tqvaCgkFb8cCA/edit?usp=sharing"",""เลย!J391"")"),0.0)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IFERROR(__xludf.DUMMYFUNCTION("IMPORTRANGE(""https://docs.google.com/spreadsheets/d/1XL5vhW3sbDhbH9Cz0tuDiY8C3ctxq1tqvaCgkFb8cCA/edit?usp=sharing"",""เลย!I392"")"),0.0)</f>
        <v>0</v>
      </c>
      <c r="J497" s="476">
        <f>IFERROR(__xludf.DUMMYFUNCTION("IMPORTRANGE(""https://docs.google.com/spreadsheets/d/1XL5vhW3sbDhbH9Cz0tuDiY8C3ctxq1tqvaCgkFb8cCA/edit?usp=sharing"",""เลย!J392"")"),0.0)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IFERROR(__xludf.DUMMYFUNCTION("IMPORTRANGE(""https://docs.google.com/spreadsheets/d/1XL5vhW3sbDhbH9Cz0tuDiY8C3ctxq1tqvaCgkFb8cCA/edit?usp=sharing"",""เลย!I393"")"),0.0)</f>
        <v>0</v>
      </c>
      <c r="J498" s="453">
        <f>IFERROR(__xludf.DUMMYFUNCTION("IMPORTRANGE(""https://docs.google.com/spreadsheets/d/1XL5vhW3sbDhbH9Cz0tuDiY8C3ctxq1tqvaCgkFb8cCA/edit?usp=sharing"",""เลย!J393"")"),0.0)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IFERROR(__xludf.DUMMYFUNCTION("IMPORTRANGE(""https://docs.google.com/spreadsheets/d/1XL5vhW3sbDhbH9Cz0tuDiY8C3ctxq1tqvaCgkFb8cCA/edit?usp=sharing"",""เลย!I394"")"),0.0)</f>
        <v>0</v>
      </c>
      <c r="J499" s="453">
        <f>IFERROR(__xludf.DUMMYFUNCTION("IMPORTRANGE(""https://docs.google.com/spreadsheets/d/1XL5vhW3sbDhbH9Cz0tuDiY8C3ctxq1tqvaCgkFb8cCA/edit?usp=sharing"",""เลย!J394"")"),0.0)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IFERROR(__xludf.DUMMYFUNCTION("IMPORTRANGE(""https://docs.google.com/spreadsheets/d/1XL5vhW3sbDhbH9Cz0tuDiY8C3ctxq1tqvaCgkFb8cCA/edit?usp=sharing"",""เลย!I395"")"),0.0)</f>
        <v>0</v>
      </c>
      <c r="J500" s="195">
        <f>IFERROR(__xludf.DUMMYFUNCTION("IMPORTRANGE(""https://docs.google.com/spreadsheets/d/1XL5vhW3sbDhbH9Cz0tuDiY8C3ctxq1tqvaCgkFb8cCA/edit?usp=sharing"",""เลย!J395"")"),0.0)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IFERROR(__xludf.DUMMYFUNCTION("IMPORTRANGE(""https://docs.google.com/spreadsheets/d/1XL5vhW3sbDhbH9Cz0tuDiY8C3ctxq1tqvaCgkFb8cCA/edit?usp=sharing"",""เลย!I396"")"),0.0)</f>
        <v>0</v>
      </c>
      <c r="J501" s="195">
        <f>IFERROR(__xludf.DUMMYFUNCTION("IMPORTRANGE(""https://docs.google.com/spreadsheets/d/1XL5vhW3sbDhbH9Cz0tuDiY8C3ctxq1tqvaCgkFb8cCA/edit?usp=sharing"",""เลย!J396"")"),0.0)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IFERROR(__xludf.DUMMYFUNCTION("IMPORTRANGE(""https://docs.google.com/spreadsheets/d/1XL5vhW3sbDhbH9Cz0tuDiY8C3ctxq1tqvaCgkFb8cCA/edit?usp=sharing"",""เลย!I397"")"),0.0)</f>
        <v>0</v>
      </c>
      <c r="J502" s="223">
        <f>IFERROR(__xludf.DUMMYFUNCTION("IMPORTRANGE(""https://docs.google.com/spreadsheets/d/1XL5vhW3sbDhbH9Cz0tuDiY8C3ctxq1tqvaCgkFb8cCA/edit?usp=sharing"",""เลย!J397"")"),0.0)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IFERROR(__xludf.DUMMYFUNCTION("IMPORTRANGE(""https://docs.google.com/spreadsheets/d/1XL5vhW3sbDhbH9Cz0tuDiY8C3ctxq1tqvaCgkFb8cCA/edit?usp=sharing"",""เลย!I398"")"),0.0)</f>
        <v>0</v>
      </c>
      <c r="J503" s="232">
        <f>IFERROR(__xludf.DUMMYFUNCTION("IMPORTRANGE(""https://docs.google.com/spreadsheets/d/1XL5vhW3sbDhbH9Cz0tuDiY8C3ctxq1tqvaCgkFb8cCA/edit?usp=sharing"",""เลย!J398"")"),0.0)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IFERROR(__xludf.DUMMYFUNCTION("IMPORTRANGE(""https://docs.google.com/spreadsheets/d/1XL5vhW3sbDhbH9Cz0tuDiY8C3ctxq1tqvaCgkFb8cCA/edit?usp=sharing"",""เลย!I399"")"),0.0)</f>
        <v>0</v>
      </c>
      <c r="J504" s="223">
        <f>IFERROR(__xludf.DUMMYFUNCTION("IMPORTRANGE(""https://docs.google.com/spreadsheets/d/1XL5vhW3sbDhbH9Cz0tuDiY8C3ctxq1tqvaCgkFb8cCA/edit?usp=sharing"",""เลย!J399"")"),0.0)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IFERROR(__xludf.DUMMYFUNCTION("IMPORTRANGE(""https://docs.google.com/spreadsheets/d/1XL5vhW3sbDhbH9Cz0tuDiY8C3ctxq1tqvaCgkFb8cCA/edit?usp=sharing"",""เลย!I400"")"),0.0)</f>
        <v>0</v>
      </c>
      <c r="J505" s="232">
        <f>IFERROR(__xludf.DUMMYFUNCTION("IMPORTRANGE(""https://docs.google.com/spreadsheets/d/1XL5vhW3sbDhbH9Cz0tuDiY8C3ctxq1tqvaCgkFb8cCA/edit?usp=sharing"",""เลย!J400"")"),0.0)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IFERROR(__xludf.DUMMYFUNCTION("IMPORTRANGE(""https://docs.google.com/spreadsheets/d/1XL5vhW3sbDhbH9Cz0tuDiY8C3ctxq1tqvaCgkFb8cCA/edit?usp=sharing"",""เลย!I401"")"),0.0)</f>
        <v>0</v>
      </c>
      <c r="J506" s="223">
        <f>IFERROR(__xludf.DUMMYFUNCTION("IMPORTRANGE(""https://docs.google.com/spreadsheets/d/1XL5vhW3sbDhbH9Cz0tuDiY8C3ctxq1tqvaCgkFb8cCA/edit?usp=sharing"",""เลย!J401"")"),0.0)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IFERROR(__xludf.DUMMYFUNCTION("IMPORTRANGE(""https://docs.google.com/spreadsheets/d/1XL5vhW3sbDhbH9Cz0tuDiY8C3ctxq1tqvaCgkFb8cCA/edit?usp=sharing"",""เลย!I402"")"),0.0)</f>
        <v>0</v>
      </c>
      <c r="J507" s="232">
        <f>IFERROR(__xludf.DUMMYFUNCTION("IMPORTRANGE(""https://docs.google.com/spreadsheets/d/1XL5vhW3sbDhbH9Cz0tuDiY8C3ctxq1tqvaCgkFb8cCA/edit?usp=sharing"",""เลย!J402"")"),0.0)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IFERROR(__xludf.DUMMYFUNCTION("IMPORTRANGE(""https://docs.google.com/spreadsheets/d/1XL5vhW3sbDhbH9Cz0tuDiY8C3ctxq1tqvaCgkFb8cCA/edit?usp=sharing"",""เลย!I403"")"),0.0)</f>
        <v>0</v>
      </c>
      <c r="J508" s="195">
        <f>IFERROR(__xludf.DUMMYFUNCTION("IMPORTRANGE(""https://docs.google.com/spreadsheets/d/1XL5vhW3sbDhbH9Cz0tuDiY8C3ctxq1tqvaCgkFb8cCA/edit?usp=sharing"",""เลย!J403"")"),0.0)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IFERROR(__xludf.DUMMYFUNCTION("IMPORTRANGE(""https://docs.google.com/spreadsheets/d/1XL5vhW3sbDhbH9Cz0tuDiY8C3ctxq1tqvaCgkFb8cCA/edit?usp=sharing"",""เลย!I404"")"),0.0)</f>
        <v>0</v>
      </c>
      <c r="J509" s="195">
        <f>IFERROR(__xludf.DUMMYFUNCTION("IMPORTRANGE(""https://docs.google.com/spreadsheets/d/1XL5vhW3sbDhbH9Cz0tuDiY8C3ctxq1tqvaCgkFb8cCA/edit?usp=sharing"",""เลย!J404"")"),0.0)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IFERROR(__xludf.DUMMYFUNCTION("IMPORTRANGE(""https://docs.google.com/spreadsheets/d/1XL5vhW3sbDhbH9Cz0tuDiY8C3ctxq1tqvaCgkFb8cCA/edit?usp=sharing"",""เลย!I405"")"),0.0)</f>
        <v>0</v>
      </c>
      <c r="J510" s="232">
        <f>IFERROR(__xludf.DUMMYFUNCTION("IMPORTRANGE(""https://docs.google.com/spreadsheets/d/1XL5vhW3sbDhbH9Cz0tuDiY8C3ctxq1tqvaCgkFb8cCA/edit?usp=sharing"",""เลย!J405"")"),0.0)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IFERROR(__xludf.DUMMYFUNCTION("IMPORTRANGE(""https://docs.google.com/spreadsheets/d/1XL5vhW3sbDhbH9Cz0tuDiY8C3ctxq1tqvaCgkFb8cCA/edit?usp=sharing"",""เลย!I406"")"),0.0)</f>
        <v>0</v>
      </c>
      <c r="J511" s="232">
        <f>IFERROR(__xludf.DUMMYFUNCTION("IMPORTRANGE(""https://docs.google.com/spreadsheets/d/1XL5vhW3sbDhbH9Cz0tuDiY8C3ctxq1tqvaCgkFb8cCA/edit?usp=sharing"",""เลย!J406"")"),0.0)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IFERROR(__xludf.DUMMYFUNCTION("IMPORTRANGE(""https://docs.google.com/spreadsheets/d/1XL5vhW3sbDhbH9Cz0tuDiY8C3ctxq1tqvaCgkFb8cCA/edit?usp=sharing"",""เลย!I407"")"),0.0)</f>
        <v>0</v>
      </c>
      <c r="J512" s="232">
        <f>IFERROR(__xludf.DUMMYFUNCTION("IMPORTRANGE(""https://docs.google.com/spreadsheets/d/1XL5vhW3sbDhbH9Cz0tuDiY8C3ctxq1tqvaCgkFb8cCA/edit?usp=sharing"",""เลย!J407"")"),0.0)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IFERROR(__xludf.DUMMYFUNCTION("IMPORTRANGE(""https://docs.google.com/spreadsheets/d/1XL5vhW3sbDhbH9Cz0tuDiY8C3ctxq1tqvaCgkFb8cCA/edit?usp=sharing"",""เลย!I408"")"),0.0)</f>
        <v>0</v>
      </c>
      <c r="J513" s="232">
        <f>IFERROR(__xludf.DUMMYFUNCTION("IMPORTRANGE(""https://docs.google.com/spreadsheets/d/1XL5vhW3sbDhbH9Cz0tuDiY8C3ctxq1tqvaCgkFb8cCA/edit?usp=sharing"",""เลย!J408"")"),0.0)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IFERROR(__xludf.DUMMYFUNCTION("IMPORTRANGE(""https://docs.google.com/spreadsheets/d/1XL5vhW3sbDhbH9Cz0tuDiY8C3ctxq1tqvaCgkFb8cCA/edit?usp=sharing"",""เลย!I409"")"),0.0)</f>
        <v>0</v>
      </c>
      <c r="J514" s="232">
        <f>IFERROR(__xludf.DUMMYFUNCTION("IMPORTRANGE(""https://docs.google.com/spreadsheets/d/1XL5vhW3sbDhbH9Cz0tuDiY8C3ctxq1tqvaCgkFb8cCA/edit?usp=sharing"",""เลย!J409"")"),0.0)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IFERROR(__xludf.DUMMYFUNCTION("IMPORTRANGE(""https://docs.google.com/spreadsheets/d/1XL5vhW3sbDhbH9Cz0tuDiY8C3ctxq1tqvaCgkFb8cCA/edit?usp=sharing"",""เลย!I410"")"),0.0)</f>
        <v>0</v>
      </c>
      <c r="J515" s="232">
        <f>IFERROR(__xludf.DUMMYFUNCTION("IMPORTRANGE(""https://docs.google.com/spreadsheets/d/1XL5vhW3sbDhbH9Cz0tuDiY8C3ctxq1tqvaCgkFb8cCA/edit?usp=sharing"",""เลย!J410"")"),0.0)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IFERROR(__xludf.DUMMYFUNCTION("IMPORTRANGE(""https://docs.google.com/spreadsheets/d/1XL5vhW3sbDhbH9Cz0tuDiY8C3ctxq1tqvaCgkFb8cCA/edit?usp=sharing"",""เลย!I411"")"),0.0)</f>
        <v>0</v>
      </c>
      <c r="J516" s="301">
        <f>IFERROR(__xludf.DUMMYFUNCTION("IMPORTRANGE(""https://docs.google.com/spreadsheets/d/1XL5vhW3sbDhbH9Cz0tuDiY8C3ctxq1tqvaCgkFb8cCA/edit?usp=sharing"",""เลย!J411"")"),0.0)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IFERROR(__xludf.DUMMYFUNCTION("IMPORTRANGE(""https://docs.google.com/spreadsheets/d/1XL5vhW3sbDhbH9Cz0tuDiY8C3ctxq1tqvaCgkFb8cCA/edit?usp=sharing"",""เลย!I412"")"),0.0)</f>
        <v>0</v>
      </c>
      <c r="J517" s="317">
        <f>IFERROR(__xludf.DUMMYFUNCTION("IMPORTRANGE(""https://docs.google.com/spreadsheets/d/1XL5vhW3sbDhbH9Cz0tuDiY8C3ctxq1tqvaCgkFb8cCA/edit?usp=sharing"",""เลย!J412"")"),0.0)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IFERROR(__xludf.DUMMYFUNCTION("IMPORTRANGE(""https://docs.google.com/spreadsheets/d/1XL5vhW3sbDhbH9Cz0tuDiY8C3ctxq1tqvaCgkFb8cCA/edit?usp=sharing"",""เลย!I413"")"),0.0)</f>
        <v>0</v>
      </c>
      <c r="J518" s="317">
        <f>IFERROR(__xludf.DUMMYFUNCTION("IMPORTRANGE(""https://docs.google.com/spreadsheets/d/1XL5vhW3sbDhbH9Cz0tuDiY8C3ctxq1tqvaCgkFb8cCA/edit?usp=sharing"",""เลย!J413"")"),0.0)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IFERROR(__xludf.DUMMYFUNCTION("IMPORTRANGE(""https://docs.google.com/spreadsheets/d/1XL5vhW3sbDhbH9Cz0tuDiY8C3ctxq1tqvaCgkFb8cCA/edit?usp=sharing"",""เลย!I414"")"),0.0)</f>
        <v>0</v>
      </c>
      <c r="J519" s="222">
        <f>IFERROR(__xludf.DUMMYFUNCTION("IMPORTRANGE(""https://docs.google.com/spreadsheets/d/1XL5vhW3sbDhbH9Cz0tuDiY8C3ctxq1tqvaCgkFb8cCA/edit?usp=sharing"",""เลย!J414"")"),0.0)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IFERROR(__xludf.DUMMYFUNCTION("IMPORTRANGE(""https://docs.google.com/spreadsheets/d/1XL5vhW3sbDhbH9Cz0tuDiY8C3ctxq1tqvaCgkFb8cCA/edit?usp=sharing"",""เลย!I415"")"),0.0)</f>
        <v>0</v>
      </c>
      <c r="J520" s="222">
        <f>IFERROR(__xludf.DUMMYFUNCTION("IMPORTRANGE(""https://docs.google.com/spreadsheets/d/1XL5vhW3sbDhbH9Cz0tuDiY8C3ctxq1tqvaCgkFb8cCA/edit?usp=sharing"",""เลย!J415"")"),0.0)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IFERROR(__xludf.DUMMYFUNCTION("IMPORTRANGE(""https://docs.google.com/spreadsheets/d/1XL5vhW3sbDhbH9Cz0tuDiY8C3ctxq1tqvaCgkFb8cCA/edit?usp=sharing"",""เลย!I416"")"),0.0)</f>
        <v>0</v>
      </c>
      <c r="J521" s="222">
        <f>IFERROR(__xludf.DUMMYFUNCTION("IMPORTRANGE(""https://docs.google.com/spreadsheets/d/1XL5vhW3sbDhbH9Cz0tuDiY8C3ctxq1tqvaCgkFb8cCA/edit?usp=sharing"",""เลย!J416"")"),0.0)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IFERROR(__xludf.DUMMYFUNCTION("IMPORTRANGE(""https://docs.google.com/spreadsheets/d/1XL5vhW3sbDhbH9Cz0tuDiY8C3ctxq1tqvaCgkFb8cCA/edit?usp=sharing"",""เลย!I417"")"),0.0)</f>
        <v>0</v>
      </c>
      <c r="J522" s="222">
        <f>IFERROR(__xludf.DUMMYFUNCTION("IMPORTRANGE(""https://docs.google.com/spreadsheets/d/1XL5vhW3sbDhbH9Cz0tuDiY8C3ctxq1tqvaCgkFb8cCA/edit?usp=sharing"",""เลย!J417"")"),0.0)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IFERROR(__xludf.DUMMYFUNCTION("IMPORTRANGE(""https://docs.google.com/spreadsheets/d/1XL5vhW3sbDhbH9Cz0tuDiY8C3ctxq1tqvaCgkFb8cCA/edit?usp=sharing"",""เลย!I418"")"),0.0)</f>
        <v>0</v>
      </c>
      <c r="J523" s="222">
        <f>IFERROR(__xludf.DUMMYFUNCTION("IMPORTRANGE(""https://docs.google.com/spreadsheets/d/1XL5vhW3sbDhbH9Cz0tuDiY8C3ctxq1tqvaCgkFb8cCA/edit?usp=sharing"",""เลย!J418"")"),0.0)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IFERROR(__xludf.DUMMYFUNCTION("IMPORTRANGE(""https://docs.google.com/spreadsheets/d/1XL5vhW3sbDhbH9Cz0tuDiY8C3ctxq1tqvaCgkFb8cCA/edit?usp=sharing"",""เลย!I419"")"),0.0)</f>
        <v>0</v>
      </c>
      <c r="J524" s="222">
        <f>IFERROR(__xludf.DUMMYFUNCTION("IMPORTRANGE(""https://docs.google.com/spreadsheets/d/1XL5vhW3sbDhbH9Cz0tuDiY8C3ctxq1tqvaCgkFb8cCA/edit?usp=sharing"",""เลย!J419"")"),0.0)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IFERROR(__xludf.DUMMYFUNCTION("IMPORTRANGE(""https://docs.google.com/spreadsheets/d/1XL5vhW3sbDhbH9Cz0tuDiY8C3ctxq1tqvaCgkFb8cCA/edit?usp=sharing"",""เลย!I420"")"),0.0)</f>
        <v>0</v>
      </c>
      <c r="J525" s="317">
        <f>IFERROR(__xludf.DUMMYFUNCTION("IMPORTRANGE(""https://docs.google.com/spreadsheets/d/1XL5vhW3sbDhbH9Cz0tuDiY8C3ctxq1tqvaCgkFb8cCA/edit?usp=sharing"",""เลย!J420"")"),0.0)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IFERROR(__xludf.DUMMYFUNCTION("IMPORTRANGE(""https://docs.google.com/spreadsheets/d/1XL5vhW3sbDhbH9Cz0tuDiY8C3ctxq1tqvaCgkFb8cCA/edit?usp=sharing"",""เลย!I421"")"),0.0)</f>
        <v>0</v>
      </c>
      <c r="J526" s="317">
        <f>IFERROR(__xludf.DUMMYFUNCTION("IMPORTRANGE(""https://docs.google.com/spreadsheets/d/1XL5vhW3sbDhbH9Cz0tuDiY8C3ctxq1tqvaCgkFb8cCA/edit?usp=sharing"",""เลย!J421"")"),0.0)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IFERROR(__xludf.DUMMYFUNCTION("IMPORTRANGE(""https://docs.google.com/spreadsheets/d/1XL5vhW3sbDhbH9Cz0tuDiY8C3ctxq1tqvaCgkFb8cCA/edit?usp=sharing"",""เลย!I422"")"),0.0)</f>
        <v>0</v>
      </c>
      <c r="J527" s="232">
        <f>IFERROR(__xludf.DUMMYFUNCTION("IMPORTRANGE(""https://docs.google.com/spreadsheets/d/1XL5vhW3sbDhbH9Cz0tuDiY8C3ctxq1tqvaCgkFb8cCA/edit?usp=sharing"",""เลย!J422"")"),0.0)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IFERROR(__xludf.DUMMYFUNCTION("IMPORTRANGE(""https://docs.google.com/spreadsheets/d/1XL5vhW3sbDhbH9Cz0tuDiY8C3ctxq1tqvaCgkFb8cCA/edit?usp=sharing"",""เลย!I423"")"),0.0)</f>
        <v>0</v>
      </c>
      <c r="J528" s="232">
        <f>IFERROR(__xludf.DUMMYFUNCTION("IMPORTRANGE(""https://docs.google.com/spreadsheets/d/1XL5vhW3sbDhbH9Cz0tuDiY8C3ctxq1tqvaCgkFb8cCA/edit?usp=sharing"",""เลย!J423"")"),0.0)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IFERROR(__xludf.DUMMYFUNCTION("IMPORTRANGE(""https://docs.google.com/spreadsheets/d/1XL5vhW3sbDhbH9Cz0tuDiY8C3ctxq1tqvaCgkFb8cCA/edit?usp=sharing"",""เลย!I424"")"),0.0)</f>
        <v>0</v>
      </c>
      <c r="J529" s="232">
        <f>IFERROR(__xludf.DUMMYFUNCTION("IMPORTRANGE(""https://docs.google.com/spreadsheets/d/1XL5vhW3sbDhbH9Cz0tuDiY8C3ctxq1tqvaCgkFb8cCA/edit?usp=sharing"",""เลย!J424"")"),0.0)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IFERROR(__xludf.DUMMYFUNCTION("IMPORTRANGE(""https://docs.google.com/spreadsheets/d/1XL5vhW3sbDhbH9Cz0tuDiY8C3ctxq1tqvaCgkFb8cCA/edit?usp=sharing"",""เลย!I425"")"),0.0)</f>
        <v>0</v>
      </c>
      <c r="J530" s="232">
        <f>IFERROR(__xludf.DUMMYFUNCTION("IMPORTRANGE(""https://docs.google.com/spreadsheets/d/1XL5vhW3sbDhbH9Cz0tuDiY8C3ctxq1tqvaCgkFb8cCA/edit?usp=sharing"",""เลย!J425"")"),0.0)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IFERROR(__xludf.DUMMYFUNCTION("IMPORTRANGE(""https://docs.google.com/spreadsheets/d/1XL5vhW3sbDhbH9Cz0tuDiY8C3ctxq1tqvaCgkFb8cCA/edit?usp=sharing"",""เลย!I426"")"),0.0)</f>
        <v>0</v>
      </c>
      <c r="J531" s="232">
        <f>IFERROR(__xludf.DUMMYFUNCTION("IMPORTRANGE(""https://docs.google.com/spreadsheets/d/1XL5vhW3sbDhbH9Cz0tuDiY8C3ctxq1tqvaCgkFb8cCA/edit?usp=sharing"",""เลย!J426"")"),0.0)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IFERROR(__xludf.DUMMYFUNCTION("IMPORTRANGE(""https://docs.google.com/spreadsheets/d/1XL5vhW3sbDhbH9Cz0tuDiY8C3ctxq1tqvaCgkFb8cCA/edit?usp=sharing"",""เลย!I427"")"),0.0)</f>
        <v>0</v>
      </c>
      <c r="J532" s="499">
        <f>IFERROR(__xludf.DUMMYFUNCTION("IMPORTRANGE(""https://docs.google.com/spreadsheets/d/1XL5vhW3sbDhbH9Cz0tuDiY8C3ctxq1tqvaCgkFb8cCA/edit?usp=sharing"",""เลย!J427"")"),0.0)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IFERROR(__xludf.DUMMYFUNCTION("IMPORTRANGE(""https://docs.google.com/spreadsheets/d/1XL5vhW3sbDhbH9Cz0tuDiY8C3ctxq1tqvaCgkFb8cCA/edit?usp=sharing"",""เลย!I428"")"),22.0)</f>
        <v>22</v>
      </c>
      <c r="J533" s="443">
        <f>IFERROR(__xludf.DUMMYFUNCTION("IMPORTRANGE(""https://docs.google.com/spreadsheets/d/1XL5vhW3sbDhbH9Cz0tuDiY8C3ctxq1tqvaCgkFb8cCA/edit?usp=sharing"",""เลย!J428"")"),0.0)</f>
        <v>0</v>
      </c>
      <c r="K533" s="444">
        <f>IF(I533&gt;0,J533*100/I533,0)</f>
        <v>0</v>
      </c>
      <c r="L533" s="445">
        <f>IFERROR(__xludf.DUMMYFUNCTION("IMPORTRANGE(""https://docs.google.com/spreadsheets/d/1XL5vhW3sbDhbH9Cz0tuDiY8C3ctxq1tqvaCgkFb8cCA/edit?usp=sharing"",""เลย!L428"")"),34340.0)</f>
        <v>34340</v>
      </c>
      <c r="M533" s="445"/>
      <c r="N533" s="445">
        <f>IFERROR(__xludf.DUMMYFUNCTION("IMPORTRANGE(""https://docs.google.com/spreadsheets/d/1XL5vhW3sbDhbH9Cz0tuDiY8C3ctxq1tqvaCgkFb8cCA/edit?usp=sharing"",""เลย!M428"")"),2440.0)</f>
        <v>2440</v>
      </c>
      <c r="O533" s="445">
        <f t="shared" ref="O533:O537" si="119">+IF(L533&gt;0,N533*100/L533,0)</f>
        <v>7.105416424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IFERROR(__xludf.DUMMYFUNCTION("IMPORTRANGE(""https://docs.google.com/spreadsheets/d/1XL5vhW3sbDhbH9Cz0tuDiY8C3ctxq1tqvaCgkFb8cCA/edit?usp=sharing"",""เลย!L429"")"),0.0)</f>
        <v>0</v>
      </c>
      <c r="M534" s="197"/>
      <c r="N534" s="203">
        <f>IFERROR(__xludf.DUMMYFUNCTION("IMPORTRANGE(""https://docs.google.com/spreadsheets/d/1XL5vhW3sbDhbH9Cz0tuDiY8C3ctxq1tqvaCgkFb8cCA/edit?usp=sharing"",""เลย!M429"")"),0.0)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IFERROR(__xludf.DUMMYFUNCTION("IMPORTRANGE(""https://docs.google.com/spreadsheets/d/1XL5vhW3sbDhbH9Cz0tuDiY8C3ctxq1tqvaCgkFb8cCA/edit?usp=sharing"",""เลย!L430"")"),34340.0)</f>
        <v>34340</v>
      </c>
      <c r="M535" s="198"/>
      <c r="N535" s="203">
        <f>IFERROR(__xludf.DUMMYFUNCTION("IMPORTRANGE(""https://docs.google.com/spreadsheets/d/1XL5vhW3sbDhbH9Cz0tuDiY8C3ctxq1tqvaCgkFb8cCA/edit?usp=sharing"",""เลย!M430"")"),2440.0)</f>
        <v>2440</v>
      </c>
      <c r="O535" s="203">
        <f t="shared" si="119"/>
        <v>7.105416424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IFERROR(__xludf.DUMMYFUNCTION("IMPORTRANGE(""https://docs.google.com/spreadsheets/d/1XL5vhW3sbDhbH9Cz0tuDiY8C3ctxq1tqvaCgkFb8cCA/edit?usp=sharing"",""เลย!L431"")"),0.0)</f>
        <v>0</v>
      </c>
      <c r="M536" s="203"/>
      <c r="N536" s="203">
        <f>IFERROR(__xludf.DUMMYFUNCTION("IMPORTRANGE(""https://docs.google.com/spreadsheets/d/1XL5vhW3sbDhbH9Cz0tuDiY8C3ctxq1tqvaCgkFb8cCA/edit?usp=sharing"",""เลย!M431"")"),0.0)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IFERROR(__xludf.DUMMYFUNCTION("IMPORTRANGE(""https://docs.google.com/spreadsheets/d/1XL5vhW3sbDhbH9Cz0tuDiY8C3ctxq1tqvaCgkFb8cCA/edit?usp=sharing"",""เลย!L432"")"),34340.0)</f>
        <v>34340</v>
      </c>
      <c r="M537" s="203"/>
      <c r="N537" s="203">
        <f>IFERROR(__xludf.DUMMYFUNCTION("IMPORTRANGE(""https://docs.google.com/spreadsheets/d/1XL5vhW3sbDhbH9Cz0tuDiY8C3ctxq1tqvaCgkFb8cCA/edit?usp=sharing"",""เลย!M432"")"),2440.0)</f>
        <v>2440</v>
      </c>
      <c r="O537" s="203">
        <f t="shared" si="119"/>
        <v>7.105416424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IFERROR(__xludf.DUMMYFUNCTION("IMPORTRANGE(""https://docs.google.com/spreadsheets/d/1XL5vhW3sbDhbH9Cz0tuDiY8C3ctxq1tqvaCgkFb8cCA/edit?usp=sharing"",""เลย!M433"")"),0.0)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IFERROR(__xludf.DUMMYFUNCTION("IMPORTRANGE(""https://docs.google.com/spreadsheets/d/1XL5vhW3sbDhbH9Cz0tuDiY8C3ctxq1tqvaCgkFb8cCA/edit?usp=sharing"",""เลย!M434"")"),0.0)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IFERROR(__xludf.DUMMYFUNCTION("IMPORTRANGE(""https://docs.google.com/spreadsheets/d/1XL5vhW3sbDhbH9Cz0tuDiY8C3ctxq1tqvaCgkFb8cCA/edit?usp=sharing"",""เลย!M435"")"),0.0)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IFERROR(__xludf.DUMMYFUNCTION("IMPORTRANGE(""https://docs.google.com/spreadsheets/d/1XL5vhW3sbDhbH9Cz0tuDiY8C3ctxq1tqvaCgkFb8cCA/edit?usp=sharing"",""เลย!M436"")"),2440.0)</f>
        <v>2440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IFERROR(__xludf.DUMMYFUNCTION("IMPORTRANGE(""https://docs.google.com/spreadsheets/d/1XL5vhW3sbDhbH9Cz0tuDiY8C3ctxq1tqvaCgkFb8cCA/edit?usp=sharing"",""เลย!J438"")"),0.0)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IFERROR(__xludf.DUMMYFUNCTION("IMPORTRANGE(""https://docs.google.com/spreadsheets/d/1XL5vhW3sbDhbH9Cz0tuDiY8C3ctxq1tqvaCgkFb8cCA/edit?usp=sharing"",""เลย!J439"")"),1.0)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IFERROR(__xludf.DUMMYFUNCTION("IMPORTRANGE(""https://docs.google.com/spreadsheets/d/1XL5vhW3sbDhbH9Cz0tuDiY8C3ctxq1tqvaCgkFb8cCA/edit?usp=sharing"",""เลย!J440"")"),1.0)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IFERROR(__xludf.DUMMYFUNCTION("IMPORTRANGE(""https://docs.google.com/spreadsheets/d/1XL5vhW3sbDhbH9Cz0tuDiY8C3ctxq1tqvaCgkFb8cCA/edit?usp=sharing"",""เลย!J441"")"),0.0)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IFERROR(__xludf.DUMMYFUNCTION("IMPORTRANGE(""https://docs.google.com/spreadsheets/d/1XL5vhW3sbDhbH9Cz0tuDiY8C3ctxq1tqvaCgkFb8cCA/edit?usp=sharing"",""เลย!I442"")"),22.0)</f>
        <v>22</v>
      </c>
      <c r="J547" s="223">
        <f>IFERROR(__xludf.DUMMYFUNCTION("IMPORTRANGE(""https://docs.google.com/spreadsheets/d/1XL5vhW3sbDhbH9Cz0tuDiY8C3ctxq1tqvaCgkFb8cCA/edit?usp=sharing"",""เลย!J442"")"),0.0)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IFERROR(__xludf.DUMMYFUNCTION("IMPORTRANGE(""https://docs.google.com/spreadsheets/d/1XL5vhW3sbDhbH9Cz0tuDiY8C3ctxq1tqvaCgkFb8cCA/edit?usp=sharing"",""เลย!J166"")"),0.0)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IFERROR(__xludf.DUMMYFUNCTION("IMPORTRANGE(""https://docs.google.com/spreadsheets/d/1XL5vhW3sbDhbH9Cz0tuDiY8C3ctxq1tqvaCgkFb8cCA/edit?usp=sharing"",""เลย!J444"")"),0.0)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IFERROR(__xludf.DUMMYFUNCTION("IMPORTRANGE(""https://docs.google.com/spreadsheets/d/1XL5vhW3sbDhbH9Cz0tuDiY8C3ctxq1tqvaCgkFb8cCA/edit?usp=sharing"",""เลย!J445"")"),0.0)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IFERROR(__xludf.DUMMYFUNCTION("IMPORTRANGE(""https://docs.google.com/spreadsheets/d/1XL5vhW3sbDhbH9Cz0tuDiY8C3ctxq1tqvaCgkFb8cCA/edit?usp=sharing"",""เลย!I446"")"),5000.0)</f>
        <v>5000</v>
      </c>
      <c r="J551" s="443">
        <f>IFERROR(__xludf.DUMMYFUNCTION("IMPORTRANGE(""https://docs.google.com/spreadsheets/d/1XL5vhW3sbDhbH9Cz0tuDiY8C3ctxq1tqvaCgkFb8cCA/edit?usp=sharing"",""เลย!J446"")"),0.0)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IFERROR(__xludf.DUMMYFUNCTION("IMPORTRANGE(""https://docs.google.com/spreadsheets/d/1XL5vhW3sbDhbH9Cz0tuDiY8C3ctxq1tqvaCgkFb8cCA/edit?usp=sharing"",""เลย!L446"")"),310000.0)</f>
        <v>310000</v>
      </c>
      <c r="M551" s="445"/>
      <c r="N551" s="445">
        <f>IFERROR(__xludf.DUMMYFUNCTION("IMPORTRANGE(""https://docs.google.com/spreadsheets/d/1XL5vhW3sbDhbH9Cz0tuDiY8C3ctxq1tqvaCgkFb8cCA/edit?usp=sharing"",""เลย!M446"")"),16824.0)</f>
        <v>16824</v>
      </c>
      <c r="O551" s="445">
        <f t="shared" ref="O551:O555" si="121">+IF(L551&gt;0,N551*100/L551,0)</f>
        <v>5.427096774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IFERROR(__xludf.DUMMYFUNCTION("IMPORTRANGE(""https://docs.google.com/spreadsheets/d/1XL5vhW3sbDhbH9Cz0tuDiY8C3ctxq1tqvaCgkFb8cCA/edit?usp=sharing"",""เลย!L447"")"),0.0)</f>
        <v>0</v>
      </c>
      <c r="M552" s="197"/>
      <c r="N552" s="203">
        <f>IFERROR(__xludf.DUMMYFUNCTION("IMPORTRANGE(""https://docs.google.com/spreadsheets/d/1XL5vhW3sbDhbH9Cz0tuDiY8C3ctxq1tqvaCgkFb8cCA/edit?usp=sharing"",""เลย!M447"")"),0.0)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IFERROR(__xludf.DUMMYFUNCTION("IMPORTRANGE(""https://docs.google.com/spreadsheets/d/1XL5vhW3sbDhbH9Cz0tuDiY8C3ctxq1tqvaCgkFb8cCA/edit?usp=sharing"",""เลย!L448"")"),310000.0)</f>
        <v>310000</v>
      </c>
      <c r="M553" s="198"/>
      <c r="N553" s="203">
        <f>IFERROR(__xludf.DUMMYFUNCTION("IMPORTRANGE(""https://docs.google.com/spreadsheets/d/1XL5vhW3sbDhbH9Cz0tuDiY8C3ctxq1tqvaCgkFb8cCA/edit?usp=sharing"",""เลย!M448"")"),16824.0)</f>
        <v>16824</v>
      </c>
      <c r="O553" s="203">
        <f t="shared" si="121"/>
        <v>5.427096774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IFERROR(__xludf.DUMMYFUNCTION("IMPORTRANGE(""https://docs.google.com/spreadsheets/d/1XL5vhW3sbDhbH9Cz0tuDiY8C3ctxq1tqvaCgkFb8cCA/edit?usp=sharing"",""เลย!L449"")"),0.0)</f>
        <v>0</v>
      </c>
      <c r="M554" s="203"/>
      <c r="N554" s="203">
        <f>IFERROR(__xludf.DUMMYFUNCTION("IMPORTRANGE(""https://docs.google.com/spreadsheets/d/1XL5vhW3sbDhbH9Cz0tuDiY8C3ctxq1tqvaCgkFb8cCA/edit?usp=sharing"",""เลย!M449"")"),0.0)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IFERROR(__xludf.DUMMYFUNCTION("IMPORTRANGE(""https://docs.google.com/spreadsheets/d/1XL5vhW3sbDhbH9Cz0tuDiY8C3ctxq1tqvaCgkFb8cCA/edit?usp=sharing"",""เลย!L450"")"),310000.0)</f>
        <v>310000</v>
      </c>
      <c r="M555" s="203"/>
      <c r="N555" s="203">
        <f>IFERROR(__xludf.DUMMYFUNCTION("IMPORTRANGE(""https://docs.google.com/spreadsheets/d/1XL5vhW3sbDhbH9Cz0tuDiY8C3ctxq1tqvaCgkFb8cCA/edit?usp=sharing"",""เลย!M450"")"),16824.0)</f>
        <v>16824</v>
      </c>
      <c r="O555" s="203">
        <f t="shared" si="121"/>
        <v>5.427096774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IFERROR(__xludf.DUMMYFUNCTION("IMPORTRANGE(""https://docs.google.com/spreadsheets/d/1XL5vhW3sbDhbH9Cz0tuDiY8C3ctxq1tqvaCgkFb8cCA/edit?usp=sharing"",""เลย!M451"")"),0.0)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IFERROR(__xludf.DUMMYFUNCTION("IMPORTRANGE(""https://docs.google.com/spreadsheets/d/1XL5vhW3sbDhbH9Cz0tuDiY8C3ctxq1tqvaCgkFb8cCA/edit?usp=sharing"",""เลย!M452"")"),0.0)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IFERROR(__xludf.DUMMYFUNCTION("IMPORTRANGE(""https://docs.google.com/spreadsheets/d/1XL5vhW3sbDhbH9Cz0tuDiY8C3ctxq1tqvaCgkFb8cCA/edit?usp=sharing"",""เลย!M453"")"),8764.0)</f>
        <v>8764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IFERROR(__xludf.DUMMYFUNCTION("IMPORTRANGE(""https://docs.google.com/spreadsheets/d/1XL5vhW3sbDhbH9Cz0tuDiY8C3ctxq1tqvaCgkFb8cCA/edit?usp=sharing"",""เลย!M454"")"),8060.0)</f>
        <v>8060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IFERROR(__xludf.DUMMYFUNCTION("IMPORTRANGE(""https://docs.google.com/spreadsheets/d/1XL5vhW3sbDhbH9Cz0tuDiY8C3ctxq1tqvaCgkFb8cCA/edit?usp=sharing"",""เลย!I455"")"),5000.0)</f>
        <v>5000</v>
      </c>
      <c r="J560" s="195">
        <f>IFERROR(__xludf.DUMMYFUNCTION("IMPORTRANGE(""https://docs.google.com/spreadsheets/d/1XL5vhW3sbDhbH9Cz0tuDiY8C3ctxq1tqvaCgkFb8cCA/edit?usp=sharing"",""เลย!J455"")"),0.0)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IFERROR(__xludf.DUMMYFUNCTION("IMPORTRANGE(""https://docs.google.com/spreadsheets/d/1XL5vhW3sbDhbH9Cz0tuDiY8C3ctxq1tqvaCgkFb8cCA/edit?usp=sharing"",""เลย!I456"")"),0.0)</f>
        <v>0</v>
      </c>
      <c r="J561" s="238">
        <f>IFERROR(__xludf.DUMMYFUNCTION("IMPORTRANGE(""https://docs.google.com/spreadsheets/d/1XL5vhW3sbDhbH9Cz0tuDiY8C3ctxq1tqvaCgkFb8cCA/edit?usp=sharing"",""เลย!J456"")"),0.0)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IFERROR(__xludf.DUMMYFUNCTION("IMPORTRANGE(""https://docs.google.com/spreadsheets/d/1XL5vhW3sbDhbH9Cz0tuDiY8C3ctxq1tqvaCgkFb8cCA/edit?usp=sharing"",""เลย!I457"")"),"")</f>
        <v/>
      </c>
      <c r="J562" s="238" t="str">
        <f>IFERROR(__xludf.DUMMYFUNCTION("IMPORTRANGE(""https://docs.google.com/spreadsheets/d/1XL5vhW3sbDhbH9Cz0tuDiY8C3ctxq1tqvaCgkFb8cCA/edit?usp=sharing"",""เลย!J457"")"),"")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IFERROR(__xludf.DUMMYFUNCTION("IMPORTRANGE(""https://docs.google.com/spreadsheets/d/1XL5vhW3sbDhbH9Cz0tuDiY8C3ctxq1tqvaCgkFb8cCA/edit?usp=sharing"",""เลย!I458"")"),"")</f>
        <v/>
      </c>
      <c r="J563" s="222" t="str">
        <f>IFERROR(__xludf.DUMMYFUNCTION("IMPORTRANGE(""https://docs.google.com/spreadsheets/d/1XL5vhW3sbDhbH9Cz0tuDiY8C3ctxq1tqvaCgkFb8cCA/edit?usp=sharing"",""เลย!J458"")"),"")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IFERROR(__xludf.DUMMYFUNCTION("IMPORTRANGE(""https://docs.google.com/spreadsheets/d/1XL5vhW3sbDhbH9Cz0tuDiY8C3ctxq1tqvaCgkFb8cCA/edit?usp=sharing"",""เลย!I459"")"),3400.0)</f>
        <v>3400</v>
      </c>
      <c r="J564" s="404">
        <f>IFERROR(__xludf.DUMMYFUNCTION("IMPORTRANGE(""https://docs.google.com/spreadsheets/d/1XL5vhW3sbDhbH9Cz0tuDiY8C3ctxq1tqvaCgkFb8cCA/edit?usp=sharing"",""เลย!J459"")"),1792.0)</f>
        <v>1792</v>
      </c>
      <c r="K564" s="405">
        <f t="shared" si="122"/>
        <v>52.70588235</v>
      </c>
      <c r="L564" s="406">
        <f>IFERROR(__xludf.DUMMYFUNCTION("IMPORTRANGE(""https://docs.google.com/spreadsheets/d/1XL5vhW3sbDhbH9Cz0tuDiY8C3ctxq1tqvaCgkFb8cCA/edit?usp=sharing"",""เลย!L459"")"),164800.0)</f>
        <v>164800</v>
      </c>
      <c r="M564" s="406"/>
      <c r="N564" s="406">
        <f>IFERROR(__xludf.DUMMYFUNCTION("IMPORTRANGE(""https://docs.google.com/spreadsheets/d/1XL5vhW3sbDhbH9Cz0tuDiY8C3ctxq1tqvaCgkFb8cCA/edit?usp=sharing"",""เลย!M459"")"),40660.0)</f>
        <v>40660</v>
      </c>
      <c r="O564" s="406">
        <f t="shared" ref="O564:O568" si="123">+IF(L564&gt;0,N564*100/L564,0)</f>
        <v>24.6723301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IFERROR(__xludf.DUMMYFUNCTION("IMPORTRANGE(""https://docs.google.com/spreadsheets/d/1XL5vhW3sbDhbH9Cz0tuDiY8C3ctxq1tqvaCgkFb8cCA/edit?usp=sharing"",""เลย!L460"")"),0.0)</f>
        <v>0</v>
      </c>
      <c r="M565" s="197"/>
      <c r="N565" s="203">
        <f>IFERROR(__xludf.DUMMYFUNCTION("IMPORTRANGE(""https://docs.google.com/spreadsheets/d/1XL5vhW3sbDhbH9Cz0tuDiY8C3ctxq1tqvaCgkFb8cCA/edit?usp=sharing"",""เลย!M460"")"),0.0)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IFERROR(__xludf.DUMMYFUNCTION("IMPORTRANGE(""https://docs.google.com/spreadsheets/d/1XL5vhW3sbDhbH9Cz0tuDiY8C3ctxq1tqvaCgkFb8cCA/edit?usp=sharing"",""เลย!L461"")"),164800.0)</f>
        <v>164800</v>
      </c>
      <c r="M566" s="198"/>
      <c r="N566" s="203">
        <f>IFERROR(__xludf.DUMMYFUNCTION("IMPORTRANGE(""https://docs.google.com/spreadsheets/d/1XL5vhW3sbDhbH9Cz0tuDiY8C3ctxq1tqvaCgkFb8cCA/edit?usp=sharing"",""เลย!M461"")"),40660.0)</f>
        <v>40660</v>
      </c>
      <c r="O566" s="203">
        <f t="shared" si="123"/>
        <v>24.6723301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IFERROR(__xludf.DUMMYFUNCTION("IMPORTRANGE(""https://docs.google.com/spreadsheets/d/1XL5vhW3sbDhbH9Cz0tuDiY8C3ctxq1tqvaCgkFb8cCA/edit?usp=sharing"",""เลย!L462"")"),0.0)</f>
        <v>0</v>
      </c>
      <c r="M567" s="203"/>
      <c r="N567" s="203">
        <f>IFERROR(__xludf.DUMMYFUNCTION("IMPORTRANGE(""https://docs.google.com/spreadsheets/d/1XL5vhW3sbDhbH9Cz0tuDiY8C3ctxq1tqvaCgkFb8cCA/edit?usp=sharing"",""เลย!M462"")"),0.0)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IFERROR(__xludf.DUMMYFUNCTION("IMPORTRANGE(""https://docs.google.com/spreadsheets/d/1XL5vhW3sbDhbH9Cz0tuDiY8C3ctxq1tqvaCgkFb8cCA/edit?usp=sharing"",""เลย!L463"")"),164800.0)</f>
        <v>164800</v>
      </c>
      <c r="M568" s="203"/>
      <c r="N568" s="203">
        <f>IFERROR(__xludf.DUMMYFUNCTION("IMPORTRANGE(""https://docs.google.com/spreadsheets/d/1XL5vhW3sbDhbH9Cz0tuDiY8C3ctxq1tqvaCgkFb8cCA/edit?usp=sharing"",""เลย!M463"")"),40660.0)</f>
        <v>40660</v>
      </c>
      <c r="O568" s="203">
        <f t="shared" si="123"/>
        <v>24.6723301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IFERROR(__xludf.DUMMYFUNCTION("IMPORTRANGE(""https://docs.google.com/spreadsheets/d/1XL5vhW3sbDhbH9Cz0tuDiY8C3ctxq1tqvaCgkFb8cCA/edit?usp=sharing"",""เลย!M464"")"),0.0)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IFERROR(__xludf.DUMMYFUNCTION("IMPORTRANGE(""https://docs.google.com/spreadsheets/d/1XL5vhW3sbDhbH9Cz0tuDiY8C3ctxq1tqvaCgkFb8cCA/edit?usp=sharing"",""เลย!M465"")"),0.0)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IFERROR(__xludf.DUMMYFUNCTION("IMPORTRANGE(""https://docs.google.com/spreadsheets/d/1XL5vhW3sbDhbH9Cz0tuDiY8C3ctxq1tqvaCgkFb8cCA/edit?usp=sharing"",""เลย!M466"")"),33000.0)</f>
        <v>33000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IFERROR(__xludf.DUMMYFUNCTION("IMPORTRANGE(""https://docs.google.com/spreadsheets/d/1XL5vhW3sbDhbH9Cz0tuDiY8C3ctxq1tqvaCgkFb8cCA/edit?usp=sharing"",""เลย!M467"")"),7660.0)</f>
        <v>7660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IFERROR(__xludf.DUMMYFUNCTION("IMPORTRANGE(""https://docs.google.com/spreadsheets/d/1XL5vhW3sbDhbH9Cz0tuDiY8C3ctxq1tqvaCgkFb8cCA/edit?usp=sharing"",""เลย!I468"")"),3400.0)</f>
        <v>3400</v>
      </c>
      <c r="J573" s="453">
        <f>IFERROR(__xludf.DUMMYFUNCTION("IMPORTRANGE(""https://docs.google.com/spreadsheets/d/1XL5vhW3sbDhbH9Cz0tuDiY8C3ctxq1tqvaCgkFb8cCA/edit?usp=sharing"",""เลย!J468"")"),1792.0)</f>
        <v>1792</v>
      </c>
      <c r="K573" s="236">
        <f>IF(I573&gt;0,J573*100/I573,0)</f>
        <v>52.70588235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IFERROR(__xludf.DUMMYFUNCTION("IMPORTRANGE(""https://docs.google.com/spreadsheets/d/1XL5vhW3sbDhbH9Cz0tuDiY8C3ctxq1tqvaCgkFb8cCA/edit?usp=sharing"",""เลย!I470"")"),0.0)</f>
        <v>0</v>
      </c>
      <c r="J575" s="232">
        <f>IFERROR(__xludf.DUMMYFUNCTION("IMPORTRANGE(""https://docs.google.com/spreadsheets/d/1XL5vhW3sbDhbH9Cz0tuDiY8C3ctxq1tqvaCgkFb8cCA/edit?usp=sharing"",""เลย!J470"")"),3.0)</f>
        <v>3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IFERROR(__xludf.DUMMYFUNCTION("IMPORTRANGE(""https://docs.google.com/spreadsheets/d/1XL5vhW3sbDhbH9Cz0tuDiY8C3ctxq1tqvaCgkFb8cCA/edit?usp=sharing"",""เลย!I471"")"),0.0)</f>
        <v>0</v>
      </c>
      <c r="J576" s="232">
        <f>IFERROR(__xludf.DUMMYFUNCTION("IMPORTRANGE(""https://docs.google.com/spreadsheets/d/1XL5vhW3sbDhbH9Cz0tuDiY8C3ctxq1tqvaCgkFb8cCA/edit?usp=sharing"",""เลย!J471"")"),176.0)</f>
        <v>176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IFERROR(__xludf.DUMMYFUNCTION("IMPORTRANGE(""https://docs.google.com/spreadsheets/d/1XL5vhW3sbDhbH9Cz0tuDiY8C3ctxq1tqvaCgkFb8cCA/edit?usp=sharing"",""เลย!I472"")"),0.0)</f>
        <v>0</v>
      </c>
      <c r="J577" s="223">
        <f>IFERROR(__xludf.DUMMYFUNCTION("IMPORTRANGE(""https://docs.google.com/spreadsheets/d/1XL5vhW3sbDhbH9Cz0tuDiY8C3ctxq1tqvaCgkFb8cCA/edit?usp=sharing"",""เลย!J472"")"),1616.0)</f>
        <v>1616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IFERROR(__xludf.DUMMYFUNCTION("IMPORTRANGE(""https://docs.google.com/spreadsheets/d/1XL5vhW3sbDhbH9Cz0tuDiY8C3ctxq1tqvaCgkFb8cCA/edit?usp=sharing"",""เลย!I473"")"),0.0)</f>
        <v>0</v>
      </c>
      <c r="J578" s="232">
        <f>IFERROR(__xludf.DUMMYFUNCTION("IMPORTRANGE(""https://docs.google.com/spreadsheets/d/1XL5vhW3sbDhbH9Cz0tuDiY8C3ctxq1tqvaCgkFb8cCA/edit?usp=sharing"",""เลย!J473"")"),0.0)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IFERROR(__xludf.DUMMYFUNCTION("IMPORTRANGE(""https://docs.google.com/spreadsheets/d/1XL5vhW3sbDhbH9Cz0tuDiY8C3ctxq1tqvaCgkFb8cCA/edit?usp=sharing"",""เลย!I474"")"),0.0)</f>
        <v>0</v>
      </c>
      <c r="J579" s="232">
        <f>IFERROR(__xludf.DUMMYFUNCTION("IMPORTRANGE(""https://docs.google.com/spreadsheets/d/1XL5vhW3sbDhbH9Cz0tuDiY8C3ctxq1tqvaCgkFb8cCA/edit?usp=sharing"",""เลย!J474"")"),0.0)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IFERROR(__xludf.DUMMYFUNCTION("IMPORTRANGE(""https://docs.google.com/spreadsheets/d/1XL5vhW3sbDhbH9Cz0tuDiY8C3ctxq1tqvaCgkFb8cCA/edit?usp=sharing"",""เลย!I475"")"),60.0)</f>
        <v>60</v>
      </c>
      <c r="J580" s="404">
        <f>IFERROR(__xludf.DUMMYFUNCTION("IMPORTRANGE(""https://docs.google.com/spreadsheets/d/1XL5vhW3sbDhbH9Cz0tuDiY8C3ctxq1tqvaCgkFb8cCA/edit?usp=sharing"",""เลย!J475"")"),0.0)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IFERROR(__xludf.DUMMYFUNCTION("IMPORTRANGE(""https://docs.google.com/spreadsheets/d/1XL5vhW3sbDhbH9Cz0tuDiY8C3ctxq1tqvaCgkFb8cCA/edit?usp=sharing"",""เลย!L475"")"),257660.0)</f>
        <v>257660</v>
      </c>
      <c r="M580" s="406"/>
      <c r="N580" s="406">
        <f>IFERROR(__xludf.DUMMYFUNCTION("IMPORTRANGE(""https://docs.google.com/spreadsheets/d/1XL5vhW3sbDhbH9Cz0tuDiY8C3ctxq1tqvaCgkFb8cCA/edit?usp=sharing"",""เลย!M475"")"),0.0)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IFERROR(__xludf.DUMMYFUNCTION("IMPORTRANGE(""https://docs.google.com/spreadsheets/d/1XL5vhW3sbDhbH9Cz0tuDiY8C3ctxq1tqvaCgkFb8cCA/edit?usp=sharing"",""เลย!L476"")"),0.0)</f>
        <v>0</v>
      </c>
      <c r="M581" s="197"/>
      <c r="N581" s="203">
        <f>IFERROR(__xludf.DUMMYFUNCTION("IMPORTRANGE(""https://docs.google.com/spreadsheets/d/1XL5vhW3sbDhbH9Cz0tuDiY8C3ctxq1tqvaCgkFb8cCA/edit?usp=sharing"",""เลย!M476"")"),0.0)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IFERROR(__xludf.DUMMYFUNCTION("IMPORTRANGE(""https://docs.google.com/spreadsheets/d/1XL5vhW3sbDhbH9Cz0tuDiY8C3ctxq1tqvaCgkFb8cCA/edit?usp=sharing"",""เลย!L477"")"),257660.0)</f>
        <v>257660</v>
      </c>
      <c r="M582" s="198"/>
      <c r="N582" s="203">
        <f>IFERROR(__xludf.DUMMYFUNCTION("IMPORTRANGE(""https://docs.google.com/spreadsheets/d/1XL5vhW3sbDhbH9Cz0tuDiY8C3ctxq1tqvaCgkFb8cCA/edit?usp=sharing"",""เลย!M477"")"),0.0)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IFERROR(__xludf.DUMMYFUNCTION("IMPORTRANGE(""https://docs.google.com/spreadsheets/d/1XL5vhW3sbDhbH9Cz0tuDiY8C3ctxq1tqvaCgkFb8cCA/edit?usp=sharing"",""เลย!L478"")"),0.0)</f>
        <v>0</v>
      </c>
      <c r="M583" s="203"/>
      <c r="N583" s="203">
        <f>IFERROR(__xludf.DUMMYFUNCTION("IMPORTRANGE(""https://docs.google.com/spreadsheets/d/1XL5vhW3sbDhbH9Cz0tuDiY8C3ctxq1tqvaCgkFb8cCA/edit?usp=sharing"",""เลย!M478"")"),0.0)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IFERROR(__xludf.DUMMYFUNCTION("IMPORTRANGE(""https://docs.google.com/spreadsheets/d/1XL5vhW3sbDhbH9Cz0tuDiY8C3ctxq1tqvaCgkFb8cCA/edit?usp=sharing"",""เลย!L479"")"),257660.0)</f>
        <v>257660</v>
      </c>
      <c r="M584" s="203"/>
      <c r="N584" s="203">
        <f>IFERROR(__xludf.DUMMYFUNCTION("IMPORTRANGE(""https://docs.google.com/spreadsheets/d/1XL5vhW3sbDhbH9Cz0tuDiY8C3ctxq1tqvaCgkFb8cCA/edit?usp=sharing"",""เลย!M479"")"),0.0)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IFERROR(__xludf.DUMMYFUNCTION("IMPORTRANGE(""https://docs.google.com/spreadsheets/d/1XL5vhW3sbDhbH9Cz0tuDiY8C3ctxq1tqvaCgkFb8cCA/edit?usp=sharing"",""เลย!M480"")"),0.0)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IFERROR(__xludf.DUMMYFUNCTION("IMPORTRANGE(""https://docs.google.com/spreadsheets/d/1XL5vhW3sbDhbH9Cz0tuDiY8C3ctxq1tqvaCgkFb8cCA/edit?usp=sharing"",""เลย!M481"")"),0.0)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IFERROR(__xludf.DUMMYFUNCTION("IMPORTRANGE(""https://docs.google.com/spreadsheets/d/1XL5vhW3sbDhbH9Cz0tuDiY8C3ctxq1tqvaCgkFb8cCA/edit?usp=sharing"",""เลย!M482"")"),0.0)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IFERROR(__xludf.DUMMYFUNCTION("IMPORTRANGE(""https://docs.google.com/spreadsheets/d/1XL5vhW3sbDhbH9Cz0tuDiY8C3ctxq1tqvaCgkFb8cCA/edit?usp=sharing"",""เลย!M483"")"),0.0)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IFERROR(__xludf.DUMMYFUNCTION("IMPORTRANGE(""https://docs.google.com/spreadsheets/d/1XL5vhW3sbDhbH9Cz0tuDiY8C3ctxq1tqvaCgkFb8cCA/edit?usp=sharing"",""เลย!I484"")"),60.0)</f>
        <v>60</v>
      </c>
      <c r="J589" s="222">
        <f>IFERROR(__xludf.DUMMYFUNCTION("IMPORTRANGE(""https://docs.google.com/spreadsheets/d/1XL5vhW3sbDhbH9Cz0tuDiY8C3ctxq1tqvaCgkFb8cCA/edit?usp=sharing"",""เลย!J484"")"),0.0)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IFERROR(__xludf.DUMMYFUNCTION("IMPORTRANGE(""https://docs.google.com/spreadsheets/d/1XL5vhW3sbDhbH9Cz0tuDiY8C3ctxq1tqvaCgkFb8cCA/edit?usp=sharing"",""เลย!I485"")"),0.0)</f>
        <v>0</v>
      </c>
      <c r="J590" s="222">
        <f>IFERROR(__xludf.DUMMYFUNCTION("IMPORTRANGE(""https://docs.google.com/spreadsheets/d/1XL5vhW3sbDhbH9Cz0tuDiY8C3ctxq1tqvaCgkFb8cCA/edit?usp=sharing"",""เลย!J485"")"),0.0)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IFERROR(__xludf.DUMMYFUNCTION("IMPORTRANGE(""https://docs.google.com/spreadsheets/d/1XL5vhW3sbDhbH9Cz0tuDiY8C3ctxq1tqvaCgkFb8cCA/edit?usp=sharing"",""เลย!I486"")"),60.0)</f>
        <v>60</v>
      </c>
      <c r="J591" s="222">
        <f>IFERROR(__xludf.DUMMYFUNCTION("IMPORTRANGE(""https://docs.google.com/spreadsheets/d/1XL5vhW3sbDhbH9Cz0tuDiY8C3ctxq1tqvaCgkFb8cCA/edit?usp=sharing"",""เลย!J486"")"),0.0)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IFERROR(__xludf.DUMMYFUNCTION("IMPORTRANGE(""https://docs.google.com/spreadsheets/d/1XL5vhW3sbDhbH9Cz0tuDiY8C3ctxq1tqvaCgkFb8cCA/edit?usp=sharing"",""เลย!I487"")"),0.0)</f>
        <v>0</v>
      </c>
      <c r="J592" s="222">
        <f>IFERROR(__xludf.DUMMYFUNCTION("IMPORTRANGE(""https://docs.google.com/spreadsheets/d/1XL5vhW3sbDhbH9Cz0tuDiY8C3ctxq1tqvaCgkFb8cCA/edit?usp=sharing"",""เลย!J487"")"),0.0)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IFERROR(__xludf.DUMMYFUNCTION("IMPORTRANGE(""https://docs.google.com/spreadsheets/d/1XL5vhW3sbDhbH9Cz0tuDiY8C3ctxq1tqvaCgkFb8cCA/edit?usp=sharing"",""เลย!I488"")"),60.0)</f>
        <v>60</v>
      </c>
      <c r="J593" s="222">
        <f>IFERROR(__xludf.DUMMYFUNCTION("IMPORTRANGE(""https://docs.google.com/spreadsheets/d/1XL5vhW3sbDhbH9Cz0tuDiY8C3ctxq1tqvaCgkFb8cCA/edit?usp=sharing"",""เลย!J488"")"),0.0)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IFERROR(__xludf.DUMMYFUNCTION("IMPORTRANGE(""https://docs.google.com/spreadsheets/d/1XL5vhW3sbDhbH9Cz0tuDiY8C3ctxq1tqvaCgkFb8cCA/edit?usp=sharing"",""เลย!I489"")"),0.0)</f>
        <v>0</v>
      </c>
      <c r="J594" s="222">
        <f>IFERROR(__xludf.DUMMYFUNCTION("IMPORTRANGE(""https://docs.google.com/spreadsheets/d/1XL5vhW3sbDhbH9Cz0tuDiY8C3ctxq1tqvaCgkFb8cCA/edit?usp=sharing"",""เลย!J489"")"),0.0)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IFERROR(__xludf.DUMMYFUNCTION("IMPORTRANGE(""https://docs.google.com/spreadsheets/d/1XL5vhW3sbDhbH9Cz0tuDiY8C3ctxq1tqvaCgkFb8cCA/edit?usp=sharing"",""เลย!I490"")"),60.0)</f>
        <v>60</v>
      </c>
      <c r="J595" s="222">
        <f>IFERROR(__xludf.DUMMYFUNCTION("IMPORTRANGE(""https://docs.google.com/spreadsheets/d/1XL5vhW3sbDhbH9Cz0tuDiY8C3ctxq1tqvaCgkFb8cCA/edit?usp=sharing"",""เลย!J490"")"),0.0)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IFERROR(__xludf.DUMMYFUNCTION("IMPORTRANGE(""https://docs.google.com/spreadsheets/d/1XL5vhW3sbDhbH9Cz0tuDiY8C3ctxq1tqvaCgkFb8cCA/edit?usp=sharing"",""เลย!I491"")"),0.0)</f>
        <v>0</v>
      </c>
      <c r="J596" s="275">
        <f>IFERROR(__xludf.DUMMYFUNCTION("IMPORTRANGE(""https://docs.google.com/spreadsheets/d/1XL5vhW3sbDhbH9Cz0tuDiY8C3ctxq1tqvaCgkFb8cCA/edit?usp=sharing"",""เลย!J491"")"),0.0)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IFERROR(__xludf.DUMMYFUNCTION("IMPORTRANGE(""https://docs.google.com/spreadsheets/d/1XL5vhW3sbDhbH9Cz0tuDiY8C3ctxq1tqvaCgkFb8cCA/edit?usp=sharing"",""เลย!I492"")"),120.0)</f>
        <v>120</v>
      </c>
      <c r="J597" s="520">
        <f>IFERROR(__xludf.DUMMYFUNCTION("IMPORTRANGE(""https://docs.google.com/spreadsheets/d/1XL5vhW3sbDhbH9Cz0tuDiY8C3ctxq1tqvaCgkFb8cCA/edit?usp=sharing"",""เลย!J492"")"),0.0)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IFERROR(__xludf.DUMMYFUNCTION("IMPORTRANGE(""https://docs.google.com/spreadsheets/d/1XL5vhW3sbDhbH9Cz0tuDiY8C3ctxq1tqvaCgkFb8cCA/edit?usp=sharing"",""เลย!L492"")"),8400.0)</f>
        <v>8400</v>
      </c>
      <c r="M597" s="445"/>
      <c r="N597" s="445">
        <f>IFERROR(__xludf.DUMMYFUNCTION("IMPORTRANGE(""https://docs.google.com/spreadsheets/d/1XL5vhW3sbDhbH9Cz0tuDiY8C3ctxq1tqvaCgkFb8cCA/edit?usp=sharing"",""เลย!M492"")"),300.0)</f>
        <v>300</v>
      </c>
      <c r="O597" s="445">
        <f t="shared" ref="O597:O601" si="127">+IF(L597&gt;0,N597*100/L597,0)</f>
        <v>3.571428571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IFERROR(__xludf.DUMMYFUNCTION("IMPORTRANGE(""https://docs.google.com/spreadsheets/d/1XL5vhW3sbDhbH9Cz0tuDiY8C3ctxq1tqvaCgkFb8cCA/edit?usp=sharing"",""เลย!L493"")"),0.0)</f>
        <v>0</v>
      </c>
      <c r="M598" s="197"/>
      <c r="N598" s="203">
        <f>IFERROR(__xludf.DUMMYFUNCTION("IMPORTRANGE(""https://docs.google.com/spreadsheets/d/1XL5vhW3sbDhbH9Cz0tuDiY8C3ctxq1tqvaCgkFb8cCA/edit?usp=sharing"",""เลย!M493"")"),0.0)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IFERROR(__xludf.DUMMYFUNCTION("IMPORTRANGE(""https://docs.google.com/spreadsheets/d/1XL5vhW3sbDhbH9Cz0tuDiY8C3ctxq1tqvaCgkFb8cCA/edit?usp=sharing"",""เลย!L494"")"),8400.0)</f>
        <v>8400</v>
      </c>
      <c r="M599" s="198"/>
      <c r="N599" s="203">
        <f>IFERROR(__xludf.DUMMYFUNCTION("IMPORTRANGE(""https://docs.google.com/spreadsheets/d/1XL5vhW3sbDhbH9Cz0tuDiY8C3ctxq1tqvaCgkFb8cCA/edit?usp=sharing"",""เลย!M494"")"),300.0)</f>
        <v>300</v>
      </c>
      <c r="O599" s="203">
        <f t="shared" si="127"/>
        <v>3.571428571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IFERROR(__xludf.DUMMYFUNCTION("IMPORTRANGE(""https://docs.google.com/spreadsheets/d/1XL5vhW3sbDhbH9Cz0tuDiY8C3ctxq1tqvaCgkFb8cCA/edit?usp=sharing"",""เลย!L495"")"),0.0)</f>
        <v>0</v>
      </c>
      <c r="M600" s="203"/>
      <c r="N600" s="203">
        <f>IFERROR(__xludf.DUMMYFUNCTION("IMPORTRANGE(""https://docs.google.com/spreadsheets/d/1XL5vhW3sbDhbH9Cz0tuDiY8C3ctxq1tqvaCgkFb8cCA/edit?usp=sharing"",""เลย!M495"")"),0.0)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IFERROR(__xludf.DUMMYFUNCTION("IMPORTRANGE(""https://docs.google.com/spreadsheets/d/1XL5vhW3sbDhbH9Cz0tuDiY8C3ctxq1tqvaCgkFb8cCA/edit?usp=sharing"",""เลย!L496"")"),8400.0)</f>
        <v>8400</v>
      </c>
      <c r="M601" s="203"/>
      <c r="N601" s="203">
        <f>IFERROR(__xludf.DUMMYFUNCTION("IMPORTRANGE(""https://docs.google.com/spreadsheets/d/1XL5vhW3sbDhbH9Cz0tuDiY8C3ctxq1tqvaCgkFb8cCA/edit?usp=sharing"",""เลย!M496"")"),300.0)</f>
        <v>300</v>
      </c>
      <c r="O601" s="203">
        <f t="shared" si="127"/>
        <v>3.571428571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IFERROR(__xludf.DUMMYFUNCTION("IMPORTRANGE(""https://docs.google.com/spreadsheets/d/1XL5vhW3sbDhbH9Cz0tuDiY8C3ctxq1tqvaCgkFb8cCA/edit?usp=sharing"",""เลย!M497"")"),0.0)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IFERROR(__xludf.DUMMYFUNCTION("IMPORTRANGE(""https://docs.google.com/spreadsheets/d/1XL5vhW3sbDhbH9Cz0tuDiY8C3ctxq1tqvaCgkFb8cCA/edit?usp=sharing"",""เลย!M498"")"),0.0)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IFERROR(__xludf.DUMMYFUNCTION("IMPORTRANGE(""https://docs.google.com/spreadsheets/d/1XL5vhW3sbDhbH9Cz0tuDiY8C3ctxq1tqvaCgkFb8cCA/edit?usp=sharing"",""เลย!M499"")"),0.0)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IFERROR(__xludf.DUMMYFUNCTION("IMPORTRANGE(""https://docs.google.com/spreadsheets/d/1XL5vhW3sbDhbH9Cz0tuDiY8C3ctxq1tqvaCgkFb8cCA/edit?usp=sharing"",""เลย!M500"")"),300.0)</f>
        <v>300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IFERROR(__xludf.DUMMYFUNCTION("IMPORTRANGE(""https://docs.google.com/spreadsheets/d/1XL5vhW3sbDhbH9Cz0tuDiY8C3ctxq1tqvaCgkFb8cCA/edit?usp=sharing"",""เลย!J502"")"),0.0)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IFERROR(__xludf.DUMMYFUNCTION("IMPORTRANGE(""https://docs.google.com/spreadsheets/d/1XL5vhW3sbDhbH9Cz0tuDiY8C3ctxq1tqvaCgkFb8cCA/edit?usp=sharing"",""เลย!J503"")"),1.0)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IFERROR(__xludf.DUMMYFUNCTION("IMPORTRANGE(""https://docs.google.com/spreadsheets/d/1XL5vhW3sbDhbH9Cz0tuDiY8C3ctxq1tqvaCgkFb8cCA/edit?usp=sharing"",""เลย!J166"")"),0.0)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IFERROR(__xludf.DUMMYFUNCTION("IMPORTRANGE(""https://docs.google.com/spreadsheets/d/1XL5vhW3sbDhbH9Cz0tuDiY8C3ctxq1tqvaCgkFb8cCA/edit?usp=sharing"",""เลย!J166"")"),0.0)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IFERROR(__xludf.DUMMYFUNCTION("IMPORTRANGE(""https://docs.google.com/spreadsheets/d/1XL5vhW3sbDhbH9Cz0tuDiY8C3ctxq1tqvaCgkFb8cCA/edit?usp=sharing"",""เลย!I506"")"),120.0)</f>
        <v>120</v>
      </c>
      <c r="J611" s="195">
        <f>IFERROR(__xludf.DUMMYFUNCTION("IMPORTRANGE(""https://docs.google.com/spreadsheets/d/1XL5vhW3sbDhbH9Cz0tuDiY8C3ctxq1tqvaCgkFb8cCA/edit?usp=sharing"",""เลย!J506"")"),0.0)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IFERROR(__xludf.DUMMYFUNCTION("IMPORTRANGE(""https://docs.google.com/spreadsheets/d/1XL5vhW3sbDhbH9Cz0tuDiY8C3ctxq1tqvaCgkFb8cCA/edit?usp=sharing"",""เลย!I507"")"),0.0)</f>
        <v>0</v>
      </c>
      <c r="J612" s="232">
        <f>IFERROR(__xludf.DUMMYFUNCTION("IMPORTRANGE(""https://docs.google.com/spreadsheets/d/1XL5vhW3sbDhbH9Cz0tuDiY8C3ctxq1tqvaCgkFb8cCA/edit?usp=sharing"",""เลย!J507"")"),0.0)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IFERROR(__xludf.DUMMYFUNCTION("IMPORTRANGE(""https://docs.google.com/spreadsheets/d/1XL5vhW3sbDhbH9Cz0tuDiY8C3ctxq1tqvaCgkFb8cCA/edit?usp=sharing"",""เลย!I508"")"),0.0)</f>
        <v>0</v>
      </c>
      <c r="J613" s="232">
        <f>IFERROR(__xludf.DUMMYFUNCTION("IMPORTRANGE(""https://docs.google.com/spreadsheets/d/1XL5vhW3sbDhbH9Cz0tuDiY8C3ctxq1tqvaCgkFb8cCA/edit?usp=sharing"",""เลย!J508"")"),0.0)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IFERROR(__xludf.DUMMYFUNCTION("IMPORTRANGE(""https://docs.google.com/spreadsheets/d/1XL5vhW3sbDhbH9Cz0tuDiY8C3ctxq1tqvaCgkFb8cCA/edit?usp=sharing"",""เลย!I509"")"),0.0)</f>
        <v>0</v>
      </c>
      <c r="J614" s="232">
        <f>IFERROR(__xludf.DUMMYFUNCTION("IMPORTRANGE(""https://docs.google.com/spreadsheets/d/1XL5vhW3sbDhbH9Cz0tuDiY8C3ctxq1tqvaCgkFb8cCA/edit?usp=sharing"",""เลย!J509"")"),0.0)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IFERROR(__xludf.DUMMYFUNCTION("IMPORTRANGE(""https://docs.google.com/spreadsheets/d/1XL5vhW3sbDhbH9Cz0tuDiY8C3ctxq1tqvaCgkFb8cCA/edit?usp=sharing"",""เลย!I510"")"),0.0)</f>
        <v>0</v>
      </c>
      <c r="J615" s="232">
        <f>IFERROR(__xludf.DUMMYFUNCTION("IMPORTRANGE(""https://docs.google.com/spreadsheets/d/1XL5vhW3sbDhbH9Cz0tuDiY8C3ctxq1tqvaCgkFb8cCA/edit?usp=sharing"",""เลย!J510"")"),0.0)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IFERROR(__xludf.DUMMYFUNCTION("IMPORTRANGE(""https://docs.google.com/spreadsheets/d/1XL5vhW3sbDhbH9Cz0tuDiY8C3ctxq1tqvaCgkFb8cCA/edit?usp=sharing"",""เลย!I511"")"),0.0)</f>
        <v>0</v>
      </c>
      <c r="J616" s="232">
        <f>IFERROR(__xludf.DUMMYFUNCTION("IMPORTRANGE(""https://docs.google.com/spreadsheets/d/1XL5vhW3sbDhbH9Cz0tuDiY8C3ctxq1tqvaCgkFb8cCA/edit?usp=sharing"",""เลย!J511"")"),0.0)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IFERROR(__xludf.DUMMYFUNCTION("IMPORTRANGE(""https://docs.google.com/spreadsheets/d/1XL5vhW3sbDhbH9Cz0tuDiY8C3ctxq1tqvaCgkFb8cCA/edit?usp=sharing"",""เลย!I512"")"),0.0)</f>
        <v>0</v>
      </c>
      <c r="J617" s="222">
        <f>IFERROR(__xludf.DUMMYFUNCTION("IMPORTRANGE(""https://docs.google.com/spreadsheets/d/1XL5vhW3sbDhbH9Cz0tuDiY8C3ctxq1tqvaCgkFb8cCA/edit?usp=sharing"",""เลย!J512"")"),0.0)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IFERROR(__xludf.DUMMYFUNCTION("IMPORTRANGE(""https://docs.google.com/spreadsheets/d/1XL5vhW3sbDhbH9Cz0tuDiY8C3ctxq1tqvaCgkFb8cCA/edit?usp=sharing"",""เลย!I513"")"),0.0)</f>
        <v>0</v>
      </c>
      <c r="J618" s="223">
        <f>IFERROR(__xludf.DUMMYFUNCTION("IMPORTRANGE(""https://docs.google.com/spreadsheets/d/1XL5vhW3sbDhbH9Cz0tuDiY8C3ctxq1tqvaCgkFb8cCA/edit?usp=sharing"",""เลย!J513"")"),0.0)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IFERROR(__xludf.DUMMYFUNCTION("IMPORTRANGE(""https://docs.google.com/spreadsheets/d/1XL5vhW3sbDhbH9Cz0tuDiY8C3ctxq1tqvaCgkFb8cCA/edit?usp=sharing"",""เลย!I514"")"),0.0)</f>
        <v>0</v>
      </c>
      <c r="J619" s="223">
        <f>IFERROR(__xludf.DUMMYFUNCTION("IMPORTRANGE(""https://docs.google.com/spreadsheets/d/1XL5vhW3sbDhbH9Cz0tuDiY8C3ctxq1tqvaCgkFb8cCA/edit?usp=sharing"",""เลย!J514"")"),0.0)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IFERROR(__xludf.DUMMYFUNCTION("IMPORTRANGE(""https://docs.google.com/spreadsheets/d/1XL5vhW3sbDhbH9Cz0tuDiY8C3ctxq1tqvaCgkFb8cCA/edit?usp=sharing"",""เลย!I515"")"),0.0)</f>
        <v>0</v>
      </c>
      <c r="J620" s="237">
        <f>IFERROR(__xludf.DUMMYFUNCTION("IMPORTRANGE(""https://docs.google.com/spreadsheets/d/1XL5vhW3sbDhbH9Cz0tuDiY8C3ctxq1tqvaCgkFb8cCA/edit?usp=sharing"",""เลย!J515"")"),0.0)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IFERROR(__xludf.DUMMYFUNCTION("IMPORTRANGE(""https://docs.google.com/spreadsheets/d/1XL5vhW3sbDhbH9Cz0tuDiY8C3ctxq1tqvaCgkFb8cCA/edit?usp=sharing"",""เลย!I516"")"),0.0)</f>
        <v>0</v>
      </c>
      <c r="J621" s="237">
        <f>IFERROR(__xludf.DUMMYFUNCTION("IMPORTRANGE(""https://docs.google.com/spreadsheets/d/1XL5vhW3sbDhbH9Cz0tuDiY8C3ctxq1tqvaCgkFb8cCA/edit?usp=sharing"",""เลย!J516"")"),0.0)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IFERROR(__xludf.DUMMYFUNCTION("IMPORTRANGE(""https://docs.google.com/spreadsheets/d/1XL5vhW3sbDhbH9Cz0tuDiY8C3ctxq1tqvaCgkFb8cCA/edit?usp=sharing"",""เลย!I517"")"),0.0)</f>
        <v>0</v>
      </c>
      <c r="J622" s="223">
        <f>IFERROR(__xludf.DUMMYFUNCTION("IMPORTRANGE(""https://docs.google.com/spreadsheets/d/1XL5vhW3sbDhbH9Cz0tuDiY8C3ctxq1tqvaCgkFb8cCA/edit?usp=sharing"",""เลย!J517"")"),0.0)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IFERROR(__xludf.DUMMYFUNCTION("IMPORTRANGE(""https://docs.google.com/spreadsheets/d/1XL5vhW3sbDhbH9Cz0tuDiY8C3ctxq1tqvaCgkFb8cCA/edit?usp=sharing"",""เลย!I518"")"),0.0)</f>
        <v>0</v>
      </c>
      <c r="J623" s="223">
        <f>IFERROR(__xludf.DUMMYFUNCTION("IMPORTRANGE(""https://docs.google.com/spreadsheets/d/1XL5vhW3sbDhbH9Cz0tuDiY8C3ctxq1tqvaCgkFb8cCA/edit?usp=sharing"",""เลย!J518"")"),0.0)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IFERROR(__xludf.DUMMYFUNCTION("IMPORTRANGE(""https://docs.google.com/spreadsheets/d/1XL5vhW3sbDhbH9Cz0tuDiY8C3ctxq1tqvaCgkFb8cCA/edit?usp=sharing"",""เลย!I519"")"),0.0)</f>
        <v>0</v>
      </c>
      <c r="J624" s="222">
        <f>IFERROR(__xludf.DUMMYFUNCTION("IMPORTRANGE(""https://docs.google.com/spreadsheets/d/1XL5vhW3sbDhbH9Cz0tuDiY8C3ctxq1tqvaCgkFb8cCA/edit?usp=sharing"",""เลย!J519"")"),0.0)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IFERROR(__xludf.DUMMYFUNCTION("IMPORTRANGE(""https://docs.google.com/spreadsheets/d/1XL5vhW3sbDhbH9Cz0tuDiY8C3ctxq1tqvaCgkFb8cCA/edit?usp=sharing"",""เลย!I520"")"),0.0)</f>
        <v>0</v>
      </c>
      <c r="J625" s="223">
        <f>IFERROR(__xludf.DUMMYFUNCTION("IMPORTRANGE(""https://docs.google.com/spreadsheets/d/1XL5vhW3sbDhbH9Cz0tuDiY8C3ctxq1tqvaCgkFb8cCA/edit?usp=sharing"",""เลย!J520"")"),0.0)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IFERROR(__xludf.DUMMYFUNCTION("IMPORTRANGE(""https://docs.google.com/spreadsheets/d/1XL5vhW3sbDhbH9Cz0tuDiY8C3ctxq1tqvaCgkFb8cCA/edit?usp=sharing"",""เลย!I521"")"),0.0)</f>
        <v>0</v>
      </c>
      <c r="J626" s="223">
        <f>IFERROR(__xludf.DUMMYFUNCTION("IMPORTRANGE(""https://docs.google.com/spreadsheets/d/1XL5vhW3sbDhbH9Cz0tuDiY8C3ctxq1tqvaCgkFb8cCA/edit?usp=sharing"",""เลย!J521"")"),0.0)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IFERROR(__xludf.DUMMYFUNCTION("IMPORTRANGE(""https://docs.google.com/spreadsheets/d/1XL5vhW3sbDhbH9Cz0tuDiY8C3ctxq1tqvaCgkFb8cCA/edit?usp=sharing"",""เลย!I523"")"),1.437877256E7)</f>
        <v>14378772.56</v>
      </c>
      <c r="J628" s="374">
        <f>IFERROR(__xludf.DUMMYFUNCTION("IMPORTRANGE(""https://docs.google.com/spreadsheets/d/1XL5vhW3sbDhbH9Cz0tuDiY8C3ctxq1tqvaCgkFb8cCA/edit?usp=sharing"",""เลย!J523"")"),700000.0)</f>
        <v>700000</v>
      </c>
      <c r="K628" s="375">
        <f t="shared" ref="K628:K635" si="130">IF(I628&gt;0,J628*100/I628,0)</f>
        <v>4.868287589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IFERROR(__xludf.DUMMYFUNCTION("IMPORTRANGE(""https://docs.google.com/spreadsheets/d/1XL5vhW3sbDhbH9Cz0tuDiY8C3ctxq1tqvaCgkFb8cCA/edit?usp=sharing"",""เลย!I524"")"),302.0)</f>
        <v>302</v>
      </c>
      <c r="J629" s="374">
        <f>IFERROR(__xludf.DUMMYFUNCTION("IMPORTRANGE(""https://docs.google.com/spreadsheets/d/1XL5vhW3sbDhbH9Cz0tuDiY8C3ctxq1tqvaCgkFb8cCA/edit?usp=sharing"",""เลย!J524"")"),14.0)</f>
        <v>14</v>
      </c>
      <c r="K629" s="375">
        <f t="shared" si="130"/>
        <v>4.635761589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IFERROR(__xludf.DUMMYFUNCTION("IMPORTRANGE(""https://docs.google.com/spreadsheets/d/1XL5vhW3sbDhbH9Cz0tuDiY8C3ctxq1tqvaCgkFb8cCA/edit?usp=sharing"",""เลย!I525"")"),1.801631173E7)</f>
        <v>18016311.73</v>
      </c>
      <c r="J630" s="374">
        <f>IFERROR(__xludf.DUMMYFUNCTION("IMPORTRANGE(""https://docs.google.com/spreadsheets/d/1XL5vhW3sbDhbH9Cz0tuDiY8C3ctxq1tqvaCgkFb8cCA/edit?usp=sharing"",""เลย!J525"")"),788300.79)</f>
        <v>788300.79</v>
      </c>
      <c r="K630" s="375">
        <f t="shared" si="130"/>
        <v>4.375483738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IFERROR(__xludf.DUMMYFUNCTION("IMPORTRANGE(""https://docs.google.com/spreadsheets/d/1XL5vhW3sbDhbH9Cz0tuDiY8C3ctxq1tqvaCgkFb8cCA/edit?usp=sharing"",""เลย!I526"")"),510.0)</f>
        <v>510</v>
      </c>
      <c r="J631" s="374">
        <f>IFERROR(__xludf.DUMMYFUNCTION("IMPORTRANGE(""https://docs.google.com/spreadsheets/d/1XL5vhW3sbDhbH9Cz0tuDiY8C3ctxq1tqvaCgkFb8cCA/edit?usp=sharing"",""เลย!J526"")"),146.0)</f>
        <v>146</v>
      </c>
      <c r="K631" s="375">
        <f t="shared" si="130"/>
        <v>28.62745098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IFERROR(__xludf.DUMMYFUNCTION("IMPORTRANGE(""https://docs.google.com/spreadsheets/d/1XL5vhW3sbDhbH9Cz0tuDiY8C3ctxq1tqvaCgkFb8cCA/edit?usp=sharing"",""เลย!I527"")"),6149.25)</f>
        <v>6149.25</v>
      </c>
      <c r="J632" s="374">
        <f>IFERROR(__xludf.DUMMYFUNCTION("IMPORTRANGE(""https://docs.google.com/spreadsheets/d/1XL5vhW3sbDhbH9Cz0tuDiY8C3ctxq1tqvaCgkFb8cCA/edit?usp=sharing"",""เลย!J527"")"),690.75)</f>
        <v>690.75</v>
      </c>
      <c r="K632" s="375">
        <f t="shared" si="130"/>
        <v>11.2330772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IFERROR(__xludf.DUMMYFUNCTION("IMPORTRANGE(""https://docs.google.com/spreadsheets/d/1XL5vhW3sbDhbH9Cz0tuDiY8C3ctxq1tqvaCgkFb8cCA/edit?usp=sharing"",""เลย!I528"")"),4.0)</f>
        <v>4</v>
      </c>
      <c r="J633" s="374">
        <f>IFERROR(__xludf.DUMMYFUNCTION("IMPORTRANGE(""https://docs.google.com/spreadsheets/d/1XL5vhW3sbDhbH9Cz0tuDiY8C3ctxq1tqvaCgkFb8cCA/edit?usp=sharing"",""เลย!J528"")"),1.0)</f>
        <v>1</v>
      </c>
      <c r="K633" s="375">
        <f t="shared" si="130"/>
        <v>25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IFERROR(__xludf.DUMMYFUNCTION("IMPORTRANGE(""https://docs.google.com/spreadsheets/d/1XL5vhW3sbDhbH9Cz0tuDiY8C3ctxq1tqvaCgkFb8cCA/edit?usp=sharing"",""เลย!I529"")"),1.2E7)</f>
        <v>12000000</v>
      </c>
      <c r="J634" s="374">
        <f>IFERROR(__xludf.DUMMYFUNCTION("IMPORTRANGE(""https://docs.google.com/spreadsheets/d/1XL5vhW3sbDhbH9Cz0tuDiY8C3ctxq1tqvaCgkFb8cCA/edit?usp=sharing"",""เลย!J529"")"),0.0)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IFERROR(__xludf.DUMMYFUNCTION("IMPORTRANGE(""https://docs.google.com/spreadsheets/d/1XL5vhW3sbDhbH9Cz0tuDiY8C3ctxq1tqvaCgkFb8cCA/edit?usp=sharing"",""เลย!I530"")"),250.0)</f>
        <v>250</v>
      </c>
      <c r="J635" s="544">
        <f>IFERROR(__xludf.DUMMYFUNCTION("IMPORTRANGE(""https://docs.google.com/spreadsheets/d/1XL5vhW3sbDhbH9Cz0tuDiY8C3ctxq1tqvaCgkFb8cCA/edit?usp=sharing"",""เลย!J530"")"),0.0)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263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8795216</v>
      </c>
      <c r="M8" s="41">
        <f t="shared" si="1"/>
        <v>2464483</v>
      </c>
      <c r="N8" s="41">
        <f t="shared" si="1"/>
        <v>2644501.97</v>
      </c>
      <c r="O8" s="40">
        <f t="shared" ref="O8:O16" si="3">IF(L8&gt;0,N8*100/L8,0)</f>
        <v>30.06750454</v>
      </c>
      <c r="P8" s="40">
        <f t="shared" ref="P8:P16" si="4">IF(M8&gt;0,N8*100/M8,0)</f>
        <v>107.3045328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8795216</v>
      </c>
      <c r="M10" s="48">
        <f t="shared" si="5"/>
        <v>2464483</v>
      </c>
      <c r="N10" s="48">
        <f t="shared" si="5"/>
        <v>2644501.97</v>
      </c>
      <c r="O10" s="47">
        <f t="shared" si="3"/>
        <v>30.06750454</v>
      </c>
      <c r="P10" s="47">
        <f t="shared" si="4"/>
        <v>107.3045328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7678216</v>
      </c>
      <c r="M12" s="58">
        <f t="shared" si="7"/>
        <v>2464483</v>
      </c>
      <c r="N12" s="58">
        <f t="shared" si="7"/>
        <v>1707501.97</v>
      </c>
      <c r="O12" s="58">
        <f t="shared" si="3"/>
        <v>22.23826433</v>
      </c>
      <c r="P12" s="58">
        <f t="shared" si="4"/>
        <v>69.28438825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2353500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5324716</v>
      </c>
      <c r="M14" s="58">
        <f t="shared" si="9"/>
        <v>0</v>
      </c>
      <c r="N14" s="58">
        <f t="shared" si="9"/>
        <v>252354.97</v>
      </c>
      <c r="O14" s="61">
        <f t="shared" si="3"/>
        <v>4.739313233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1117000</v>
      </c>
      <c r="M16" s="58">
        <f t="shared" si="11"/>
        <v>0</v>
      </c>
      <c r="N16" s="58">
        <f t="shared" si="11"/>
        <v>937000</v>
      </c>
      <c r="O16" s="70">
        <f t="shared" si="3"/>
        <v>83.88540734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5612895</v>
      </c>
      <c r="M18" s="41">
        <f t="shared" si="12"/>
        <v>2464483</v>
      </c>
      <c r="N18" s="41">
        <f t="shared" si="12"/>
        <v>2392147</v>
      </c>
      <c r="O18" s="40">
        <f t="shared" ref="O18:O20" si="14">IF(L18&gt;0,N18*100/L18,0)</f>
        <v>42.61877338</v>
      </c>
      <c r="P18" s="40">
        <f t="shared" ref="P18:P26" si="15">IF(M18&gt;0,N18*100/M18,0)</f>
        <v>97.06486107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5612895</v>
      </c>
      <c r="M20" s="48">
        <f t="shared" si="16"/>
        <v>2464483</v>
      </c>
      <c r="N20" s="48">
        <f t="shared" si="16"/>
        <v>2392147</v>
      </c>
      <c r="O20" s="47">
        <f t="shared" si="14"/>
        <v>42.61877338</v>
      </c>
      <c r="P20" s="47">
        <f t="shared" si="15"/>
        <v>97.06486107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4495895</v>
      </c>
      <c r="M22" s="62">
        <f t="shared" si="18"/>
        <v>2464483</v>
      </c>
      <c r="N22" s="61">
        <f t="shared" si="18"/>
        <v>1455147</v>
      </c>
      <c r="O22" s="61">
        <f t="shared" si="19"/>
        <v>32.3661251</v>
      </c>
      <c r="P22" s="61">
        <f t="shared" si="15"/>
        <v>59.04471648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2353500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2142395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1117000</v>
      </c>
      <c r="M26" s="70">
        <f t="shared" si="23"/>
        <v>0</v>
      </c>
      <c r="N26" s="70">
        <f t="shared" si="23"/>
        <v>937000</v>
      </c>
      <c r="O26" s="70">
        <f t="shared" si="19"/>
        <v>83.88540734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3182321</v>
      </c>
      <c r="M28" s="41">
        <f t="shared" si="24"/>
        <v>0</v>
      </c>
      <c r="N28" s="41">
        <f t="shared" si="24"/>
        <v>252354.97</v>
      </c>
      <c r="O28" s="40">
        <f t="shared" ref="O28:O30" si="26">IF(L28&gt;0,N28*100/L28,0)</f>
        <v>7.929903049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3182321</v>
      </c>
      <c r="M30" s="48">
        <f t="shared" si="28"/>
        <v>0</v>
      </c>
      <c r="N30" s="48">
        <f t="shared" si="28"/>
        <v>252354.97</v>
      </c>
      <c r="O30" s="47">
        <f t="shared" si="26"/>
        <v>7.929903049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3182321</v>
      </c>
      <c r="M32" s="61">
        <f t="shared" si="30"/>
        <v>0</v>
      </c>
      <c r="N32" s="61">
        <f t="shared" si="30"/>
        <v>252354.97</v>
      </c>
      <c r="O32" s="61">
        <f t="shared" si="31"/>
        <v>7.929903049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3182321</v>
      </c>
      <c r="M34" s="61">
        <f t="shared" si="33"/>
        <v>0</v>
      </c>
      <c r="N34" s="61">
        <f t="shared" si="33"/>
        <v>252354.97</v>
      </c>
      <c r="O34" s="61">
        <f t="shared" si="31"/>
        <v>7.929903049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5612895</v>
      </c>
      <c r="M37" s="75">
        <f t="shared" si="34"/>
        <v>2464483</v>
      </c>
      <c r="N37" s="75">
        <f t="shared" si="34"/>
        <v>2392147</v>
      </c>
      <c r="O37" s="76">
        <f t="shared" si="31"/>
        <v>42.61877338</v>
      </c>
      <c r="P37" s="76">
        <f t="shared" si="27"/>
        <v>97.06486107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1934100</v>
      </c>
      <c r="M41" s="102">
        <f t="shared" si="35"/>
        <v>417000</v>
      </c>
      <c r="N41" s="102">
        <f t="shared" si="35"/>
        <v>1217712</v>
      </c>
      <c r="O41" s="101">
        <f t="shared" ref="O41:O43" si="37">IF(L41&gt;0,N41*100/L41,0)</f>
        <v>62.9601365</v>
      </c>
      <c r="P41" s="101">
        <f t="shared" ref="P41:P43" si="38">IF(M41&gt;0,N41*100/M41,0)</f>
        <v>292.0172662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1934100</v>
      </c>
      <c r="M43" s="102">
        <f t="shared" si="39"/>
        <v>417000</v>
      </c>
      <c r="N43" s="102">
        <f t="shared" si="39"/>
        <v>1217712</v>
      </c>
      <c r="O43" s="101">
        <f t="shared" si="37"/>
        <v>62.9601365</v>
      </c>
      <c r="P43" s="101">
        <f t="shared" si="38"/>
        <v>292.0172662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834100</v>
      </c>
      <c r="M45" s="115">
        <f>IFERROR(__xludf.DUMMYFUNCTION("IMPORTRANGE(""https://docs.google.com/spreadsheets/d/1Yj_ptqi66GCucihVvJfMjLAmec39IyEx_6qawtMGysU/edit?usp=sharing"",""สบก!Q50"")"),417000.0)</f>
        <v>417000</v>
      </c>
      <c r="N45" s="115">
        <f>IFERROR(__xludf.DUMMYFUNCTION("IMPORTRANGE(""https://docs.google.com/spreadsheets/d/1Yj_ptqi66GCucihVvJfMjLAmec39IyEx_6qawtMGysU/edit?usp=sharing"",""สบก!R50"")"),297712.0)</f>
        <v>297712</v>
      </c>
      <c r="O45" s="116">
        <f>IF(L45&gt;0,N45*100/L45,0)</f>
        <v>35.69260281</v>
      </c>
      <c r="P45" s="116">
        <f>IF(M45&gt;0,N45*100/M45,0)</f>
        <v>71.39376499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IFERROR(__xludf.DUMMYFUNCTION("IMPORTRANGE(""https://docs.google.com/spreadsheets/d/1Yj_ptqi66GCucihVvJfMjLAmec39IyEx_6qawtMGysU/edit?usp=sharing"",""สบก!M50"")"),834100.0)</f>
        <v>834100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IFERROR(__xludf.DUMMYFUNCTION("IMPORTRANGE(""https://docs.google.com/spreadsheets/d/1Yj_ptqi66GCucihVvJfMjLAmec39IyEx_6qawtMGysU/edit?usp=sharing"",""สบก!N50"")"),0.0)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IFERROR(__xludf.DUMMYFUNCTION("IMPORTRANGE(""https://docs.google.com/spreadsheets/d/1Yj_ptqi66GCucihVvJfMjLAmec39IyEx_6qawtMGysU/edit?usp=sharing"",""สบก!O50"")"),1100000.0)</f>
        <v>1100000</v>
      </c>
      <c r="M49" s="125"/>
      <c r="N49" s="115">
        <f>IFERROR(__xludf.DUMMYFUNCTION("IMPORTRANGE(""https://docs.google.com/spreadsheets/d/1Yj_ptqi66GCucihVvJfMjLAmec39IyEx_6qawtMGysU/edit?usp=sharing"",""สบก!S50"")"),920000.0)</f>
        <v>920000</v>
      </c>
      <c r="O49" s="125">
        <f>IF(L49&gt;0,N49*100/L49,0)</f>
        <v>83.63636364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687600</v>
      </c>
      <c r="M53" s="151">
        <f t="shared" si="40"/>
        <v>361008</v>
      </c>
      <c r="N53" s="151">
        <f t="shared" si="40"/>
        <v>274022</v>
      </c>
      <c r="O53" s="150">
        <f t="shared" ref="O53:O55" si="42">IF(L53&gt;0,N53*100/L53,0)</f>
        <v>39.85194881</v>
      </c>
      <c r="P53" s="150">
        <f t="shared" ref="P53:P55" si="43">IF(M53&gt;0,N53*100/M53,0)</f>
        <v>75.90468909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687600</v>
      </c>
      <c r="M55" s="151">
        <f t="shared" si="44"/>
        <v>361008</v>
      </c>
      <c r="N55" s="151">
        <f t="shared" si="44"/>
        <v>274022</v>
      </c>
      <c r="O55" s="150">
        <f t="shared" si="42"/>
        <v>39.85194881</v>
      </c>
      <c r="P55" s="150">
        <f t="shared" si="43"/>
        <v>75.90468909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687600</v>
      </c>
      <c r="M57" s="115">
        <f>IFERROR(__xludf.DUMMYFUNCTION("IMPORTRANGE(""https://docs.google.com/spreadsheets/d/1Yj_ptqi66GCucihVvJfMjLAmec39IyEx_6qawtMGysU/edit?usp=sharing"",""สบก!Z50"")"),361008.0)</f>
        <v>361008</v>
      </c>
      <c r="N57" s="115">
        <f>IFERROR(__xludf.DUMMYFUNCTION("IMPORTRANGE(""https://docs.google.com/spreadsheets/d/1Yj_ptqi66GCucihVvJfMjLAmec39IyEx_6qawtMGysU/edit?usp=sharing"",""สบก!AA50"")"),274022.0)</f>
        <v>274022</v>
      </c>
      <c r="O57" s="116">
        <f>IF(L57&gt;0,N57*100/L57,0)</f>
        <v>39.85194881</v>
      </c>
      <c r="P57" s="116">
        <f>IF(M57&gt;0,N57*100/M57,0)</f>
        <v>75.90468909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IFERROR(__xludf.DUMMYFUNCTION("IMPORTRANGE(""https://docs.google.com/spreadsheets/d/1Yj_ptqi66GCucihVvJfMjLAmec39IyEx_6qawtMGysU/edit?usp=sharing"",""สบก!V50"")"),687600.0)</f>
        <v>687600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IFERROR(__xludf.DUMMYFUNCTION("IMPORTRANGE(""https://docs.google.com/spreadsheets/d/1Yj_ptqi66GCucihVvJfMjLAmec39IyEx_6qawtMGysU/edit?usp=sharing"",""สบก!W50"")"),0.0)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IFERROR(__xludf.DUMMYFUNCTION("IMPORTRANGE(""https://docs.google.com/spreadsheets/d/1Yj_ptqi66GCucihVvJfMjLAmec39IyEx_6qawtMGysU/edit?usp=sharing"",""สบก!X50"")"),0.0)</f>
        <v>0</v>
      </c>
      <c r="M61" s="125"/>
      <c r="N61" s="115">
        <f>IFERROR(__xludf.DUMMYFUNCTION("IMPORTRANGE(""https://docs.google.com/spreadsheets/d/1Yj_ptqi66GCucihVvJfMjLAmec39IyEx_6qawtMGysU/edit?usp=sharing"",""สบก!AB50"")"),0.0)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IFERROR(__xludf.DUMMYFUNCTION("IMPORTRANGE(""https://docs.google.com/spreadsheets/d/1XL5vhW3sbDhbH9Cz0tuDiY8C3ctxq1tqvaCgkFb8cCA/edit?usp=sharing"",""ศรีสะเกษ!I9"")"),1.0)</f>
        <v>1</v>
      </c>
      <c r="J64" s="172">
        <f>IFERROR(__xludf.DUMMYFUNCTION("IMPORTRANGE(""https://docs.google.com/spreadsheets/d/1XL5vhW3sbDhbH9Cz0tuDiY8C3ctxq1tqvaCgkFb8cCA/edit?usp=sharing"",""ศรีสะเกษ!J9"")"),1.0)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IFERROR(__xludf.DUMMYFUNCTION("IMPORTRANGE(""https://docs.google.com/spreadsheets/d/1XL5vhW3sbDhbH9Cz0tuDiY8C3ctxq1tqvaCgkFb8cCA/edit?usp=sharing"",""ศรีสะเกษ!I10"")"),71.0)</f>
        <v>71</v>
      </c>
      <c r="J65" s="172">
        <f>IFERROR(__xludf.DUMMYFUNCTION("IMPORTRANGE(""https://docs.google.com/spreadsheets/d/1XL5vhW3sbDhbH9Cz0tuDiY8C3ctxq1tqvaCgkFb8cCA/edit?usp=sharing"",""ศรีสะเกษ!J10"")"),71.0)</f>
        <v>71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926600</v>
      </c>
      <c r="M66" s="183">
        <f t="shared" si="46"/>
        <v>499920</v>
      </c>
      <c r="N66" s="183">
        <f t="shared" si="46"/>
        <v>343368</v>
      </c>
      <c r="O66" s="182">
        <f t="shared" ref="O66:O68" si="48">IF(L66&gt;0,N66*100/L66,0)</f>
        <v>37.05676667</v>
      </c>
      <c r="P66" s="182">
        <f t="shared" ref="P66:P68" si="49">IF(M66&gt;0,N66*100/M66,0)</f>
        <v>68.68458953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926600</v>
      </c>
      <c r="M68" s="188">
        <f t="shared" si="50"/>
        <v>499920</v>
      </c>
      <c r="N68" s="188">
        <f t="shared" si="50"/>
        <v>343368</v>
      </c>
      <c r="O68" s="187">
        <f t="shared" si="48"/>
        <v>37.05676667</v>
      </c>
      <c r="P68" s="187">
        <f t="shared" si="49"/>
        <v>68.68458953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926600</v>
      </c>
      <c r="M70" s="201">
        <f>IFERROR(__xludf.DUMMYFUNCTION("IMPORTRANGE(""https://docs.google.com/spreadsheets/d/1Yj_ptqi66GCucihVvJfMjLAmec39IyEx_6qawtMGysU/edit?usp=sharing"",""สบก!AI50"")"),499920.0)</f>
        <v>499920</v>
      </c>
      <c r="N70" s="202">
        <f>IFERROR(__xludf.DUMMYFUNCTION("IMPORTRANGE(""https://docs.google.com/spreadsheets/d/1Yj_ptqi66GCucihVvJfMjLAmec39IyEx_6qawtMGysU/edit?usp=sharing"",""สบก!AJ50"")"),343368.0)</f>
        <v>343368</v>
      </c>
      <c r="O70" s="203">
        <f>IF(L70&gt;0,N70*100/L70,0)</f>
        <v>37.05676667</v>
      </c>
      <c r="P70" s="203">
        <f>IF(M70&gt;0,N70*100/M70,0)</f>
        <v>68.68458953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IFERROR(__xludf.DUMMYFUNCTION("IMPORTRANGE(""https://docs.google.com/spreadsheets/d/1Yj_ptqi66GCucihVvJfMjLAmec39IyEx_6qawtMGysU/edit?usp=sharing"",""สบก!AE50"")"),331400.0)</f>
        <v>331400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IFERROR(__xludf.DUMMYFUNCTION("IMPORTRANGE(""https://docs.google.com/spreadsheets/d/1Yj_ptqi66GCucihVvJfMjLAmec39IyEx_6qawtMGysU/edit?usp=sharing"",""สบก!AF50"")"),595200.0)</f>
        <v>595200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IFERROR(__xludf.DUMMYFUNCTION("IMPORTRANGE(""https://docs.google.com/spreadsheets/d/1Yj_ptqi66GCucihVvJfMjLAmec39IyEx_6qawtMGysU/edit?usp=sharing"",""สบก!AG50"")"),0.0)</f>
        <v>0</v>
      </c>
      <c r="M74" s="125"/>
      <c r="N74" s="115">
        <f>IFERROR(__xludf.DUMMYFUNCTION("IMPORTRANGE(""https://docs.google.com/spreadsheets/d/1Yj_ptqi66GCucihVvJfMjLAmec39IyEx_6qawtMGysU/edit?usp=sharing"",""สบก!AK50"")"),0.0)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IFERROR(__xludf.DUMMYFUNCTION("IMPORTRANGE(""https://docs.google.com/spreadsheets/d/1XL5vhW3sbDhbH9Cz0tuDiY8C3ctxq1tqvaCgkFb8cCA/edit?usp=sharing"",""ศรีสะเกษ!J16"")"),0.0)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IFERROR(__xludf.DUMMYFUNCTION("IMPORTRANGE(""https://docs.google.com/spreadsheets/d/1XL5vhW3sbDhbH9Cz0tuDiY8C3ctxq1tqvaCgkFb8cCA/edit?usp=sharing"",""ศรีสะเกษ!J17"")"),1.0)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IFERROR(__xludf.DUMMYFUNCTION("IMPORTRANGE(""https://docs.google.com/spreadsheets/d/1XL5vhW3sbDhbH9Cz0tuDiY8C3ctxq1tqvaCgkFb8cCA/edit?usp=sharing"",""ศรีสะเกษ!J18"")"),1.0)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IFERROR(__xludf.DUMMYFUNCTION("IMPORTRANGE(""https://docs.google.com/spreadsheets/d/1XL5vhW3sbDhbH9Cz0tuDiY8C3ctxq1tqvaCgkFb8cCA/edit?usp=sharing"",""ศรีสะเกษ!J19"")"),1.0)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IFERROR(__xludf.DUMMYFUNCTION("IMPORTRANGE(""https://docs.google.com/spreadsheets/d/1XL5vhW3sbDhbH9Cz0tuDiY8C3ctxq1tqvaCgkFb8cCA/edit?usp=sharing"",""ศรีสะเกษ!I20"")"),1.0)</f>
        <v>1</v>
      </c>
      <c r="J80" s="235">
        <f>IFERROR(__xludf.DUMMYFUNCTION("IMPORTRANGE(""https://docs.google.com/spreadsheets/d/1XL5vhW3sbDhbH9Cz0tuDiY8C3ctxq1tqvaCgkFb8cCA/edit?usp=sharing"",""ศรีสะเกษ!J20"")"),1.0)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IFERROR(__xludf.DUMMYFUNCTION("IMPORTRANGE(""https://docs.google.com/spreadsheets/d/1XL5vhW3sbDhbH9Cz0tuDiY8C3ctxq1tqvaCgkFb8cCA/edit?usp=sharing"",""ศรีสะเกษ!I21"")"),71.0)</f>
        <v>71</v>
      </c>
      <c r="J81" s="235">
        <f>IFERROR(__xludf.DUMMYFUNCTION("IMPORTRANGE(""https://docs.google.com/spreadsheets/d/1XL5vhW3sbDhbH9Cz0tuDiY8C3ctxq1tqvaCgkFb8cCA/edit?usp=sharing"",""ศรีสะเกษ!J21"")"),71.0)</f>
        <v>71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IFERROR(__xludf.DUMMYFUNCTION("IMPORTRANGE(""https://docs.google.com/spreadsheets/d/1XL5vhW3sbDhbH9Cz0tuDiY8C3ctxq1tqvaCgkFb8cCA/edit?usp=sharing"",""ศรีสะเกษ!I22"")"),0.0)</f>
        <v>0</v>
      </c>
      <c r="J82" s="238">
        <f>IFERROR(__xludf.DUMMYFUNCTION("IMPORTRANGE(""https://docs.google.com/spreadsheets/d/1XL5vhW3sbDhbH9Cz0tuDiY8C3ctxq1tqvaCgkFb8cCA/edit?usp=sharing"",""ศรีสะเกษ!J22"")"),0.0)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IFERROR(__xludf.DUMMYFUNCTION("IMPORTRANGE(""https://docs.google.com/spreadsheets/d/1XL5vhW3sbDhbH9Cz0tuDiY8C3ctxq1tqvaCgkFb8cCA/edit?usp=sharing"",""ศรีสะเกษ!I23"")"),0.0)</f>
        <v>0</v>
      </c>
      <c r="J83" s="238">
        <f>IFERROR(__xludf.DUMMYFUNCTION("IMPORTRANGE(""https://docs.google.com/spreadsheets/d/1XL5vhW3sbDhbH9Cz0tuDiY8C3ctxq1tqvaCgkFb8cCA/edit?usp=sharing"",""ศรีสะเกษ!J23"")"),0.0)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IFERROR(__xludf.DUMMYFUNCTION("IMPORTRANGE(""https://docs.google.com/spreadsheets/d/1XL5vhW3sbDhbH9Cz0tuDiY8C3ctxq1tqvaCgkFb8cCA/edit?usp=sharing"",""ศรีสะเกษ!I24"")"),1.0)</f>
        <v>1</v>
      </c>
      <c r="J84" s="223">
        <f>IFERROR(__xludf.DUMMYFUNCTION("IMPORTRANGE(""https://docs.google.com/spreadsheets/d/1XL5vhW3sbDhbH9Cz0tuDiY8C3ctxq1tqvaCgkFb8cCA/edit?usp=sharing"",""ศรีสะเกษ!J24"")"),1.0)</f>
        <v>1</v>
      </c>
      <c r="K84" s="196">
        <f t="shared" si="51"/>
        <v>100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IFERROR(__xludf.DUMMYFUNCTION("IMPORTRANGE(""https://docs.google.com/spreadsheets/d/1XL5vhW3sbDhbH9Cz0tuDiY8C3ctxq1tqvaCgkFb8cCA/edit?usp=sharing"",""ศรีสะเกษ!I25"")"),71.0)</f>
        <v>71</v>
      </c>
      <c r="J85" s="223">
        <f>IFERROR(__xludf.DUMMYFUNCTION("IMPORTRANGE(""https://docs.google.com/spreadsheets/d/1XL5vhW3sbDhbH9Cz0tuDiY8C3ctxq1tqvaCgkFb8cCA/edit?usp=sharing"",""ศรีสะเกษ!J25"")"),71.0)</f>
        <v>71</v>
      </c>
      <c r="K85" s="196">
        <f t="shared" si="51"/>
        <v>100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IFERROR(__xludf.DUMMYFUNCTION("IMPORTRANGE(""https://docs.google.com/spreadsheets/d/1XL5vhW3sbDhbH9Cz0tuDiY8C3ctxq1tqvaCgkFb8cCA/edit?usp=sharing"",""ศรีสะเกษ!I26"")"),0.0)</f>
        <v>0</v>
      </c>
      <c r="J86" s="238">
        <f>IFERROR(__xludf.DUMMYFUNCTION("IMPORTRANGE(""https://docs.google.com/spreadsheets/d/1XL5vhW3sbDhbH9Cz0tuDiY8C3ctxq1tqvaCgkFb8cCA/edit?usp=sharing"",""ศรีสะเกษ!J26"")"),0.0)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IFERROR(__xludf.DUMMYFUNCTION("IMPORTRANGE(""https://docs.google.com/spreadsheets/d/1XL5vhW3sbDhbH9Cz0tuDiY8C3ctxq1tqvaCgkFb8cCA/edit?usp=sharing"",""ศรีสะเกษ!I27"")"),0.0)</f>
        <v>0</v>
      </c>
      <c r="J87" s="238">
        <f>IFERROR(__xludf.DUMMYFUNCTION("IMPORTRANGE(""https://docs.google.com/spreadsheets/d/1XL5vhW3sbDhbH9Cz0tuDiY8C3ctxq1tqvaCgkFb8cCA/edit?usp=sharing"",""ศรีสะเกษ!J27"")"),0.0)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IFERROR(__xludf.DUMMYFUNCTION("IMPORTRANGE(""https://docs.google.com/spreadsheets/d/1XL5vhW3sbDhbH9Cz0tuDiY8C3ctxq1tqvaCgkFb8cCA/edit?usp=sharing"",""ศรีสะเกษ!I28"")"),0.0)</f>
        <v>0</v>
      </c>
      <c r="J88" s="238">
        <f>IFERROR(__xludf.DUMMYFUNCTION("IMPORTRANGE(""https://docs.google.com/spreadsheets/d/1XL5vhW3sbDhbH9Cz0tuDiY8C3ctxq1tqvaCgkFb8cCA/edit?usp=sharing"",""ศรีสะเกษ!J28"")"),0.0)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IFERROR(__xludf.DUMMYFUNCTION("IMPORTRANGE(""https://docs.google.com/spreadsheets/d/1XL5vhW3sbDhbH9Cz0tuDiY8C3ctxq1tqvaCgkFb8cCA/edit?usp=sharing"",""ศรีสะเกษ!J29"")"),0.0)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IFERROR(__xludf.DUMMYFUNCTION("IMPORTRANGE(""https://docs.google.com/spreadsheets/d/1XL5vhW3sbDhbH9Cz0tuDiY8C3ctxq1tqvaCgkFb8cCA/edit?usp=sharing"",""ศรีสะเกษ!J30"")"),0.0)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IFERROR(__xludf.DUMMYFUNCTION("IMPORTRANGE(""https://docs.google.com/spreadsheets/d/1XL5vhW3sbDhbH9Cz0tuDiY8C3ctxq1tqvaCgkFb8cCA/edit?usp=sharing"",""ศรีสะเกษ!I32"")"),0.0)</f>
        <v>0</v>
      </c>
      <c r="J92" s="172">
        <f>IFERROR(__xludf.DUMMYFUNCTION("IMPORTRANGE(""https://docs.google.com/spreadsheets/d/1XL5vhW3sbDhbH9Cz0tuDiY8C3ctxq1tqvaCgkFb8cCA/edit?usp=sharing"",""ศรีสะเกษ!J32"")"),0.0)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IFERROR(__xludf.DUMMYFUNCTION("IMPORTRANGE(""https://docs.google.com/spreadsheets/d/1XL5vhW3sbDhbH9Cz0tuDiY8C3ctxq1tqvaCgkFb8cCA/edit?usp=sharing"",""ศรีสะเกษ!I33"")"),0.0)</f>
        <v>0</v>
      </c>
      <c r="J93" s="172">
        <f>IFERROR(__xludf.DUMMYFUNCTION("IMPORTRANGE(""https://docs.google.com/spreadsheets/d/1XL5vhW3sbDhbH9Cz0tuDiY8C3ctxq1tqvaCgkFb8cCA/edit?usp=sharing"",""ศรีสะเกษ!J33"")"),0.0)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IFERROR(__xludf.DUMMYFUNCTION("IMPORTRANGE(""https://docs.google.com/spreadsheets/d/1Yj_ptqi66GCucihVvJfMjLAmec39IyEx_6qawtMGysU/edit?usp=sharing"",""สบก!AR50"")"),0.0)</f>
        <v>0</v>
      </c>
      <c r="N98" s="202">
        <f>IFERROR(__xludf.DUMMYFUNCTION("IMPORTRANGE(""https://docs.google.com/spreadsheets/d/1Yj_ptqi66GCucihVvJfMjLAmec39IyEx_6qawtMGysU/edit?usp=sharing"",""สบก!AS50"")"),0.0)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IFERROR(__xludf.DUMMYFUNCTION("IMPORTRANGE(""https://docs.google.com/spreadsheets/d/1Yj_ptqi66GCucihVvJfMjLAmec39IyEx_6qawtMGysU/edit?usp=sharing"",""สบก!AN50"")"),0.0)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IFERROR(__xludf.DUMMYFUNCTION("IMPORTRANGE(""https://docs.google.com/spreadsheets/d/1Yj_ptqi66GCucihVvJfMjLAmec39IyEx_6qawtMGysU/edit?usp=sharing"",""สบก!AO50"")"),0.0)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IFERROR(__xludf.DUMMYFUNCTION("IMPORTRANGE(""https://docs.google.com/spreadsheets/d/1Yj_ptqi66GCucihVvJfMjLAmec39IyEx_6qawtMGysU/edit?usp=sharing"",""สบก!AP50"")"),0.0)</f>
        <v>0</v>
      </c>
      <c r="M102" s="125"/>
      <c r="N102" s="115">
        <f>IFERROR(__xludf.DUMMYFUNCTION("IMPORTRANGE(""https://docs.google.com/spreadsheets/d/1Yj_ptqi66GCucihVvJfMjLAmec39IyEx_6qawtMGysU/edit?usp=sharing"",""สบก!AT50"")"),0.0)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IFERROR(__xludf.DUMMYFUNCTION("IMPORTRANGE(""https://docs.google.com/spreadsheets/d/1XL5vhW3sbDhbH9Cz0tuDiY8C3ctxq1tqvaCgkFb8cCA/edit?usp=sharing"",""ศรีสะเกษ!J39"")"),0.0)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IFERROR(__xludf.DUMMYFUNCTION("IMPORTRANGE(""https://docs.google.com/spreadsheets/d/1XL5vhW3sbDhbH9Cz0tuDiY8C3ctxq1tqvaCgkFb8cCA/edit?usp=sharing"",""ศรีสะเกษ!J40"")"),0.0)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IFERROR(__xludf.DUMMYFUNCTION("IMPORTRANGE(""https://docs.google.com/spreadsheets/d/1XL5vhW3sbDhbH9Cz0tuDiY8C3ctxq1tqvaCgkFb8cCA/edit?usp=sharing"",""ศรีสะเกษ!J41"")"),0.0)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IFERROR(__xludf.DUMMYFUNCTION("IMPORTRANGE(""https://docs.google.com/spreadsheets/d/1XL5vhW3sbDhbH9Cz0tuDiY8C3ctxq1tqvaCgkFb8cCA/edit?usp=sharing"",""ศรีสะเกษ!J42"")"),0.0)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IFERROR(__xludf.DUMMYFUNCTION("IMPORTRANGE(""https://docs.google.com/spreadsheets/d/1XL5vhW3sbDhbH9Cz0tuDiY8C3ctxq1tqvaCgkFb8cCA/edit?usp=sharing"",""ศรีสะเกษ!I43"")"),0.0)</f>
        <v>0</v>
      </c>
      <c r="J108" s="238">
        <f>IFERROR(__xludf.DUMMYFUNCTION("IMPORTRANGE(""https://docs.google.com/spreadsheets/d/1XL5vhW3sbDhbH9Cz0tuDiY8C3ctxq1tqvaCgkFb8cCA/edit?usp=sharing"",""ศรีสะเกษ!J43"")"),0.0)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IFERROR(__xludf.DUMMYFUNCTION("IMPORTRANGE(""https://docs.google.com/spreadsheets/d/1XL5vhW3sbDhbH9Cz0tuDiY8C3ctxq1tqvaCgkFb8cCA/edit?usp=sharing"",""ศรีสะเกษ!I44"")"),0.0)</f>
        <v>0</v>
      </c>
      <c r="J109" s="238">
        <f>IFERROR(__xludf.DUMMYFUNCTION("IMPORTRANGE(""https://docs.google.com/spreadsheets/d/1XL5vhW3sbDhbH9Cz0tuDiY8C3ctxq1tqvaCgkFb8cCA/edit?usp=sharing"",""ศรีสะเกษ!J44"")"),0.0)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IFERROR(__xludf.DUMMYFUNCTION("IMPORTRANGE(""https://docs.google.com/spreadsheets/d/1XL5vhW3sbDhbH9Cz0tuDiY8C3ctxq1tqvaCgkFb8cCA/edit?usp=sharing"",""ศรีสะเกษ!I45"")"),0.0)</f>
        <v>0</v>
      </c>
      <c r="J110" s="238">
        <f>IFERROR(__xludf.DUMMYFUNCTION("IMPORTRANGE(""https://docs.google.com/spreadsheets/d/1XL5vhW3sbDhbH9Cz0tuDiY8C3ctxq1tqvaCgkFb8cCA/edit?usp=sharing"",""ศรีสะเกษ!J45"")"),0.0)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IFERROR(__xludf.DUMMYFUNCTION("IMPORTRANGE(""https://docs.google.com/spreadsheets/d/1XL5vhW3sbDhbH9Cz0tuDiY8C3ctxq1tqvaCgkFb8cCA/edit?usp=sharing"",""ศรีสะเกษ!I46"")"),0.0)</f>
        <v>0</v>
      </c>
      <c r="J111" s="238">
        <f>IFERROR(__xludf.DUMMYFUNCTION("IMPORTRANGE(""https://docs.google.com/spreadsheets/d/1XL5vhW3sbDhbH9Cz0tuDiY8C3ctxq1tqvaCgkFb8cCA/edit?usp=sharing"",""ศรีสะเกษ!J46"")"),0.0)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IFERROR(__xludf.DUMMYFUNCTION("IMPORTRANGE(""https://docs.google.com/spreadsheets/d/1XL5vhW3sbDhbH9Cz0tuDiY8C3ctxq1tqvaCgkFb8cCA/edit?usp=sharing"",""ศรีสะเกษ!I47"")"),0.0)</f>
        <v>0</v>
      </c>
      <c r="J112" s="238">
        <f>IFERROR(__xludf.DUMMYFUNCTION("IMPORTRANGE(""https://docs.google.com/spreadsheets/d/1XL5vhW3sbDhbH9Cz0tuDiY8C3ctxq1tqvaCgkFb8cCA/edit?usp=sharing"",""ศรีสะเกษ!J47"")"),0.0)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IFERROR(__xludf.DUMMYFUNCTION("IMPORTRANGE(""https://docs.google.com/spreadsheets/d/1XL5vhW3sbDhbH9Cz0tuDiY8C3ctxq1tqvaCgkFb8cCA/edit?usp=sharing"",""ศรีสะเกษ!I48"")"),0.0)</f>
        <v>0</v>
      </c>
      <c r="J113" s="238">
        <f>IFERROR(__xludf.DUMMYFUNCTION("IMPORTRANGE(""https://docs.google.com/spreadsheets/d/1XL5vhW3sbDhbH9Cz0tuDiY8C3ctxq1tqvaCgkFb8cCA/edit?usp=sharing"",""ศรีสะเกษ!J48"")"),0.0)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IFERROR(__xludf.DUMMYFUNCTION("IMPORTRANGE(""https://docs.google.com/spreadsheets/d/1XL5vhW3sbDhbH9Cz0tuDiY8C3ctxq1tqvaCgkFb8cCA/edit?usp=sharing"",""ศรีสะเกษ!J49"")"),0.0)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IFERROR(__xludf.DUMMYFUNCTION("IMPORTRANGE(""https://docs.google.com/spreadsheets/d/1XL5vhW3sbDhbH9Cz0tuDiY8C3ctxq1tqvaCgkFb8cCA/edit?usp=sharing"",""ศรีสะเกษ!J50"")"),0.0)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IFERROR(__xludf.DUMMYFUNCTION("IMPORTRANGE(""https://docs.google.com/spreadsheets/d/1XL5vhW3sbDhbH9Cz0tuDiY8C3ctxq1tqvaCgkFb8cCA/edit?usp=sharing"",""ศรีสะเกษ!I52"")"),0.0)</f>
        <v>0</v>
      </c>
      <c r="J117" s="172">
        <f>IFERROR(__xludf.DUMMYFUNCTION("IMPORTRANGE(""https://docs.google.com/spreadsheets/d/1XL5vhW3sbDhbH9Cz0tuDiY8C3ctxq1tqvaCgkFb8cCA/edit?usp=sharing"",""ศรีสะเกษ!J52"")"),0.0)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IFERROR(__xludf.DUMMYFUNCTION("IMPORTRANGE(""https://docs.google.com/spreadsheets/d/1Yj_ptqi66GCucihVvJfMjLAmec39IyEx_6qawtMGysU/edit?usp=sharing"",""สบก!BA50"")"),0.0)</f>
        <v>0</v>
      </c>
      <c r="N122" s="202">
        <f>IFERROR(__xludf.DUMMYFUNCTION("IMPORTRANGE(""https://docs.google.com/spreadsheets/d/1Yj_ptqi66GCucihVvJfMjLAmec39IyEx_6qawtMGysU/edit?usp=sharing"",""สบก!BB50"")"),0.0)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IFERROR(__xludf.DUMMYFUNCTION("IMPORTRANGE(""https://docs.google.com/spreadsheets/d/1Yj_ptqi66GCucihVvJfMjLAmec39IyEx_6qawtMGysU/edit?usp=sharing"",""สบก!AW50"")"),0.0)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IFERROR(__xludf.DUMMYFUNCTION("IMPORTRANGE(""https://docs.google.com/spreadsheets/d/1Yj_ptqi66GCucihVvJfMjLAmec39IyEx_6qawtMGysU/edit?usp=sharing"",""สบก!AX50"")"),0.0)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IFERROR(__xludf.DUMMYFUNCTION("IMPORTRANGE(""https://docs.google.com/spreadsheets/d/1Yj_ptqi66GCucihVvJfMjLAmec39IyEx_6qawtMGysU/edit?usp=sharing"",""สบก!AY50"")"),0.0)</f>
        <v>0</v>
      </c>
      <c r="M126" s="125"/>
      <c r="N126" s="115">
        <f>IFERROR(__xludf.DUMMYFUNCTION("IMPORTRANGE(""https://docs.google.com/spreadsheets/d/1Yj_ptqi66GCucihVvJfMjLAmec39IyEx_6qawtMGysU/edit?usp=sharing"",""สบก!BC50"")"),0.0)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IFERROR(__xludf.DUMMYFUNCTION("IMPORTRANGE(""https://docs.google.com/spreadsheets/d/1XL5vhW3sbDhbH9Cz0tuDiY8C3ctxq1tqvaCgkFb8cCA/edit?usp=sharing"",""ศรีสะเกษ!J58"")"),0.0)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IFERROR(__xludf.DUMMYFUNCTION("IMPORTRANGE(""https://docs.google.com/spreadsheets/d/1XL5vhW3sbDhbH9Cz0tuDiY8C3ctxq1tqvaCgkFb8cCA/edit?usp=sharing"",""ศรีสะเกษ!J59"")"),0.0)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IFERROR(__xludf.DUMMYFUNCTION("IMPORTRANGE(""https://docs.google.com/spreadsheets/d/1XL5vhW3sbDhbH9Cz0tuDiY8C3ctxq1tqvaCgkFb8cCA/edit?usp=sharing"",""ศรีสะเกษ!J60"")"),0.0)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IFERROR(__xludf.DUMMYFUNCTION("IMPORTRANGE(""https://docs.google.com/spreadsheets/d/1XL5vhW3sbDhbH9Cz0tuDiY8C3ctxq1tqvaCgkFb8cCA/edit?usp=sharing"",""ศรีสะเกษ!J61"")"),0.0)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IFERROR(__xludf.DUMMYFUNCTION("IMPORTRANGE(""https://docs.google.com/spreadsheets/d/1XL5vhW3sbDhbH9Cz0tuDiY8C3ctxq1tqvaCgkFb8cCA/edit?usp=sharing"",""ศรีสะเกษ!I62"")"),0.0)</f>
        <v>0</v>
      </c>
      <c r="J132" s="238">
        <f>IFERROR(__xludf.DUMMYFUNCTION("IMPORTRANGE(""https://docs.google.com/spreadsheets/d/1XL5vhW3sbDhbH9Cz0tuDiY8C3ctxq1tqvaCgkFb8cCA/edit?usp=sharing"",""ศรีสะเกษ!J62"")"),0.0)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IFERROR(__xludf.DUMMYFUNCTION("IMPORTRANGE(""https://docs.google.com/spreadsheets/d/1XL5vhW3sbDhbH9Cz0tuDiY8C3ctxq1tqvaCgkFb8cCA/edit?usp=sharing"",""ศรีสะเกษ!I63"")"),0.0)</f>
        <v>0</v>
      </c>
      <c r="J133" s="238">
        <f>IFERROR(__xludf.DUMMYFUNCTION("IMPORTRANGE(""https://docs.google.com/spreadsheets/d/1XL5vhW3sbDhbH9Cz0tuDiY8C3ctxq1tqvaCgkFb8cCA/edit?usp=sharing"",""ศรีสะเกษ!J63"")"),0.0)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IFERROR(__xludf.DUMMYFUNCTION("IMPORTRANGE(""https://docs.google.com/spreadsheets/d/1XL5vhW3sbDhbH9Cz0tuDiY8C3ctxq1tqvaCgkFb8cCA/edit?usp=sharing"",""ศรีสะเกษ!J64"")"),0.0)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IFERROR(__xludf.DUMMYFUNCTION("IMPORTRANGE(""https://docs.google.com/spreadsheets/d/1XL5vhW3sbDhbH9Cz0tuDiY8C3ctxq1tqvaCgkFb8cCA/edit?usp=sharing"",""ศรีสะเกษ!J65"")"),0.0)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IFERROR(__xludf.DUMMYFUNCTION("IMPORTRANGE(""https://docs.google.com/spreadsheets/d/1XL5vhW3sbDhbH9Cz0tuDiY8C3ctxq1tqvaCgkFb8cCA/edit?usp=sharing"",""ศรีสะเกษ!I68"")"),0.0)</f>
        <v>0</v>
      </c>
      <c r="J138" s="301">
        <f>IFERROR(__xludf.DUMMYFUNCTION("IMPORTRANGE(""https://docs.google.com/spreadsheets/d/1XL5vhW3sbDhbH9Cz0tuDiY8C3ctxq1tqvaCgkFb8cCA/edit?usp=sharing"",""ศรีสะเกษ!J68"")"),0.0)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86000</v>
      </c>
      <c r="M140" s="183">
        <f t="shared" si="65"/>
        <v>69750</v>
      </c>
      <c r="N140" s="183">
        <f t="shared" si="65"/>
        <v>2354</v>
      </c>
      <c r="O140" s="182">
        <f t="shared" ref="O140:O142" si="67">IF(L140&gt;0,N140*100/L140,0)</f>
        <v>2.737209302</v>
      </c>
      <c r="P140" s="182">
        <f t="shared" ref="P140:P142" si="68">IF(M140&gt;0,N140*100/M140,0)</f>
        <v>3.374910394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86000</v>
      </c>
      <c r="M142" s="188">
        <f t="shared" si="69"/>
        <v>69750</v>
      </c>
      <c r="N142" s="188">
        <f t="shared" si="69"/>
        <v>2354</v>
      </c>
      <c r="O142" s="187">
        <f t="shared" si="67"/>
        <v>2.737209302</v>
      </c>
      <c r="P142" s="187">
        <f t="shared" si="68"/>
        <v>3.374910394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86000</v>
      </c>
      <c r="M144" s="201">
        <f>IFERROR(__xludf.DUMMYFUNCTION("IMPORTRANGE(""https://docs.google.com/spreadsheets/d/1Yj_ptqi66GCucihVvJfMjLAmec39IyEx_6qawtMGysU/edit?usp=sharing"",""สบก!BJ50"")"),69750.0)</f>
        <v>69750</v>
      </c>
      <c r="N144" s="202">
        <f>IFERROR(__xludf.DUMMYFUNCTION("IMPORTRANGE(""https://docs.google.com/spreadsheets/d/1Yj_ptqi66GCucihVvJfMjLAmec39IyEx_6qawtMGysU/edit?usp=sharing"",""สบก!BK50"")"),2354.0)</f>
        <v>2354</v>
      </c>
      <c r="O144" s="203">
        <f>IF(L144&gt;0,N144*100/L144,0)</f>
        <v>2.737209302</v>
      </c>
      <c r="P144" s="203">
        <f>IF(M144&gt;0,N144*100/M144,0)</f>
        <v>3.374910394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IFERROR(__xludf.DUMMYFUNCTION("IMPORTRANGE(""https://docs.google.com/spreadsheets/d/1Yj_ptqi66GCucihVvJfMjLAmec39IyEx_6qawtMGysU/edit?usp=sharing"",""สบก!BF50"")"),0.0)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IFERROR(__xludf.DUMMYFUNCTION("IMPORTRANGE(""https://docs.google.com/spreadsheets/d/1Yj_ptqi66GCucihVvJfMjLAmec39IyEx_6qawtMGysU/edit?usp=sharing"",""สบก!BG50"")"),86000.0)</f>
        <v>86000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IFERROR(__xludf.DUMMYFUNCTION("IMPORTRANGE(""https://docs.google.com/spreadsheets/d/1Yj_ptqi66GCucihVvJfMjLAmec39IyEx_6qawtMGysU/edit?usp=sharing"",""สบก!BH50"")"),0.0)</f>
        <v>0</v>
      </c>
      <c r="M148" s="125"/>
      <c r="N148" s="115">
        <f>IFERROR(__xludf.DUMMYFUNCTION("IMPORTRANGE(""https://docs.google.com/spreadsheets/d/1Yj_ptqi66GCucihVvJfMjLAmec39IyEx_6qawtMGysU/edit?usp=sharing"",""สบก!BL50"")"),0.0)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IFERROR(__xludf.DUMMYFUNCTION("IMPORTRANGE(""https://docs.google.com/spreadsheets/d/1XL5vhW3sbDhbH9Cz0tuDiY8C3ctxq1tqvaCgkFb8cCA/edit?usp=sharing"",""ศรีสะเกษ!I74"")"),4.0)</f>
        <v>4</v>
      </c>
      <c r="J149" s="309">
        <f>IFERROR(__xludf.DUMMYFUNCTION("IMPORTRANGE(""https://docs.google.com/spreadsheets/d/1XL5vhW3sbDhbH9Cz0tuDiY8C3ctxq1tqvaCgkFb8cCA/edit?usp=sharing"",""ศรีสะเกษ!J74"")"),1.0)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IFERROR(__xludf.DUMMYFUNCTION("IMPORTRANGE(""https://docs.google.com/spreadsheets/d/1XL5vhW3sbDhbH9Cz0tuDiY8C3ctxq1tqvaCgkFb8cCA/edit?usp=sharing"",""ศรีสะเกษ!J79"")"),0.0)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IFERROR(__xludf.DUMMYFUNCTION("IMPORTRANGE(""https://docs.google.com/spreadsheets/d/1XL5vhW3sbDhbH9Cz0tuDiY8C3ctxq1tqvaCgkFb8cCA/edit?usp=sharing"",""ศรีสะเกษ!J80"")"),1.0)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IFERROR(__xludf.DUMMYFUNCTION("IMPORTRANGE(""https://docs.google.com/spreadsheets/d/1XL5vhW3sbDhbH9Cz0tuDiY8C3ctxq1tqvaCgkFb8cCA/edit?usp=sharing"",""ศรีสะเกษ!J81"")"),1.0)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IFERROR(__xludf.DUMMYFUNCTION("IMPORTRANGE(""https://docs.google.com/spreadsheets/d/1XL5vhW3sbDhbH9Cz0tuDiY8C3ctxq1tqvaCgkFb8cCA/edit?usp=sharing"",""ศรีสะเกษ!J82"")"),1.0)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IFERROR(__xludf.DUMMYFUNCTION("IMPORTRANGE(""https://docs.google.com/spreadsheets/d/1XL5vhW3sbDhbH9Cz0tuDiY8C3ctxq1tqvaCgkFb8cCA/edit?usp=sharing"",""ศรีสะเกษ!I83"")"),4.0)</f>
        <v>4</v>
      </c>
      <c r="J158" s="223">
        <f>IFERROR(__xludf.DUMMYFUNCTION("IMPORTRANGE(""https://docs.google.com/spreadsheets/d/1XL5vhW3sbDhbH9Cz0tuDiY8C3ctxq1tqvaCgkFb8cCA/edit?usp=sharing"",""ศรีสะเกษ!J83"")"),1.0)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IFERROR(__xludf.DUMMYFUNCTION("IMPORTRANGE(""https://docs.google.com/spreadsheets/d/1XL5vhW3sbDhbH9Cz0tuDiY8C3ctxq1tqvaCgkFb8cCA/edit?usp=sharing"",""ศรีสะเกษ!J84"")"),6.0)</f>
        <v>6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IFERROR(__xludf.DUMMYFUNCTION("IMPORTRANGE(""https://docs.google.com/spreadsheets/d/1XL5vhW3sbDhbH9Cz0tuDiY8C3ctxq1tqvaCgkFb8cCA/edit?usp=sharing"",""ศรีสะเกษ!J85"")"),6.0)</f>
        <v>6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IFERROR(__xludf.DUMMYFUNCTION("IMPORTRANGE(""https://docs.google.com/spreadsheets/d/1XL5vhW3sbDhbH9Cz0tuDiY8C3ctxq1tqvaCgkFb8cCA/edit?usp=sharing"",""ศรีสะเกษ!J86"")"),0.0)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IFERROR(__xludf.DUMMYFUNCTION("IMPORTRANGE(""https://docs.google.com/spreadsheets/d/1XL5vhW3sbDhbH9Cz0tuDiY8C3ctxq1tqvaCgkFb8cCA/edit?usp=sharing"",""ศรีสะเกษ!J87"")"),0.0)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IFERROR(__xludf.DUMMYFUNCTION("IMPORTRANGE(""https://docs.google.com/spreadsheets/d/1XL5vhW3sbDhbH9Cz0tuDiY8C3ctxq1tqvaCgkFb8cCA/edit?usp=sharing"",""ศรีสะเกษ!J88"")"),0.0)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IFERROR(__xludf.DUMMYFUNCTION("IMPORTRANGE(""https://docs.google.com/spreadsheets/d/1XL5vhW3sbDhbH9Cz0tuDiY8C3ctxq1tqvaCgkFb8cCA/edit?usp=sharing"",""ศรีสะเกษ!I89"")"),4.0)</f>
        <v>4</v>
      </c>
      <c r="J164" s="317">
        <f>IFERROR(__xludf.DUMMYFUNCTION("IMPORTRANGE(""https://docs.google.com/spreadsheets/d/1XL5vhW3sbDhbH9Cz0tuDiY8C3ctxq1tqvaCgkFb8cCA/edit?usp=sharing"",""ศรีสะเกษ!J89"")"),0.0)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IFERROR(__xludf.DUMMYFUNCTION("IMPORTRANGE(""https://docs.google.com/spreadsheets/d/1XL5vhW3sbDhbH9Cz0tuDiY8C3ctxq1tqvaCgkFb8cCA/edit?usp=sharing"",""ศรีสะเกษ!J94"")"),0.0)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IFERROR(__xludf.DUMMYFUNCTION("IMPORTRANGE(""https://docs.google.com/spreadsheets/d/1XL5vhW3sbDhbH9Cz0tuDiY8C3ctxq1tqvaCgkFb8cCA/edit?usp=sharing"",""ศรีสะเกษ!J95"")"),1.0)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IFERROR(__xludf.DUMMYFUNCTION("IMPORTRANGE(""https://docs.google.com/spreadsheets/d/1XL5vhW3sbDhbH9Cz0tuDiY8C3ctxq1tqvaCgkFb8cCA/edit?usp=sharing"",""ศรีสะเกษ!J96"")"),0.0)</f>
        <v>0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IFERROR(__xludf.DUMMYFUNCTION("IMPORTRANGE(""https://docs.google.com/spreadsheets/d/1XL5vhW3sbDhbH9Cz0tuDiY8C3ctxq1tqvaCgkFb8cCA/edit?usp=sharing"",""ศรีสะเกษ!J97"")"),0.0)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IFERROR(__xludf.DUMMYFUNCTION("IMPORTRANGE(""https://docs.google.com/spreadsheets/d/1XL5vhW3sbDhbH9Cz0tuDiY8C3ctxq1tqvaCgkFb8cCA/edit?usp=sharing"",""ศรีสะเกษ!I98"")"),4.0)</f>
        <v>4</v>
      </c>
      <c r="J173" s="223">
        <f>IFERROR(__xludf.DUMMYFUNCTION("IMPORTRANGE(""https://docs.google.com/spreadsheets/d/1XL5vhW3sbDhbH9Cz0tuDiY8C3ctxq1tqvaCgkFb8cCA/edit?usp=sharing"",""ศรีสะเกษ!J98"")"),0.0)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IFERROR(__xludf.DUMMYFUNCTION("IMPORTRANGE(""https://docs.google.com/spreadsheets/d/1XL5vhW3sbDhbH9Cz0tuDiY8C3ctxq1tqvaCgkFb8cCA/edit?usp=sharing"",""ศรีสะเกษ!J99"")"),0.0)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IFERROR(__xludf.DUMMYFUNCTION("IMPORTRANGE(""https://docs.google.com/spreadsheets/d/1XL5vhW3sbDhbH9Cz0tuDiY8C3ctxq1tqvaCgkFb8cCA/edit?usp=sharing"",""ศรีสะเกษ!J100"")"),0.0)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IFERROR(__xludf.DUMMYFUNCTION("IMPORTRANGE(""https://docs.google.com/spreadsheets/d/1XL5vhW3sbDhbH9Cz0tuDiY8C3ctxq1tqvaCgkFb8cCA/edit?usp=sharing"",""ศรีสะเกษ!I101"")"),1.0)</f>
        <v>1</v>
      </c>
      <c r="J176" s="317">
        <f>IFERROR(__xludf.DUMMYFUNCTION("IMPORTRANGE(""https://docs.google.com/spreadsheets/d/1XL5vhW3sbDhbH9Cz0tuDiY8C3ctxq1tqvaCgkFb8cCA/edit?usp=sharing"",""ศรีสะเกษ!J101"")"),0.0)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IFERROR(__xludf.DUMMYFUNCTION("IMPORTRANGE(""https://docs.google.com/spreadsheets/d/1XL5vhW3sbDhbH9Cz0tuDiY8C3ctxq1tqvaCgkFb8cCA/edit?usp=sharing"",""ศรีสะเกษ!J106"")"),0.0)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IFERROR(__xludf.DUMMYFUNCTION("IMPORTRANGE(""https://docs.google.com/spreadsheets/d/1XL5vhW3sbDhbH9Cz0tuDiY8C3ctxq1tqvaCgkFb8cCA/edit?usp=sharing"",""ศรีสะเกษ!J107"")"),1.0)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IFERROR(__xludf.DUMMYFUNCTION("IMPORTRANGE(""https://docs.google.com/spreadsheets/d/1XL5vhW3sbDhbH9Cz0tuDiY8C3ctxq1tqvaCgkFb8cCA/edit?usp=sharing"",""ศรีสะเกษ!J108"")"),0.0)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IFERROR(__xludf.DUMMYFUNCTION("IMPORTRANGE(""https://docs.google.com/spreadsheets/d/1XL5vhW3sbDhbH9Cz0tuDiY8C3ctxq1tqvaCgkFb8cCA/edit?usp=sharing"",""ศรีสะเกษ!J109"")"),0.0)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IFERROR(__xludf.DUMMYFUNCTION("IMPORTRANGE(""https://docs.google.com/spreadsheets/d/1XL5vhW3sbDhbH9Cz0tuDiY8C3ctxq1tqvaCgkFb8cCA/edit?usp=sharing"",""ศรีสะเกษ!I110"")"),1.0)</f>
        <v>1</v>
      </c>
      <c r="J185" s="238">
        <f>IFERROR(__xludf.DUMMYFUNCTION("IMPORTRANGE(""https://docs.google.com/spreadsheets/d/1XL5vhW3sbDhbH9Cz0tuDiY8C3ctxq1tqvaCgkFb8cCA/edit?usp=sharing"",""ศรีสะเกษ!J110"")"),0.0)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IFERROR(__xludf.DUMMYFUNCTION("IMPORTRANGE(""https://docs.google.com/spreadsheets/d/1XL5vhW3sbDhbH9Cz0tuDiY8C3ctxq1tqvaCgkFb8cCA/edit?usp=sharing"",""ศรีสะเกษ!I111"")"),1.0)</f>
        <v>1</v>
      </c>
      <c r="J186" s="238">
        <f>IFERROR(__xludf.DUMMYFUNCTION("IMPORTRANGE(""https://docs.google.com/spreadsheets/d/1XL5vhW3sbDhbH9Cz0tuDiY8C3ctxq1tqvaCgkFb8cCA/edit?usp=sharing"",""ศรีสะเกษ!J111"")"),0.0)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IFERROR(__xludf.DUMMYFUNCTION("IMPORTRANGE(""https://docs.google.com/spreadsheets/d/1XL5vhW3sbDhbH9Cz0tuDiY8C3ctxq1tqvaCgkFb8cCA/edit?usp=sharing"",""ศรีสะเกษ!J112"")"),0.0)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IFERROR(__xludf.DUMMYFUNCTION("IMPORTRANGE(""https://docs.google.com/spreadsheets/d/1XL5vhW3sbDhbH9Cz0tuDiY8C3ctxq1tqvaCgkFb8cCA/edit?usp=sharing"",""ศรีสะเกษ!J113"")"),0.0)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IFERROR(__xludf.DUMMYFUNCTION("IMPORTRANGE(""https://docs.google.com/spreadsheets/d/1XL5vhW3sbDhbH9Cz0tuDiY8C3ctxq1tqvaCgkFb8cCA/edit?usp=sharing"",""ศรีสะเกษ!I114"")"),10000.0)</f>
        <v>10000</v>
      </c>
      <c r="J189" s="317">
        <f>IFERROR(__xludf.DUMMYFUNCTION("IMPORTRANGE(""https://docs.google.com/spreadsheets/d/1XL5vhW3sbDhbH9Cz0tuDiY8C3ctxq1tqvaCgkFb8cCA/edit?usp=sharing"",""ศรีสะเกษ!J114"")"),0.0)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IFERROR(__xludf.DUMMYFUNCTION("IMPORTRANGE(""https://docs.google.com/spreadsheets/d/1XL5vhW3sbDhbH9Cz0tuDiY8C3ctxq1tqvaCgkFb8cCA/edit?usp=sharing"",""ศรีสะเกษ!J119"")"),1.0)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IFERROR(__xludf.DUMMYFUNCTION("IMPORTRANGE(""https://docs.google.com/spreadsheets/d/1XL5vhW3sbDhbH9Cz0tuDiY8C3ctxq1tqvaCgkFb8cCA/edit?usp=sharing"",""ศรีสะเกษ!J120"")"),0.0)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IFERROR(__xludf.DUMMYFUNCTION("IMPORTRANGE(""https://docs.google.com/spreadsheets/d/1XL5vhW3sbDhbH9Cz0tuDiY8C3ctxq1tqvaCgkFb8cCA/edit?usp=sharing"",""ศรีสะเกษ!J121"")"),0.0)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IFERROR(__xludf.DUMMYFUNCTION("IMPORTRANGE(""https://docs.google.com/spreadsheets/d/1XL5vhW3sbDhbH9Cz0tuDiY8C3ctxq1tqvaCgkFb8cCA/edit?usp=sharing"",""ศรีสะเกษ!J122"")"),0.0)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IFERROR(__xludf.DUMMYFUNCTION("IMPORTRANGE(""https://docs.google.com/spreadsheets/d/1XL5vhW3sbDhbH9Cz0tuDiY8C3ctxq1tqvaCgkFb8cCA/edit?usp=sharing"",""ศรีสะเกษ!I124"")"),10000.0)</f>
        <v>10000</v>
      </c>
      <c r="J199" s="223">
        <f>IFERROR(__xludf.DUMMYFUNCTION("IMPORTRANGE(""https://docs.google.com/spreadsheets/d/1XL5vhW3sbDhbH9Cz0tuDiY8C3ctxq1tqvaCgkFb8cCA/edit?usp=sharing"",""ศรีสะเกษ!J124"")"),0.0)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IFERROR(__xludf.DUMMYFUNCTION("IMPORTRANGE(""https://docs.google.com/spreadsheets/d/1XL5vhW3sbDhbH9Cz0tuDiY8C3ctxq1tqvaCgkFb8cCA/edit?usp=sharing"",""ศรีสะเกษ!I125"")"),10000.0)</f>
        <v>10000</v>
      </c>
      <c r="J200" s="223">
        <f>IFERROR(__xludf.DUMMYFUNCTION("IMPORTRANGE(""https://docs.google.com/spreadsheets/d/1XL5vhW3sbDhbH9Cz0tuDiY8C3ctxq1tqvaCgkFb8cCA/edit?usp=sharing"",""ศรีสะเกษ!J125"")"),0.0)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IFERROR(__xludf.DUMMYFUNCTION("IMPORTRANGE(""https://docs.google.com/spreadsheets/d/1XL5vhW3sbDhbH9Cz0tuDiY8C3ctxq1tqvaCgkFb8cCA/edit?usp=sharing"",""ศรีสะเกษ!I126"")"),0.0)</f>
        <v>0</v>
      </c>
      <c r="J201" s="223">
        <f>IFERROR(__xludf.DUMMYFUNCTION("IMPORTRANGE(""https://docs.google.com/spreadsheets/d/1XL5vhW3sbDhbH9Cz0tuDiY8C3ctxq1tqvaCgkFb8cCA/edit?usp=sharing"",""ศรีสะเกษ!J126"")"),0.0)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IFERROR(__xludf.DUMMYFUNCTION("IMPORTRANGE(""https://docs.google.com/spreadsheets/d/1XL5vhW3sbDhbH9Cz0tuDiY8C3ctxq1tqvaCgkFb8cCA/edit?usp=sharing"",""ศรีสะเกษ!J127"")"),0.0)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IFERROR(__xludf.DUMMYFUNCTION("IMPORTRANGE(""https://docs.google.com/spreadsheets/d/1XL5vhW3sbDhbH9Cz0tuDiY8C3ctxq1tqvaCgkFb8cCA/edit?usp=sharing"",""ศรีสะเกษ!J128"")"),0.0)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IFERROR(__xludf.DUMMYFUNCTION("IMPORTRANGE(""https://docs.google.com/spreadsheets/d/1XL5vhW3sbDhbH9Cz0tuDiY8C3ctxq1tqvaCgkFb8cCA/edit?usp=sharing"",""ศรีสะเกษ!I129"")"),0.0)</f>
        <v>0</v>
      </c>
      <c r="J204" s="317">
        <f>IFERROR(__xludf.DUMMYFUNCTION("IMPORTRANGE(""https://docs.google.com/spreadsheets/d/1XL5vhW3sbDhbH9Cz0tuDiY8C3ctxq1tqvaCgkFb8cCA/edit?usp=sharing"",""ศรีสะเกษ!J129"")"),0.0)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IFERROR(__xludf.DUMMYFUNCTION("IMPORTRANGE(""https://docs.google.com/spreadsheets/d/1XL5vhW3sbDhbH9Cz0tuDiY8C3ctxq1tqvaCgkFb8cCA/edit?usp=sharing"",""ศรีสะเกษ!J134"")"),0.0)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IFERROR(__xludf.DUMMYFUNCTION("IMPORTRANGE(""https://docs.google.com/spreadsheets/d/1XL5vhW3sbDhbH9Cz0tuDiY8C3ctxq1tqvaCgkFb8cCA/edit?usp=sharing"",""ศรีสะเกษ!J135"")"),0.0)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IFERROR(__xludf.DUMMYFUNCTION("IMPORTRANGE(""https://docs.google.com/spreadsheets/d/1XL5vhW3sbDhbH9Cz0tuDiY8C3ctxq1tqvaCgkFb8cCA/edit?usp=sharing"",""ศรีสะเกษ!J136"")"),0.0)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IFERROR(__xludf.DUMMYFUNCTION("IMPORTRANGE(""https://docs.google.com/spreadsheets/d/1XL5vhW3sbDhbH9Cz0tuDiY8C3ctxq1tqvaCgkFb8cCA/edit?usp=sharing"",""ศรีสะเกษ!J137"")"),0.0)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IFERROR(__xludf.DUMMYFUNCTION("IMPORTRANGE(""https://docs.google.com/spreadsheets/d/1XL5vhW3sbDhbH9Cz0tuDiY8C3ctxq1tqvaCgkFb8cCA/edit?usp=sharing"",""ศรีสะเกษ!I138"")"),0.0)</f>
        <v>0</v>
      </c>
      <c r="J213" s="238">
        <f>IFERROR(__xludf.DUMMYFUNCTION("IMPORTRANGE(""https://docs.google.com/spreadsheets/d/1XL5vhW3sbDhbH9Cz0tuDiY8C3ctxq1tqvaCgkFb8cCA/edit?usp=sharing"",""ศรีสะเกษ!J138"")"),0.0)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IFERROR(__xludf.DUMMYFUNCTION("IMPORTRANGE(""https://docs.google.com/spreadsheets/d/1XL5vhW3sbDhbH9Cz0tuDiY8C3ctxq1tqvaCgkFb8cCA/edit?usp=sharing"",""ศรีสะเกษ!I140"")"),0.0)</f>
        <v>0</v>
      </c>
      <c r="J215" s="238">
        <f>IFERROR(__xludf.DUMMYFUNCTION("IMPORTRANGE(""https://docs.google.com/spreadsheets/d/1XL5vhW3sbDhbH9Cz0tuDiY8C3ctxq1tqvaCgkFb8cCA/edit?usp=sharing"",""ศรีสะเกษ!J140"")"),0.0)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IFERROR(__xludf.DUMMYFUNCTION("IMPORTRANGE(""https://docs.google.com/spreadsheets/d/1XL5vhW3sbDhbH9Cz0tuDiY8C3ctxq1tqvaCgkFb8cCA/edit?usp=sharing"",""ศรีสะเกษ!I141"")"),0.0)</f>
        <v>0</v>
      </c>
      <c r="J216" s="238">
        <f>IFERROR(__xludf.DUMMYFUNCTION("IMPORTRANGE(""https://docs.google.com/spreadsheets/d/1XL5vhW3sbDhbH9Cz0tuDiY8C3ctxq1tqvaCgkFb8cCA/edit?usp=sharing"",""ศรีสะเกษ!J141"")"),0.0)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IFERROR(__xludf.DUMMYFUNCTION("IMPORTRANGE(""https://docs.google.com/spreadsheets/d/1XL5vhW3sbDhbH9Cz0tuDiY8C3ctxq1tqvaCgkFb8cCA/edit?usp=sharing"",""ศรีสะเกษ!J142"")"),0.0)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IFERROR(__xludf.DUMMYFUNCTION("IMPORTRANGE(""https://docs.google.com/spreadsheets/d/1XL5vhW3sbDhbH9Cz0tuDiY8C3ctxq1tqvaCgkFb8cCA/edit?usp=sharing"",""ศรีสะเกษ!J143"")"),0.0)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IFERROR(__xludf.DUMMYFUNCTION("IMPORTRANGE(""https://docs.google.com/spreadsheets/d/1XL5vhW3sbDhbH9Cz0tuDiY8C3ctxq1tqvaCgkFb8cCA/edit?usp=sharing"",""ศรีสะเกษ!I144"")"),15.0)</f>
        <v>15</v>
      </c>
      <c r="J219" s="301">
        <f>IFERROR(__xludf.DUMMYFUNCTION("IMPORTRANGE(""https://docs.google.com/spreadsheets/d/1XL5vhW3sbDhbH9Cz0tuDiY8C3ctxq1tqvaCgkFb8cCA/edit?usp=sharing"",""ศรีสะเกษ!J144"")"),15.0)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IFERROR(__xludf.DUMMYFUNCTION("IMPORTRANGE(""https://docs.google.com/spreadsheets/d/1Yj_ptqi66GCucihVvJfMjLAmec39IyEx_6qawtMGysU/edit?usp=sharing"",""สบก!BS50"")"),21125.0)</f>
        <v>21125</v>
      </c>
      <c r="N224" s="202">
        <f>IFERROR(__xludf.DUMMYFUNCTION("IMPORTRANGE(""https://docs.google.com/spreadsheets/d/1Yj_ptqi66GCucihVvJfMjLAmec39IyEx_6qawtMGysU/edit?usp=sharing"",""สบก!BT50"")"),21125.0)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IFERROR(__xludf.DUMMYFUNCTION("IMPORTRANGE(""https://docs.google.com/spreadsheets/d/1Yj_ptqi66GCucihVvJfMjLAmec39IyEx_6qawtMGysU/edit?usp=sharing"",""สบก!BO50"")"),0.0)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IFERROR(__xludf.DUMMYFUNCTION("IMPORTRANGE(""https://docs.google.com/spreadsheets/d/1Yj_ptqi66GCucihVvJfMjLAmec39IyEx_6qawtMGysU/edit?usp=sharing"",""สบก!BP50"")"),21125.0)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IFERROR(__xludf.DUMMYFUNCTION("IMPORTRANGE(""https://docs.google.com/spreadsheets/d/1Yj_ptqi66GCucihVvJfMjLAmec39IyEx_6qawtMGysU/edit?usp=sharing"",""สบก!BQ50"")"),0.0)</f>
        <v>0</v>
      </c>
      <c r="M228" s="125"/>
      <c r="N228" s="115">
        <f>IFERROR(__xludf.DUMMYFUNCTION("IMPORTRANGE(""https://docs.google.com/spreadsheets/d/1Yj_ptqi66GCucihVvJfMjLAmec39IyEx_6qawtMGysU/edit?usp=sharing"",""สบก!BU50"")"),0.0)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IFERROR(__xludf.DUMMYFUNCTION("IMPORTRANGE(""https://docs.google.com/spreadsheets/d/1XL5vhW3sbDhbH9Cz0tuDiY8C3ctxq1tqvaCgkFb8cCA/edit?usp=sharing"",""ศรีสะเกษ!I149"")"),15.0)</f>
        <v>15</v>
      </c>
      <c r="J229" s="301">
        <f>IFERROR(__xludf.DUMMYFUNCTION("IMPORTRANGE(""https://docs.google.com/spreadsheets/d/1XL5vhW3sbDhbH9Cz0tuDiY8C3ctxq1tqvaCgkFb8cCA/edit?usp=sharing"",""ศรีสะเกษ!J149"")"),15.0)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IFERROR(__xludf.DUMMYFUNCTION("IMPORTRANGE(""https://docs.google.com/spreadsheets/d/1XL5vhW3sbDhbH9Cz0tuDiY8C3ctxq1tqvaCgkFb8cCA/edit?usp=sharing"",""ศรีสะเกษ!J151"")"),0.0)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IFERROR(__xludf.DUMMYFUNCTION("IMPORTRANGE(""https://docs.google.com/spreadsheets/d/1XL5vhW3sbDhbH9Cz0tuDiY8C3ctxq1tqvaCgkFb8cCA/edit?usp=sharing"",""ศรีสะเกษ!J152"")"),1.0)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IFERROR(__xludf.DUMMYFUNCTION("IMPORTRANGE(""https://docs.google.com/spreadsheets/d/1XL5vhW3sbDhbH9Cz0tuDiY8C3ctxq1tqvaCgkFb8cCA/edit?usp=sharing"",""ศรีสะเกษ!J153"")"),1.0)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IFERROR(__xludf.DUMMYFUNCTION("IMPORTRANGE(""https://docs.google.com/spreadsheets/d/1XL5vhW3sbDhbH9Cz0tuDiY8C3ctxq1tqvaCgkFb8cCA/edit?usp=sharing"",""ศรีสะเกษ!J154"")"),0.0)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IFERROR(__xludf.DUMMYFUNCTION("IMPORTRANGE(""https://docs.google.com/spreadsheets/d/1XL5vhW3sbDhbH9Cz0tuDiY8C3ctxq1tqvaCgkFb8cCA/edit?usp=sharing"",""ศรีสะเกษ!I155"")"),15.0)</f>
        <v>15</v>
      </c>
      <c r="J235" s="223">
        <f>IFERROR(__xludf.DUMMYFUNCTION("IMPORTRANGE(""https://docs.google.com/spreadsheets/d/1XL5vhW3sbDhbH9Cz0tuDiY8C3ctxq1tqvaCgkFb8cCA/edit?usp=sharing"",""ศรีสะเกษ!J155"")"),15.0)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IFERROR(__xludf.DUMMYFUNCTION("IMPORTRANGE(""https://docs.google.com/spreadsheets/d/1XL5vhW3sbDhbH9Cz0tuDiY8C3ctxq1tqvaCgkFb8cCA/edit?usp=sharing"",""ศรีสะเกษ!J156"")"),0.0)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IFERROR(__xludf.DUMMYFUNCTION("IMPORTRANGE(""https://docs.google.com/spreadsheets/d/1XL5vhW3sbDhbH9Cz0tuDiY8C3ctxq1tqvaCgkFb8cCA/edit?usp=sharing"",""ศรีสะเกษ!J157"")"),0.0)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IFERROR(__xludf.DUMMYFUNCTION("IMPORTRANGE(""https://docs.google.com/spreadsheets/d/1XL5vhW3sbDhbH9Cz0tuDiY8C3ctxq1tqvaCgkFb8cCA/edit?usp=sharing"",""ศรีสะเกษ!I158"")"),0.0)</f>
        <v>0</v>
      </c>
      <c r="J238" s="301">
        <f>IFERROR(__xludf.DUMMYFUNCTION("IMPORTRANGE(""https://docs.google.com/spreadsheets/d/1XL5vhW3sbDhbH9Cz0tuDiY8C3ctxq1tqvaCgkFb8cCA/edit?usp=sharing"",""ศรีสะเกษ!J158"")"),0.0)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IFERROR(__xludf.DUMMYFUNCTION("IMPORTRANGE(""https://docs.google.com/spreadsheets/d/1XL5vhW3sbDhbH9Cz0tuDiY8C3ctxq1tqvaCgkFb8cCA/edit?usp=sharing"",""ศรีสะเกษ!J159"")"),"")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IFERROR(__xludf.DUMMYFUNCTION("IMPORTRANGE(""https://docs.google.com/spreadsheets/d/1XL5vhW3sbDhbH9Cz0tuDiY8C3ctxq1tqvaCgkFb8cCA/edit?usp=sharing"",""ศรีสะเกษ!J161"")"),0.0)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IFERROR(__xludf.DUMMYFUNCTION("IMPORTRANGE(""https://docs.google.com/spreadsheets/d/1XL5vhW3sbDhbH9Cz0tuDiY8C3ctxq1tqvaCgkFb8cCA/edit?usp=sharing"",""ศรีสะเกษ!J162"")"),0.0)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IFERROR(__xludf.DUMMYFUNCTION("IMPORTRANGE(""https://docs.google.com/spreadsheets/d/1XL5vhW3sbDhbH9Cz0tuDiY8C3ctxq1tqvaCgkFb8cCA/edit?usp=sharing"",""ศรีสะเกษ!J163"")"),0.0)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IFERROR(__xludf.DUMMYFUNCTION("IMPORTRANGE(""https://docs.google.com/spreadsheets/d/1XL5vhW3sbDhbH9Cz0tuDiY8C3ctxq1tqvaCgkFb8cCA/edit?usp=sharing"",""ศรีสะเกษ!I164"")"),0.0)</f>
        <v>0</v>
      </c>
      <c r="J244" s="222">
        <f>IFERROR(__xludf.DUMMYFUNCTION("IMPORTRANGE(""https://docs.google.com/spreadsheets/d/1XL5vhW3sbDhbH9Cz0tuDiY8C3ctxq1tqvaCgkFb8cCA/edit?usp=sharing"",""ศรีสะเกษ!J164"")"),0.0)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IFERROR(__xludf.DUMMYFUNCTION("IMPORTRANGE(""https://docs.google.com/spreadsheets/d/1XL5vhW3sbDhbH9Cz0tuDiY8C3ctxq1tqvaCgkFb8cCA/edit?usp=sharing"",""ศรีสะเกษ!J165"")"),0.0)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IFERROR(__xludf.DUMMYFUNCTION("IMPORTRANGE(""https://docs.google.com/spreadsheets/d/1XL5vhW3sbDhbH9Cz0tuDiY8C3ctxq1tqvaCgkFb8cCA/edit?usp=sharing"",""ศรีสะเกษ!J166"")"),0.0)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IFERROR(__xludf.DUMMYFUNCTION("IMPORTRANGE(""https://docs.google.com/spreadsheets/d/1XL5vhW3sbDhbH9Cz0tuDiY8C3ctxq1tqvaCgkFb8cCA/edit?usp=sharing"",""ศรีสะเกษ!I169"")"),25.0)</f>
        <v>25</v>
      </c>
      <c r="J249" s="349">
        <f>IFERROR(__xludf.DUMMYFUNCTION("IMPORTRANGE(""https://docs.google.com/spreadsheets/d/1XL5vhW3sbDhbH9Cz0tuDiY8C3ctxq1tqvaCgkFb8cCA/edit?usp=sharing"",""ศรีสะเกษ!J169"")"),25.0)</f>
        <v>25</v>
      </c>
      <c r="K249" s="350">
        <f>IF(I249&gt;0,J249*100/I249,0)</f>
        <v>100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89000</v>
      </c>
      <c r="M250" s="183">
        <f t="shared" si="78"/>
        <v>42500</v>
      </c>
      <c r="N250" s="183">
        <f t="shared" si="78"/>
        <v>42465</v>
      </c>
      <c r="O250" s="182">
        <f t="shared" ref="O250:O252" si="80">IF(L250&gt;0,N250*100/L250,0)</f>
        <v>47.71348315</v>
      </c>
      <c r="P250" s="182">
        <f t="shared" ref="P250:P252" si="81">IF(M250&gt;0,N250*100/M250,0)</f>
        <v>99.91764706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89000</v>
      </c>
      <c r="M252" s="188">
        <f t="shared" si="82"/>
        <v>42500</v>
      </c>
      <c r="N252" s="188">
        <f t="shared" si="82"/>
        <v>42465</v>
      </c>
      <c r="O252" s="187">
        <f t="shared" si="80"/>
        <v>47.71348315</v>
      </c>
      <c r="P252" s="187">
        <f t="shared" si="81"/>
        <v>99.91764706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89000</v>
      </c>
      <c r="M254" s="201">
        <f>IFERROR(__xludf.DUMMYFUNCTION("IMPORTRANGE(""https://docs.google.com/spreadsheets/d/1Yj_ptqi66GCucihVvJfMjLAmec39IyEx_6qawtMGysU/edit?usp=sharing"",""สบก!CB50"")"),42500.0)</f>
        <v>42500</v>
      </c>
      <c r="N254" s="202">
        <f>IFERROR(__xludf.DUMMYFUNCTION("IMPORTRANGE(""https://docs.google.com/spreadsheets/d/1Yj_ptqi66GCucihVvJfMjLAmec39IyEx_6qawtMGysU/edit?usp=sharing"",""สบก!CC50"")"),42465.0)</f>
        <v>42465</v>
      </c>
      <c r="O254" s="203">
        <f>IF(L254&gt;0,N254*100/L254,0)</f>
        <v>47.71348315</v>
      </c>
      <c r="P254" s="203">
        <f>IF(M254&gt;0,N254*100/M254,0)</f>
        <v>99.91764706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IFERROR(__xludf.DUMMYFUNCTION("IMPORTRANGE(""https://docs.google.com/spreadsheets/d/1Yj_ptqi66GCucihVvJfMjLAmec39IyEx_6qawtMGysU/edit?usp=sharing"",""สบก!BX50"")"),0.0)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IFERROR(__xludf.DUMMYFUNCTION("IMPORTRANGE(""https://docs.google.com/spreadsheets/d/1Yj_ptqi66GCucihVvJfMjLAmec39IyEx_6qawtMGysU/edit?usp=sharing"",""สบก!BY50"")"),89000.0)</f>
        <v>89000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IFERROR(__xludf.DUMMYFUNCTION("IMPORTRANGE(""https://docs.google.com/spreadsheets/d/1Yj_ptqi66GCucihVvJfMjLAmec39IyEx_6qawtMGysU/edit?usp=sharing"",""สบก!BZ50"")"),0.0)</f>
        <v>0</v>
      </c>
      <c r="M258" s="125"/>
      <c r="N258" s="115">
        <f>IFERROR(__xludf.DUMMYFUNCTION("IMPORTRANGE(""https://docs.google.com/spreadsheets/d/1Yj_ptqi66GCucihVvJfMjLAmec39IyEx_6qawtMGysU/edit?usp=sharing"",""สบก!CD50"")"),0.0)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IFERROR(__xludf.DUMMYFUNCTION("IMPORTRANGE(""https://docs.google.com/spreadsheets/d/1XL5vhW3sbDhbH9Cz0tuDiY8C3ctxq1tqvaCgkFb8cCA/edit?usp=sharing"",""ศรีสะเกษ!J175"")"),0.0)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IFERROR(__xludf.DUMMYFUNCTION("IMPORTRANGE(""https://docs.google.com/spreadsheets/d/1XL5vhW3sbDhbH9Cz0tuDiY8C3ctxq1tqvaCgkFb8cCA/edit?usp=sharing"",""ศรีสะเกษ!J176"")"),1.0)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IFERROR(__xludf.DUMMYFUNCTION("IMPORTRANGE(""https://docs.google.com/spreadsheets/d/1XL5vhW3sbDhbH9Cz0tuDiY8C3ctxq1tqvaCgkFb8cCA/edit?usp=sharing"",""ศรีสะเกษ!J177"")"),1.0)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IFERROR(__xludf.DUMMYFUNCTION("IMPORTRANGE(""https://docs.google.com/spreadsheets/d/1XL5vhW3sbDhbH9Cz0tuDiY8C3ctxq1tqvaCgkFb8cCA/edit?usp=sharing"",""ศรีสะเกษ!J178"")"),1.0)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IFERROR(__xludf.DUMMYFUNCTION("IMPORTRANGE(""https://docs.google.com/spreadsheets/d/1XL5vhW3sbDhbH9Cz0tuDiY8C3ctxq1tqvaCgkFb8cCA/edit?usp=sharing"",""ศรีสะเกษ!I179"")"),1.0)</f>
        <v>1</v>
      </c>
      <c r="J264" s="223">
        <f>IFERROR(__xludf.DUMMYFUNCTION("IMPORTRANGE(""https://docs.google.com/spreadsheets/d/1XL5vhW3sbDhbH9Cz0tuDiY8C3ctxq1tqvaCgkFb8cCA/edit?usp=sharing"",""ศรีสะเกษ!J179"")"),0.0)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IFERROR(__xludf.DUMMYFUNCTION("IMPORTRANGE(""https://docs.google.com/spreadsheets/d/1XL5vhW3sbDhbH9Cz0tuDiY8C3ctxq1tqvaCgkFb8cCA/edit?usp=sharing"",""ศรีสะเกษ!I180"")"),25.0)</f>
        <v>25</v>
      </c>
      <c r="J265" s="223">
        <f>IFERROR(__xludf.DUMMYFUNCTION("IMPORTRANGE(""https://docs.google.com/spreadsheets/d/1XL5vhW3sbDhbH9Cz0tuDiY8C3ctxq1tqvaCgkFb8cCA/edit?usp=sharing"",""ศรีสะเกษ!J180"")"),25.0)</f>
        <v>25</v>
      </c>
      <c r="K265" s="196">
        <f t="shared" si="83"/>
        <v>100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IFERROR(__xludf.DUMMYFUNCTION("IMPORTRANGE(""https://docs.google.com/spreadsheets/d/1XL5vhW3sbDhbH9Cz0tuDiY8C3ctxq1tqvaCgkFb8cCA/edit?usp=sharing"",""ศรีสะเกษ!I181"")"),25.0)</f>
        <v>25</v>
      </c>
      <c r="J266" s="223">
        <f>IFERROR(__xludf.DUMMYFUNCTION("IMPORTRANGE(""https://docs.google.com/spreadsheets/d/1XL5vhW3sbDhbH9Cz0tuDiY8C3ctxq1tqvaCgkFb8cCA/edit?usp=sharing"",""ศรีสะเกษ!J181"")"),0.0)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IFERROR(__xludf.DUMMYFUNCTION("IMPORTRANGE(""https://docs.google.com/spreadsheets/d/1XL5vhW3sbDhbH9Cz0tuDiY8C3ctxq1tqvaCgkFb8cCA/edit?usp=sharing"",""ศรีสะเกษ!I182"")"),1.0)</f>
        <v>1</v>
      </c>
      <c r="J267" s="223">
        <f>IFERROR(__xludf.DUMMYFUNCTION("IMPORTRANGE(""https://docs.google.com/spreadsheets/d/1XL5vhW3sbDhbH9Cz0tuDiY8C3ctxq1tqvaCgkFb8cCA/edit?usp=sharing"",""ศรีสะเกษ!J182"")"),0.0)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IFERROR(__xludf.DUMMYFUNCTION("IMPORTRANGE(""https://docs.google.com/spreadsheets/d/1XL5vhW3sbDhbH9Cz0tuDiY8C3ctxq1tqvaCgkFb8cCA/edit?usp=sharing"",""ศรีสะเกษ!J183"")"),0.0)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IFERROR(__xludf.DUMMYFUNCTION("IMPORTRANGE(""https://docs.google.com/spreadsheets/d/1XL5vhW3sbDhbH9Cz0tuDiY8C3ctxq1tqvaCgkFb8cCA/edit?usp=sharing"",""ศรีสะเกษ!J184"")"),0.0)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IFERROR(__xludf.DUMMYFUNCTION("IMPORTRANGE(""https://docs.google.com/spreadsheets/d/1XL5vhW3sbDhbH9Cz0tuDiY8C3ctxq1tqvaCgkFb8cCA/edit?usp=sharing"",""ศรีสะเกษ!I185"")"),20.0)</f>
        <v>20</v>
      </c>
      <c r="J270" s="349">
        <f>IFERROR(__xludf.DUMMYFUNCTION("IMPORTRANGE(""https://docs.google.com/spreadsheets/d/1XL5vhW3sbDhbH9Cz0tuDiY8C3ctxq1tqvaCgkFb8cCA/edit?usp=sharing"",""ศรีสะเกษ!J185"")"),20.0)</f>
        <v>20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183600</v>
      </c>
      <c r="M271" s="183">
        <f t="shared" si="84"/>
        <v>93000</v>
      </c>
      <c r="N271" s="183">
        <f t="shared" si="84"/>
        <v>65237</v>
      </c>
      <c r="O271" s="182">
        <f t="shared" ref="O271:O273" si="86">IF(L271&gt;0,N271*100/L271,0)</f>
        <v>35.53213508</v>
      </c>
      <c r="P271" s="182">
        <f t="shared" ref="P271:P273" si="87">IF(M271&gt;0,N271*100/M271,0)</f>
        <v>70.14731183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183600</v>
      </c>
      <c r="M273" s="188">
        <f t="shared" si="88"/>
        <v>93000</v>
      </c>
      <c r="N273" s="188">
        <f t="shared" si="88"/>
        <v>65237</v>
      </c>
      <c r="O273" s="187">
        <f t="shared" si="86"/>
        <v>35.53213508</v>
      </c>
      <c r="P273" s="187">
        <f t="shared" si="87"/>
        <v>70.14731183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183600</v>
      </c>
      <c r="M275" s="201">
        <f>IFERROR(__xludf.DUMMYFUNCTION("IMPORTRANGE(""https://docs.google.com/spreadsheets/d/1Yj_ptqi66GCucihVvJfMjLAmec39IyEx_6qawtMGysU/edit?usp=sharing"",""สบก!CK50"")"),93000.0)</f>
        <v>93000</v>
      </c>
      <c r="N275" s="202">
        <f>IFERROR(__xludf.DUMMYFUNCTION("IMPORTRANGE(""https://docs.google.com/spreadsheets/d/1Yj_ptqi66GCucihVvJfMjLAmec39IyEx_6qawtMGysU/edit?usp=sharing"",""สบก!CL50"")"),65237.0)</f>
        <v>65237</v>
      </c>
      <c r="O275" s="203">
        <f>IF(L275&gt;0,N275*100/L275,0)</f>
        <v>35.53213508</v>
      </c>
      <c r="P275" s="203">
        <f>IF(M275&gt;0,N275*100/M275,0)</f>
        <v>70.14731183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IFERROR(__xludf.DUMMYFUNCTION("IMPORTRANGE(""https://docs.google.com/spreadsheets/d/1Yj_ptqi66GCucihVvJfMjLAmec39IyEx_6qawtMGysU/edit?usp=sharing"",""สบก!CG50"")"),0.0)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IFERROR(__xludf.DUMMYFUNCTION("IMPORTRANGE(""https://docs.google.com/spreadsheets/d/1Yj_ptqi66GCucihVvJfMjLAmec39IyEx_6qawtMGysU/edit?usp=sharing"",""สบก!CH50"")"),183600.0)</f>
        <v>183600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IFERROR(__xludf.DUMMYFUNCTION("IMPORTRANGE(""https://docs.google.com/spreadsheets/d/1Yj_ptqi66GCucihVvJfMjLAmec39IyEx_6qawtMGysU/edit?usp=sharing"",""สบก!CI50"")"),0.0)</f>
        <v>0</v>
      </c>
      <c r="M279" s="125"/>
      <c r="N279" s="115">
        <f>IFERROR(__xludf.DUMMYFUNCTION("IMPORTRANGE(""https://docs.google.com/spreadsheets/d/1Yj_ptqi66GCucihVvJfMjLAmec39IyEx_6qawtMGysU/edit?usp=sharing"",""สบก!CM50"")"),0.0)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IFERROR(__xludf.DUMMYFUNCTION("IMPORTRANGE(""https://docs.google.com/spreadsheets/d/1XL5vhW3sbDhbH9Cz0tuDiY8C3ctxq1tqvaCgkFb8cCA/edit?usp=sharing"",""ศรีสะเกษ!J191"")"),0.0)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IFERROR(__xludf.DUMMYFUNCTION("IMPORTRANGE(""https://docs.google.com/spreadsheets/d/1XL5vhW3sbDhbH9Cz0tuDiY8C3ctxq1tqvaCgkFb8cCA/edit?usp=sharing"",""ศรีสะเกษ!J192"")"),1.0)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IFERROR(__xludf.DUMMYFUNCTION("IMPORTRANGE(""https://docs.google.com/spreadsheets/d/1XL5vhW3sbDhbH9Cz0tuDiY8C3ctxq1tqvaCgkFb8cCA/edit?usp=sharing"",""ศรีสะเกษ!J193"")"),1.0)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IFERROR(__xludf.DUMMYFUNCTION("IMPORTRANGE(""https://docs.google.com/spreadsheets/d/1XL5vhW3sbDhbH9Cz0tuDiY8C3ctxq1tqvaCgkFb8cCA/edit?usp=sharing"",""ศรีสะเกษ!J194"")"),1.0)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IFERROR(__xludf.DUMMYFUNCTION("IMPORTRANGE(""https://docs.google.com/spreadsheets/d/1XL5vhW3sbDhbH9Cz0tuDiY8C3ctxq1tqvaCgkFb8cCA/edit?usp=sharing"",""ศรีสะเกษ!I195"")"),20.0)</f>
        <v>20</v>
      </c>
      <c r="J285" s="223">
        <f>IFERROR(__xludf.DUMMYFUNCTION("IMPORTRANGE(""https://docs.google.com/spreadsheets/d/1XL5vhW3sbDhbH9Cz0tuDiY8C3ctxq1tqvaCgkFb8cCA/edit?usp=sharing"",""ศรีสะเกษ!J195"")"),20.0)</f>
        <v>20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IFERROR(__xludf.DUMMYFUNCTION("IMPORTRANGE(""https://docs.google.com/spreadsheets/d/1XL5vhW3sbDhbH9Cz0tuDiY8C3ctxq1tqvaCgkFb8cCA/edit?usp=sharing"",""ศรีสะเกษ!J196"")"),0.0)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IFERROR(__xludf.DUMMYFUNCTION("IMPORTRANGE(""https://docs.google.com/spreadsheets/d/1XL5vhW3sbDhbH9Cz0tuDiY8C3ctxq1tqvaCgkFb8cCA/edit?usp=sharing"",""ศรีสะเกษ!J197"")"),0.0)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IFERROR(__xludf.DUMMYFUNCTION("IMPORTRANGE(""https://docs.google.com/spreadsheets/d/1XL5vhW3sbDhbH9Cz0tuDiY8C3ctxq1tqvaCgkFb8cCA/edit?usp=sharing"",""ศรีสะเกษ!I199"")"),0.0)</f>
        <v>0</v>
      </c>
      <c r="J289" s="349">
        <f>IFERROR(__xludf.DUMMYFUNCTION("IMPORTRANGE(""https://docs.google.com/spreadsheets/d/1XL5vhW3sbDhbH9Cz0tuDiY8C3ctxq1tqvaCgkFb8cCA/edit?usp=sharing"",""ศรีสะเกษ!J199"")"),0.0)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IFERROR(__xludf.DUMMYFUNCTION("IMPORTRANGE(""https://docs.google.com/spreadsheets/d/1Yj_ptqi66GCucihVvJfMjLAmec39IyEx_6qawtMGysU/edit?usp=sharing"",""สบก!CT50"")"),0.0)</f>
        <v>0</v>
      </c>
      <c r="N294" s="202">
        <f>IFERROR(__xludf.DUMMYFUNCTION("IMPORTRANGE(""https://docs.google.com/spreadsheets/d/1Yj_ptqi66GCucihVvJfMjLAmec39IyEx_6qawtMGysU/edit?usp=sharing"",""สบก!CU50"")"),0.0)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IFERROR(__xludf.DUMMYFUNCTION("IMPORTRANGE(""https://docs.google.com/spreadsheets/d/1Yj_ptqi66GCucihVvJfMjLAmec39IyEx_6qawtMGysU/edit?usp=sharing"",""สบก!CP50"")"),0.0)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IFERROR(__xludf.DUMMYFUNCTION("IMPORTRANGE(""https://docs.google.com/spreadsheets/d/1Yj_ptqi66GCucihVvJfMjLAmec39IyEx_6qawtMGysU/edit?usp=sharing"",""สบก!CQ50"")"),0.0)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IFERROR(__xludf.DUMMYFUNCTION("IMPORTRANGE(""https://docs.google.com/spreadsheets/d/1Yj_ptqi66GCucihVvJfMjLAmec39IyEx_6qawtMGysU/edit?usp=sharing"",""สบก!CR50"")"),0.0)</f>
        <v>0</v>
      </c>
      <c r="M298" s="125"/>
      <c r="N298" s="115">
        <f>IFERROR(__xludf.DUMMYFUNCTION("IMPORTRANGE(""https://docs.google.com/spreadsheets/d/1Yj_ptqi66GCucihVvJfMjLAmec39IyEx_6qawtMGysU/edit?usp=sharing"",""สบก!CV50"")"),0.0)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IFERROR(__xludf.DUMMYFUNCTION("IMPORTRANGE(""https://docs.google.com/spreadsheets/d/1XL5vhW3sbDhbH9Cz0tuDiY8C3ctxq1tqvaCgkFb8cCA/edit?usp=sharing"",""ศรีสะเกษ!J205"")"),0.0)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IFERROR(__xludf.DUMMYFUNCTION("IMPORTRANGE(""https://docs.google.com/spreadsheets/d/1XL5vhW3sbDhbH9Cz0tuDiY8C3ctxq1tqvaCgkFb8cCA/edit?usp=sharing"",""ศรีสะเกษ!J206"")"),0.0)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IFERROR(__xludf.DUMMYFUNCTION("IMPORTRANGE(""https://docs.google.com/spreadsheets/d/1XL5vhW3sbDhbH9Cz0tuDiY8C3ctxq1tqvaCgkFb8cCA/edit?usp=sharing"",""ศรีสะเกษ!J207"")"),0.0)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IFERROR(__xludf.DUMMYFUNCTION("IMPORTRANGE(""https://docs.google.com/spreadsheets/d/1XL5vhW3sbDhbH9Cz0tuDiY8C3ctxq1tqvaCgkFb8cCA/edit?usp=sharing"",""ศรีสะเกษ!J208"")"),0.0)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IFERROR(__xludf.DUMMYFUNCTION("IMPORTRANGE(""https://docs.google.com/spreadsheets/d/1XL5vhW3sbDhbH9Cz0tuDiY8C3ctxq1tqvaCgkFb8cCA/edit?usp=sharing"",""ศรีสะเกษ!I209"")"),0.0)</f>
        <v>0</v>
      </c>
      <c r="J304" s="238">
        <f>IFERROR(__xludf.DUMMYFUNCTION("IMPORTRANGE(""https://docs.google.com/spreadsheets/d/1XL5vhW3sbDhbH9Cz0tuDiY8C3ctxq1tqvaCgkFb8cCA/edit?usp=sharing"",""ศรีสะเกษ!J209"")"),0.0)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IFERROR(__xludf.DUMMYFUNCTION("IMPORTRANGE(""https://docs.google.com/spreadsheets/d/1XL5vhW3sbDhbH9Cz0tuDiY8C3ctxq1tqvaCgkFb8cCA/edit?usp=sharing"",""ศรีสะเกษ!I211"")"),0.0)</f>
        <v>0</v>
      </c>
      <c r="J306" s="238">
        <f>IFERROR(__xludf.DUMMYFUNCTION("IMPORTRANGE(""https://docs.google.com/spreadsheets/d/1XL5vhW3sbDhbH9Cz0tuDiY8C3ctxq1tqvaCgkFb8cCA/edit?usp=sharing"",""ศรีสะเกษ!J211"")"),0.0)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IFERROR(__xludf.DUMMYFUNCTION("IMPORTRANGE(""https://docs.google.com/spreadsheets/d/1XL5vhW3sbDhbH9Cz0tuDiY8C3ctxq1tqvaCgkFb8cCA/edit?usp=sharing"",""ศรีสะเกษ!J212"")"),0.0)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IFERROR(__xludf.DUMMYFUNCTION("IMPORTRANGE(""https://docs.google.com/spreadsheets/d/1XL5vhW3sbDhbH9Cz0tuDiY8C3ctxq1tqvaCgkFb8cCA/edit?usp=sharing"",""ศรีสะเกษ!J213"")"),0.0)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IFERROR(__xludf.DUMMYFUNCTION("IMPORTRANGE(""https://docs.google.com/spreadsheets/d/1XL5vhW3sbDhbH9Cz0tuDiY8C3ctxq1tqvaCgkFb8cCA/edit?usp=sharing"",""ศรีสะเกษ!I214"")"),0.0)</f>
        <v>0</v>
      </c>
      <c r="J309" s="366">
        <f>IFERROR(__xludf.DUMMYFUNCTION("IMPORTRANGE(""https://docs.google.com/spreadsheets/d/1XL5vhW3sbDhbH9Cz0tuDiY8C3ctxq1tqvaCgkFb8cCA/edit?usp=sharing"",""ศรีสะเกษ!J214"")"),0.0)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IFERROR(__xludf.DUMMYFUNCTION("IMPORTRANGE(""https://docs.google.com/spreadsheets/d/1Yj_ptqi66GCucihVvJfMjLAmec39IyEx_6qawtMGysU/edit?usp=sharing"",""สบก!DC50"")"),0.0)</f>
        <v>0</v>
      </c>
      <c r="N314" s="202">
        <f>IFERROR(__xludf.DUMMYFUNCTION("IMPORTRANGE(""https://docs.google.com/spreadsheets/d/1Yj_ptqi66GCucihVvJfMjLAmec39IyEx_6qawtMGysU/edit?usp=sharing"",""สบก!DD50"")"),0.0)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IFERROR(__xludf.DUMMYFUNCTION("IMPORTRANGE(""https://docs.google.com/spreadsheets/d/1Yj_ptqi66GCucihVvJfMjLAmec39IyEx_6qawtMGysU/edit?usp=sharing"",""สบก!CY50"")"),0.0)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IFERROR(__xludf.DUMMYFUNCTION("IMPORTRANGE(""https://docs.google.com/spreadsheets/d/1Yj_ptqi66GCucihVvJfMjLAmec39IyEx_6qawtMGysU/edit?usp=sharing"",""สบก!CZ50"")"),0.0)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IFERROR(__xludf.DUMMYFUNCTION("IMPORTRANGE(""https://docs.google.com/spreadsheets/d/1Yj_ptqi66GCucihVvJfMjLAmec39IyEx_6qawtMGysU/edit?usp=sharing"",""สบก!DA50"")"),0.0)</f>
        <v>0</v>
      </c>
      <c r="M318" s="125"/>
      <c r="N318" s="115">
        <f>IFERROR(__xludf.DUMMYFUNCTION("IMPORTRANGE(""https://docs.google.com/spreadsheets/d/1Yj_ptqi66GCucihVvJfMjLAmec39IyEx_6qawtMGysU/edit?usp=sharing"",""สบก!DE50"")"),0.0)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IFERROR(__xludf.DUMMYFUNCTION("IMPORTRANGE(""https://docs.google.com/spreadsheets/d/1XL5vhW3sbDhbH9Cz0tuDiY8C3ctxq1tqvaCgkFb8cCA/edit?usp=sharing"",""ศรีสะเกษ!J220"")"),0.0)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IFERROR(__xludf.DUMMYFUNCTION("IMPORTRANGE(""https://docs.google.com/spreadsheets/d/1XL5vhW3sbDhbH9Cz0tuDiY8C3ctxq1tqvaCgkFb8cCA/edit?usp=sharing"",""ศรีสะเกษ!J221"")"),0.0)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IFERROR(__xludf.DUMMYFUNCTION("IMPORTRANGE(""https://docs.google.com/spreadsheets/d/1XL5vhW3sbDhbH9Cz0tuDiY8C3ctxq1tqvaCgkFb8cCA/edit?usp=sharing"",""ศรีสะเกษ!J222"")"),0.0)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IFERROR(__xludf.DUMMYFUNCTION("IMPORTRANGE(""https://docs.google.com/spreadsheets/d/1XL5vhW3sbDhbH9Cz0tuDiY8C3ctxq1tqvaCgkFb8cCA/edit?usp=sharing"",""ศรีสะเกษ!J223"")"),0.0)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IFERROR(__xludf.DUMMYFUNCTION("IMPORTRANGE(""https://docs.google.com/spreadsheets/d/1XL5vhW3sbDhbH9Cz0tuDiY8C3ctxq1tqvaCgkFb8cCA/edit?usp=sharing"",""ศรีสะเกษ!I224"")"),0.0)</f>
        <v>0</v>
      </c>
      <c r="J324" s="238">
        <f>IFERROR(__xludf.DUMMYFUNCTION("IMPORTRANGE(""https://docs.google.com/spreadsheets/d/1XL5vhW3sbDhbH9Cz0tuDiY8C3ctxq1tqvaCgkFb8cCA/edit?usp=sharing"",""ศรีสะเกษ!J224"")"),0.0)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IFERROR(__xludf.DUMMYFUNCTION("IMPORTRANGE(""https://docs.google.com/spreadsheets/d/1XL5vhW3sbDhbH9Cz0tuDiY8C3ctxq1tqvaCgkFb8cCA/edit?usp=sharing"",""ศรีสะเกษ!J225"")"),0.0)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IFERROR(__xludf.DUMMYFUNCTION("IMPORTRANGE(""https://docs.google.com/spreadsheets/d/1XL5vhW3sbDhbH9Cz0tuDiY8C3ctxq1tqvaCgkFb8cCA/edit?usp=sharing"",""ศรีสะเกษ!J226"")"),0.0)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IFERROR(__xludf.DUMMYFUNCTION("IMPORTRANGE(""https://docs.google.com/spreadsheets/d/1XL5vhW3sbDhbH9Cz0tuDiY8C3ctxq1tqvaCgkFb8cCA/edit?usp=sharing"",""ศรีสะเกษ!I228"")"),880.0)</f>
        <v>880</v>
      </c>
      <c r="J328" s="372">
        <f>IFERROR(__xludf.DUMMYFUNCTION("IMPORTRANGE(""https://docs.google.com/spreadsheets/d/1XL5vhW3sbDhbH9Cz0tuDiY8C3ctxq1tqvaCgkFb8cCA/edit?usp=sharing"",""ศรีสะเกษ!J228"")"),520.0)</f>
        <v>520</v>
      </c>
      <c r="K328" s="350">
        <f>IF(I328&gt;0,J328*100/I328,0)</f>
        <v>59.09090909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1684870</v>
      </c>
      <c r="M329" s="183">
        <f t="shared" si="99"/>
        <v>960180</v>
      </c>
      <c r="N329" s="183">
        <f t="shared" si="99"/>
        <v>425864</v>
      </c>
      <c r="O329" s="182">
        <f t="shared" ref="O329:O331" si="101">IF(L329&gt;0,N329*100/L329,0)</f>
        <v>25.27577795</v>
      </c>
      <c r="P329" s="182">
        <f t="shared" ref="P329:P331" si="102">IF(M329&gt;0,N329*100/M329,0)</f>
        <v>44.35251724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1684870</v>
      </c>
      <c r="M331" s="188">
        <f t="shared" si="103"/>
        <v>960180</v>
      </c>
      <c r="N331" s="188">
        <f t="shared" si="103"/>
        <v>425864</v>
      </c>
      <c r="O331" s="187">
        <f t="shared" si="101"/>
        <v>25.27577795</v>
      </c>
      <c r="P331" s="187">
        <f t="shared" si="102"/>
        <v>44.35251724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1667870</v>
      </c>
      <c r="M333" s="201">
        <f>IFERROR(__xludf.DUMMYFUNCTION("IMPORTRANGE(""https://docs.google.com/spreadsheets/d/1Yj_ptqi66GCucihVvJfMjLAmec39IyEx_6qawtMGysU/edit?usp=sharing"",""สบก!DL50"")"),960180.0)</f>
        <v>960180</v>
      </c>
      <c r="N333" s="202">
        <f>IFERROR(__xludf.DUMMYFUNCTION("IMPORTRANGE(""https://docs.google.com/spreadsheets/d/1Yj_ptqi66GCucihVvJfMjLAmec39IyEx_6qawtMGysU/edit?usp=sharing"",""สบก!DM50"")"),408864.0)</f>
        <v>408864</v>
      </c>
      <c r="O333" s="203">
        <f>IF(L333&gt;0,N333*100/L333,0)</f>
        <v>24.51414079</v>
      </c>
      <c r="P333" s="203">
        <f>IF(M333&gt;0,N333*100/M333,0)</f>
        <v>42.58201587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IFERROR(__xludf.DUMMYFUNCTION("IMPORTRANGE(""https://docs.google.com/spreadsheets/d/1Yj_ptqi66GCucihVvJfMjLAmec39IyEx_6qawtMGysU/edit?usp=sharing"",""สบก!DH50"")"),500400.0)</f>
        <v>500400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IFERROR(__xludf.DUMMYFUNCTION("IMPORTRANGE(""https://docs.google.com/spreadsheets/d/1Yj_ptqi66GCucihVvJfMjLAmec39IyEx_6qawtMGysU/edit?usp=sharing"",""สบก!DI50"")"),1167470.0)</f>
        <v>1167470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IFERROR(__xludf.DUMMYFUNCTION("IMPORTRANGE(""https://docs.google.com/spreadsheets/d/1Yj_ptqi66GCucihVvJfMjLAmec39IyEx_6qawtMGysU/edit?usp=sharing"",""สบก!DJ50"")"),17000.0)</f>
        <v>17000</v>
      </c>
      <c r="M337" s="125"/>
      <c r="N337" s="115">
        <f>IFERROR(__xludf.DUMMYFUNCTION("IMPORTRANGE(""https://docs.google.com/spreadsheets/d/1Yj_ptqi66GCucihVvJfMjLAmec39IyEx_6qawtMGysU/edit?usp=sharing"",""สบก!DN50"")"),17000.0)</f>
        <v>17000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IFERROR(__xludf.DUMMYFUNCTION("IMPORTRANGE(""https://docs.google.com/spreadsheets/d/1XL5vhW3sbDhbH9Cz0tuDiY8C3ctxq1tqvaCgkFb8cCA/edit?usp=sharing"",""ศรีสะเกษ!I234"")"),0.0)</f>
        <v>0</v>
      </c>
      <c r="J339" s="222">
        <f>IFERROR(__xludf.DUMMYFUNCTION("IMPORTRANGE(""https://docs.google.com/spreadsheets/d/1XL5vhW3sbDhbH9Cz0tuDiY8C3ctxq1tqvaCgkFb8cCA/edit?usp=sharing"",""ศรีสะเกษ!J234"")"),289.0)</f>
        <v>289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IFERROR(__xludf.DUMMYFUNCTION("IMPORTRANGE(""https://docs.google.com/spreadsheets/d/1XL5vhW3sbDhbH9Cz0tuDiY8C3ctxq1tqvaCgkFb8cCA/edit?usp=sharing"",""ศรีสะเกษ!I235"")"),7760.0)</f>
        <v>7760</v>
      </c>
      <c r="J340" s="222">
        <f>IFERROR(__xludf.DUMMYFUNCTION("IMPORTRANGE(""https://docs.google.com/spreadsheets/d/1XL5vhW3sbDhbH9Cz0tuDiY8C3ctxq1tqvaCgkFb8cCA/edit?usp=sharing"",""ศรีสะเกษ!J235"")"),1966.6)</f>
        <v>1966.6</v>
      </c>
      <c r="K340" s="375">
        <f t="shared" si="104"/>
        <v>25.34278351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IFERROR(__xludf.DUMMYFUNCTION("IMPORTRANGE(""https://docs.google.com/spreadsheets/d/1XL5vhW3sbDhbH9Cz0tuDiY8C3ctxq1tqvaCgkFb8cCA/edit?usp=sharing"",""ศรีสะเกษ!I236"")"),880.0)</f>
        <v>880</v>
      </c>
      <c r="J341" s="222">
        <f>IFERROR(__xludf.DUMMYFUNCTION("IMPORTRANGE(""https://docs.google.com/spreadsheets/d/1XL5vhW3sbDhbH9Cz0tuDiY8C3ctxq1tqvaCgkFb8cCA/edit?usp=sharing"",""ศรีสะเกษ!J236"")"),689.0)</f>
        <v>689</v>
      </c>
      <c r="K341" s="375">
        <f t="shared" si="104"/>
        <v>78.29545455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IFERROR(__xludf.DUMMYFUNCTION("IMPORTRANGE(""https://docs.google.com/spreadsheets/d/1XL5vhW3sbDhbH9Cz0tuDiY8C3ctxq1tqvaCgkFb8cCA/edit?usp=sharing"",""ศรีสะเกษ!I237"")"),0.0)</f>
        <v>0</v>
      </c>
      <c r="J342" s="222">
        <f>IFERROR(__xludf.DUMMYFUNCTION("IMPORTRANGE(""https://docs.google.com/spreadsheets/d/1XL5vhW3sbDhbH9Cz0tuDiY8C3ctxq1tqvaCgkFb8cCA/edit?usp=sharing"",""ศรีสะเกษ!J237"")"),5203.32)</f>
        <v>5203.32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IFERROR(__xludf.DUMMYFUNCTION("IMPORTRANGE(""https://docs.google.com/spreadsheets/d/1XL5vhW3sbDhbH9Cz0tuDiY8C3ctxq1tqvaCgkFb8cCA/edit?usp=sharing"",""ศรีสะเกษ!I238"")"),880.0)</f>
        <v>880</v>
      </c>
      <c r="J343" s="222">
        <f>IFERROR(__xludf.DUMMYFUNCTION("IMPORTRANGE(""https://docs.google.com/spreadsheets/d/1XL5vhW3sbDhbH9Cz0tuDiY8C3ctxq1tqvaCgkFb8cCA/edit?usp=sharing"",""ศรีสะเกษ!J238"")"),0.0)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IFERROR(__xludf.DUMMYFUNCTION("IMPORTRANGE(""https://docs.google.com/spreadsheets/d/1XL5vhW3sbDhbH9Cz0tuDiY8C3ctxq1tqvaCgkFb8cCA/edit?usp=sharing"",""ศรีสะเกษ!I239"")"),0.0)</f>
        <v>0</v>
      </c>
      <c r="J344" s="222">
        <f>IFERROR(__xludf.DUMMYFUNCTION("IMPORTRANGE(""https://docs.google.com/spreadsheets/d/1XL5vhW3sbDhbH9Cz0tuDiY8C3ctxq1tqvaCgkFb8cCA/edit?usp=sharing"",""ศรีสะเกษ!J239"")"),0.0)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IFERROR(__xludf.DUMMYFUNCTION("IMPORTRANGE(""https://docs.google.com/spreadsheets/d/1XL5vhW3sbDhbH9Cz0tuDiY8C3ctxq1tqvaCgkFb8cCA/edit?usp=sharing"",""ศรีสะเกษ!I240"")"),880.0)</f>
        <v>880</v>
      </c>
      <c r="J345" s="222">
        <f>IFERROR(__xludf.DUMMYFUNCTION("IMPORTRANGE(""https://docs.google.com/spreadsheets/d/1XL5vhW3sbDhbH9Cz0tuDiY8C3ctxq1tqvaCgkFb8cCA/edit?usp=sharing"",""ศรีสะเกษ!J240"")"),520.0)</f>
        <v>520</v>
      </c>
      <c r="K345" s="375">
        <f t="shared" si="104"/>
        <v>59.09090909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IFERROR(__xludf.DUMMYFUNCTION("IMPORTRANGE(""https://docs.google.com/spreadsheets/d/1XL5vhW3sbDhbH9Cz0tuDiY8C3ctxq1tqvaCgkFb8cCA/edit?usp=sharing"",""ศรีสะเกษ!I241"")"),0.0)</f>
        <v>0</v>
      </c>
      <c r="J346" s="222">
        <f>IFERROR(__xludf.DUMMYFUNCTION("IMPORTRANGE(""https://docs.google.com/spreadsheets/d/1XL5vhW3sbDhbH9Cz0tuDiY8C3ctxq1tqvaCgkFb8cCA/edit?usp=sharing"",""ศรีสะเกษ!J241"")"),3963.16)</f>
        <v>3963.16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IFERROR(__xludf.DUMMYFUNCTION("IMPORTRANGE(""https://docs.google.com/spreadsheets/d/1XL5vhW3sbDhbH9Cz0tuDiY8C3ctxq1tqvaCgkFb8cCA/edit?usp=sharing"",""ศรีสะเกษ!L242"")"),3182321.0)</f>
        <v>3182321</v>
      </c>
      <c r="M347" s="391"/>
      <c r="N347" s="391">
        <f>IFERROR(__xludf.DUMMYFUNCTION("IMPORTRANGE(""https://docs.google.com/spreadsheets/d/1XL5vhW3sbDhbH9Cz0tuDiY8C3ctxq1tqvaCgkFb8cCA/edit?usp=sharing"",""ศรีสะเกษ!M242"")"),252354.97000000003)</f>
        <v>252354.97</v>
      </c>
      <c r="O347" s="391">
        <f>+IF(L347&gt;0,N347*100/L347,0)</f>
        <v>7.929903049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IFERROR(__xludf.DUMMYFUNCTION("IMPORTRANGE(""https://docs.google.com/spreadsheets/d/1XL5vhW3sbDhbH9Cz0tuDiY8C3ctxq1tqvaCgkFb8cCA/edit?usp=sharing"",""ศรีสะเกษ!I244"")"),200.0)</f>
        <v>200</v>
      </c>
      <c r="J349" s="404">
        <f>IFERROR(__xludf.DUMMYFUNCTION("IMPORTRANGE(""https://docs.google.com/spreadsheets/d/1XL5vhW3sbDhbH9Cz0tuDiY8C3ctxq1tqvaCgkFb8cCA/edit?usp=sharing"",""ศรีสะเกษ!J244"")"),0.0)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IFERROR(__xludf.DUMMYFUNCTION("IMPORTRANGE(""https://docs.google.com/spreadsheets/d/1XL5vhW3sbDhbH9Cz0tuDiY8C3ctxq1tqvaCgkFb8cCA/edit?usp=sharing"",""ศรีสะเกษ!L244"")"),373160.0)</f>
        <v>373160</v>
      </c>
      <c r="M349" s="406"/>
      <c r="N349" s="406">
        <f>IFERROR(__xludf.DUMMYFUNCTION("IMPORTRANGE(""https://docs.google.com/spreadsheets/d/1XL5vhW3sbDhbH9Cz0tuDiY8C3ctxq1tqvaCgkFb8cCA/edit?usp=sharing"",""ศรีสะเกษ!M244"")"),18451.64)</f>
        <v>18451.64</v>
      </c>
      <c r="O349" s="406">
        <f>+IF(L349&gt;0,N349*100/L349,0)</f>
        <v>4.944699325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IFERROR(__xludf.DUMMYFUNCTION("IMPORTRANGE(""https://docs.google.com/spreadsheets/d/1XL5vhW3sbDhbH9Cz0tuDiY8C3ctxq1tqvaCgkFb8cCA/edit?usp=sharing"",""ศรีสะเกษ!I245"")"),40.0)</f>
        <v>40</v>
      </c>
      <c r="J350" s="404">
        <f>IFERROR(__xludf.DUMMYFUNCTION("IMPORTRANGE(""https://docs.google.com/spreadsheets/d/1XL5vhW3sbDhbH9Cz0tuDiY8C3ctxq1tqvaCgkFb8cCA/edit?usp=sharing"",""ศรีสะเกษ!J245"")"),0.0)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IFERROR(__xludf.DUMMYFUNCTION("IMPORTRANGE(""https://docs.google.com/spreadsheets/d/1XL5vhW3sbDhbH9Cz0tuDiY8C3ctxq1tqvaCgkFb8cCA/edit?usp=sharing"",""ศรีสะเกษ!L246"")"),0.0)</f>
        <v>0</v>
      </c>
      <c r="M351" s="197"/>
      <c r="N351" s="197">
        <f>IFERROR(__xludf.DUMMYFUNCTION("IMPORTRANGE(""https://docs.google.com/spreadsheets/d/1XL5vhW3sbDhbH9Cz0tuDiY8C3ctxq1tqvaCgkFb8cCA/edit?usp=sharing"",""ศรีสะเกษ!M246"")"),0.0)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IFERROR(__xludf.DUMMYFUNCTION("IMPORTRANGE(""https://docs.google.com/spreadsheets/d/1XL5vhW3sbDhbH9Cz0tuDiY8C3ctxq1tqvaCgkFb8cCA/edit?usp=sharing"",""ศรีสะเกษ!L247"")"),373160.0)</f>
        <v>373160</v>
      </c>
      <c r="M352" s="198"/>
      <c r="N352" s="197">
        <f>IFERROR(__xludf.DUMMYFUNCTION("IMPORTRANGE(""https://docs.google.com/spreadsheets/d/1XL5vhW3sbDhbH9Cz0tuDiY8C3ctxq1tqvaCgkFb8cCA/edit?usp=sharing"",""ศรีสะเกษ!M247"")"),18451.64)</f>
        <v>18451.64</v>
      </c>
      <c r="O352" s="198">
        <f t="shared" si="106"/>
        <v>4.944699325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IFERROR(__xludf.DUMMYFUNCTION("IMPORTRANGE(""https://docs.google.com/spreadsheets/d/1XL5vhW3sbDhbH9Cz0tuDiY8C3ctxq1tqvaCgkFb8cCA/edit?usp=sharing"",""ศรีสะเกษ!L248"")"),0.0)</f>
        <v>0</v>
      </c>
      <c r="M353" s="203"/>
      <c r="N353" s="203">
        <f>IFERROR(__xludf.DUMMYFUNCTION("IMPORTRANGE(""https://docs.google.com/spreadsheets/d/1XL5vhW3sbDhbH9Cz0tuDiY8C3ctxq1tqvaCgkFb8cCA/edit?usp=sharing"",""ศรีสะเกษ!M248"")"),0.0)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IFERROR(__xludf.DUMMYFUNCTION("IMPORTRANGE(""https://docs.google.com/spreadsheets/d/1XL5vhW3sbDhbH9Cz0tuDiY8C3ctxq1tqvaCgkFb8cCA/edit?usp=sharing"",""ศรีสะเกษ!L249"")"),373160.0)</f>
        <v>373160</v>
      </c>
      <c r="M354" s="203"/>
      <c r="N354" s="200">
        <f>IFERROR(__xludf.DUMMYFUNCTION("IMPORTRANGE(""https://docs.google.com/spreadsheets/d/1XL5vhW3sbDhbH9Cz0tuDiY8C3ctxq1tqvaCgkFb8cCA/edit?usp=sharing"",""ศรีสะเกษ!M249"")"),18451.64)</f>
        <v>18451.64</v>
      </c>
      <c r="O354" s="203">
        <f t="shared" si="106"/>
        <v>4.944699325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IFERROR(__xludf.DUMMYFUNCTION("IMPORTRANGE(""https://docs.google.com/spreadsheets/d/1XL5vhW3sbDhbH9Cz0tuDiY8C3ctxq1tqvaCgkFb8cCA/edit?usp=sharing"",""ศรีสะเกษ!M250"")"),0.0)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IFERROR(__xludf.DUMMYFUNCTION("IMPORTRANGE(""https://docs.google.com/spreadsheets/d/1XL5vhW3sbDhbH9Cz0tuDiY8C3ctxq1tqvaCgkFb8cCA/edit?usp=sharing"",""ศรีสะเกษ!M251"")"),0.0)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IFERROR(__xludf.DUMMYFUNCTION("IMPORTRANGE(""https://docs.google.com/spreadsheets/d/1XL5vhW3sbDhbH9Cz0tuDiY8C3ctxq1tqvaCgkFb8cCA/edit?usp=sharing"",""ศรีสะเกษ!M252"")"),18451.64)</f>
        <v>18451.64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IFERROR(__xludf.DUMMYFUNCTION("IMPORTRANGE(""https://docs.google.com/spreadsheets/d/1XL5vhW3sbDhbH9Cz0tuDiY8C3ctxq1tqvaCgkFb8cCA/edit?usp=sharing"",""ศรีสะเกษ!M253"")"),0.0)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IFERROR(__xludf.DUMMYFUNCTION("IMPORTRANGE(""https://docs.google.com/spreadsheets/d/1XL5vhW3sbDhbH9Cz0tuDiY8C3ctxq1tqvaCgkFb8cCA/edit?usp=sharing"",""ศรีสะเกษ!J255"")"),0.0)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IFERROR(__xludf.DUMMYFUNCTION("IMPORTRANGE(""https://docs.google.com/spreadsheets/d/1XL5vhW3sbDhbH9Cz0tuDiY8C3ctxq1tqvaCgkFb8cCA/edit?usp=sharing"",""ศรีสะเกษ!J256"")"),1.0)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IFERROR(__xludf.DUMMYFUNCTION("IMPORTRANGE(""https://docs.google.com/spreadsheets/d/1XL5vhW3sbDhbH9Cz0tuDiY8C3ctxq1tqvaCgkFb8cCA/edit?usp=sharing"",""ศรีสะเกษ!J257"")"),0.0)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IFERROR(__xludf.DUMMYFUNCTION("IMPORTRANGE(""https://docs.google.com/spreadsheets/d/1XL5vhW3sbDhbH9Cz0tuDiY8C3ctxq1tqvaCgkFb8cCA/edit?usp=sharing"",""ศรีสะเกษ!J258"")"),0.0)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IFERROR(__xludf.DUMMYFUNCTION("IMPORTRANGE(""https://docs.google.com/spreadsheets/d/1XL5vhW3sbDhbH9Cz0tuDiY8C3ctxq1tqvaCgkFb8cCA/edit?usp=sharing"",""ศรีสะเกษ!J166"")"),0.0)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IFERROR(__xludf.DUMMYFUNCTION("IMPORTRANGE(""https://docs.google.com/spreadsheets/d/1XL5vhW3sbDhbH9Cz0tuDiY8C3ctxq1tqvaCgkFb8cCA/edit?usp=sharing"",""ศรีสะเกษ!J166"")"),0.0)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IFERROR(__xludf.DUMMYFUNCTION("IMPORTRANGE(""https://docs.google.com/spreadsheets/d/1XL5vhW3sbDhbH9Cz0tuDiY8C3ctxq1tqvaCgkFb8cCA/edit?usp=sharing"",""ศรีสะเกษ!J166"")"),0.0)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IFERROR(__xludf.DUMMYFUNCTION("IMPORTRANGE(""https://docs.google.com/spreadsheets/d/1XL5vhW3sbDhbH9Cz0tuDiY8C3ctxq1tqvaCgkFb8cCA/edit?usp=sharing"",""ศรีสะเกษ!J166"")"),0.0)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IFERROR(__xludf.DUMMYFUNCTION("IMPORTRANGE(""https://docs.google.com/spreadsheets/d/1XL5vhW3sbDhbH9Cz0tuDiY8C3ctxq1tqvaCgkFb8cCA/edit?usp=sharing"",""ศรีสะเกษ!I263"")"),40.0)</f>
        <v>40</v>
      </c>
      <c r="J368" s="222">
        <f>IFERROR(__xludf.DUMMYFUNCTION("IMPORTRANGE(""https://docs.google.com/spreadsheets/d/1XL5vhW3sbDhbH9Cz0tuDiY8C3ctxq1tqvaCgkFb8cCA/edit?usp=sharing"",""ศรีสะเกษ!J263"")"),0.0)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IFERROR(__xludf.DUMMYFUNCTION("IMPORTRANGE(""https://docs.google.com/spreadsheets/d/1XL5vhW3sbDhbH9Cz0tuDiY8C3ctxq1tqvaCgkFb8cCA/edit?usp=sharing"",""ศรีสะเกษ!I164"")"),0.0)</f>
        <v>0</v>
      </c>
      <c r="J369" s="238">
        <f>IFERROR(__xludf.DUMMYFUNCTION("IMPORTRANGE(""https://docs.google.com/spreadsheets/d/1XL5vhW3sbDhbH9Cz0tuDiY8C3ctxq1tqvaCgkFb8cCA/edit?usp=sharing"",""ศรีสะเกษ!J164"")"),0.0)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IFERROR(__xludf.DUMMYFUNCTION("IMPORTRANGE(""https://docs.google.com/spreadsheets/d/1XL5vhW3sbDhbH9Cz0tuDiY8C3ctxq1tqvaCgkFb8cCA/edit?usp=sharing"",""ศรีสะเกษ!I265"")"),40.0)</f>
        <v>40</v>
      </c>
      <c r="J370" s="238">
        <f>IFERROR(__xludf.DUMMYFUNCTION("IMPORTRANGE(""https://docs.google.com/spreadsheets/d/1XL5vhW3sbDhbH9Cz0tuDiY8C3ctxq1tqvaCgkFb8cCA/edit?usp=sharing"",""ศรีสะเกษ!J265"")"),0.0)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IFERROR(__xludf.DUMMYFUNCTION("IMPORTRANGE(""https://docs.google.com/spreadsheets/d/1XL5vhW3sbDhbH9Cz0tuDiY8C3ctxq1tqvaCgkFb8cCA/edit?usp=sharing"",""ศรีสะเกษ!I164"")"),0.0)</f>
        <v>0</v>
      </c>
      <c r="J371" s="223">
        <f>IFERROR(__xludf.DUMMYFUNCTION("IMPORTRANGE(""https://docs.google.com/spreadsheets/d/1XL5vhW3sbDhbH9Cz0tuDiY8C3ctxq1tqvaCgkFb8cCA/edit?usp=sharing"",""ศรีสะเกษ!J164"")"),0.0)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IFERROR(__xludf.DUMMYFUNCTION("IMPORTRANGE(""https://docs.google.com/spreadsheets/d/1XL5vhW3sbDhbH9Cz0tuDiY8C3ctxq1tqvaCgkFb8cCA/edit?usp=sharing"",""ศรีสะเกษ!I267"")"),40.0)</f>
        <v>40</v>
      </c>
      <c r="J372" s="223">
        <f>IFERROR(__xludf.DUMMYFUNCTION("IMPORTRANGE(""https://docs.google.com/spreadsheets/d/1XL5vhW3sbDhbH9Cz0tuDiY8C3ctxq1tqvaCgkFb8cCA/edit?usp=sharing"",""ศรีสะเกษ!J267"")"),0.0)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IFERROR(__xludf.DUMMYFUNCTION("IMPORTRANGE(""https://docs.google.com/spreadsheets/d/1XL5vhW3sbDhbH9Cz0tuDiY8C3ctxq1tqvaCgkFb8cCA/edit?usp=sharing"",""ศรีสะเกษ!I164"")"),0.0)</f>
        <v>0</v>
      </c>
      <c r="J373" s="238">
        <f>IFERROR(__xludf.DUMMYFUNCTION("IMPORTRANGE(""https://docs.google.com/spreadsheets/d/1XL5vhW3sbDhbH9Cz0tuDiY8C3ctxq1tqvaCgkFb8cCA/edit?usp=sharing"",""ศรีสะเกษ!J164"")"),0.0)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IFERROR(__xludf.DUMMYFUNCTION("IMPORTRANGE(""https://docs.google.com/spreadsheets/d/1XL5vhW3sbDhbH9Cz0tuDiY8C3ctxq1tqvaCgkFb8cCA/edit?usp=sharing"",""ศรีสะเกษ!I164"")"),0.0)</f>
        <v>0</v>
      </c>
      <c r="J374" s="222">
        <f>IFERROR(__xludf.DUMMYFUNCTION("IMPORTRANGE(""https://docs.google.com/spreadsheets/d/1XL5vhW3sbDhbH9Cz0tuDiY8C3ctxq1tqvaCgkFb8cCA/edit?usp=sharing"",""ศรีสะเกษ!J164"")"),0.0)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IFERROR(__xludf.DUMMYFUNCTION("IMPORTRANGE(""https://docs.google.com/spreadsheets/d/1XL5vhW3sbDhbH9Cz0tuDiY8C3ctxq1tqvaCgkFb8cCA/edit?usp=sharing"",""ศรีสะเกษ!I270"")"),200.0)</f>
        <v>200</v>
      </c>
      <c r="J375" s="222">
        <f>IFERROR(__xludf.DUMMYFUNCTION("IMPORTRANGE(""https://docs.google.com/spreadsheets/d/1XL5vhW3sbDhbH9Cz0tuDiY8C3ctxq1tqvaCgkFb8cCA/edit?usp=sharing"",""ศรีสะเกษ!J270"")"),0.0)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IFERROR(__xludf.DUMMYFUNCTION("IMPORTRANGE(""https://docs.google.com/spreadsheets/d/1XL5vhW3sbDhbH9Cz0tuDiY8C3ctxq1tqvaCgkFb8cCA/edit?usp=sharing"",""ศรีสะเกษ!I271"")"),0.0)</f>
        <v>0</v>
      </c>
      <c r="J376" s="223">
        <f>IFERROR(__xludf.DUMMYFUNCTION("IMPORTRANGE(""https://docs.google.com/spreadsheets/d/1XL5vhW3sbDhbH9Cz0tuDiY8C3ctxq1tqvaCgkFb8cCA/edit?usp=sharing"",""ศรีสะเกษ!J271"")"),0.0)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IFERROR(__xludf.DUMMYFUNCTION("IMPORTRANGE(""https://docs.google.com/spreadsheets/d/1XL5vhW3sbDhbH9Cz0tuDiY8C3ctxq1tqvaCgkFb8cCA/edit?usp=sharing"",""ศรีสะเกษ!I272"")"),200.0)</f>
        <v>200</v>
      </c>
      <c r="J377" s="238">
        <f>IFERROR(__xludf.DUMMYFUNCTION("IMPORTRANGE(""https://docs.google.com/spreadsheets/d/1XL5vhW3sbDhbH9Cz0tuDiY8C3ctxq1tqvaCgkFb8cCA/edit?usp=sharing"",""ศรีสะเกษ!J272"")"),0.0)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IFERROR(__xludf.DUMMYFUNCTION("IMPORTRANGE(""https://docs.google.com/spreadsheets/d/1XL5vhW3sbDhbH9Cz0tuDiY8C3ctxq1tqvaCgkFb8cCA/edit?usp=sharing"",""ศรีสะเกษ!J273"")"),0.0)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IFERROR(__xludf.DUMMYFUNCTION("IMPORTRANGE(""https://docs.google.com/spreadsheets/d/1XL5vhW3sbDhbH9Cz0tuDiY8C3ctxq1tqvaCgkFb8cCA/edit?usp=sharing"",""ศรีสะเกษ!J274"")"),0.0)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IFERROR(__xludf.DUMMYFUNCTION("IMPORTRANGE(""https://docs.google.com/spreadsheets/d/1XL5vhW3sbDhbH9Cz0tuDiY8C3ctxq1tqvaCgkFb8cCA/edit?usp=sharing"",""ศรีสะเกษ!I275"")"),1000.0)</f>
        <v>1000</v>
      </c>
      <c r="J380" s="404">
        <f>IFERROR(__xludf.DUMMYFUNCTION("IMPORTRANGE(""https://docs.google.com/spreadsheets/d/1XL5vhW3sbDhbH9Cz0tuDiY8C3ctxq1tqvaCgkFb8cCA/edit?usp=sharing"",""ศรีสะเกษ!J275"")"),0.0)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IFERROR(__xludf.DUMMYFUNCTION("IMPORTRANGE(""https://docs.google.com/spreadsheets/d/1XL5vhW3sbDhbH9Cz0tuDiY8C3ctxq1tqvaCgkFb8cCA/edit?usp=sharing"",""ศรีสะเกษ!L275"")"),1028520.0)</f>
        <v>1028520</v>
      </c>
      <c r="M380" s="406"/>
      <c r="N380" s="406">
        <f>IFERROR(__xludf.DUMMYFUNCTION("IMPORTRANGE(""https://docs.google.com/spreadsheets/d/1XL5vhW3sbDhbH9Cz0tuDiY8C3ctxq1tqvaCgkFb8cCA/edit?usp=sharing"",""ศรีสะเกษ!M275"")"),150086.64)</f>
        <v>150086.64</v>
      </c>
      <c r="O380" s="406">
        <f>+IF(L380&gt;0,N380*100/L380,0)</f>
        <v>14.59248629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IFERROR(__xludf.DUMMYFUNCTION("IMPORTRANGE(""https://docs.google.com/spreadsheets/d/1XL5vhW3sbDhbH9Cz0tuDiY8C3ctxq1tqvaCgkFb8cCA/edit?usp=sharing"",""ศรีสะเกษ!I276"")"),100.0)</f>
        <v>100</v>
      </c>
      <c r="J381" s="404">
        <f>IFERROR(__xludf.DUMMYFUNCTION("IMPORTRANGE(""https://docs.google.com/spreadsheets/d/1XL5vhW3sbDhbH9Cz0tuDiY8C3ctxq1tqvaCgkFb8cCA/edit?usp=sharing"",""ศรีสะเกษ!J276"")"),100.0)</f>
        <v>100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IFERROR(__xludf.DUMMYFUNCTION("IMPORTRANGE(""https://docs.google.com/spreadsheets/d/1XL5vhW3sbDhbH9Cz0tuDiY8C3ctxq1tqvaCgkFb8cCA/edit?usp=sharing"",""ศรีสะเกษ!L277"")"),0.0)</f>
        <v>0</v>
      </c>
      <c r="M382" s="197"/>
      <c r="N382" s="197">
        <f>IFERROR(__xludf.DUMMYFUNCTION("IMPORTRANGE(""https://docs.google.com/spreadsheets/d/1XL5vhW3sbDhbH9Cz0tuDiY8C3ctxq1tqvaCgkFb8cCA/edit?usp=sharing"",""ศรีสะเกษ!M277"")"),0.0)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IFERROR(__xludf.DUMMYFUNCTION("IMPORTRANGE(""https://docs.google.com/spreadsheets/d/1XL5vhW3sbDhbH9Cz0tuDiY8C3ctxq1tqvaCgkFb8cCA/edit?usp=sharing"",""ศรีสะเกษ!L278"")"),1028520.0)</f>
        <v>1028520</v>
      </c>
      <c r="M383" s="198"/>
      <c r="N383" s="198">
        <f>IFERROR(__xludf.DUMMYFUNCTION("IMPORTRANGE(""https://docs.google.com/spreadsheets/d/1XL5vhW3sbDhbH9Cz0tuDiY8C3ctxq1tqvaCgkFb8cCA/edit?usp=sharing"",""ศรีสะเกษ!M278"")"),150086.64)</f>
        <v>150086.64</v>
      </c>
      <c r="O383" s="198">
        <f t="shared" si="110"/>
        <v>14.59248629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IFERROR(__xludf.DUMMYFUNCTION("IMPORTRANGE(""https://docs.google.com/spreadsheets/d/1XL5vhW3sbDhbH9Cz0tuDiY8C3ctxq1tqvaCgkFb8cCA/edit?usp=sharing"",""ศรีสะเกษ!L279"")"),0.0)</f>
        <v>0</v>
      </c>
      <c r="M384" s="203"/>
      <c r="N384" s="203">
        <f>IFERROR(__xludf.DUMMYFUNCTION("IMPORTRANGE(""https://docs.google.com/spreadsheets/d/1XL5vhW3sbDhbH9Cz0tuDiY8C3ctxq1tqvaCgkFb8cCA/edit?usp=sharing"",""ศรีสะเกษ!M279"")"),0.0)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IFERROR(__xludf.DUMMYFUNCTION("IMPORTRANGE(""https://docs.google.com/spreadsheets/d/1XL5vhW3sbDhbH9Cz0tuDiY8C3ctxq1tqvaCgkFb8cCA/edit?usp=sharing"",""ศรีสะเกษ!L280"")"),1028520.0)</f>
        <v>1028520</v>
      </c>
      <c r="M385" s="203"/>
      <c r="N385" s="200">
        <f>IFERROR(__xludf.DUMMYFUNCTION("IMPORTRANGE(""https://docs.google.com/spreadsheets/d/1XL5vhW3sbDhbH9Cz0tuDiY8C3ctxq1tqvaCgkFb8cCA/edit?usp=sharing"",""ศรีสะเกษ!M280"")"),150086.64)</f>
        <v>150086.64</v>
      </c>
      <c r="O385" s="203">
        <f t="shared" si="110"/>
        <v>14.59248629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IFERROR(__xludf.DUMMYFUNCTION("IMPORTRANGE(""https://docs.google.com/spreadsheets/d/1XL5vhW3sbDhbH9Cz0tuDiY8C3ctxq1tqvaCgkFb8cCA/edit?usp=sharing"",""ศรีสะเกษ!M281"")"),83675.0)</f>
        <v>83675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IFERROR(__xludf.DUMMYFUNCTION("IMPORTRANGE(""https://docs.google.com/spreadsheets/d/1XL5vhW3sbDhbH9Cz0tuDiY8C3ctxq1tqvaCgkFb8cCA/edit?usp=sharing"",""ศรีสะเกษ!M282"")"),0.0)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IFERROR(__xludf.DUMMYFUNCTION("IMPORTRANGE(""https://docs.google.com/spreadsheets/d/1XL5vhW3sbDhbH9Cz0tuDiY8C3ctxq1tqvaCgkFb8cCA/edit?usp=sharing"",""ศรีสะเกษ!M283"")"),51451.64)</f>
        <v>51451.64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IFERROR(__xludf.DUMMYFUNCTION("IMPORTRANGE(""https://docs.google.com/spreadsheets/d/1XL5vhW3sbDhbH9Cz0tuDiY8C3ctxq1tqvaCgkFb8cCA/edit?usp=sharing"",""ศรีสะเกษ!M284"")"),14960.0)</f>
        <v>14960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IFERROR(__xludf.DUMMYFUNCTION("IMPORTRANGE(""https://docs.google.com/spreadsheets/d/1XL5vhW3sbDhbH9Cz0tuDiY8C3ctxq1tqvaCgkFb8cCA/edit?usp=sharing"",""ศรีสะเกษ!J286"")"),0.0)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IFERROR(__xludf.DUMMYFUNCTION("IMPORTRANGE(""https://docs.google.com/spreadsheets/d/1XL5vhW3sbDhbH9Cz0tuDiY8C3ctxq1tqvaCgkFb8cCA/edit?usp=sharing"",""ศรีสะเกษ!J287"")"),1.0)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IFERROR(__xludf.DUMMYFUNCTION("IMPORTRANGE(""https://docs.google.com/spreadsheets/d/1XL5vhW3sbDhbH9Cz0tuDiY8C3ctxq1tqvaCgkFb8cCA/edit?usp=sharing"",""ศรีสะเกษ!J288"")"),0.0)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IFERROR(__xludf.DUMMYFUNCTION("IMPORTRANGE(""https://docs.google.com/spreadsheets/d/1XL5vhW3sbDhbH9Cz0tuDiY8C3ctxq1tqvaCgkFb8cCA/edit?usp=sharing"",""ศรีสะเกษ!J289"")"),0.0)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IFERROR(__xludf.DUMMYFUNCTION("IMPORTRANGE(""https://docs.google.com/spreadsheets/d/1XL5vhW3sbDhbH9Cz0tuDiY8C3ctxq1tqvaCgkFb8cCA/edit?usp=sharing"",""ศรีสะเกษ!I291"")"),100.0)</f>
        <v>100</v>
      </c>
      <c r="J396" s="232">
        <f>IFERROR(__xludf.DUMMYFUNCTION("IMPORTRANGE(""https://docs.google.com/spreadsheets/d/1XL5vhW3sbDhbH9Cz0tuDiY8C3ctxq1tqvaCgkFb8cCA/edit?usp=sharing"",""ศรีสะเกษ!J291"")"),100.0)</f>
        <v>100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IFERROR(__xludf.DUMMYFUNCTION("IMPORTRANGE(""https://docs.google.com/spreadsheets/d/1XL5vhW3sbDhbH9Cz0tuDiY8C3ctxq1tqvaCgkFb8cCA/edit?usp=sharing"",""ศรีสะเกษ!I292"")"),1000.0)</f>
        <v>1000</v>
      </c>
      <c r="J397" s="232">
        <f>IFERROR(__xludf.DUMMYFUNCTION("IMPORTRANGE(""https://docs.google.com/spreadsheets/d/1XL5vhW3sbDhbH9Cz0tuDiY8C3ctxq1tqvaCgkFb8cCA/edit?usp=sharing"",""ศรีสะเกษ!J292"")"),0.0)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IFERROR(__xludf.DUMMYFUNCTION("IMPORTRANGE(""https://docs.google.com/spreadsheets/d/1XL5vhW3sbDhbH9Cz0tuDiY8C3ctxq1tqvaCgkFb8cCA/edit?usp=sharing"",""ศรีสะเกษ!I293"")"),100.0)</f>
        <v>100</v>
      </c>
      <c r="J398" s="232">
        <f>IFERROR(__xludf.DUMMYFUNCTION("IMPORTRANGE(""https://docs.google.com/spreadsheets/d/1XL5vhW3sbDhbH9Cz0tuDiY8C3ctxq1tqvaCgkFb8cCA/edit?usp=sharing"",""ศรีสะเกษ!J293"")"),0.0)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IFERROR(__xludf.DUMMYFUNCTION("IMPORTRANGE(""https://docs.google.com/spreadsheets/d/1XL5vhW3sbDhbH9Cz0tuDiY8C3ctxq1tqvaCgkFb8cCA/edit?usp=sharing"",""ศรีสะเกษ!J294"")"),0.0)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IFERROR(__xludf.DUMMYFUNCTION("IMPORTRANGE(""https://docs.google.com/spreadsheets/d/1XL5vhW3sbDhbH9Cz0tuDiY8C3ctxq1tqvaCgkFb8cCA/edit?usp=sharing"",""ศรีสะเกษ!J295"")"),0.0)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IFERROR(__xludf.DUMMYFUNCTION("IMPORTRANGE(""https://docs.google.com/spreadsheets/d/1XL5vhW3sbDhbH9Cz0tuDiY8C3ctxq1tqvaCgkFb8cCA/edit?usp=sharing"",""ศรีสะเกษ!I296"")"),195.0)</f>
        <v>195</v>
      </c>
      <c r="J401" s="404">
        <f>IFERROR(__xludf.DUMMYFUNCTION("IMPORTRANGE(""https://docs.google.com/spreadsheets/d/1XL5vhW3sbDhbH9Cz0tuDiY8C3ctxq1tqvaCgkFb8cCA/edit?usp=sharing"",""ศรีสะเกษ!J296"")"),0.0)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IFERROR(__xludf.DUMMYFUNCTION("IMPORTRANGE(""https://docs.google.com/spreadsheets/d/1XL5vhW3sbDhbH9Cz0tuDiY8C3ctxq1tqvaCgkFb8cCA/edit?usp=sharing"",""ศรีสะเกษ!L296"")"),206330.0)</f>
        <v>206330</v>
      </c>
      <c r="M401" s="406"/>
      <c r="N401" s="406">
        <f>IFERROR(__xludf.DUMMYFUNCTION("IMPORTRANGE(""https://docs.google.com/spreadsheets/d/1XL5vhW3sbDhbH9Cz0tuDiY8C3ctxq1tqvaCgkFb8cCA/edit?usp=sharing"",""ศรีสะเกษ!M296"")"),0.0)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IFERROR(__xludf.DUMMYFUNCTION("IMPORTRANGE(""https://docs.google.com/spreadsheets/d/1XL5vhW3sbDhbH9Cz0tuDiY8C3ctxq1tqvaCgkFb8cCA/edit?usp=sharing"",""ศรีสะเกษ!I297"")"),65.0)</f>
        <v>65</v>
      </c>
      <c r="J402" s="404">
        <f>IFERROR(__xludf.DUMMYFUNCTION("IMPORTRANGE(""https://docs.google.com/spreadsheets/d/1XL5vhW3sbDhbH9Cz0tuDiY8C3ctxq1tqvaCgkFb8cCA/edit?usp=sharing"",""ศรีสะเกษ!J297"")"),0.0)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IFERROR(__xludf.DUMMYFUNCTION("IMPORTRANGE(""https://docs.google.com/spreadsheets/d/1XL5vhW3sbDhbH9Cz0tuDiY8C3ctxq1tqvaCgkFb8cCA/edit?usp=sharing"",""ศรีสะเกษ!L298"")"),0.0)</f>
        <v>0</v>
      </c>
      <c r="M403" s="197"/>
      <c r="N403" s="203">
        <f>IFERROR(__xludf.DUMMYFUNCTION("IMPORTRANGE(""https://docs.google.com/spreadsheets/d/1XL5vhW3sbDhbH9Cz0tuDiY8C3ctxq1tqvaCgkFb8cCA/edit?usp=sharing"",""ศรีสะเกษ!M298"")"),0.0)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IFERROR(__xludf.DUMMYFUNCTION("IMPORTRANGE(""https://docs.google.com/spreadsheets/d/1XL5vhW3sbDhbH9Cz0tuDiY8C3ctxq1tqvaCgkFb8cCA/edit?usp=sharing"",""ศรีสะเกษ!L299"")"),206330.0)</f>
        <v>206330</v>
      </c>
      <c r="M404" s="198"/>
      <c r="N404" s="203">
        <f>IFERROR(__xludf.DUMMYFUNCTION("IMPORTRANGE(""https://docs.google.com/spreadsheets/d/1XL5vhW3sbDhbH9Cz0tuDiY8C3ctxq1tqvaCgkFb8cCA/edit?usp=sharing"",""ศรีสะเกษ!M299"")"),0.0)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IFERROR(__xludf.DUMMYFUNCTION("IMPORTRANGE(""https://docs.google.com/spreadsheets/d/1XL5vhW3sbDhbH9Cz0tuDiY8C3ctxq1tqvaCgkFb8cCA/edit?usp=sharing"",""ศรีสะเกษ!L300"")"),0.0)</f>
        <v>0</v>
      </c>
      <c r="M405" s="203"/>
      <c r="N405" s="203">
        <f>IFERROR(__xludf.DUMMYFUNCTION("IMPORTRANGE(""https://docs.google.com/spreadsheets/d/1XL5vhW3sbDhbH9Cz0tuDiY8C3ctxq1tqvaCgkFb8cCA/edit?usp=sharing"",""ศรีสะเกษ!M300"")"),0.0)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IFERROR(__xludf.DUMMYFUNCTION("IMPORTRANGE(""https://docs.google.com/spreadsheets/d/1XL5vhW3sbDhbH9Cz0tuDiY8C3ctxq1tqvaCgkFb8cCA/edit?usp=sharing"",""ศรีสะเกษ!L301"")"),206330.0)</f>
        <v>206330</v>
      </c>
      <c r="M406" s="203"/>
      <c r="N406" s="203">
        <f>IFERROR(__xludf.DUMMYFUNCTION("IMPORTRANGE(""https://docs.google.com/spreadsheets/d/1XL5vhW3sbDhbH9Cz0tuDiY8C3ctxq1tqvaCgkFb8cCA/edit?usp=sharing"",""ศรีสะเกษ!M301"")"),0.0)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IFERROR(__xludf.DUMMYFUNCTION("IMPORTRANGE(""https://docs.google.com/spreadsheets/d/1XL5vhW3sbDhbH9Cz0tuDiY8C3ctxq1tqvaCgkFb8cCA/edit?usp=sharing"",""ศรีสะเกษ!M302"")"),0.0)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IFERROR(__xludf.DUMMYFUNCTION("IMPORTRANGE(""https://docs.google.com/spreadsheets/d/1XL5vhW3sbDhbH9Cz0tuDiY8C3ctxq1tqvaCgkFb8cCA/edit?usp=sharing"",""ศรีสะเกษ!M303"")"),0.0)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IFERROR(__xludf.DUMMYFUNCTION("IMPORTRANGE(""https://docs.google.com/spreadsheets/d/1XL5vhW3sbDhbH9Cz0tuDiY8C3ctxq1tqvaCgkFb8cCA/edit?usp=sharing"",""ศรีสะเกษ!M304"")"),0.0)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IFERROR(__xludf.DUMMYFUNCTION("IMPORTRANGE(""https://docs.google.com/spreadsheets/d/1XL5vhW3sbDhbH9Cz0tuDiY8C3ctxq1tqvaCgkFb8cCA/edit?usp=sharing"",""ศรีสะเกษ!M305"")"),0.0)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IFERROR(__xludf.DUMMYFUNCTION("IMPORTRANGE(""https://docs.google.com/spreadsheets/d/1XL5vhW3sbDhbH9Cz0tuDiY8C3ctxq1tqvaCgkFb8cCA/edit?usp=sharing"",""ศรีสะเกษ!J307"")"),0.0)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IFERROR(__xludf.DUMMYFUNCTION("IMPORTRANGE(""https://docs.google.com/spreadsheets/d/1XL5vhW3sbDhbH9Cz0tuDiY8C3ctxq1tqvaCgkFb8cCA/edit?usp=sharing"",""ศรีสะเกษ!J308"")"),1.0)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IFERROR(__xludf.DUMMYFUNCTION("IMPORTRANGE(""https://docs.google.com/spreadsheets/d/1XL5vhW3sbDhbH9Cz0tuDiY8C3ctxq1tqvaCgkFb8cCA/edit?usp=sharing"",""ศรีสะเกษ!J309"")"),1.0)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IFERROR(__xludf.DUMMYFUNCTION("IMPORTRANGE(""https://docs.google.com/spreadsheets/d/1XL5vhW3sbDhbH9Cz0tuDiY8C3ctxq1tqvaCgkFb8cCA/edit?usp=sharing"",""ศรีสะเกษ!J310"")"),0.0)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IFERROR(__xludf.DUMMYFUNCTION("IMPORTRANGE(""https://docs.google.com/spreadsheets/d/1XL5vhW3sbDhbH9Cz0tuDiY8C3ctxq1tqvaCgkFb8cCA/edit?usp=sharing"",""ศรีสะเกษ!I311"")"),65.0)</f>
        <v>65</v>
      </c>
      <c r="J416" s="235">
        <f>IFERROR(__xludf.DUMMYFUNCTION("IMPORTRANGE(""https://docs.google.com/spreadsheets/d/1XL5vhW3sbDhbH9Cz0tuDiY8C3ctxq1tqvaCgkFb8cCA/edit?usp=sharing"",""ศรีสะเกษ!J311"")"),0.0)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IFERROR(__xludf.DUMMYFUNCTION("IMPORTRANGE(""https://docs.google.com/spreadsheets/d/1XL5vhW3sbDhbH9Cz0tuDiY8C3ctxq1tqvaCgkFb8cCA/edit?usp=sharing"",""ศรีสะเกษ!I312"")"),13.0)</f>
        <v>13</v>
      </c>
      <c r="J417" s="425">
        <f>IFERROR(__xludf.DUMMYFUNCTION("IMPORTRANGE(""https://docs.google.com/spreadsheets/d/1XL5vhW3sbDhbH9Cz0tuDiY8C3ctxq1tqvaCgkFb8cCA/edit?usp=sharing"",""ศรีสะเกษ!J312"")"),0.0)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IFERROR(__xludf.DUMMYFUNCTION("IMPORTRANGE(""https://docs.google.com/spreadsheets/d/1XL5vhW3sbDhbH9Cz0tuDiY8C3ctxq1tqvaCgkFb8cCA/edit?usp=sharing"",""ศรีสะเกษ!I313"")"),39.0)</f>
        <v>39</v>
      </c>
      <c r="J418" s="426">
        <f>IFERROR(__xludf.DUMMYFUNCTION("IMPORTRANGE(""https://docs.google.com/spreadsheets/d/1XL5vhW3sbDhbH9Cz0tuDiY8C3ctxq1tqvaCgkFb8cCA/edit?usp=sharing"",""ศรีสะเกษ!J313"")"),0.0)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IFERROR(__xludf.DUMMYFUNCTION("IMPORTRANGE(""https://docs.google.com/spreadsheets/d/1XL5vhW3sbDhbH9Cz0tuDiY8C3ctxq1tqvaCgkFb8cCA/edit?usp=sharing"",""ศรีสะเกษ!I314"")"),13.0)</f>
        <v>13</v>
      </c>
      <c r="J419" s="427">
        <f>IFERROR(__xludf.DUMMYFUNCTION("IMPORTRANGE(""https://docs.google.com/spreadsheets/d/1XL5vhW3sbDhbH9Cz0tuDiY8C3ctxq1tqvaCgkFb8cCA/edit?usp=sharing"",""ศรีสะเกษ!J314"")"),0.0)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IFERROR(__xludf.DUMMYFUNCTION("IMPORTRANGE(""https://docs.google.com/spreadsheets/d/1XL5vhW3sbDhbH9Cz0tuDiY8C3ctxq1tqvaCgkFb8cCA/edit?usp=sharing"",""ศรีสะเกษ!I315"")"),13.0)</f>
        <v>13</v>
      </c>
      <c r="J420" s="427">
        <f>IFERROR(__xludf.DUMMYFUNCTION("IMPORTRANGE(""https://docs.google.com/spreadsheets/d/1XL5vhW3sbDhbH9Cz0tuDiY8C3ctxq1tqvaCgkFb8cCA/edit?usp=sharing"",""ศรีสะเกษ!J315"")"),0.0)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IFERROR(__xludf.DUMMYFUNCTION("IMPORTRANGE(""https://docs.google.com/spreadsheets/d/1XL5vhW3sbDhbH9Cz0tuDiY8C3ctxq1tqvaCgkFb8cCA/edit?usp=sharing"",""ศรีสะเกษ!I316"")"),35.0)</f>
        <v>35</v>
      </c>
      <c r="J421" s="425">
        <f>IFERROR(__xludf.DUMMYFUNCTION("IMPORTRANGE(""https://docs.google.com/spreadsheets/d/1XL5vhW3sbDhbH9Cz0tuDiY8C3ctxq1tqvaCgkFb8cCA/edit?usp=sharing"",""ศรีสะเกษ!J316"")"),0.0)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IFERROR(__xludf.DUMMYFUNCTION("IMPORTRANGE(""https://docs.google.com/spreadsheets/d/1XL5vhW3sbDhbH9Cz0tuDiY8C3ctxq1tqvaCgkFb8cCA/edit?usp=sharing"",""ศรีสะเกษ!I317"")"),105.0)</f>
        <v>105</v>
      </c>
      <c r="J422" s="426">
        <f>IFERROR(__xludf.DUMMYFUNCTION("IMPORTRANGE(""https://docs.google.com/spreadsheets/d/1XL5vhW3sbDhbH9Cz0tuDiY8C3ctxq1tqvaCgkFb8cCA/edit?usp=sharing"",""ศรีสะเกษ!J317"")"),0.0)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IFERROR(__xludf.DUMMYFUNCTION("IMPORTRANGE(""https://docs.google.com/spreadsheets/d/1XL5vhW3sbDhbH9Cz0tuDiY8C3ctxq1tqvaCgkFb8cCA/edit?usp=sharing"",""ศรีสะเกษ!I318"")"),35.0)</f>
        <v>35</v>
      </c>
      <c r="J423" s="427">
        <f>IFERROR(__xludf.DUMMYFUNCTION("IMPORTRANGE(""https://docs.google.com/spreadsheets/d/1XL5vhW3sbDhbH9Cz0tuDiY8C3ctxq1tqvaCgkFb8cCA/edit?usp=sharing"",""ศรีสะเกษ!J318"")"),0.0)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IFERROR(__xludf.DUMMYFUNCTION("IMPORTRANGE(""https://docs.google.com/spreadsheets/d/1XL5vhW3sbDhbH9Cz0tuDiY8C3ctxq1tqvaCgkFb8cCA/edit?usp=sharing"",""ศรีสะเกษ!I319"")"),35.0)</f>
        <v>35</v>
      </c>
      <c r="J424" s="427">
        <f>IFERROR(__xludf.DUMMYFUNCTION("IMPORTRANGE(""https://docs.google.com/spreadsheets/d/1XL5vhW3sbDhbH9Cz0tuDiY8C3ctxq1tqvaCgkFb8cCA/edit?usp=sharing"",""ศรีสะเกษ!J319"")"),0.0)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IFERROR(__xludf.DUMMYFUNCTION("IMPORTRANGE(""https://docs.google.com/spreadsheets/d/1XL5vhW3sbDhbH9Cz0tuDiY8C3ctxq1tqvaCgkFb8cCA/edit?usp=sharing"",""ศรีสะเกษ!I320"")"),35.0)</f>
        <v>35</v>
      </c>
      <c r="J425" s="427">
        <f>IFERROR(__xludf.DUMMYFUNCTION("IMPORTRANGE(""https://docs.google.com/spreadsheets/d/1XL5vhW3sbDhbH9Cz0tuDiY8C3ctxq1tqvaCgkFb8cCA/edit?usp=sharing"",""ศรีสะเกษ!J320"")"),0.0)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IFERROR(__xludf.DUMMYFUNCTION("IMPORTRANGE(""https://docs.google.com/spreadsheets/d/1XL5vhW3sbDhbH9Cz0tuDiY8C3ctxq1tqvaCgkFb8cCA/edit?usp=sharing"",""ศรีสะเกษ!I321"")"),17.0)</f>
        <v>17</v>
      </c>
      <c r="J426" s="425">
        <f>IFERROR(__xludf.DUMMYFUNCTION("IMPORTRANGE(""https://docs.google.com/spreadsheets/d/1XL5vhW3sbDhbH9Cz0tuDiY8C3ctxq1tqvaCgkFb8cCA/edit?usp=sharing"",""ศรีสะเกษ!J321"")"),0.0)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IFERROR(__xludf.DUMMYFUNCTION("IMPORTRANGE(""https://docs.google.com/spreadsheets/d/1XL5vhW3sbDhbH9Cz0tuDiY8C3ctxq1tqvaCgkFb8cCA/edit?usp=sharing"",""ศรีสะเกษ!I322"")"),51.0)</f>
        <v>51</v>
      </c>
      <c r="J427" s="426">
        <f>IFERROR(__xludf.DUMMYFUNCTION("IMPORTRANGE(""https://docs.google.com/spreadsheets/d/1XL5vhW3sbDhbH9Cz0tuDiY8C3ctxq1tqvaCgkFb8cCA/edit?usp=sharing"",""ศรีสะเกษ!J322"")"),0.0)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IFERROR(__xludf.DUMMYFUNCTION("IMPORTRANGE(""https://docs.google.com/spreadsheets/d/1XL5vhW3sbDhbH9Cz0tuDiY8C3ctxq1tqvaCgkFb8cCA/edit?usp=sharing"",""ศรีสะเกษ!I323"")"),17.0)</f>
        <v>17</v>
      </c>
      <c r="J428" s="427">
        <f>IFERROR(__xludf.DUMMYFUNCTION("IMPORTRANGE(""https://docs.google.com/spreadsheets/d/1XL5vhW3sbDhbH9Cz0tuDiY8C3ctxq1tqvaCgkFb8cCA/edit?usp=sharing"",""ศรีสะเกษ!J323"")"),0.0)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IFERROR(__xludf.DUMMYFUNCTION("IMPORTRANGE(""https://docs.google.com/spreadsheets/d/1XL5vhW3sbDhbH9Cz0tuDiY8C3ctxq1tqvaCgkFb8cCA/edit?usp=sharing"",""ศรีสะเกษ!I324"")"),17.0)</f>
        <v>17</v>
      </c>
      <c r="J429" s="427">
        <f>IFERROR(__xludf.DUMMYFUNCTION("IMPORTRANGE(""https://docs.google.com/spreadsheets/d/1XL5vhW3sbDhbH9Cz0tuDiY8C3ctxq1tqvaCgkFb8cCA/edit?usp=sharing"",""ศรีสะเกษ!J324"")"),0.0)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IFERROR(__xludf.DUMMYFUNCTION("IMPORTRANGE(""https://docs.google.com/spreadsheets/d/1XL5vhW3sbDhbH9Cz0tuDiY8C3ctxq1tqvaCgkFb8cCA/edit?usp=sharing"",""ศรีสะเกษ!I325"")"),48.0)</f>
        <v>48</v>
      </c>
      <c r="J430" s="425">
        <f>IFERROR(__xludf.DUMMYFUNCTION("IMPORTRANGE(""https://docs.google.com/spreadsheets/d/1XL5vhW3sbDhbH9Cz0tuDiY8C3ctxq1tqvaCgkFb8cCA/edit?usp=sharing"",""ศรีสะเกษ!J325"")"),0.0)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IFERROR(__xludf.DUMMYFUNCTION("IMPORTRANGE(""https://docs.google.com/spreadsheets/d/1XL5vhW3sbDhbH9Cz0tuDiY8C3ctxq1tqvaCgkFb8cCA/edit?usp=sharing"",""ศรีสะเกษ!I326"")"),13.0)</f>
        <v>13</v>
      </c>
      <c r="J431" s="427">
        <f>IFERROR(__xludf.DUMMYFUNCTION("IMPORTRANGE(""https://docs.google.com/spreadsheets/d/1XL5vhW3sbDhbH9Cz0tuDiY8C3ctxq1tqvaCgkFb8cCA/edit?usp=sharing"",""ศรีสะเกษ!J326"")"),0.0)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IFERROR(__xludf.DUMMYFUNCTION("IMPORTRANGE(""https://docs.google.com/spreadsheets/d/1XL5vhW3sbDhbH9Cz0tuDiY8C3ctxq1tqvaCgkFb8cCA/edit?usp=sharing"",""ศรีสะเกษ!I327"")"),35.0)</f>
        <v>35</v>
      </c>
      <c r="J432" s="427">
        <f>IFERROR(__xludf.DUMMYFUNCTION("IMPORTRANGE(""https://docs.google.com/spreadsheets/d/1XL5vhW3sbDhbH9Cz0tuDiY8C3ctxq1tqvaCgkFb8cCA/edit?usp=sharing"",""ศรีสะเกษ!J327"")"),0.0)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IFERROR(__xludf.DUMMYFUNCTION("IMPORTRANGE(""https://docs.google.com/spreadsheets/d/1XL5vhW3sbDhbH9Cz0tuDiY8C3ctxq1tqvaCgkFb8cCA/edit?usp=sharing"",""ศรีสะเกษ!J328"")"),0.0)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IFERROR(__xludf.DUMMYFUNCTION("IMPORTRANGE(""https://docs.google.com/spreadsheets/d/1XL5vhW3sbDhbH9Cz0tuDiY8C3ctxq1tqvaCgkFb8cCA/edit?usp=sharing"",""ศรีสะเกษ!J329"")"),0.0)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IFERROR(__xludf.DUMMYFUNCTION("IMPORTRANGE(""https://docs.google.com/spreadsheets/d/1XL5vhW3sbDhbH9Cz0tuDiY8C3ctxq1tqvaCgkFb8cCA/edit?usp=sharing"",""ศรีสะเกษ!I330"")"),35.0)</f>
        <v>35</v>
      </c>
      <c r="J435" s="443">
        <f>IFERROR(__xludf.DUMMYFUNCTION("IMPORTRANGE(""https://docs.google.com/spreadsheets/d/1XL5vhW3sbDhbH9Cz0tuDiY8C3ctxq1tqvaCgkFb8cCA/edit?usp=sharing"",""ศรีสะเกษ!J330"")"),0.0)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IFERROR(__xludf.DUMMYFUNCTION("IMPORTRANGE(""https://docs.google.com/spreadsheets/d/1XL5vhW3sbDhbH9Cz0tuDiY8C3ctxq1tqvaCgkFb8cCA/edit?usp=sharing"",""ศรีสะเกษ!L330"")"),128000.0)</f>
        <v>128000</v>
      </c>
      <c r="M435" s="445"/>
      <c r="N435" s="445">
        <f>IFERROR(__xludf.DUMMYFUNCTION("IMPORTRANGE(""https://docs.google.com/spreadsheets/d/1XL5vhW3sbDhbH9Cz0tuDiY8C3ctxq1tqvaCgkFb8cCA/edit?usp=sharing"",""ศรีสะเกษ!M330"")"),32120.0)</f>
        <v>32120</v>
      </c>
      <c r="O435" s="445">
        <f t="shared" ref="O435:O439" si="115">+IF(L435&gt;0,N435*100/L435,0)</f>
        <v>25.09375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IFERROR(__xludf.DUMMYFUNCTION("IMPORTRANGE(""https://docs.google.com/spreadsheets/d/1XL5vhW3sbDhbH9Cz0tuDiY8C3ctxq1tqvaCgkFb8cCA/edit?usp=sharing"",""ศรีสะเกษ!L331"")"),0.0)</f>
        <v>0</v>
      </c>
      <c r="M436" s="197"/>
      <c r="N436" s="203">
        <f>IFERROR(__xludf.DUMMYFUNCTION("IMPORTRANGE(""https://docs.google.com/spreadsheets/d/1XL5vhW3sbDhbH9Cz0tuDiY8C3ctxq1tqvaCgkFb8cCA/edit?usp=sharing"",""ศรีสะเกษ!M331"")"),0.0)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IFERROR(__xludf.DUMMYFUNCTION("IMPORTRANGE(""https://docs.google.com/spreadsheets/d/1XL5vhW3sbDhbH9Cz0tuDiY8C3ctxq1tqvaCgkFb8cCA/edit?usp=sharing"",""ศรีสะเกษ!L332"")"),128000.0)</f>
        <v>128000</v>
      </c>
      <c r="M437" s="198"/>
      <c r="N437" s="203">
        <f>IFERROR(__xludf.DUMMYFUNCTION("IMPORTRANGE(""https://docs.google.com/spreadsheets/d/1XL5vhW3sbDhbH9Cz0tuDiY8C3ctxq1tqvaCgkFb8cCA/edit?usp=sharing"",""ศรีสะเกษ!M332"")"),32120.0)</f>
        <v>32120</v>
      </c>
      <c r="O437" s="203">
        <f t="shared" si="115"/>
        <v>25.09375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IFERROR(__xludf.DUMMYFUNCTION("IMPORTRANGE(""https://docs.google.com/spreadsheets/d/1XL5vhW3sbDhbH9Cz0tuDiY8C3ctxq1tqvaCgkFb8cCA/edit?usp=sharing"",""ศรีสะเกษ!L333"")"),0.0)</f>
        <v>0</v>
      </c>
      <c r="M438" s="203"/>
      <c r="N438" s="203">
        <f>IFERROR(__xludf.DUMMYFUNCTION("IMPORTRANGE(""https://docs.google.com/spreadsheets/d/1XL5vhW3sbDhbH9Cz0tuDiY8C3ctxq1tqvaCgkFb8cCA/edit?usp=sharing"",""ศรีสะเกษ!M333"")"),0.0)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IFERROR(__xludf.DUMMYFUNCTION("IMPORTRANGE(""https://docs.google.com/spreadsheets/d/1XL5vhW3sbDhbH9Cz0tuDiY8C3ctxq1tqvaCgkFb8cCA/edit?usp=sharing"",""ศรีสะเกษ!L334"")"),128000.0)</f>
        <v>128000</v>
      </c>
      <c r="M439" s="203"/>
      <c r="N439" s="203">
        <f>IFERROR(__xludf.DUMMYFUNCTION("IMPORTRANGE(""https://docs.google.com/spreadsheets/d/1XL5vhW3sbDhbH9Cz0tuDiY8C3ctxq1tqvaCgkFb8cCA/edit?usp=sharing"",""ศรีสะเกษ!M334"")"),32120.0)</f>
        <v>32120</v>
      </c>
      <c r="O439" s="203">
        <f t="shared" si="115"/>
        <v>25.09375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IFERROR(__xludf.DUMMYFUNCTION("IMPORTRANGE(""https://docs.google.com/spreadsheets/d/1XL5vhW3sbDhbH9Cz0tuDiY8C3ctxq1tqvaCgkFb8cCA/edit?usp=sharing"",""ศรีสะเกษ!M335"")"),32120.0)</f>
        <v>32120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IFERROR(__xludf.DUMMYFUNCTION("IMPORTRANGE(""https://docs.google.com/spreadsheets/d/1XL5vhW3sbDhbH9Cz0tuDiY8C3ctxq1tqvaCgkFb8cCA/edit?usp=sharing"",""ศรีสะเกษ!M336"")"),0.0)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IFERROR(__xludf.DUMMYFUNCTION("IMPORTRANGE(""https://docs.google.com/spreadsheets/d/1XL5vhW3sbDhbH9Cz0tuDiY8C3ctxq1tqvaCgkFb8cCA/edit?usp=sharing"",""ศรีสะเกษ!M337"")"),0.0)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IFERROR(__xludf.DUMMYFUNCTION("IMPORTRANGE(""https://docs.google.com/spreadsheets/d/1XL5vhW3sbDhbH9Cz0tuDiY8C3ctxq1tqvaCgkFb8cCA/edit?usp=sharing"",""ศรีสะเกษ!M338"")"),0.0)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IFERROR(__xludf.DUMMYFUNCTION("IMPORTRANGE(""https://docs.google.com/spreadsheets/d/1XL5vhW3sbDhbH9Cz0tuDiY8C3ctxq1tqvaCgkFb8cCA/edit?usp=sharing"",""ศรีสะเกษ!J340"")"),0.0)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IFERROR(__xludf.DUMMYFUNCTION("IMPORTRANGE(""https://docs.google.com/spreadsheets/d/1XL5vhW3sbDhbH9Cz0tuDiY8C3ctxq1tqvaCgkFb8cCA/edit?usp=sharing"",""ศรีสะเกษ!J341"")"),1.0)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IFERROR(__xludf.DUMMYFUNCTION("IMPORTRANGE(""https://docs.google.com/spreadsheets/d/1XL5vhW3sbDhbH9Cz0tuDiY8C3ctxq1tqvaCgkFb8cCA/edit?usp=sharing"",""ศรีสะเกษ!J342"")"),1.0)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IFERROR(__xludf.DUMMYFUNCTION("IMPORTRANGE(""https://docs.google.com/spreadsheets/d/1XL5vhW3sbDhbH9Cz0tuDiY8C3ctxq1tqvaCgkFb8cCA/edit?usp=sharing"",""ศรีสะเกษ!J343"")"),1.0)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IFERROR(__xludf.DUMMYFUNCTION("IMPORTRANGE(""https://docs.google.com/spreadsheets/d/1XL5vhW3sbDhbH9Cz0tuDiY8C3ctxq1tqvaCgkFb8cCA/edit?usp=sharing"",""ศรีสะเกษ!I344"")"),35.0)</f>
        <v>35</v>
      </c>
      <c r="J449" s="235">
        <f>IFERROR(__xludf.DUMMYFUNCTION("IMPORTRANGE(""https://docs.google.com/spreadsheets/d/1XL5vhW3sbDhbH9Cz0tuDiY8C3ctxq1tqvaCgkFb8cCA/edit?usp=sharing"",""ศรีสะเกษ!J344"")"),0.0)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IFERROR(__xludf.DUMMYFUNCTION("IMPORTRANGE(""https://docs.google.com/spreadsheets/d/1XL5vhW3sbDhbH9Cz0tuDiY8C3ctxq1tqvaCgkFb8cCA/edit?usp=sharing"",""ศรีสะเกษ!I345"")"),35.0)</f>
        <v>35</v>
      </c>
      <c r="J450" s="223">
        <f>IFERROR(__xludf.DUMMYFUNCTION("IMPORTRANGE(""https://docs.google.com/spreadsheets/d/1XL5vhW3sbDhbH9Cz0tuDiY8C3ctxq1tqvaCgkFb8cCA/edit?usp=sharing"",""ศรีสะเกษ!J345"")"),0.0)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IFERROR(__xludf.DUMMYFUNCTION("IMPORTRANGE(""https://docs.google.com/spreadsheets/d/1XL5vhW3sbDhbH9Cz0tuDiY8C3ctxq1tqvaCgkFb8cCA/edit?usp=sharing"",""ศรีสะเกษ!I346"")"),0.0)</f>
        <v>0</v>
      </c>
      <c r="J451" s="222">
        <f>IFERROR(__xludf.DUMMYFUNCTION("IMPORTRANGE(""https://docs.google.com/spreadsheets/d/1XL5vhW3sbDhbH9Cz0tuDiY8C3ctxq1tqvaCgkFb8cCA/edit?usp=sharing"",""ศรีสะเกษ!J346"")"),0.0)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IFERROR(__xludf.DUMMYFUNCTION("IMPORTRANGE(""https://docs.google.com/spreadsheets/d/1XL5vhW3sbDhbH9Cz0tuDiY8C3ctxq1tqvaCgkFb8cCA/edit?usp=sharing"",""ศรีสะเกษ!I347"")"),0.0)</f>
        <v>0</v>
      </c>
      <c r="J452" s="222">
        <f>IFERROR(__xludf.DUMMYFUNCTION("IMPORTRANGE(""https://docs.google.com/spreadsheets/d/1XL5vhW3sbDhbH9Cz0tuDiY8C3ctxq1tqvaCgkFb8cCA/edit?usp=sharing"",""ศรีสะเกษ!J347"")"),0.0)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IFERROR(__xludf.DUMMYFUNCTION("IMPORTRANGE(""https://docs.google.com/spreadsheets/d/1XL5vhW3sbDhbH9Cz0tuDiY8C3ctxq1tqvaCgkFb8cCA/edit?usp=sharing"",""ศรีสะเกษ!J348"")"),0.0)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IFERROR(__xludf.DUMMYFUNCTION("IMPORTRANGE(""https://docs.google.com/spreadsheets/d/1XL5vhW3sbDhbH9Cz0tuDiY8C3ctxq1tqvaCgkFb8cCA/edit?usp=sharing"",""ศรีสะเกษ!J349"")"),0.0)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IFERROR(__xludf.DUMMYFUNCTION("IMPORTRANGE(""https://docs.google.com/spreadsheets/d/1XL5vhW3sbDhbH9Cz0tuDiY8C3ctxq1tqvaCgkFb8cCA/edit?usp=sharing"",""ศรีสะเกษ!I350"")"),46205.0)</f>
        <v>46205</v>
      </c>
      <c r="J455" s="404">
        <f>IFERROR(__xludf.DUMMYFUNCTION("IMPORTRANGE(""https://docs.google.com/spreadsheets/d/1XL5vhW3sbDhbH9Cz0tuDiY8C3ctxq1tqvaCgkFb8cCA/edit?usp=sharing"",""ศรีสะเกษ!J350"")"),0.0)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IFERROR(__xludf.DUMMYFUNCTION("IMPORTRANGE(""https://docs.google.com/spreadsheets/d/1XL5vhW3sbDhbH9Cz0tuDiY8C3ctxq1tqvaCgkFb8cCA/edit?usp=sharing"",""ศรีสะเกษ!L350"")"),853421.0)</f>
        <v>853421</v>
      </c>
      <c r="M455" s="406"/>
      <c r="N455" s="406">
        <f>IFERROR(__xludf.DUMMYFUNCTION("IMPORTRANGE(""https://docs.google.com/spreadsheets/d/1XL5vhW3sbDhbH9Cz0tuDiY8C3ctxq1tqvaCgkFb8cCA/edit?usp=sharing"",""ศรีสะเกษ!M350"")"),18451.64)</f>
        <v>18451.64</v>
      </c>
      <c r="O455" s="406">
        <f t="shared" ref="O455:O459" si="117">+IF(L455&gt;0,N455*100/L455,0)</f>
        <v>2.162079443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IFERROR(__xludf.DUMMYFUNCTION("IMPORTRANGE(""https://docs.google.com/spreadsheets/d/1XL5vhW3sbDhbH9Cz0tuDiY8C3ctxq1tqvaCgkFb8cCA/edit?usp=sharing"",""ศรีสะเกษ!L351"")"),0.0)</f>
        <v>0</v>
      </c>
      <c r="M456" s="197"/>
      <c r="N456" s="203">
        <f>IFERROR(__xludf.DUMMYFUNCTION("IMPORTRANGE(""https://docs.google.com/spreadsheets/d/1XL5vhW3sbDhbH9Cz0tuDiY8C3ctxq1tqvaCgkFb8cCA/edit?usp=sharing"",""ศรีสะเกษ!M351"")"),0.0)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IFERROR(__xludf.DUMMYFUNCTION("IMPORTRANGE(""https://docs.google.com/spreadsheets/d/1XL5vhW3sbDhbH9Cz0tuDiY8C3ctxq1tqvaCgkFb8cCA/edit?usp=sharing"",""ศรีสะเกษ!L352"")"),853421.0)</f>
        <v>853421</v>
      </c>
      <c r="M457" s="198"/>
      <c r="N457" s="203">
        <f>IFERROR(__xludf.DUMMYFUNCTION("IMPORTRANGE(""https://docs.google.com/spreadsheets/d/1XL5vhW3sbDhbH9Cz0tuDiY8C3ctxq1tqvaCgkFb8cCA/edit?usp=sharing"",""ศรีสะเกษ!M352"")"),18451.64)</f>
        <v>18451.64</v>
      </c>
      <c r="O457" s="203">
        <f t="shared" si="117"/>
        <v>2.162079443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IFERROR(__xludf.DUMMYFUNCTION("IMPORTRANGE(""https://docs.google.com/spreadsheets/d/1XL5vhW3sbDhbH9Cz0tuDiY8C3ctxq1tqvaCgkFb8cCA/edit?usp=sharing"",""ศรีสะเกษ!L353"")"),0.0)</f>
        <v>0</v>
      </c>
      <c r="M458" s="203"/>
      <c r="N458" s="203">
        <f>IFERROR(__xludf.DUMMYFUNCTION("IMPORTRANGE(""https://docs.google.com/spreadsheets/d/1XL5vhW3sbDhbH9Cz0tuDiY8C3ctxq1tqvaCgkFb8cCA/edit?usp=sharing"",""ศรีสะเกษ!M353"")"),0.0)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IFERROR(__xludf.DUMMYFUNCTION("IMPORTRANGE(""https://docs.google.com/spreadsheets/d/1XL5vhW3sbDhbH9Cz0tuDiY8C3ctxq1tqvaCgkFb8cCA/edit?usp=sharing"",""ศรีสะเกษ!L354"")"),853421.0)</f>
        <v>853421</v>
      </c>
      <c r="M459" s="203"/>
      <c r="N459" s="203">
        <f>IFERROR(__xludf.DUMMYFUNCTION("IMPORTRANGE(""https://docs.google.com/spreadsheets/d/1XL5vhW3sbDhbH9Cz0tuDiY8C3ctxq1tqvaCgkFb8cCA/edit?usp=sharing"",""ศรีสะเกษ!M354"")"),18451.64)</f>
        <v>18451.64</v>
      </c>
      <c r="O459" s="203">
        <f t="shared" si="117"/>
        <v>2.162079443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IFERROR(__xludf.DUMMYFUNCTION("IMPORTRANGE(""https://docs.google.com/spreadsheets/d/1XL5vhW3sbDhbH9Cz0tuDiY8C3ctxq1tqvaCgkFb8cCA/edit?usp=sharing"",""ศรีสะเกษ!M355"")"),0.0)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IFERROR(__xludf.DUMMYFUNCTION("IMPORTRANGE(""https://docs.google.com/spreadsheets/d/1XL5vhW3sbDhbH9Cz0tuDiY8C3ctxq1tqvaCgkFb8cCA/edit?usp=sharing"",""ศรีสะเกษ!M356"")"),0.0)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IFERROR(__xludf.DUMMYFUNCTION("IMPORTRANGE(""https://docs.google.com/spreadsheets/d/1XL5vhW3sbDhbH9Cz0tuDiY8C3ctxq1tqvaCgkFb8cCA/edit?usp=sharing"",""ศรีสะเกษ!M357"")"),18451.64)</f>
        <v>18451.64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IFERROR(__xludf.DUMMYFUNCTION("IMPORTRANGE(""https://docs.google.com/spreadsheets/d/1XL5vhW3sbDhbH9Cz0tuDiY8C3ctxq1tqvaCgkFb8cCA/edit?usp=sharing"",""ศรีสะเกษ!M358"")"),0.0)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IFERROR(__xludf.DUMMYFUNCTION("IMPORTRANGE(""https://docs.google.com/spreadsheets/d/1XL5vhW3sbDhbH9Cz0tuDiY8C3ctxq1tqvaCgkFb8cCA/edit?usp=sharing"",""ศรีสะเกษ!I359"")"),46205.0)</f>
        <v>46205</v>
      </c>
      <c r="J464" s="301">
        <f>IFERROR(__xludf.DUMMYFUNCTION("IMPORTRANGE(""https://docs.google.com/spreadsheets/d/1XL5vhW3sbDhbH9Cz0tuDiY8C3ctxq1tqvaCgkFb8cCA/edit?usp=sharing"",""ศรีสะเกษ!J359"")"),0.0)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IFERROR(__xludf.DUMMYFUNCTION("IMPORTRANGE(""https://docs.google.com/spreadsheets/d/1XL5vhW3sbDhbH9Cz0tuDiY8C3ctxq1tqvaCgkFb8cCA/edit?usp=sharing"",""ศรีสะเกษ!I360"")"),46205.0)</f>
        <v>46205</v>
      </c>
      <c r="J465" s="453">
        <f>IFERROR(__xludf.DUMMYFUNCTION("IMPORTRANGE(""https://docs.google.com/spreadsheets/d/1XL5vhW3sbDhbH9Cz0tuDiY8C3ctxq1tqvaCgkFb8cCA/edit?usp=sharing"",""ศรีสะเกษ!J360"")"),2259.0)</f>
        <v>2259</v>
      </c>
      <c r="K465" s="236">
        <f t="shared" si="118"/>
        <v>4.889081268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IFERROR(__xludf.DUMMYFUNCTION("IMPORTRANGE(""https://docs.google.com/spreadsheets/d/1XL5vhW3sbDhbH9Cz0tuDiY8C3ctxq1tqvaCgkFb8cCA/edit?usp=sharing"",""ศรีสะเกษ!I361"")"),11134.0)</f>
        <v>11134</v>
      </c>
      <c r="J466" s="453">
        <f>IFERROR(__xludf.DUMMYFUNCTION("IMPORTRANGE(""https://docs.google.com/spreadsheets/d/1XL5vhW3sbDhbH9Cz0tuDiY8C3ctxq1tqvaCgkFb8cCA/edit?usp=sharing"",""ศรีสะเกษ!J361"")"),629.0)</f>
        <v>629</v>
      </c>
      <c r="K466" s="236">
        <f t="shared" si="118"/>
        <v>5.649362314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IFERROR(__xludf.DUMMYFUNCTION("IMPORTRANGE(""https://docs.google.com/spreadsheets/d/1XL5vhW3sbDhbH9Cz0tuDiY8C3ctxq1tqvaCgkFb8cCA/edit?usp=sharing"",""ศรีสะเกษ!I362"")"),0.0)</f>
        <v>0</v>
      </c>
      <c r="J467" s="223">
        <f>IFERROR(__xludf.DUMMYFUNCTION("IMPORTRANGE(""https://docs.google.com/spreadsheets/d/1XL5vhW3sbDhbH9Cz0tuDiY8C3ctxq1tqvaCgkFb8cCA/edit?usp=sharing"",""ศรีสะเกษ!J362"")"),2027.0)</f>
        <v>2027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IFERROR(__xludf.DUMMYFUNCTION("IMPORTRANGE(""https://docs.google.com/spreadsheets/d/1XL5vhW3sbDhbH9Cz0tuDiY8C3ctxq1tqvaCgkFb8cCA/edit?usp=sharing"",""ศรีสะเกษ!I363"")"),0.0)</f>
        <v>0</v>
      </c>
      <c r="J468" s="223">
        <f>IFERROR(__xludf.DUMMYFUNCTION("IMPORTRANGE(""https://docs.google.com/spreadsheets/d/1XL5vhW3sbDhbH9Cz0tuDiY8C3ctxq1tqvaCgkFb8cCA/edit?usp=sharing"",""ศรีสะเกษ!J363"")"),525.0)</f>
        <v>525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IFERROR(__xludf.DUMMYFUNCTION("IMPORTRANGE(""https://docs.google.com/spreadsheets/d/1XL5vhW3sbDhbH9Cz0tuDiY8C3ctxq1tqvaCgkFb8cCA/edit?usp=sharing"",""ศรีสะเกษ!I364"")"),0.0)</f>
        <v>0</v>
      </c>
      <c r="J469" s="223">
        <f>IFERROR(__xludf.DUMMYFUNCTION("IMPORTRANGE(""https://docs.google.com/spreadsheets/d/1XL5vhW3sbDhbH9Cz0tuDiY8C3ctxq1tqvaCgkFb8cCA/edit?usp=sharing"",""ศรีสะเกษ!J364"")"),219.0)</f>
        <v>219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IFERROR(__xludf.DUMMYFUNCTION("IMPORTRANGE(""https://docs.google.com/spreadsheets/d/1XL5vhW3sbDhbH9Cz0tuDiY8C3ctxq1tqvaCgkFb8cCA/edit?usp=sharing"",""ศรีสะเกษ!I365"")"),0.0)</f>
        <v>0</v>
      </c>
      <c r="J470" s="223">
        <f>IFERROR(__xludf.DUMMYFUNCTION("IMPORTRANGE(""https://docs.google.com/spreadsheets/d/1XL5vhW3sbDhbH9Cz0tuDiY8C3ctxq1tqvaCgkFb8cCA/edit?usp=sharing"",""ศรีสะเกษ!J365"")"),38.0)</f>
        <v>38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IFERROR(__xludf.DUMMYFUNCTION("IMPORTRANGE(""https://docs.google.com/spreadsheets/d/1XL5vhW3sbDhbH9Cz0tuDiY8C3ctxq1tqvaCgkFb8cCA/edit?usp=sharing"",""ศรีสะเกษ!I366"")"),0.0)</f>
        <v>0</v>
      </c>
      <c r="J471" s="223">
        <f>IFERROR(__xludf.DUMMYFUNCTION("IMPORTRANGE(""https://docs.google.com/spreadsheets/d/1XL5vhW3sbDhbH9Cz0tuDiY8C3ctxq1tqvaCgkFb8cCA/edit?usp=sharing"",""ศรีสะเกษ!J366"")"),13.0)</f>
        <v>13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IFERROR(__xludf.DUMMYFUNCTION("IMPORTRANGE(""https://docs.google.com/spreadsheets/d/1XL5vhW3sbDhbH9Cz0tuDiY8C3ctxq1tqvaCgkFb8cCA/edit?usp=sharing"",""ศรีสะเกษ!I367"")"),0.0)</f>
        <v>0</v>
      </c>
      <c r="J472" s="223">
        <f>IFERROR(__xludf.DUMMYFUNCTION("IMPORTRANGE(""https://docs.google.com/spreadsheets/d/1XL5vhW3sbDhbH9Cz0tuDiY8C3ctxq1tqvaCgkFb8cCA/edit?usp=sharing"",""ศรีสะเกษ!J367"")"),66.0)</f>
        <v>66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IFERROR(__xludf.DUMMYFUNCTION("IMPORTRANGE(""https://docs.google.com/spreadsheets/d/1XL5vhW3sbDhbH9Cz0tuDiY8C3ctxq1tqvaCgkFb8cCA/edit?usp=sharing"",""ศรีสะเกษ!I368"")"),46205.0)</f>
        <v>46205</v>
      </c>
      <c r="J473" s="453">
        <f>IFERROR(__xludf.DUMMYFUNCTION("IMPORTRANGE(""https://docs.google.com/spreadsheets/d/1XL5vhW3sbDhbH9Cz0tuDiY8C3ctxq1tqvaCgkFb8cCA/edit?usp=sharing"",""ศรีสะเกษ!J368"")"),0.0)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IFERROR(__xludf.DUMMYFUNCTION("IMPORTRANGE(""https://docs.google.com/spreadsheets/d/1XL5vhW3sbDhbH9Cz0tuDiY8C3ctxq1tqvaCgkFb8cCA/edit?usp=sharing"",""ศรีสะเกษ!I369"")"),11134.0)</f>
        <v>11134</v>
      </c>
      <c r="J474" s="453">
        <f>IFERROR(__xludf.DUMMYFUNCTION("IMPORTRANGE(""https://docs.google.com/spreadsheets/d/1XL5vhW3sbDhbH9Cz0tuDiY8C3ctxq1tqvaCgkFb8cCA/edit?usp=sharing"",""ศรีสะเกษ!J369"")"),0.0)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IFERROR(__xludf.DUMMYFUNCTION("IMPORTRANGE(""https://docs.google.com/spreadsheets/d/1XL5vhW3sbDhbH9Cz0tuDiY8C3ctxq1tqvaCgkFb8cCA/edit?usp=sharing"",""ศรีสะเกษ!I370"")"),0.0)</f>
        <v>0</v>
      </c>
      <c r="J475" s="223">
        <f>IFERROR(__xludf.DUMMYFUNCTION("IMPORTRANGE(""https://docs.google.com/spreadsheets/d/1XL5vhW3sbDhbH9Cz0tuDiY8C3ctxq1tqvaCgkFb8cCA/edit?usp=sharing"",""ศรีสะเกษ!J370"")"),0.0)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IFERROR(__xludf.DUMMYFUNCTION("IMPORTRANGE(""https://docs.google.com/spreadsheets/d/1XL5vhW3sbDhbH9Cz0tuDiY8C3ctxq1tqvaCgkFb8cCA/edit?usp=sharing"",""ศรีสะเกษ!I371"")"),0.0)</f>
        <v>0</v>
      </c>
      <c r="J476" s="223">
        <f>IFERROR(__xludf.DUMMYFUNCTION("IMPORTRANGE(""https://docs.google.com/spreadsheets/d/1XL5vhW3sbDhbH9Cz0tuDiY8C3ctxq1tqvaCgkFb8cCA/edit?usp=sharing"",""ศรีสะเกษ!J371"")"),0.0)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IFERROR(__xludf.DUMMYFUNCTION("IMPORTRANGE(""https://docs.google.com/spreadsheets/d/1XL5vhW3sbDhbH9Cz0tuDiY8C3ctxq1tqvaCgkFb8cCA/edit?usp=sharing"",""ศรีสะเกษ!I372"")"),0.0)</f>
        <v>0</v>
      </c>
      <c r="J477" s="223">
        <f>IFERROR(__xludf.DUMMYFUNCTION("IMPORTRANGE(""https://docs.google.com/spreadsheets/d/1XL5vhW3sbDhbH9Cz0tuDiY8C3ctxq1tqvaCgkFb8cCA/edit?usp=sharing"",""ศรีสะเกษ!J372"")"),0.0)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IFERROR(__xludf.DUMMYFUNCTION("IMPORTRANGE(""https://docs.google.com/spreadsheets/d/1XL5vhW3sbDhbH9Cz0tuDiY8C3ctxq1tqvaCgkFb8cCA/edit?usp=sharing"",""ศรีสะเกษ!I373"")"),0.0)</f>
        <v>0</v>
      </c>
      <c r="J478" s="223">
        <f>IFERROR(__xludf.DUMMYFUNCTION("IMPORTRANGE(""https://docs.google.com/spreadsheets/d/1XL5vhW3sbDhbH9Cz0tuDiY8C3ctxq1tqvaCgkFb8cCA/edit?usp=sharing"",""ศรีสะเกษ!J373"")"),0.0)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IFERROR(__xludf.DUMMYFUNCTION("IMPORTRANGE(""https://docs.google.com/spreadsheets/d/1XL5vhW3sbDhbH9Cz0tuDiY8C3ctxq1tqvaCgkFb8cCA/edit?usp=sharing"",""ศรีสะเกษ!I374"")"),0.0)</f>
        <v>0</v>
      </c>
      <c r="J479" s="223">
        <f>IFERROR(__xludf.DUMMYFUNCTION("IMPORTRANGE(""https://docs.google.com/spreadsheets/d/1XL5vhW3sbDhbH9Cz0tuDiY8C3ctxq1tqvaCgkFb8cCA/edit?usp=sharing"",""ศรีสะเกษ!J374"")"),0.0)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IFERROR(__xludf.DUMMYFUNCTION("IMPORTRANGE(""https://docs.google.com/spreadsheets/d/1XL5vhW3sbDhbH9Cz0tuDiY8C3ctxq1tqvaCgkFb8cCA/edit?usp=sharing"",""ศรีสะเกษ!I375"")"),0.0)</f>
        <v>0</v>
      </c>
      <c r="J480" s="223">
        <f>IFERROR(__xludf.DUMMYFUNCTION("IMPORTRANGE(""https://docs.google.com/spreadsheets/d/1XL5vhW3sbDhbH9Cz0tuDiY8C3ctxq1tqvaCgkFb8cCA/edit?usp=sharing"",""ศรีสะเกษ!J375"")"),0.0)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IFERROR(__xludf.DUMMYFUNCTION("IMPORTRANGE(""https://docs.google.com/spreadsheets/d/1XL5vhW3sbDhbH9Cz0tuDiY8C3ctxq1tqvaCgkFb8cCA/edit?usp=sharing"",""ศรีสะเกษ!I376"")"),46205.0)</f>
        <v>46205</v>
      </c>
      <c r="J481" s="453">
        <f>IFERROR(__xludf.DUMMYFUNCTION("IMPORTRANGE(""https://docs.google.com/spreadsheets/d/1XL5vhW3sbDhbH9Cz0tuDiY8C3ctxq1tqvaCgkFb8cCA/edit?usp=sharing"",""ศรีสะเกษ!J376"")"),0.0)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IFERROR(__xludf.DUMMYFUNCTION("IMPORTRANGE(""https://docs.google.com/spreadsheets/d/1XL5vhW3sbDhbH9Cz0tuDiY8C3ctxq1tqvaCgkFb8cCA/edit?usp=sharing"",""ศรีสะเกษ!I377"")"),11134.0)</f>
        <v>11134</v>
      </c>
      <c r="J482" s="453">
        <f>IFERROR(__xludf.DUMMYFUNCTION("IMPORTRANGE(""https://docs.google.com/spreadsheets/d/1XL5vhW3sbDhbH9Cz0tuDiY8C3ctxq1tqvaCgkFb8cCA/edit?usp=sharing"",""ศรีสะเกษ!J377"")"),0.0)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IFERROR(__xludf.DUMMYFUNCTION("IMPORTRANGE(""https://docs.google.com/spreadsheets/d/1XL5vhW3sbDhbH9Cz0tuDiY8C3ctxq1tqvaCgkFb8cCA/edit?usp=sharing"",""ศรีสะเกษ!I378"")"),0.0)</f>
        <v>0</v>
      </c>
      <c r="J483" s="223">
        <f>IFERROR(__xludf.DUMMYFUNCTION("IMPORTRANGE(""https://docs.google.com/spreadsheets/d/1XL5vhW3sbDhbH9Cz0tuDiY8C3ctxq1tqvaCgkFb8cCA/edit?usp=sharing"",""ศรีสะเกษ!J378"")"),0.0)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IFERROR(__xludf.DUMMYFUNCTION("IMPORTRANGE(""https://docs.google.com/spreadsheets/d/1XL5vhW3sbDhbH9Cz0tuDiY8C3ctxq1tqvaCgkFb8cCA/edit?usp=sharing"",""ศรีสะเกษ!I379"")"),0.0)</f>
        <v>0</v>
      </c>
      <c r="J484" s="223">
        <f>IFERROR(__xludf.DUMMYFUNCTION("IMPORTRANGE(""https://docs.google.com/spreadsheets/d/1XL5vhW3sbDhbH9Cz0tuDiY8C3ctxq1tqvaCgkFb8cCA/edit?usp=sharing"",""ศรีสะเกษ!J379"")"),0.0)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IFERROR(__xludf.DUMMYFUNCTION("IMPORTRANGE(""https://docs.google.com/spreadsheets/d/1XL5vhW3sbDhbH9Cz0tuDiY8C3ctxq1tqvaCgkFb8cCA/edit?usp=sharing"",""ศรีสะเกษ!I380"")"),0.0)</f>
        <v>0</v>
      </c>
      <c r="J485" s="223">
        <f>IFERROR(__xludf.DUMMYFUNCTION("IMPORTRANGE(""https://docs.google.com/spreadsheets/d/1XL5vhW3sbDhbH9Cz0tuDiY8C3ctxq1tqvaCgkFb8cCA/edit?usp=sharing"",""ศรีสะเกษ!J380"")"),0.0)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IFERROR(__xludf.DUMMYFUNCTION("IMPORTRANGE(""https://docs.google.com/spreadsheets/d/1XL5vhW3sbDhbH9Cz0tuDiY8C3ctxq1tqvaCgkFb8cCA/edit?usp=sharing"",""ศรีสะเกษ!I381"")"),0.0)</f>
        <v>0</v>
      </c>
      <c r="J486" s="223">
        <f>IFERROR(__xludf.DUMMYFUNCTION("IMPORTRANGE(""https://docs.google.com/spreadsheets/d/1XL5vhW3sbDhbH9Cz0tuDiY8C3ctxq1tqvaCgkFb8cCA/edit?usp=sharing"",""ศรีสะเกษ!J381"")"),0.0)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IFERROR(__xludf.DUMMYFUNCTION("IMPORTRANGE(""https://docs.google.com/spreadsheets/d/1XL5vhW3sbDhbH9Cz0tuDiY8C3ctxq1tqvaCgkFb8cCA/edit?usp=sharing"",""ศรีสะเกษ!I382"")"),0.0)</f>
        <v>0</v>
      </c>
      <c r="J487" s="453">
        <f>IFERROR(__xludf.DUMMYFUNCTION("IMPORTRANGE(""https://docs.google.com/spreadsheets/d/1XL5vhW3sbDhbH9Cz0tuDiY8C3ctxq1tqvaCgkFb8cCA/edit?usp=sharing"",""ศรีสะเกษ!J382"")"),0.0)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IFERROR(__xludf.DUMMYFUNCTION("IMPORTRANGE(""https://docs.google.com/spreadsheets/d/1XL5vhW3sbDhbH9Cz0tuDiY8C3ctxq1tqvaCgkFb8cCA/edit?usp=sharing"",""ศรีสะเกษ!I383"")"),0.0)</f>
        <v>0</v>
      </c>
      <c r="J488" s="453">
        <f>IFERROR(__xludf.DUMMYFUNCTION("IMPORTRANGE(""https://docs.google.com/spreadsheets/d/1XL5vhW3sbDhbH9Cz0tuDiY8C3ctxq1tqvaCgkFb8cCA/edit?usp=sharing"",""ศรีสะเกษ!J383"")"),0.0)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IFERROR(__xludf.DUMMYFUNCTION("IMPORTRANGE(""https://docs.google.com/spreadsheets/d/1XL5vhW3sbDhbH9Cz0tuDiY8C3ctxq1tqvaCgkFb8cCA/edit?usp=sharing"",""ศรีสะเกษ!I384"")"),0.0)</f>
        <v>0</v>
      </c>
      <c r="J489" s="223">
        <f>IFERROR(__xludf.DUMMYFUNCTION("IMPORTRANGE(""https://docs.google.com/spreadsheets/d/1XL5vhW3sbDhbH9Cz0tuDiY8C3ctxq1tqvaCgkFb8cCA/edit?usp=sharing"",""ศรีสะเกษ!J384"")"),0.0)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IFERROR(__xludf.DUMMYFUNCTION("IMPORTRANGE(""https://docs.google.com/spreadsheets/d/1XL5vhW3sbDhbH9Cz0tuDiY8C3ctxq1tqvaCgkFb8cCA/edit?usp=sharing"",""ศรีสะเกษ!I385"")"),0.0)</f>
        <v>0</v>
      </c>
      <c r="J490" s="223">
        <f>IFERROR(__xludf.DUMMYFUNCTION("IMPORTRANGE(""https://docs.google.com/spreadsheets/d/1XL5vhW3sbDhbH9Cz0tuDiY8C3ctxq1tqvaCgkFb8cCA/edit?usp=sharing"",""ศรีสะเกษ!J385"")"),0.0)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IFERROR(__xludf.DUMMYFUNCTION("IMPORTRANGE(""https://docs.google.com/spreadsheets/d/1XL5vhW3sbDhbH9Cz0tuDiY8C3ctxq1tqvaCgkFb8cCA/edit?usp=sharing"",""ศรีสะเกษ!I386"")"),0.0)</f>
        <v>0</v>
      </c>
      <c r="J491" s="223">
        <f>IFERROR(__xludf.DUMMYFUNCTION("IMPORTRANGE(""https://docs.google.com/spreadsheets/d/1XL5vhW3sbDhbH9Cz0tuDiY8C3ctxq1tqvaCgkFb8cCA/edit?usp=sharing"",""ศรีสะเกษ!J386"")"),0.0)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IFERROR(__xludf.DUMMYFUNCTION("IMPORTRANGE(""https://docs.google.com/spreadsheets/d/1XL5vhW3sbDhbH9Cz0tuDiY8C3ctxq1tqvaCgkFb8cCA/edit?usp=sharing"",""ศรีสะเกษ!I387"")"),0.0)</f>
        <v>0</v>
      </c>
      <c r="J492" s="223">
        <f>IFERROR(__xludf.DUMMYFUNCTION("IMPORTRANGE(""https://docs.google.com/spreadsheets/d/1XL5vhW3sbDhbH9Cz0tuDiY8C3ctxq1tqvaCgkFb8cCA/edit?usp=sharing"",""ศรีสะเกษ!J387"")"),0.0)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IFERROR(__xludf.DUMMYFUNCTION("IMPORTRANGE(""https://docs.google.com/spreadsheets/d/1XL5vhW3sbDhbH9Cz0tuDiY8C3ctxq1tqvaCgkFb8cCA/edit?usp=sharing"",""ศรีสะเกษ!I388"")"),0.0)</f>
        <v>0</v>
      </c>
      <c r="J493" s="223">
        <f>IFERROR(__xludf.DUMMYFUNCTION("IMPORTRANGE(""https://docs.google.com/spreadsheets/d/1XL5vhW3sbDhbH9Cz0tuDiY8C3ctxq1tqvaCgkFb8cCA/edit?usp=sharing"",""ศรีสะเกษ!J388"")"),0.0)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IFERROR(__xludf.DUMMYFUNCTION("IMPORTRANGE(""https://docs.google.com/spreadsheets/d/1XL5vhW3sbDhbH9Cz0tuDiY8C3ctxq1tqvaCgkFb8cCA/edit?usp=sharing"",""ศรีสะเกษ!I389"")"),0.0)</f>
        <v>0</v>
      </c>
      <c r="J494" s="469">
        <f>IFERROR(__xludf.DUMMYFUNCTION("IMPORTRANGE(""https://docs.google.com/spreadsheets/d/1XL5vhW3sbDhbH9Cz0tuDiY8C3ctxq1tqvaCgkFb8cCA/edit?usp=sharing"",""ศรีสะเกษ!J389"")"),0.0)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IFERROR(__xludf.DUMMYFUNCTION("IMPORTRANGE(""https://docs.google.com/spreadsheets/d/1XL5vhW3sbDhbH9Cz0tuDiY8C3ctxq1tqvaCgkFb8cCA/edit?usp=sharing"",""ศรีสะเกษ!I390"")"),0.0)</f>
        <v>0</v>
      </c>
      <c r="J495" s="469">
        <f>IFERROR(__xludf.DUMMYFUNCTION("IMPORTRANGE(""https://docs.google.com/spreadsheets/d/1XL5vhW3sbDhbH9Cz0tuDiY8C3ctxq1tqvaCgkFb8cCA/edit?usp=sharing"",""ศรีสะเกษ!J390"")"),0.0)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IFERROR(__xludf.DUMMYFUNCTION("IMPORTRANGE(""https://docs.google.com/spreadsheets/d/1XL5vhW3sbDhbH9Cz0tuDiY8C3ctxq1tqvaCgkFb8cCA/edit?usp=sharing"",""ศรีสะเกษ!I391"")"),0.0)</f>
        <v>0</v>
      </c>
      <c r="J496" s="469">
        <f>IFERROR(__xludf.DUMMYFUNCTION("IMPORTRANGE(""https://docs.google.com/spreadsheets/d/1XL5vhW3sbDhbH9Cz0tuDiY8C3ctxq1tqvaCgkFb8cCA/edit?usp=sharing"",""ศรีสะเกษ!J391"")"),0.0)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IFERROR(__xludf.DUMMYFUNCTION("IMPORTRANGE(""https://docs.google.com/spreadsheets/d/1XL5vhW3sbDhbH9Cz0tuDiY8C3ctxq1tqvaCgkFb8cCA/edit?usp=sharing"",""ศรีสะเกษ!I392"")"),3493.0)</f>
        <v>3493</v>
      </c>
      <c r="J497" s="476">
        <f>IFERROR(__xludf.DUMMYFUNCTION("IMPORTRANGE(""https://docs.google.com/spreadsheets/d/1XL5vhW3sbDhbH9Cz0tuDiY8C3ctxq1tqvaCgkFb8cCA/edit?usp=sharing"",""ศรีสะเกษ!J392"")"),0.0)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IFERROR(__xludf.DUMMYFUNCTION("IMPORTRANGE(""https://docs.google.com/spreadsheets/d/1XL5vhW3sbDhbH9Cz0tuDiY8C3ctxq1tqvaCgkFb8cCA/edit?usp=sharing"",""ศรีสะเกษ!I393"")"),3493.0)</f>
        <v>3493</v>
      </c>
      <c r="J498" s="453">
        <f>IFERROR(__xludf.DUMMYFUNCTION("IMPORTRANGE(""https://docs.google.com/spreadsheets/d/1XL5vhW3sbDhbH9Cz0tuDiY8C3ctxq1tqvaCgkFb8cCA/edit?usp=sharing"",""ศรีสะเกษ!J393"")"),0.0)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IFERROR(__xludf.DUMMYFUNCTION("IMPORTRANGE(""https://docs.google.com/spreadsheets/d/1XL5vhW3sbDhbH9Cz0tuDiY8C3ctxq1tqvaCgkFb8cCA/edit?usp=sharing"",""ศรีสะเกษ!I394"")"),751.0)</f>
        <v>751</v>
      </c>
      <c r="J499" s="453">
        <f>IFERROR(__xludf.DUMMYFUNCTION("IMPORTRANGE(""https://docs.google.com/spreadsheets/d/1XL5vhW3sbDhbH9Cz0tuDiY8C3ctxq1tqvaCgkFb8cCA/edit?usp=sharing"",""ศรีสะเกษ!J394"")"),0.0)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IFERROR(__xludf.DUMMYFUNCTION("IMPORTRANGE(""https://docs.google.com/spreadsheets/d/1XL5vhW3sbDhbH9Cz0tuDiY8C3ctxq1tqvaCgkFb8cCA/edit?usp=sharing"",""ศรีสะเกษ!I395"")"),0.0)</f>
        <v>0</v>
      </c>
      <c r="J500" s="195">
        <f>IFERROR(__xludf.DUMMYFUNCTION("IMPORTRANGE(""https://docs.google.com/spreadsheets/d/1XL5vhW3sbDhbH9Cz0tuDiY8C3ctxq1tqvaCgkFb8cCA/edit?usp=sharing"",""ศรีสะเกษ!J395"")"),0.0)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IFERROR(__xludf.DUMMYFUNCTION("IMPORTRANGE(""https://docs.google.com/spreadsheets/d/1XL5vhW3sbDhbH9Cz0tuDiY8C3ctxq1tqvaCgkFb8cCA/edit?usp=sharing"",""ศรีสะเกษ!I396"")"),0.0)</f>
        <v>0</v>
      </c>
      <c r="J501" s="195">
        <f>IFERROR(__xludf.DUMMYFUNCTION("IMPORTRANGE(""https://docs.google.com/spreadsheets/d/1XL5vhW3sbDhbH9Cz0tuDiY8C3ctxq1tqvaCgkFb8cCA/edit?usp=sharing"",""ศรีสะเกษ!J396"")"),0.0)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IFERROR(__xludf.DUMMYFUNCTION("IMPORTRANGE(""https://docs.google.com/spreadsheets/d/1XL5vhW3sbDhbH9Cz0tuDiY8C3ctxq1tqvaCgkFb8cCA/edit?usp=sharing"",""ศรีสะเกษ!I397"")"),0.0)</f>
        <v>0</v>
      </c>
      <c r="J502" s="223">
        <f>IFERROR(__xludf.DUMMYFUNCTION("IMPORTRANGE(""https://docs.google.com/spreadsheets/d/1XL5vhW3sbDhbH9Cz0tuDiY8C3ctxq1tqvaCgkFb8cCA/edit?usp=sharing"",""ศรีสะเกษ!J397"")"),0.0)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IFERROR(__xludf.DUMMYFUNCTION("IMPORTRANGE(""https://docs.google.com/spreadsheets/d/1XL5vhW3sbDhbH9Cz0tuDiY8C3ctxq1tqvaCgkFb8cCA/edit?usp=sharing"",""ศรีสะเกษ!I398"")"),0.0)</f>
        <v>0</v>
      </c>
      <c r="J503" s="232">
        <f>IFERROR(__xludf.DUMMYFUNCTION("IMPORTRANGE(""https://docs.google.com/spreadsheets/d/1XL5vhW3sbDhbH9Cz0tuDiY8C3ctxq1tqvaCgkFb8cCA/edit?usp=sharing"",""ศรีสะเกษ!J398"")"),0.0)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IFERROR(__xludf.DUMMYFUNCTION("IMPORTRANGE(""https://docs.google.com/spreadsheets/d/1XL5vhW3sbDhbH9Cz0tuDiY8C3ctxq1tqvaCgkFb8cCA/edit?usp=sharing"",""ศรีสะเกษ!I399"")"),0.0)</f>
        <v>0</v>
      </c>
      <c r="J504" s="223">
        <f>IFERROR(__xludf.DUMMYFUNCTION("IMPORTRANGE(""https://docs.google.com/spreadsheets/d/1XL5vhW3sbDhbH9Cz0tuDiY8C3ctxq1tqvaCgkFb8cCA/edit?usp=sharing"",""ศรีสะเกษ!J399"")"),0.0)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IFERROR(__xludf.DUMMYFUNCTION("IMPORTRANGE(""https://docs.google.com/spreadsheets/d/1XL5vhW3sbDhbH9Cz0tuDiY8C3ctxq1tqvaCgkFb8cCA/edit?usp=sharing"",""ศรีสะเกษ!I400"")"),0.0)</f>
        <v>0</v>
      </c>
      <c r="J505" s="232">
        <f>IFERROR(__xludf.DUMMYFUNCTION("IMPORTRANGE(""https://docs.google.com/spreadsheets/d/1XL5vhW3sbDhbH9Cz0tuDiY8C3ctxq1tqvaCgkFb8cCA/edit?usp=sharing"",""ศรีสะเกษ!J400"")"),0.0)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IFERROR(__xludf.DUMMYFUNCTION("IMPORTRANGE(""https://docs.google.com/spreadsheets/d/1XL5vhW3sbDhbH9Cz0tuDiY8C3ctxq1tqvaCgkFb8cCA/edit?usp=sharing"",""ศรีสะเกษ!I401"")"),0.0)</f>
        <v>0</v>
      </c>
      <c r="J506" s="223">
        <f>IFERROR(__xludf.DUMMYFUNCTION("IMPORTRANGE(""https://docs.google.com/spreadsheets/d/1XL5vhW3sbDhbH9Cz0tuDiY8C3ctxq1tqvaCgkFb8cCA/edit?usp=sharing"",""ศรีสะเกษ!J401"")"),0.0)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IFERROR(__xludf.DUMMYFUNCTION("IMPORTRANGE(""https://docs.google.com/spreadsheets/d/1XL5vhW3sbDhbH9Cz0tuDiY8C3ctxq1tqvaCgkFb8cCA/edit?usp=sharing"",""ศรีสะเกษ!I402"")"),0.0)</f>
        <v>0</v>
      </c>
      <c r="J507" s="232">
        <f>IFERROR(__xludf.DUMMYFUNCTION("IMPORTRANGE(""https://docs.google.com/spreadsheets/d/1XL5vhW3sbDhbH9Cz0tuDiY8C3ctxq1tqvaCgkFb8cCA/edit?usp=sharing"",""ศรีสะเกษ!J402"")"),0.0)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IFERROR(__xludf.DUMMYFUNCTION("IMPORTRANGE(""https://docs.google.com/spreadsheets/d/1XL5vhW3sbDhbH9Cz0tuDiY8C3ctxq1tqvaCgkFb8cCA/edit?usp=sharing"",""ศรีสะเกษ!I403"")"),0.0)</f>
        <v>0</v>
      </c>
      <c r="J508" s="195">
        <f>IFERROR(__xludf.DUMMYFUNCTION("IMPORTRANGE(""https://docs.google.com/spreadsheets/d/1XL5vhW3sbDhbH9Cz0tuDiY8C3ctxq1tqvaCgkFb8cCA/edit?usp=sharing"",""ศรีสะเกษ!J403"")"),0.0)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IFERROR(__xludf.DUMMYFUNCTION("IMPORTRANGE(""https://docs.google.com/spreadsheets/d/1XL5vhW3sbDhbH9Cz0tuDiY8C3ctxq1tqvaCgkFb8cCA/edit?usp=sharing"",""ศรีสะเกษ!I404"")"),0.0)</f>
        <v>0</v>
      </c>
      <c r="J509" s="195">
        <f>IFERROR(__xludf.DUMMYFUNCTION("IMPORTRANGE(""https://docs.google.com/spreadsheets/d/1XL5vhW3sbDhbH9Cz0tuDiY8C3ctxq1tqvaCgkFb8cCA/edit?usp=sharing"",""ศรีสะเกษ!J404"")"),0.0)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IFERROR(__xludf.DUMMYFUNCTION("IMPORTRANGE(""https://docs.google.com/spreadsheets/d/1XL5vhW3sbDhbH9Cz0tuDiY8C3ctxq1tqvaCgkFb8cCA/edit?usp=sharing"",""ศรีสะเกษ!I405"")"),0.0)</f>
        <v>0</v>
      </c>
      <c r="J510" s="232">
        <f>IFERROR(__xludf.DUMMYFUNCTION("IMPORTRANGE(""https://docs.google.com/spreadsheets/d/1XL5vhW3sbDhbH9Cz0tuDiY8C3ctxq1tqvaCgkFb8cCA/edit?usp=sharing"",""ศรีสะเกษ!J405"")"),0.0)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IFERROR(__xludf.DUMMYFUNCTION("IMPORTRANGE(""https://docs.google.com/spreadsheets/d/1XL5vhW3sbDhbH9Cz0tuDiY8C3ctxq1tqvaCgkFb8cCA/edit?usp=sharing"",""ศรีสะเกษ!I406"")"),0.0)</f>
        <v>0</v>
      </c>
      <c r="J511" s="232">
        <f>IFERROR(__xludf.DUMMYFUNCTION("IMPORTRANGE(""https://docs.google.com/spreadsheets/d/1XL5vhW3sbDhbH9Cz0tuDiY8C3ctxq1tqvaCgkFb8cCA/edit?usp=sharing"",""ศรีสะเกษ!J406"")"),0.0)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IFERROR(__xludf.DUMMYFUNCTION("IMPORTRANGE(""https://docs.google.com/spreadsheets/d/1XL5vhW3sbDhbH9Cz0tuDiY8C3ctxq1tqvaCgkFb8cCA/edit?usp=sharing"",""ศรีสะเกษ!I407"")"),0.0)</f>
        <v>0</v>
      </c>
      <c r="J512" s="232">
        <f>IFERROR(__xludf.DUMMYFUNCTION("IMPORTRANGE(""https://docs.google.com/spreadsheets/d/1XL5vhW3sbDhbH9Cz0tuDiY8C3ctxq1tqvaCgkFb8cCA/edit?usp=sharing"",""ศรีสะเกษ!J407"")"),0.0)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IFERROR(__xludf.DUMMYFUNCTION("IMPORTRANGE(""https://docs.google.com/spreadsheets/d/1XL5vhW3sbDhbH9Cz0tuDiY8C3ctxq1tqvaCgkFb8cCA/edit?usp=sharing"",""ศรีสะเกษ!I408"")"),0.0)</f>
        <v>0</v>
      </c>
      <c r="J513" s="232">
        <f>IFERROR(__xludf.DUMMYFUNCTION("IMPORTRANGE(""https://docs.google.com/spreadsheets/d/1XL5vhW3sbDhbH9Cz0tuDiY8C3ctxq1tqvaCgkFb8cCA/edit?usp=sharing"",""ศรีสะเกษ!J408"")"),0.0)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IFERROR(__xludf.DUMMYFUNCTION("IMPORTRANGE(""https://docs.google.com/spreadsheets/d/1XL5vhW3sbDhbH9Cz0tuDiY8C3ctxq1tqvaCgkFb8cCA/edit?usp=sharing"",""ศรีสะเกษ!I409"")"),0.0)</f>
        <v>0</v>
      </c>
      <c r="J514" s="232">
        <f>IFERROR(__xludf.DUMMYFUNCTION("IMPORTRANGE(""https://docs.google.com/spreadsheets/d/1XL5vhW3sbDhbH9Cz0tuDiY8C3ctxq1tqvaCgkFb8cCA/edit?usp=sharing"",""ศรีสะเกษ!J409"")"),0.0)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IFERROR(__xludf.DUMMYFUNCTION("IMPORTRANGE(""https://docs.google.com/spreadsheets/d/1XL5vhW3sbDhbH9Cz0tuDiY8C3ctxq1tqvaCgkFb8cCA/edit?usp=sharing"",""ศรีสะเกษ!I410"")"),0.0)</f>
        <v>0</v>
      </c>
      <c r="J515" s="232">
        <f>IFERROR(__xludf.DUMMYFUNCTION("IMPORTRANGE(""https://docs.google.com/spreadsheets/d/1XL5vhW3sbDhbH9Cz0tuDiY8C3ctxq1tqvaCgkFb8cCA/edit?usp=sharing"",""ศรีสะเกษ!J410"")"),0.0)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IFERROR(__xludf.DUMMYFUNCTION("IMPORTRANGE(""https://docs.google.com/spreadsheets/d/1XL5vhW3sbDhbH9Cz0tuDiY8C3ctxq1tqvaCgkFb8cCA/edit?usp=sharing"",""ศรีสะเกษ!I411"")"),0.0)</f>
        <v>0</v>
      </c>
      <c r="J516" s="301">
        <f>IFERROR(__xludf.DUMMYFUNCTION("IMPORTRANGE(""https://docs.google.com/spreadsheets/d/1XL5vhW3sbDhbH9Cz0tuDiY8C3ctxq1tqvaCgkFb8cCA/edit?usp=sharing"",""ศรีสะเกษ!J411"")"),0.0)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IFERROR(__xludf.DUMMYFUNCTION("IMPORTRANGE(""https://docs.google.com/spreadsheets/d/1XL5vhW3sbDhbH9Cz0tuDiY8C3ctxq1tqvaCgkFb8cCA/edit?usp=sharing"",""ศรีสะเกษ!I412"")"),0.0)</f>
        <v>0</v>
      </c>
      <c r="J517" s="317">
        <f>IFERROR(__xludf.DUMMYFUNCTION("IMPORTRANGE(""https://docs.google.com/spreadsheets/d/1XL5vhW3sbDhbH9Cz0tuDiY8C3ctxq1tqvaCgkFb8cCA/edit?usp=sharing"",""ศรีสะเกษ!J412"")"),0.0)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IFERROR(__xludf.DUMMYFUNCTION("IMPORTRANGE(""https://docs.google.com/spreadsheets/d/1XL5vhW3sbDhbH9Cz0tuDiY8C3ctxq1tqvaCgkFb8cCA/edit?usp=sharing"",""ศรีสะเกษ!I413"")"),0.0)</f>
        <v>0</v>
      </c>
      <c r="J518" s="317">
        <f>IFERROR(__xludf.DUMMYFUNCTION("IMPORTRANGE(""https://docs.google.com/spreadsheets/d/1XL5vhW3sbDhbH9Cz0tuDiY8C3ctxq1tqvaCgkFb8cCA/edit?usp=sharing"",""ศรีสะเกษ!J413"")"),0.0)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IFERROR(__xludf.DUMMYFUNCTION("IMPORTRANGE(""https://docs.google.com/spreadsheets/d/1XL5vhW3sbDhbH9Cz0tuDiY8C3ctxq1tqvaCgkFb8cCA/edit?usp=sharing"",""ศรีสะเกษ!I414"")"),0.0)</f>
        <v>0</v>
      </c>
      <c r="J519" s="222">
        <f>IFERROR(__xludf.DUMMYFUNCTION("IMPORTRANGE(""https://docs.google.com/spreadsheets/d/1XL5vhW3sbDhbH9Cz0tuDiY8C3ctxq1tqvaCgkFb8cCA/edit?usp=sharing"",""ศรีสะเกษ!J414"")"),0.0)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IFERROR(__xludf.DUMMYFUNCTION("IMPORTRANGE(""https://docs.google.com/spreadsheets/d/1XL5vhW3sbDhbH9Cz0tuDiY8C3ctxq1tqvaCgkFb8cCA/edit?usp=sharing"",""ศรีสะเกษ!I415"")"),0.0)</f>
        <v>0</v>
      </c>
      <c r="J520" s="222">
        <f>IFERROR(__xludf.DUMMYFUNCTION("IMPORTRANGE(""https://docs.google.com/spreadsheets/d/1XL5vhW3sbDhbH9Cz0tuDiY8C3ctxq1tqvaCgkFb8cCA/edit?usp=sharing"",""ศรีสะเกษ!J415"")"),0.0)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IFERROR(__xludf.DUMMYFUNCTION("IMPORTRANGE(""https://docs.google.com/spreadsheets/d/1XL5vhW3sbDhbH9Cz0tuDiY8C3ctxq1tqvaCgkFb8cCA/edit?usp=sharing"",""ศรีสะเกษ!I416"")"),0.0)</f>
        <v>0</v>
      </c>
      <c r="J521" s="222">
        <f>IFERROR(__xludf.DUMMYFUNCTION("IMPORTRANGE(""https://docs.google.com/spreadsheets/d/1XL5vhW3sbDhbH9Cz0tuDiY8C3ctxq1tqvaCgkFb8cCA/edit?usp=sharing"",""ศรีสะเกษ!J416"")"),0.0)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IFERROR(__xludf.DUMMYFUNCTION("IMPORTRANGE(""https://docs.google.com/spreadsheets/d/1XL5vhW3sbDhbH9Cz0tuDiY8C3ctxq1tqvaCgkFb8cCA/edit?usp=sharing"",""ศรีสะเกษ!I417"")"),0.0)</f>
        <v>0</v>
      </c>
      <c r="J522" s="222">
        <f>IFERROR(__xludf.DUMMYFUNCTION("IMPORTRANGE(""https://docs.google.com/spreadsheets/d/1XL5vhW3sbDhbH9Cz0tuDiY8C3ctxq1tqvaCgkFb8cCA/edit?usp=sharing"",""ศรีสะเกษ!J417"")"),0.0)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IFERROR(__xludf.DUMMYFUNCTION("IMPORTRANGE(""https://docs.google.com/spreadsheets/d/1XL5vhW3sbDhbH9Cz0tuDiY8C3ctxq1tqvaCgkFb8cCA/edit?usp=sharing"",""ศรีสะเกษ!I418"")"),0.0)</f>
        <v>0</v>
      </c>
      <c r="J523" s="222">
        <f>IFERROR(__xludf.DUMMYFUNCTION("IMPORTRANGE(""https://docs.google.com/spreadsheets/d/1XL5vhW3sbDhbH9Cz0tuDiY8C3ctxq1tqvaCgkFb8cCA/edit?usp=sharing"",""ศรีสะเกษ!J418"")"),0.0)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IFERROR(__xludf.DUMMYFUNCTION("IMPORTRANGE(""https://docs.google.com/spreadsheets/d/1XL5vhW3sbDhbH9Cz0tuDiY8C3ctxq1tqvaCgkFb8cCA/edit?usp=sharing"",""ศรีสะเกษ!I419"")"),0.0)</f>
        <v>0</v>
      </c>
      <c r="J524" s="222">
        <f>IFERROR(__xludf.DUMMYFUNCTION("IMPORTRANGE(""https://docs.google.com/spreadsheets/d/1XL5vhW3sbDhbH9Cz0tuDiY8C3ctxq1tqvaCgkFb8cCA/edit?usp=sharing"",""ศรีสะเกษ!J419"")"),0.0)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IFERROR(__xludf.DUMMYFUNCTION("IMPORTRANGE(""https://docs.google.com/spreadsheets/d/1XL5vhW3sbDhbH9Cz0tuDiY8C3ctxq1tqvaCgkFb8cCA/edit?usp=sharing"",""ศรีสะเกษ!I420"")"),0.0)</f>
        <v>0</v>
      </c>
      <c r="J525" s="317">
        <f>IFERROR(__xludf.DUMMYFUNCTION("IMPORTRANGE(""https://docs.google.com/spreadsheets/d/1XL5vhW3sbDhbH9Cz0tuDiY8C3ctxq1tqvaCgkFb8cCA/edit?usp=sharing"",""ศรีสะเกษ!J420"")"),0.0)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IFERROR(__xludf.DUMMYFUNCTION("IMPORTRANGE(""https://docs.google.com/spreadsheets/d/1XL5vhW3sbDhbH9Cz0tuDiY8C3ctxq1tqvaCgkFb8cCA/edit?usp=sharing"",""ศรีสะเกษ!I421"")"),0.0)</f>
        <v>0</v>
      </c>
      <c r="J526" s="317">
        <f>IFERROR(__xludf.DUMMYFUNCTION("IMPORTRANGE(""https://docs.google.com/spreadsheets/d/1XL5vhW3sbDhbH9Cz0tuDiY8C3ctxq1tqvaCgkFb8cCA/edit?usp=sharing"",""ศรีสะเกษ!J421"")"),0.0)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IFERROR(__xludf.DUMMYFUNCTION("IMPORTRANGE(""https://docs.google.com/spreadsheets/d/1XL5vhW3sbDhbH9Cz0tuDiY8C3ctxq1tqvaCgkFb8cCA/edit?usp=sharing"",""ศรีสะเกษ!I422"")"),0.0)</f>
        <v>0</v>
      </c>
      <c r="J527" s="232">
        <f>IFERROR(__xludf.DUMMYFUNCTION("IMPORTRANGE(""https://docs.google.com/spreadsheets/d/1XL5vhW3sbDhbH9Cz0tuDiY8C3ctxq1tqvaCgkFb8cCA/edit?usp=sharing"",""ศรีสะเกษ!J422"")"),0.0)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IFERROR(__xludf.DUMMYFUNCTION("IMPORTRANGE(""https://docs.google.com/spreadsheets/d/1XL5vhW3sbDhbH9Cz0tuDiY8C3ctxq1tqvaCgkFb8cCA/edit?usp=sharing"",""ศรีสะเกษ!I423"")"),0.0)</f>
        <v>0</v>
      </c>
      <c r="J528" s="232">
        <f>IFERROR(__xludf.DUMMYFUNCTION("IMPORTRANGE(""https://docs.google.com/spreadsheets/d/1XL5vhW3sbDhbH9Cz0tuDiY8C3ctxq1tqvaCgkFb8cCA/edit?usp=sharing"",""ศรีสะเกษ!J423"")"),0.0)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IFERROR(__xludf.DUMMYFUNCTION("IMPORTRANGE(""https://docs.google.com/spreadsheets/d/1XL5vhW3sbDhbH9Cz0tuDiY8C3ctxq1tqvaCgkFb8cCA/edit?usp=sharing"",""ศรีสะเกษ!I424"")"),0.0)</f>
        <v>0</v>
      </c>
      <c r="J529" s="232">
        <f>IFERROR(__xludf.DUMMYFUNCTION("IMPORTRANGE(""https://docs.google.com/spreadsheets/d/1XL5vhW3sbDhbH9Cz0tuDiY8C3ctxq1tqvaCgkFb8cCA/edit?usp=sharing"",""ศรีสะเกษ!J424"")"),0.0)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IFERROR(__xludf.DUMMYFUNCTION("IMPORTRANGE(""https://docs.google.com/spreadsheets/d/1XL5vhW3sbDhbH9Cz0tuDiY8C3ctxq1tqvaCgkFb8cCA/edit?usp=sharing"",""ศรีสะเกษ!I425"")"),0.0)</f>
        <v>0</v>
      </c>
      <c r="J530" s="232">
        <f>IFERROR(__xludf.DUMMYFUNCTION("IMPORTRANGE(""https://docs.google.com/spreadsheets/d/1XL5vhW3sbDhbH9Cz0tuDiY8C3ctxq1tqvaCgkFb8cCA/edit?usp=sharing"",""ศรีสะเกษ!J425"")"),0.0)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IFERROR(__xludf.DUMMYFUNCTION("IMPORTRANGE(""https://docs.google.com/spreadsheets/d/1XL5vhW3sbDhbH9Cz0tuDiY8C3ctxq1tqvaCgkFb8cCA/edit?usp=sharing"",""ศรีสะเกษ!I426"")"),0.0)</f>
        <v>0</v>
      </c>
      <c r="J531" s="232">
        <f>IFERROR(__xludf.DUMMYFUNCTION("IMPORTRANGE(""https://docs.google.com/spreadsheets/d/1XL5vhW3sbDhbH9Cz0tuDiY8C3ctxq1tqvaCgkFb8cCA/edit?usp=sharing"",""ศรีสะเกษ!J426"")"),0.0)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IFERROR(__xludf.DUMMYFUNCTION("IMPORTRANGE(""https://docs.google.com/spreadsheets/d/1XL5vhW3sbDhbH9Cz0tuDiY8C3ctxq1tqvaCgkFb8cCA/edit?usp=sharing"",""ศรีสะเกษ!I427"")"),0.0)</f>
        <v>0</v>
      </c>
      <c r="J532" s="499">
        <f>IFERROR(__xludf.DUMMYFUNCTION("IMPORTRANGE(""https://docs.google.com/spreadsheets/d/1XL5vhW3sbDhbH9Cz0tuDiY8C3ctxq1tqvaCgkFb8cCA/edit?usp=sharing"",""ศรีสะเกษ!J427"")"),0.0)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IFERROR(__xludf.DUMMYFUNCTION("IMPORTRANGE(""https://docs.google.com/spreadsheets/d/1XL5vhW3sbDhbH9Cz0tuDiY8C3ctxq1tqvaCgkFb8cCA/edit?usp=sharing"",""ศรีสะเกษ!I428"")"),20.0)</f>
        <v>20</v>
      </c>
      <c r="J533" s="443">
        <f>IFERROR(__xludf.DUMMYFUNCTION("IMPORTRANGE(""https://docs.google.com/spreadsheets/d/1XL5vhW3sbDhbH9Cz0tuDiY8C3ctxq1tqvaCgkFb8cCA/edit?usp=sharing"",""ศรีสะเกษ!J428"")"),0.0)</f>
        <v>0</v>
      </c>
      <c r="K533" s="444">
        <f>IF(I533&gt;0,J533*100/I533,0)</f>
        <v>0</v>
      </c>
      <c r="L533" s="445">
        <f>IFERROR(__xludf.DUMMYFUNCTION("IMPORTRANGE(""https://docs.google.com/spreadsheets/d/1XL5vhW3sbDhbH9Cz0tuDiY8C3ctxq1tqvaCgkFb8cCA/edit?usp=sharing"",""ศรีสะเกษ!L428"")"),32640.0)</f>
        <v>32640</v>
      </c>
      <c r="M533" s="445"/>
      <c r="N533" s="445">
        <f>IFERROR(__xludf.DUMMYFUNCTION("IMPORTRANGE(""https://docs.google.com/spreadsheets/d/1XL5vhW3sbDhbH9Cz0tuDiY8C3ctxq1tqvaCgkFb8cCA/edit?usp=sharing"",""ศรีสะเกษ!M428"")"),4120.0)</f>
        <v>4120</v>
      </c>
      <c r="O533" s="445">
        <f t="shared" ref="O533:O537" si="119">+IF(L533&gt;0,N533*100/L533,0)</f>
        <v>12.62254902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IFERROR(__xludf.DUMMYFUNCTION("IMPORTRANGE(""https://docs.google.com/spreadsheets/d/1XL5vhW3sbDhbH9Cz0tuDiY8C3ctxq1tqvaCgkFb8cCA/edit?usp=sharing"",""ศรีสะเกษ!L429"")"),0.0)</f>
        <v>0</v>
      </c>
      <c r="M534" s="197"/>
      <c r="N534" s="203">
        <f>IFERROR(__xludf.DUMMYFUNCTION("IMPORTRANGE(""https://docs.google.com/spreadsheets/d/1XL5vhW3sbDhbH9Cz0tuDiY8C3ctxq1tqvaCgkFb8cCA/edit?usp=sharing"",""ศรีสะเกษ!M429"")"),0.0)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IFERROR(__xludf.DUMMYFUNCTION("IMPORTRANGE(""https://docs.google.com/spreadsheets/d/1XL5vhW3sbDhbH9Cz0tuDiY8C3ctxq1tqvaCgkFb8cCA/edit?usp=sharing"",""ศรีสะเกษ!L430"")"),32640.0)</f>
        <v>32640</v>
      </c>
      <c r="M535" s="198"/>
      <c r="N535" s="203">
        <f>IFERROR(__xludf.DUMMYFUNCTION("IMPORTRANGE(""https://docs.google.com/spreadsheets/d/1XL5vhW3sbDhbH9Cz0tuDiY8C3ctxq1tqvaCgkFb8cCA/edit?usp=sharing"",""ศรีสะเกษ!M430"")"),4120.0)</f>
        <v>4120</v>
      </c>
      <c r="O535" s="203">
        <f t="shared" si="119"/>
        <v>12.62254902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IFERROR(__xludf.DUMMYFUNCTION("IMPORTRANGE(""https://docs.google.com/spreadsheets/d/1XL5vhW3sbDhbH9Cz0tuDiY8C3ctxq1tqvaCgkFb8cCA/edit?usp=sharing"",""ศรีสะเกษ!L431"")"),0.0)</f>
        <v>0</v>
      </c>
      <c r="M536" s="203"/>
      <c r="N536" s="203">
        <f>IFERROR(__xludf.DUMMYFUNCTION("IMPORTRANGE(""https://docs.google.com/spreadsheets/d/1XL5vhW3sbDhbH9Cz0tuDiY8C3ctxq1tqvaCgkFb8cCA/edit?usp=sharing"",""ศรีสะเกษ!M431"")"),0.0)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IFERROR(__xludf.DUMMYFUNCTION("IMPORTRANGE(""https://docs.google.com/spreadsheets/d/1XL5vhW3sbDhbH9Cz0tuDiY8C3ctxq1tqvaCgkFb8cCA/edit?usp=sharing"",""ศรีสะเกษ!L432"")"),32640.0)</f>
        <v>32640</v>
      </c>
      <c r="M537" s="203"/>
      <c r="N537" s="203">
        <f>IFERROR(__xludf.DUMMYFUNCTION("IMPORTRANGE(""https://docs.google.com/spreadsheets/d/1XL5vhW3sbDhbH9Cz0tuDiY8C3ctxq1tqvaCgkFb8cCA/edit?usp=sharing"",""ศรีสะเกษ!M432"")"),4120.0)</f>
        <v>4120</v>
      </c>
      <c r="O537" s="203">
        <f t="shared" si="119"/>
        <v>12.62254902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IFERROR(__xludf.DUMMYFUNCTION("IMPORTRANGE(""https://docs.google.com/spreadsheets/d/1XL5vhW3sbDhbH9Cz0tuDiY8C3ctxq1tqvaCgkFb8cCA/edit?usp=sharing"",""ศรีสะเกษ!M433"")"),0.0)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IFERROR(__xludf.DUMMYFUNCTION("IMPORTRANGE(""https://docs.google.com/spreadsheets/d/1XL5vhW3sbDhbH9Cz0tuDiY8C3ctxq1tqvaCgkFb8cCA/edit?usp=sharing"",""ศรีสะเกษ!M434"")"),2400.0)</f>
        <v>2400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IFERROR(__xludf.DUMMYFUNCTION("IMPORTRANGE(""https://docs.google.com/spreadsheets/d/1XL5vhW3sbDhbH9Cz0tuDiY8C3ctxq1tqvaCgkFb8cCA/edit?usp=sharing"",""ศรีสะเกษ!M435"")"),0.0)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IFERROR(__xludf.DUMMYFUNCTION("IMPORTRANGE(""https://docs.google.com/spreadsheets/d/1XL5vhW3sbDhbH9Cz0tuDiY8C3ctxq1tqvaCgkFb8cCA/edit?usp=sharing"",""ศรีสะเกษ!M436"")"),1720.0)</f>
        <v>1720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IFERROR(__xludf.DUMMYFUNCTION("IMPORTRANGE(""https://docs.google.com/spreadsheets/d/1XL5vhW3sbDhbH9Cz0tuDiY8C3ctxq1tqvaCgkFb8cCA/edit?usp=sharing"",""ศรีสะเกษ!J438"")"),0.0)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IFERROR(__xludf.DUMMYFUNCTION("IMPORTRANGE(""https://docs.google.com/spreadsheets/d/1XL5vhW3sbDhbH9Cz0tuDiY8C3ctxq1tqvaCgkFb8cCA/edit?usp=sharing"",""ศรีสะเกษ!J439"")"),1.0)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IFERROR(__xludf.DUMMYFUNCTION("IMPORTRANGE(""https://docs.google.com/spreadsheets/d/1XL5vhW3sbDhbH9Cz0tuDiY8C3ctxq1tqvaCgkFb8cCA/edit?usp=sharing"",""ศรีสะเกษ!J440"")"),0.0)</f>
        <v>0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IFERROR(__xludf.DUMMYFUNCTION("IMPORTRANGE(""https://docs.google.com/spreadsheets/d/1XL5vhW3sbDhbH9Cz0tuDiY8C3ctxq1tqvaCgkFb8cCA/edit?usp=sharing"",""ศรีสะเกษ!J441"")"),0.0)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IFERROR(__xludf.DUMMYFUNCTION("IMPORTRANGE(""https://docs.google.com/spreadsheets/d/1XL5vhW3sbDhbH9Cz0tuDiY8C3ctxq1tqvaCgkFb8cCA/edit?usp=sharing"",""ศรีสะเกษ!I442"")"),20.0)</f>
        <v>20</v>
      </c>
      <c r="J547" s="223">
        <f>IFERROR(__xludf.DUMMYFUNCTION("IMPORTRANGE(""https://docs.google.com/spreadsheets/d/1XL5vhW3sbDhbH9Cz0tuDiY8C3ctxq1tqvaCgkFb8cCA/edit?usp=sharing"",""ศรีสะเกษ!J442"")"),0.0)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IFERROR(__xludf.DUMMYFUNCTION("IMPORTRANGE(""https://docs.google.com/spreadsheets/d/1XL5vhW3sbDhbH9Cz0tuDiY8C3ctxq1tqvaCgkFb8cCA/edit?usp=sharing"",""ศรีสะเกษ!J166"")"),0.0)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IFERROR(__xludf.DUMMYFUNCTION("IMPORTRANGE(""https://docs.google.com/spreadsheets/d/1XL5vhW3sbDhbH9Cz0tuDiY8C3ctxq1tqvaCgkFb8cCA/edit?usp=sharing"",""ศรีสะเกษ!J444"")"),0.0)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IFERROR(__xludf.DUMMYFUNCTION("IMPORTRANGE(""https://docs.google.com/spreadsheets/d/1XL5vhW3sbDhbH9Cz0tuDiY8C3ctxq1tqvaCgkFb8cCA/edit?usp=sharing"",""ศรีสะเกษ!J445"")"),0.0)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IFERROR(__xludf.DUMMYFUNCTION("IMPORTRANGE(""https://docs.google.com/spreadsheets/d/1XL5vhW3sbDhbH9Cz0tuDiY8C3ctxq1tqvaCgkFb8cCA/edit?usp=sharing"",""ศรีสะเกษ!I446"")"),0.0)</f>
        <v>0</v>
      </c>
      <c r="J551" s="443">
        <f>IFERROR(__xludf.DUMMYFUNCTION("IMPORTRANGE(""https://docs.google.com/spreadsheets/d/1XL5vhW3sbDhbH9Cz0tuDiY8C3ctxq1tqvaCgkFb8cCA/edit?usp=sharing"",""ศรีสะเกษ!J446"")"),0.0)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IFERROR(__xludf.DUMMYFUNCTION("IMPORTRANGE(""https://docs.google.com/spreadsheets/d/1XL5vhW3sbDhbH9Cz0tuDiY8C3ctxq1tqvaCgkFb8cCA/edit?usp=sharing"",""ศรีสะเกษ!L446"")"),0.0)</f>
        <v>0</v>
      </c>
      <c r="M551" s="445"/>
      <c r="N551" s="445">
        <f>IFERROR(__xludf.DUMMYFUNCTION("IMPORTRANGE(""https://docs.google.com/spreadsheets/d/1XL5vhW3sbDhbH9Cz0tuDiY8C3ctxq1tqvaCgkFb8cCA/edit?usp=sharing"",""ศรีสะเกษ!M446"")"),0.0)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IFERROR(__xludf.DUMMYFUNCTION("IMPORTRANGE(""https://docs.google.com/spreadsheets/d/1XL5vhW3sbDhbH9Cz0tuDiY8C3ctxq1tqvaCgkFb8cCA/edit?usp=sharing"",""ศรีสะเกษ!L447"")"),0.0)</f>
        <v>0</v>
      </c>
      <c r="M552" s="197"/>
      <c r="N552" s="203">
        <f>IFERROR(__xludf.DUMMYFUNCTION("IMPORTRANGE(""https://docs.google.com/spreadsheets/d/1XL5vhW3sbDhbH9Cz0tuDiY8C3ctxq1tqvaCgkFb8cCA/edit?usp=sharing"",""ศรีสะเกษ!M447"")"),0.0)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IFERROR(__xludf.DUMMYFUNCTION("IMPORTRANGE(""https://docs.google.com/spreadsheets/d/1XL5vhW3sbDhbH9Cz0tuDiY8C3ctxq1tqvaCgkFb8cCA/edit?usp=sharing"",""ศรีสะเกษ!L448"")"),0.0)</f>
        <v>0</v>
      </c>
      <c r="M553" s="198"/>
      <c r="N553" s="203">
        <f>IFERROR(__xludf.DUMMYFUNCTION("IMPORTRANGE(""https://docs.google.com/spreadsheets/d/1XL5vhW3sbDhbH9Cz0tuDiY8C3ctxq1tqvaCgkFb8cCA/edit?usp=sharing"",""ศรีสะเกษ!M448"")"),0.0)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IFERROR(__xludf.DUMMYFUNCTION("IMPORTRANGE(""https://docs.google.com/spreadsheets/d/1XL5vhW3sbDhbH9Cz0tuDiY8C3ctxq1tqvaCgkFb8cCA/edit?usp=sharing"",""ศรีสะเกษ!L449"")"),0.0)</f>
        <v>0</v>
      </c>
      <c r="M554" s="203"/>
      <c r="N554" s="203">
        <f>IFERROR(__xludf.DUMMYFUNCTION("IMPORTRANGE(""https://docs.google.com/spreadsheets/d/1XL5vhW3sbDhbH9Cz0tuDiY8C3ctxq1tqvaCgkFb8cCA/edit?usp=sharing"",""ศรีสะเกษ!M449"")"),0.0)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IFERROR(__xludf.DUMMYFUNCTION("IMPORTRANGE(""https://docs.google.com/spreadsheets/d/1XL5vhW3sbDhbH9Cz0tuDiY8C3ctxq1tqvaCgkFb8cCA/edit?usp=sharing"",""ศรีสะเกษ!L450"")"),0.0)</f>
        <v>0</v>
      </c>
      <c r="M555" s="203"/>
      <c r="N555" s="203">
        <f>IFERROR(__xludf.DUMMYFUNCTION("IMPORTRANGE(""https://docs.google.com/spreadsheets/d/1XL5vhW3sbDhbH9Cz0tuDiY8C3ctxq1tqvaCgkFb8cCA/edit?usp=sharing"",""ศรีสะเกษ!M450"")"),0.0)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IFERROR(__xludf.DUMMYFUNCTION("IMPORTRANGE(""https://docs.google.com/spreadsheets/d/1XL5vhW3sbDhbH9Cz0tuDiY8C3ctxq1tqvaCgkFb8cCA/edit?usp=sharing"",""ศรีสะเกษ!M451"")"),0.0)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IFERROR(__xludf.DUMMYFUNCTION("IMPORTRANGE(""https://docs.google.com/spreadsheets/d/1XL5vhW3sbDhbH9Cz0tuDiY8C3ctxq1tqvaCgkFb8cCA/edit?usp=sharing"",""ศรีสะเกษ!M452"")"),0.0)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IFERROR(__xludf.DUMMYFUNCTION("IMPORTRANGE(""https://docs.google.com/spreadsheets/d/1XL5vhW3sbDhbH9Cz0tuDiY8C3ctxq1tqvaCgkFb8cCA/edit?usp=sharing"",""ศรีสะเกษ!M453"")"),0.0)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IFERROR(__xludf.DUMMYFUNCTION("IMPORTRANGE(""https://docs.google.com/spreadsheets/d/1XL5vhW3sbDhbH9Cz0tuDiY8C3ctxq1tqvaCgkFb8cCA/edit?usp=sharing"",""ศรีสะเกษ!M454"")"),0.0)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IFERROR(__xludf.DUMMYFUNCTION("IMPORTRANGE(""https://docs.google.com/spreadsheets/d/1XL5vhW3sbDhbH9Cz0tuDiY8C3ctxq1tqvaCgkFb8cCA/edit?usp=sharing"",""ศรีสะเกษ!I455"")"),0.0)</f>
        <v>0</v>
      </c>
      <c r="J560" s="195">
        <f>IFERROR(__xludf.DUMMYFUNCTION("IMPORTRANGE(""https://docs.google.com/spreadsheets/d/1XL5vhW3sbDhbH9Cz0tuDiY8C3ctxq1tqvaCgkFb8cCA/edit?usp=sharing"",""ศรีสะเกษ!J455"")"),0.0)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IFERROR(__xludf.DUMMYFUNCTION("IMPORTRANGE(""https://docs.google.com/spreadsheets/d/1XL5vhW3sbDhbH9Cz0tuDiY8C3ctxq1tqvaCgkFb8cCA/edit?usp=sharing"",""ศรีสะเกษ!I456"")"),0.0)</f>
        <v>0</v>
      </c>
      <c r="J561" s="238">
        <f>IFERROR(__xludf.DUMMYFUNCTION("IMPORTRANGE(""https://docs.google.com/spreadsheets/d/1XL5vhW3sbDhbH9Cz0tuDiY8C3ctxq1tqvaCgkFb8cCA/edit?usp=sharing"",""ศรีสะเกษ!J456"")"),0.0)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IFERROR(__xludf.DUMMYFUNCTION("IMPORTRANGE(""https://docs.google.com/spreadsheets/d/1XL5vhW3sbDhbH9Cz0tuDiY8C3ctxq1tqvaCgkFb8cCA/edit?usp=sharing"",""ศรีสะเกษ!I457"")"),"")</f>
        <v/>
      </c>
      <c r="J562" s="238" t="str">
        <f>IFERROR(__xludf.DUMMYFUNCTION("IMPORTRANGE(""https://docs.google.com/spreadsheets/d/1XL5vhW3sbDhbH9Cz0tuDiY8C3ctxq1tqvaCgkFb8cCA/edit?usp=sharing"",""ศรีสะเกษ!J457"")"),"")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IFERROR(__xludf.DUMMYFUNCTION("IMPORTRANGE(""https://docs.google.com/spreadsheets/d/1XL5vhW3sbDhbH9Cz0tuDiY8C3ctxq1tqvaCgkFb8cCA/edit?usp=sharing"",""ศรีสะเกษ!I458"")"),"")</f>
        <v/>
      </c>
      <c r="J563" s="222" t="str">
        <f>IFERROR(__xludf.DUMMYFUNCTION("IMPORTRANGE(""https://docs.google.com/spreadsheets/d/1XL5vhW3sbDhbH9Cz0tuDiY8C3ctxq1tqvaCgkFb8cCA/edit?usp=sharing"",""ศรีสะเกษ!J458"")"),"")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IFERROR(__xludf.DUMMYFUNCTION("IMPORTRANGE(""https://docs.google.com/spreadsheets/d/1XL5vhW3sbDhbH9Cz0tuDiY8C3ctxq1tqvaCgkFb8cCA/edit?usp=sharing"",""ศรีสะเกษ!I459"")"),6600.0)</f>
        <v>6600</v>
      </c>
      <c r="J564" s="404">
        <f>IFERROR(__xludf.DUMMYFUNCTION("IMPORTRANGE(""https://docs.google.com/spreadsheets/d/1XL5vhW3sbDhbH9Cz0tuDiY8C3ctxq1tqvaCgkFb8cCA/edit?usp=sharing"",""ศรีสะเกษ!J459"")"),2734.0)</f>
        <v>2734</v>
      </c>
      <c r="K564" s="405">
        <f t="shared" si="122"/>
        <v>41.42424242</v>
      </c>
      <c r="L564" s="406">
        <f>IFERROR(__xludf.DUMMYFUNCTION("IMPORTRANGE(""https://docs.google.com/spreadsheets/d/1XL5vhW3sbDhbH9Cz0tuDiY8C3ctxq1tqvaCgkFb8cCA/edit?usp=sharing"",""ศรีสะเกษ!L459"")"),194800.0)</f>
        <v>194800</v>
      </c>
      <c r="M564" s="406"/>
      <c r="N564" s="406">
        <f>IFERROR(__xludf.DUMMYFUNCTION("IMPORTRANGE(""https://docs.google.com/spreadsheets/d/1XL5vhW3sbDhbH9Cz0tuDiY8C3ctxq1tqvaCgkFb8cCA/edit?usp=sharing"",""ศรีสะเกษ!M459"")"),10673.41)</f>
        <v>10673.41</v>
      </c>
      <c r="O564" s="406">
        <f t="shared" ref="O564:O568" si="123">+IF(L564&gt;0,N564*100/L564,0)</f>
        <v>5.479163244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IFERROR(__xludf.DUMMYFUNCTION("IMPORTRANGE(""https://docs.google.com/spreadsheets/d/1XL5vhW3sbDhbH9Cz0tuDiY8C3ctxq1tqvaCgkFb8cCA/edit?usp=sharing"",""ศรีสะเกษ!L460"")"),0.0)</f>
        <v>0</v>
      </c>
      <c r="M565" s="197"/>
      <c r="N565" s="203">
        <f>IFERROR(__xludf.DUMMYFUNCTION("IMPORTRANGE(""https://docs.google.com/spreadsheets/d/1XL5vhW3sbDhbH9Cz0tuDiY8C3ctxq1tqvaCgkFb8cCA/edit?usp=sharing"",""ศรีสะเกษ!M460"")"),0.0)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IFERROR(__xludf.DUMMYFUNCTION("IMPORTRANGE(""https://docs.google.com/spreadsheets/d/1XL5vhW3sbDhbH9Cz0tuDiY8C3ctxq1tqvaCgkFb8cCA/edit?usp=sharing"",""ศรีสะเกษ!L461"")"),194800.0)</f>
        <v>194800</v>
      </c>
      <c r="M566" s="198"/>
      <c r="N566" s="203">
        <f>IFERROR(__xludf.DUMMYFUNCTION("IMPORTRANGE(""https://docs.google.com/spreadsheets/d/1XL5vhW3sbDhbH9Cz0tuDiY8C3ctxq1tqvaCgkFb8cCA/edit?usp=sharing"",""ศรีสะเกษ!M461"")"),10673.41)</f>
        <v>10673.41</v>
      </c>
      <c r="O566" s="203">
        <f t="shared" si="123"/>
        <v>5.479163244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IFERROR(__xludf.DUMMYFUNCTION("IMPORTRANGE(""https://docs.google.com/spreadsheets/d/1XL5vhW3sbDhbH9Cz0tuDiY8C3ctxq1tqvaCgkFb8cCA/edit?usp=sharing"",""ศรีสะเกษ!L462"")"),0.0)</f>
        <v>0</v>
      </c>
      <c r="M567" s="203"/>
      <c r="N567" s="203">
        <f>IFERROR(__xludf.DUMMYFUNCTION("IMPORTRANGE(""https://docs.google.com/spreadsheets/d/1XL5vhW3sbDhbH9Cz0tuDiY8C3ctxq1tqvaCgkFb8cCA/edit?usp=sharing"",""ศรีสะเกษ!M462"")"),0.0)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IFERROR(__xludf.DUMMYFUNCTION("IMPORTRANGE(""https://docs.google.com/spreadsheets/d/1XL5vhW3sbDhbH9Cz0tuDiY8C3ctxq1tqvaCgkFb8cCA/edit?usp=sharing"",""ศรีสะเกษ!L463"")"),194800.0)</f>
        <v>194800</v>
      </c>
      <c r="M568" s="203"/>
      <c r="N568" s="203">
        <f>IFERROR(__xludf.DUMMYFUNCTION("IMPORTRANGE(""https://docs.google.com/spreadsheets/d/1XL5vhW3sbDhbH9Cz0tuDiY8C3ctxq1tqvaCgkFb8cCA/edit?usp=sharing"",""ศรีสะเกษ!M463"")"),10673.41)</f>
        <v>10673.41</v>
      </c>
      <c r="O568" s="203">
        <f t="shared" si="123"/>
        <v>5.479163244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IFERROR(__xludf.DUMMYFUNCTION("IMPORTRANGE(""https://docs.google.com/spreadsheets/d/1XL5vhW3sbDhbH9Cz0tuDiY8C3ctxq1tqvaCgkFb8cCA/edit?usp=sharing"",""ศรีสะเกษ!M464"")"),0.0)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IFERROR(__xludf.DUMMYFUNCTION("IMPORTRANGE(""https://docs.google.com/spreadsheets/d/1XL5vhW3sbDhbH9Cz0tuDiY8C3ctxq1tqvaCgkFb8cCA/edit?usp=sharing"",""ศรีสะเกษ!M465"")"),0.0)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IFERROR(__xludf.DUMMYFUNCTION("IMPORTRANGE(""https://docs.google.com/spreadsheets/d/1XL5vhW3sbDhbH9Cz0tuDiY8C3ctxq1tqvaCgkFb8cCA/edit?usp=sharing"",""ศรีสะเกษ!M466"")"),8433.41)</f>
        <v>8433.41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IFERROR(__xludf.DUMMYFUNCTION("IMPORTRANGE(""https://docs.google.com/spreadsheets/d/1XL5vhW3sbDhbH9Cz0tuDiY8C3ctxq1tqvaCgkFb8cCA/edit?usp=sharing"",""ศรีสะเกษ!M467"")"),2240.0)</f>
        <v>2240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IFERROR(__xludf.DUMMYFUNCTION("IMPORTRANGE(""https://docs.google.com/spreadsheets/d/1XL5vhW3sbDhbH9Cz0tuDiY8C3ctxq1tqvaCgkFb8cCA/edit?usp=sharing"",""ศรีสะเกษ!I468"")"),6600.0)</f>
        <v>6600</v>
      </c>
      <c r="J573" s="453">
        <f>IFERROR(__xludf.DUMMYFUNCTION("IMPORTRANGE(""https://docs.google.com/spreadsheets/d/1XL5vhW3sbDhbH9Cz0tuDiY8C3ctxq1tqvaCgkFb8cCA/edit?usp=sharing"",""ศรีสะเกษ!J468"")"),2734.0)</f>
        <v>2734</v>
      </c>
      <c r="K573" s="236">
        <f>IF(I573&gt;0,J573*100/I573,0)</f>
        <v>41.42424242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IFERROR(__xludf.DUMMYFUNCTION("IMPORTRANGE(""https://docs.google.com/spreadsheets/d/1XL5vhW3sbDhbH9Cz0tuDiY8C3ctxq1tqvaCgkFb8cCA/edit?usp=sharing"",""ศรีสะเกษ!I470"")"),0.0)</f>
        <v>0</v>
      </c>
      <c r="J575" s="232">
        <f>IFERROR(__xludf.DUMMYFUNCTION("IMPORTRANGE(""https://docs.google.com/spreadsheets/d/1XL5vhW3sbDhbH9Cz0tuDiY8C3ctxq1tqvaCgkFb8cCA/edit?usp=sharing"",""ศรีสะเกษ!J470"")"),1.0)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IFERROR(__xludf.DUMMYFUNCTION("IMPORTRANGE(""https://docs.google.com/spreadsheets/d/1XL5vhW3sbDhbH9Cz0tuDiY8C3ctxq1tqvaCgkFb8cCA/edit?usp=sharing"",""ศรีสะเกษ!I471"")"),0.0)</f>
        <v>0</v>
      </c>
      <c r="J576" s="232">
        <f>IFERROR(__xludf.DUMMYFUNCTION("IMPORTRANGE(""https://docs.google.com/spreadsheets/d/1XL5vhW3sbDhbH9Cz0tuDiY8C3ctxq1tqvaCgkFb8cCA/edit?usp=sharing"",""ศรีสะเกษ!J471"")"),210.0)</f>
        <v>210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IFERROR(__xludf.DUMMYFUNCTION("IMPORTRANGE(""https://docs.google.com/spreadsheets/d/1XL5vhW3sbDhbH9Cz0tuDiY8C3ctxq1tqvaCgkFb8cCA/edit?usp=sharing"",""ศรีสะเกษ!I472"")"),0.0)</f>
        <v>0</v>
      </c>
      <c r="J577" s="223">
        <f>IFERROR(__xludf.DUMMYFUNCTION("IMPORTRANGE(""https://docs.google.com/spreadsheets/d/1XL5vhW3sbDhbH9Cz0tuDiY8C3ctxq1tqvaCgkFb8cCA/edit?usp=sharing"",""ศรีสะเกษ!J472"")"),2524.0)</f>
        <v>2524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IFERROR(__xludf.DUMMYFUNCTION("IMPORTRANGE(""https://docs.google.com/spreadsheets/d/1XL5vhW3sbDhbH9Cz0tuDiY8C3ctxq1tqvaCgkFb8cCA/edit?usp=sharing"",""ศรีสะเกษ!I473"")"),0.0)</f>
        <v>0</v>
      </c>
      <c r="J578" s="232">
        <f>IFERROR(__xludf.DUMMYFUNCTION("IMPORTRANGE(""https://docs.google.com/spreadsheets/d/1XL5vhW3sbDhbH9Cz0tuDiY8C3ctxq1tqvaCgkFb8cCA/edit?usp=sharing"",""ศรีสะเกษ!J473"")"),0.0)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IFERROR(__xludf.DUMMYFUNCTION("IMPORTRANGE(""https://docs.google.com/spreadsheets/d/1XL5vhW3sbDhbH9Cz0tuDiY8C3ctxq1tqvaCgkFb8cCA/edit?usp=sharing"",""ศรีสะเกษ!I474"")"),0.0)</f>
        <v>0</v>
      </c>
      <c r="J579" s="232">
        <f>IFERROR(__xludf.DUMMYFUNCTION("IMPORTRANGE(""https://docs.google.com/spreadsheets/d/1XL5vhW3sbDhbH9Cz0tuDiY8C3ctxq1tqvaCgkFb8cCA/edit?usp=sharing"",""ศรีสะเกษ!J474"")"),0.0)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IFERROR(__xludf.DUMMYFUNCTION("IMPORTRANGE(""https://docs.google.com/spreadsheets/d/1XL5vhW3sbDhbH9Cz0tuDiY8C3ctxq1tqvaCgkFb8cCA/edit?usp=sharing"",""ศรีสะเกษ!I475"")"),150.0)</f>
        <v>150</v>
      </c>
      <c r="J580" s="404">
        <f>IFERROR(__xludf.DUMMYFUNCTION("IMPORTRANGE(""https://docs.google.com/spreadsheets/d/1XL5vhW3sbDhbH9Cz0tuDiY8C3ctxq1tqvaCgkFb8cCA/edit?usp=sharing"",""ศรีสะเกษ!J475"")"),11.0)</f>
        <v>11</v>
      </c>
      <c r="K580" s="405">
        <f>IF(I580&gt;0,J580*100/I580,0)</f>
        <v>7.333333333</v>
      </c>
      <c r="L580" s="406">
        <f>IFERROR(__xludf.DUMMYFUNCTION("IMPORTRANGE(""https://docs.google.com/spreadsheets/d/1XL5vhW3sbDhbH9Cz0tuDiY8C3ctxq1tqvaCgkFb8cCA/edit?usp=sharing"",""ศรีสะเกษ!L475"")"),355750.0)</f>
        <v>355750</v>
      </c>
      <c r="M580" s="406"/>
      <c r="N580" s="406">
        <f>IFERROR(__xludf.DUMMYFUNCTION("IMPORTRANGE(""https://docs.google.com/spreadsheets/d/1XL5vhW3sbDhbH9Cz0tuDiY8C3ctxq1tqvaCgkFb8cCA/edit?usp=sharing"",""ศรีสะเกษ!M475"")"),18451.64)</f>
        <v>18451.64</v>
      </c>
      <c r="O580" s="406">
        <f t="shared" ref="O580:O584" si="125">+IF(L580&gt;0,N580*100/L580,0)</f>
        <v>5.18668728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IFERROR(__xludf.DUMMYFUNCTION("IMPORTRANGE(""https://docs.google.com/spreadsheets/d/1XL5vhW3sbDhbH9Cz0tuDiY8C3ctxq1tqvaCgkFb8cCA/edit?usp=sharing"",""ศรีสะเกษ!L476"")"),0.0)</f>
        <v>0</v>
      </c>
      <c r="M581" s="197"/>
      <c r="N581" s="203">
        <f>IFERROR(__xludf.DUMMYFUNCTION("IMPORTRANGE(""https://docs.google.com/spreadsheets/d/1XL5vhW3sbDhbH9Cz0tuDiY8C3ctxq1tqvaCgkFb8cCA/edit?usp=sharing"",""ศรีสะเกษ!M476"")"),0.0)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IFERROR(__xludf.DUMMYFUNCTION("IMPORTRANGE(""https://docs.google.com/spreadsheets/d/1XL5vhW3sbDhbH9Cz0tuDiY8C3ctxq1tqvaCgkFb8cCA/edit?usp=sharing"",""ศรีสะเกษ!L477"")"),355750.0)</f>
        <v>355750</v>
      </c>
      <c r="M582" s="198"/>
      <c r="N582" s="203">
        <f>IFERROR(__xludf.DUMMYFUNCTION("IMPORTRANGE(""https://docs.google.com/spreadsheets/d/1XL5vhW3sbDhbH9Cz0tuDiY8C3ctxq1tqvaCgkFb8cCA/edit?usp=sharing"",""ศรีสะเกษ!M477"")"),18451.64)</f>
        <v>18451.64</v>
      </c>
      <c r="O582" s="203">
        <f t="shared" si="125"/>
        <v>5.18668728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IFERROR(__xludf.DUMMYFUNCTION("IMPORTRANGE(""https://docs.google.com/spreadsheets/d/1XL5vhW3sbDhbH9Cz0tuDiY8C3ctxq1tqvaCgkFb8cCA/edit?usp=sharing"",""ศรีสะเกษ!L478"")"),0.0)</f>
        <v>0</v>
      </c>
      <c r="M583" s="203"/>
      <c r="N583" s="203">
        <f>IFERROR(__xludf.DUMMYFUNCTION("IMPORTRANGE(""https://docs.google.com/spreadsheets/d/1XL5vhW3sbDhbH9Cz0tuDiY8C3ctxq1tqvaCgkFb8cCA/edit?usp=sharing"",""ศรีสะเกษ!M478"")"),0.0)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IFERROR(__xludf.DUMMYFUNCTION("IMPORTRANGE(""https://docs.google.com/spreadsheets/d/1XL5vhW3sbDhbH9Cz0tuDiY8C3ctxq1tqvaCgkFb8cCA/edit?usp=sharing"",""ศรีสะเกษ!L479"")"),355750.0)</f>
        <v>355750</v>
      </c>
      <c r="M584" s="203"/>
      <c r="N584" s="203">
        <f>IFERROR(__xludf.DUMMYFUNCTION("IMPORTRANGE(""https://docs.google.com/spreadsheets/d/1XL5vhW3sbDhbH9Cz0tuDiY8C3ctxq1tqvaCgkFb8cCA/edit?usp=sharing"",""ศรีสะเกษ!M479"")"),18451.64)</f>
        <v>18451.64</v>
      </c>
      <c r="O584" s="203">
        <f t="shared" si="125"/>
        <v>5.18668728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IFERROR(__xludf.DUMMYFUNCTION("IMPORTRANGE(""https://docs.google.com/spreadsheets/d/1XL5vhW3sbDhbH9Cz0tuDiY8C3ctxq1tqvaCgkFb8cCA/edit?usp=sharing"",""ศรีสะเกษ!M480"")"),0.0)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IFERROR(__xludf.DUMMYFUNCTION("IMPORTRANGE(""https://docs.google.com/spreadsheets/d/1XL5vhW3sbDhbH9Cz0tuDiY8C3ctxq1tqvaCgkFb8cCA/edit?usp=sharing"",""ศรีสะเกษ!M481"")"),0.0)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IFERROR(__xludf.DUMMYFUNCTION("IMPORTRANGE(""https://docs.google.com/spreadsheets/d/1XL5vhW3sbDhbH9Cz0tuDiY8C3ctxq1tqvaCgkFb8cCA/edit?usp=sharing"",""ศรีสะเกษ!M482"")"),18451.64)</f>
        <v>18451.64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IFERROR(__xludf.DUMMYFUNCTION("IMPORTRANGE(""https://docs.google.com/spreadsheets/d/1XL5vhW3sbDhbH9Cz0tuDiY8C3ctxq1tqvaCgkFb8cCA/edit?usp=sharing"",""ศรีสะเกษ!M483"")"),0.0)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IFERROR(__xludf.DUMMYFUNCTION("IMPORTRANGE(""https://docs.google.com/spreadsheets/d/1XL5vhW3sbDhbH9Cz0tuDiY8C3ctxq1tqvaCgkFb8cCA/edit?usp=sharing"",""ศรีสะเกษ!I484"")"),150.0)</f>
        <v>150</v>
      </c>
      <c r="J589" s="222">
        <f>IFERROR(__xludf.DUMMYFUNCTION("IMPORTRANGE(""https://docs.google.com/spreadsheets/d/1XL5vhW3sbDhbH9Cz0tuDiY8C3ctxq1tqvaCgkFb8cCA/edit?usp=sharing"",""ศรีสะเกษ!J484"")"),0.0)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IFERROR(__xludf.DUMMYFUNCTION("IMPORTRANGE(""https://docs.google.com/spreadsheets/d/1XL5vhW3sbDhbH9Cz0tuDiY8C3ctxq1tqvaCgkFb8cCA/edit?usp=sharing"",""ศรีสะเกษ!I485"")"),0.0)</f>
        <v>0</v>
      </c>
      <c r="J590" s="222">
        <f>IFERROR(__xludf.DUMMYFUNCTION("IMPORTRANGE(""https://docs.google.com/spreadsheets/d/1XL5vhW3sbDhbH9Cz0tuDiY8C3ctxq1tqvaCgkFb8cCA/edit?usp=sharing"",""ศรีสะเกษ!J485"")"),0.0)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IFERROR(__xludf.DUMMYFUNCTION("IMPORTRANGE(""https://docs.google.com/spreadsheets/d/1XL5vhW3sbDhbH9Cz0tuDiY8C3ctxq1tqvaCgkFb8cCA/edit?usp=sharing"",""ศรีสะเกษ!I486"")"),150.0)</f>
        <v>150</v>
      </c>
      <c r="J591" s="222">
        <f>IFERROR(__xludf.DUMMYFUNCTION("IMPORTRANGE(""https://docs.google.com/spreadsheets/d/1XL5vhW3sbDhbH9Cz0tuDiY8C3ctxq1tqvaCgkFb8cCA/edit?usp=sharing"",""ศรีสะเกษ!J486"")"),11.0)</f>
        <v>11</v>
      </c>
      <c r="K591" s="196">
        <f t="shared" si="126"/>
        <v>7.333333333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IFERROR(__xludf.DUMMYFUNCTION("IMPORTRANGE(""https://docs.google.com/spreadsheets/d/1XL5vhW3sbDhbH9Cz0tuDiY8C3ctxq1tqvaCgkFb8cCA/edit?usp=sharing"",""ศรีสะเกษ!I487"")"),0.0)</f>
        <v>0</v>
      </c>
      <c r="J592" s="222">
        <f>IFERROR(__xludf.DUMMYFUNCTION("IMPORTRANGE(""https://docs.google.com/spreadsheets/d/1XL5vhW3sbDhbH9Cz0tuDiY8C3ctxq1tqvaCgkFb8cCA/edit?usp=sharing"",""ศรีสะเกษ!J487"")"),4.51)</f>
        <v>4.51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IFERROR(__xludf.DUMMYFUNCTION("IMPORTRANGE(""https://docs.google.com/spreadsheets/d/1XL5vhW3sbDhbH9Cz0tuDiY8C3ctxq1tqvaCgkFb8cCA/edit?usp=sharing"",""ศรีสะเกษ!I488"")"),150.0)</f>
        <v>150</v>
      </c>
      <c r="J593" s="222">
        <f>IFERROR(__xludf.DUMMYFUNCTION("IMPORTRANGE(""https://docs.google.com/spreadsheets/d/1XL5vhW3sbDhbH9Cz0tuDiY8C3ctxq1tqvaCgkFb8cCA/edit?usp=sharing"",""ศรีสะเกษ!J488"")"),0.0)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IFERROR(__xludf.DUMMYFUNCTION("IMPORTRANGE(""https://docs.google.com/spreadsheets/d/1XL5vhW3sbDhbH9Cz0tuDiY8C3ctxq1tqvaCgkFb8cCA/edit?usp=sharing"",""ศรีสะเกษ!I489"")"),0.0)</f>
        <v>0</v>
      </c>
      <c r="J594" s="222">
        <f>IFERROR(__xludf.DUMMYFUNCTION("IMPORTRANGE(""https://docs.google.com/spreadsheets/d/1XL5vhW3sbDhbH9Cz0tuDiY8C3ctxq1tqvaCgkFb8cCA/edit?usp=sharing"",""ศรีสะเกษ!J489"")"),0.0)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IFERROR(__xludf.DUMMYFUNCTION("IMPORTRANGE(""https://docs.google.com/spreadsheets/d/1XL5vhW3sbDhbH9Cz0tuDiY8C3ctxq1tqvaCgkFb8cCA/edit?usp=sharing"",""ศรีสะเกษ!I490"")"),150.0)</f>
        <v>150</v>
      </c>
      <c r="J595" s="222">
        <f>IFERROR(__xludf.DUMMYFUNCTION("IMPORTRANGE(""https://docs.google.com/spreadsheets/d/1XL5vhW3sbDhbH9Cz0tuDiY8C3ctxq1tqvaCgkFb8cCA/edit?usp=sharing"",""ศรีสะเกษ!J490"")"),11.0)</f>
        <v>11</v>
      </c>
      <c r="K595" s="196">
        <f t="shared" si="126"/>
        <v>7.333333333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IFERROR(__xludf.DUMMYFUNCTION("IMPORTRANGE(""https://docs.google.com/spreadsheets/d/1XL5vhW3sbDhbH9Cz0tuDiY8C3ctxq1tqvaCgkFb8cCA/edit?usp=sharing"",""ศรีสะเกษ!I491"")"),0.0)</f>
        <v>0</v>
      </c>
      <c r="J596" s="275">
        <f>IFERROR(__xludf.DUMMYFUNCTION("IMPORTRANGE(""https://docs.google.com/spreadsheets/d/1XL5vhW3sbDhbH9Cz0tuDiY8C3ctxq1tqvaCgkFb8cCA/edit?usp=sharing"",""ศรีสะเกษ!J491"")"),4.51)</f>
        <v>4.51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IFERROR(__xludf.DUMMYFUNCTION("IMPORTRANGE(""https://docs.google.com/spreadsheets/d/1XL5vhW3sbDhbH9Cz0tuDiY8C3ctxq1tqvaCgkFb8cCA/edit?usp=sharing"",""ศรีสะเกษ!I492"")"),100.0)</f>
        <v>100</v>
      </c>
      <c r="J597" s="520">
        <f>IFERROR(__xludf.DUMMYFUNCTION("IMPORTRANGE(""https://docs.google.com/spreadsheets/d/1XL5vhW3sbDhbH9Cz0tuDiY8C3ctxq1tqvaCgkFb8cCA/edit?usp=sharing"",""ศรีสะเกษ!J492"")"),0.0)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IFERROR(__xludf.DUMMYFUNCTION("IMPORTRANGE(""https://docs.google.com/spreadsheets/d/1XL5vhW3sbDhbH9Cz0tuDiY8C3ctxq1tqvaCgkFb8cCA/edit?usp=sharing"",""ศรีสะเกษ!L492"")"),9700.0)</f>
        <v>9700</v>
      </c>
      <c r="M597" s="445"/>
      <c r="N597" s="445">
        <f>IFERROR(__xludf.DUMMYFUNCTION("IMPORTRANGE(""https://docs.google.com/spreadsheets/d/1XL5vhW3sbDhbH9Cz0tuDiY8C3ctxq1tqvaCgkFb8cCA/edit?usp=sharing"",""ศรีสะเกษ!M492"")"),0.0)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IFERROR(__xludf.DUMMYFUNCTION("IMPORTRANGE(""https://docs.google.com/spreadsheets/d/1XL5vhW3sbDhbH9Cz0tuDiY8C3ctxq1tqvaCgkFb8cCA/edit?usp=sharing"",""ศรีสะเกษ!L493"")"),0.0)</f>
        <v>0</v>
      </c>
      <c r="M598" s="197"/>
      <c r="N598" s="203">
        <f>IFERROR(__xludf.DUMMYFUNCTION("IMPORTRANGE(""https://docs.google.com/spreadsheets/d/1XL5vhW3sbDhbH9Cz0tuDiY8C3ctxq1tqvaCgkFb8cCA/edit?usp=sharing"",""ศรีสะเกษ!M493"")"),0.0)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IFERROR(__xludf.DUMMYFUNCTION("IMPORTRANGE(""https://docs.google.com/spreadsheets/d/1XL5vhW3sbDhbH9Cz0tuDiY8C3ctxq1tqvaCgkFb8cCA/edit?usp=sharing"",""ศรีสะเกษ!L494"")"),9700.0)</f>
        <v>9700</v>
      </c>
      <c r="M599" s="198"/>
      <c r="N599" s="203">
        <f>IFERROR(__xludf.DUMMYFUNCTION("IMPORTRANGE(""https://docs.google.com/spreadsheets/d/1XL5vhW3sbDhbH9Cz0tuDiY8C3ctxq1tqvaCgkFb8cCA/edit?usp=sharing"",""ศรีสะเกษ!M494"")"),0.0)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IFERROR(__xludf.DUMMYFUNCTION("IMPORTRANGE(""https://docs.google.com/spreadsheets/d/1XL5vhW3sbDhbH9Cz0tuDiY8C3ctxq1tqvaCgkFb8cCA/edit?usp=sharing"",""ศรีสะเกษ!L495"")"),0.0)</f>
        <v>0</v>
      </c>
      <c r="M600" s="203"/>
      <c r="N600" s="203">
        <f>IFERROR(__xludf.DUMMYFUNCTION("IMPORTRANGE(""https://docs.google.com/spreadsheets/d/1XL5vhW3sbDhbH9Cz0tuDiY8C3ctxq1tqvaCgkFb8cCA/edit?usp=sharing"",""ศรีสะเกษ!M495"")"),0.0)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IFERROR(__xludf.DUMMYFUNCTION("IMPORTRANGE(""https://docs.google.com/spreadsheets/d/1XL5vhW3sbDhbH9Cz0tuDiY8C3ctxq1tqvaCgkFb8cCA/edit?usp=sharing"",""ศรีสะเกษ!L496"")"),9700.0)</f>
        <v>9700</v>
      </c>
      <c r="M601" s="203"/>
      <c r="N601" s="203">
        <f>IFERROR(__xludf.DUMMYFUNCTION("IMPORTRANGE(""https://docs.google.com/spreadsheets/d/1XL5vhW3sbDhbH9Cz0tuDiY8C3ctxq1tqvaCgkFb8cCA/edit?usp=sharing"",""ศรีสะเกษ!M496"")"),0.0)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IFERROR(__xludf.DUMMYFUNCTION("IMPORTRANGE(""https://docs.google.com/spreadsheets/d/1XL5vhW3sbDhbH9Cz0tuDiY8C3ctxq1tqvaCgkFb8cCA/edit?usp=sharing"",""ศรีสะเกษ!M497"")"),0.0)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IFERROR(__xludf.DUMMYFUNCTION("IMPORTRANGE(""https://docs.google.com/spreadsheets/d/1XL5vhW3sbDhbH9Cz0tuDiY8C3ctxq1tqvaCgkFb8cCA/edit?usp=sharing"",""ศรีสะเกษ!M498"")"),0.0)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IFERROR(__xludf.DUMMYFUNCTION("IMPORTRANGE(""https://docs.google.com/spreadsheets/d/1XL5vhW3sbDhbH9Cz0tuDiY8C3ctxq1tqvaCgkFb8cCA/edit?usp=sharing"",""ศรีสะเกษ!M499"")"),0.0)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IFERROR(__xludf.DUMMYFUNCTION("IMPORTRANGE(""https://docs.google.com/spreadsheets/d/1XL5vhW3sbDhbH9Cz0tuDiY8C3ctxq1tqvaCgkFb8cCA/edit?usp=sharing"",""ศรีสะเกษ!M500"")"),0.0)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IFERROR(__xludf.DUMMYFUNCTION("IMPORTRANGE(""https://docs.google.com/spreadsheets/d/1XL5vhW3sbDhbH9Cz0tuDiY8C3ctxq1tqvaCgkFb8cCA/edit?usp=sharing"",""ศรีสะเกษ!J502"")"),0.0)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IFERROR(__xludf.DUMMYFUNCTION("IMPORTRANGE(""https://docs.google.com/spreadsheets/d/1XL5vhW3sbDhbH9Cz0tuDiY8C3ctxq1tqvaCgkFb8cCA/edit?usp=sharing"",""ศรีสะเกษ!J503"")"),1.0)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IFERROR(__xludf.DUMMYFUNCTION("IMPORTRANGE(""https://docs.google.com/spreadsheets/d/1XL5vhW3sbDhbH9Cz0tuDiY8C3ctxq1tqvaCgkFb8cCA/edit?usp=sharing"",""ศรีสะเกษ!J166"")"),0.0)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IFERROR(__xludf.DUMMYFUNCTION("IMPORTRANGE(""https://docs.google.com/spreadsheets/d/1XL5vhW3sbDhbH9Cz0tuDiY8C3ctxq1tqvaCgkFb8cCA/edit?usp=sharing"",""ศรีสะเกษ!J166"")"),0.0)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IFERROR(__xludf.DUMMYFUNCTION("IMPORTRANGE(""https://docs.google.com/spreadsheets/d/1XL5vhW3sbDhbH9Cz0tuDiY8C3ctxq1tqvaCgkFb8cCA/edit?usp=sharing"",""ศรีสะเกษ!I506"")"),100.0)</f>
        <v>100</v>
      </c>
      <c r="J611" s="195">
        <f>IFERROR(__xludf.DUMMYFUNCTION("IMPORTRANGE(""https://docs.google.com/spreadsheets/d/1XL5vhW3sbDhbH9Cz0tuDiY8C3ctxq1tqvaCgkFb8cCA/edit?usp=sharing"",""ศรีสะเกษ!J506"")"),0.0)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IFERROR(__xludf.DUMMYFUNCTION("IMPORTRANGE(""https://docs.google.com/spreadsheets/d/1XL5vhW3sbDhbH9Cz0tuDiY8C3ctxq1tqvaCgkFb8cCA/edit?usp=sharing"",""ศรีสะเกษ!I507"")"),0.0)</f>
        <v>0</v>
      </c>
      <c r="J612" s="232">
        <f>IFERROR(__xludf.DUMMYFUNCTION("IMPORTRANGE(""https://docs.google.com/spreadsheets/d/1XL5vhW3sbDhbH9Cz0tuDiY8C3ctxq1tqvaCgkFb8cCA/edit?usp=sharing"",""ศรีสะเกษ!J507"")"),0.0)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IFERROR(__xludf.DUMMYFUNCTION("IMPORTRANGE(""https://docs.google.com/spreadsheets/d/1XL5vhW3sbDhbH9Cz0tuDiY8C3ctxq1tqvaCgkFb8cCA/edit?usp=sharing"",""ศรีสะเกษ!I508"")"),0.0)</f>
        <v>0</v>
      </c>
      <c r="J613" s="232">
        <f>IFERROR(__xludf.DUMMYFUNCTION("IMPORTRANGE(""https://docs.google.com/spreadsheets/d/1XL5vhW3sbDhbH9Cz0tuDiY8C3ctxq1tqvaCgkFb8cCA/edit?usp=sharing"",""ศรีสะเกษ!J508"")"),0.0)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IFERROR(__xludf.DUMMYFUNCTION("IMPORTRANGE(""https://docs.google.com/spreadsheets/d/1XL5vhW3sbDhbH9Cz0tuDiY8C3ctxq1tqvaCgkFb8cCA/edit?usp=sharing"",""ศรีสะเกษ!I509"")"),0.0)</f>
        <v>0</v>
      </c>
      <c r="J614" s="232">
        <f>IFERROR(__xludf.DUMMYFUNCTION("IMPORTRANGE(""https://docs.google.com/spreadsheets/d/1XL5vhW3sbDhbH9Cz0tuDiY8C3ctxq1tqvaCgkFb8cCA/edit?usp=sharing"",""ศรีสะเกษ!J509"")"),0.0)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IFERROR(__xludf.DUMMYFUNCTION("IMPORTRANGE(""https://docs.google.com/spreadsheets/d/1XL5vhW3sbDhbH9Cz0tuDiY8C3ctxq1tqvaCgkFb8cCA/edit?usp=sharing"",""ศรีสะเกษ!I510"")"),0.0)</f>
        <v>0</v>
      </c>
      <c r="J615" s="232">
        <f>IFERROR(__xludf.DUMMYFUNCTION("IMPORTRANGE(""https://docs.google.com/spreadsheets/d/1XL5vhW3sbDhbH9Cz0tuDiY8C3ctxq1tqvaCgkFb8cCA/edit?usp=sharing"",""ศรีสะเกษ!J510"")"),0.0)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IFERROR(__xludf.DUMMYFUNCTION("IMPORTRANGE(""https://docs.google.com/spreadsheets/d/1XL5vhW3sbDhbH9Cz0tuDiY8C3ctxq1tqvaCgkFb8cCA/edit?usp=sharing"",""ศรีสะเกษ!I511"")"),0.0)</f>
        <v>0</v>
      </c>
      <c r="J616" s="232">
        <f>IFERROR(__xludf.DUMMYFUNCTION("IMPORTRANGE(""https://docs.google.com/spreadsheets/d/1XL5vhW3sbDhbH9Cz0tuDiY8C3ctxq1tqvaCgkFb8cCA/edit?usp=sharing"",""ศรีสะเกษ!J511"")"),0.0)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IFERROR(__xludf.DUMMYFUNCTION("IMPORTRANGE(""https://docs.google.com/spreadsheets/d/1XL5vhW3sbDhbH9Cz0tuDiY8C3ctxq1tqvaCgkFb8cCA/edit?usp=sharing"",""ศรีสะเกษ!I512"")"),0.0)</f>
        <v>0</v>
      </c>
      <c r="J617" s="222">
        <f>IFERROR(__xludf.DUMMYFUNCTION("IMPORTRANGE(""https://docs.google.com/spreadsheets/d/1XL5vhW3sbDhbH9Cz0tuDiY8C3ctxq1tqvaCgkFb8cCA/edit?usp=sharing"",""ศรีสะเกษ!J512"")"),0.0)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IFERROR(__xludf.DUMMYFUNCTION("IMPORTRANGE(""https://docs.google.com/spreadsheets/d/1XL5vhW3sbDhbH9Cz0tuDiY8C3ctxq1tqvaCgkFb8cCA/edit?usp=sharing"",""ศรีสะเกษ!I513"")"),0.0)</f>
        <v>0</v>
      </c>
      <c r="J618" s="223">
        <f>IFERROR(__xludf.DUMMYFUNCTION("IMPORTRANGE(""https://docs.google.com/spreadsheets/d/1XL5vhW3sbDhbH9Cz0tuDiY8C3ctxq1tqvaCgkFb8cCA/edit?usp=sharing"",""ศรีสะเกษ!J513"")"),0.0)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IFERROR(__xludf.DUMMYFUNCTION("IMPORTRANGE(""https://docs.google.com/spreadsheets/d/1XL5vhW3sbDhbH9Cz0tuDiY8C3ctxq1tqvaCgkFb8cCA/edit?usp=sharing"",""ศรีสะเกษ!I514"")"),0.0)</f>
        <v>0</v>
      </c>
      <c r="J619" s="223">
        <f>IFERROR(__xludf.DUMMYFUNCTION("IMPORTRANGE(""https://docs.google.com/spreadsheets/d/1XL5vhW3sbDhbH9Cz0tuDiY8C3ctxq1tqvaCgkFb8cCA/edit?usp=sharing"",""ศรีสะเกษ!J514"")"),0.0)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IFERROR(__xludf.DUMMYFUNCTION("IMPORTRANGE(""https://docs.google.com/spreadsheets/d/1XL5vhW3sbDhbH9Cz0tuDiY8C3ctxq1tqvaCgkFb8cCA/edit?usp=sharing"",""ศรีสะเกษ!I515"")"),0.0)</f>
        <v>0</v>
      </c>
      <c r="J620" s="237">
        <f>IFERROR(__xludf.DUMMYFUNCTION("IMPORTRANGE(""https://docs.google.com/spreadsheets/d/1XL5vhW3sbDhbH9Cz0tuDiY8C3ctxq1tqvaCgkFb8cCA/edit?usp=sharing"",""ศรีสะเกษ!J515"")"),0.0)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IFERROR(__xludf.DUMMYFUNCTION("IMPORTRANGE(""https://docs.google.com/spreadsheets/d/1XL5vhW3sbDhbH9Cz0tuDiY8C3ctxq1tqvaCgkFb8cCA/edit?usp=sharing"",""ศรีสะเกษ!I516"")"),0.0)</f>
        <v>0</v>
      </c>
      <c r="J621" s="237">
        <f>IFERROR(__xludf.DUMMYFUNCTION("IMPORTRANGE(""https://docs.google.com/spreadsheets/d/1XL5vhW3sbDhbH9Cz0tuDiY8C3ctxq1tqvaCgkFb8cCA/edit?usp=sharing"",""ศรีสะเกษ!J516"")"),0.0)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IFERROR(__xludf.DUMMYFUNCTION("IMPORTRANGE(""https://docs.google.com/spreadsheets/d/1XL5vhW3sbDhbH9Cz0tuDiY8C3ctxq1tqvaCgkFb8cCA/edit?usp=sharing"",""ศรีสะเกษ!I517"")"),0.0)</f>
        <v>0</v>
      </c>
      <c r="J622" s="223">
        <f>IFERROR(__xludf.DUMMYFUNCTION("IMPORTRANGE(""https://docs.google.com/spreadsheets/d/1XL5vhW3sbDhbH9Cz0tuDiY8C3ctxq1tqvaCgkFb8cCA/edit?usp=sharing"",""ศรีสะเกษ!J517"")"),0.0)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IFERROR(__xludf.DUMMYFUNCTION("IMPORTRANGE(""https://docs.google.com/spreadsheets/d/1XL5vhW3sbDhbH9Cz0tuDiY8C3ctxq1tqvaCgkFb8cCA/edit?usp=sharing"",""ศรีสะเกษ!I518"")"),0.0)</f>
        <v>0</v>
      </c>
      <c r="J623" s="223">
        <f>IFERROR(__xludf.DUMMYFUNCTION("IMPORTRANGE(""https://docs.google.com/spreadsheets/d/1XL5vhW3sbDhbH9Cz0tuDiY8C3ctxq1tqvaCgkFb8cCA/edit?usp=sharing"",""ศรีสะเกษ!J518"")"),0.0)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IFERROR(__xludf.DUMMYFUNCTION("IMPORTRANGE(""https://docs.google.com/spreadsheets/d/1XL5vhW3sbDhbH9Cz0tuDiY8C3ctxq1tqvaCgkFb8cCA/edit?usp=sharing"",""ศรีสะเกษ!I519"")"),0.0)</f>
        <v>0</v>
      </c>
      <c r="J624" s="222">
        <f>IFERROR(__xludf.DUMMYFUNCTION("IMPORTRANGE(""https://docs.google.com/spreadsheets/d/1XL5vhW3sbDhbH9Cz0tuDiY8C3ctxq1tqvaCgkFb8cCA/edit?usp=sharing"",""ศรีสะเกษ!J519"")"),0.0)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IFERROR(__xludf.DUMMYFUNCTION("IMPORTRANGE(""https://docs.google.com/spreadsheets/d/1XL5vhW3sbDhbH9Cz0tuDiY8C3ctxq1tqvaCgkFb8cCA/edit?usp=sharing"",""ศรีสะเกษ!I520"")"),0.0)</f>
        <v>0</v>
      </c>
      <c r="J625" s="223">
        <f>IFERROR(__xludf.DUMMYFUNCTION("IMPORTRANGE(""https://docs.google.com/spreadsheets/d/1XL5vhW3sbDhbH9Cz0tuDiY8C3ctxq1tqvaCgkFb8cCA/edit?usp=sharing"",""ศรีสะเกษ!J520"")"),0.0)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IFERROR(__xludf.DUMMYFUNCTION("IMPORTRANGE(""https://docs.google.com/spreadsheets/d/1XL5vhW3sbDhbH9Cz0tuDiY8C3ctxq1tqvaCgkFb8cCA/edit?usp=sharing"",""ศรีสะเกษ!I521"")"),0.0)</f>
        <v>0</v>
      </c>
      <c r="J626" s="223">
        <f>IFERROR(__xludf.DUMMYFUNCTION("IMPORTRANGE(""https://docs.google.com/spreadsheets/d/1XL5vhW3sbDhbH9Cz0tuDiY8C3ctxq1tqvaCgkFb8cCA/edit?usp=sharing"",""ศรีสะเกษ!J521"")"),0.0)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IFERROR(__xludf.DUMMYFUNCTION("IMPORTRANGE(""https://docs.google.com/spreadsheets/d/1XL5vhW3sbDhbH9Cz0tuDiY8C3ctxq1tqvaCgkFb8cCA/edit?usp=sharing"",""ศรีสะเกษ!I523"")"),8980801.81)</f>
        <v>8980801.81</v>
      </c>
      <c r="J628" s="374">
        <f>IFERROR(__xludf.DUMMYFUNCTION("IMPORTRANGE(""https://docs.google.com/spreadsheets/d/1XL5vhW3sbDhbH9Cz0tuDiY8C3ctxq1tqvaCgkFb8cCA/edit?usp=sharing"",""ศรีสะเกษ!J523"")"),809092.53)</f>
        <v>809092.53</v>
      </c>
      <c r="K628" s="375">
        <f t="shared" ref="K628:K635" si="130">IF(I628&gt;0,J628*100/I628,0)</f>
        <v>9.009134675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IFERROR(__xludf.DUMMYFUNCTION("IMPORTRANGE(""https://docs.google.com/spreadsheets/d/1XL5vhW3sbDhbH9Cz0tuDiY8C3ctxq1tqvaCgkFb8cCA/edit?usp=sharing"",""ศรีสะเกษ!I524"")"),695.0)</f>
        <v>695</v>
      </c>
      <c r="J629" s="374">
        <f>IFERROR(__xludf.DUMMYFUNCTION("IMPORTRANGE(""https://docs.google.com/spreadsheets/d/1XL5vhW3sbDhbH9Cz0tuDiY8C3ctxq1tqvaCgkFb8cCA/edit?usp=sharing"",""ศรีสะเกษ!J524"")"),57.0)</f>
        <v>57</v>
      </c>
      <c r="K629" s="375">
        <f t="shared" si="130"/>
        <v>8.201438849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IFERROR(__xludf.DUMMYFUNCTION("IMPORTRANGE(""https://docs.google.com/spreadsheets/d/1XL5vhW3sbDhbH9Cz0tuDiY8C3ctxq1tqvaCgkFb8cCA/edit?usp=sharing"",""ศรีสะเกษ!I525"")"),2.29652082E7)</f>
        <v>22965208.2</v>
      </c>
      <c r="J630" s="374">
        <f>IFERROR(__xludf.DUMMYFUNCTION("IMPORTRANGE(""https://docs.google.com/spreadsheets/d/1XL5vhW3sbDhbH9Cz0tuDiY8C3ctxq1tqvaCgkFb8cCA/edit?usp=sharing"",""ศรีสะเกษ!J525"")"),1475105.59)</f>
        <v>1475105.59</v>
      </c>
      <c r="K630" s="375">
        <f t="shared" si="130"/>
        <v>6.423218885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IFERROR(__xludf.DUMMYFUNCTION("IMPORTRANGE(""https://docs.google.com/spreadsheets/d/1XL5vhW3sbDhbH9Cz0tuDiY8C3ctxq1tqvaCgkFb8cCA/edit?usp=sharing"",""ศรีสะเกษ!I526"")"),1393.0)</f>
        <v>1393</v>
      </c>
      <c r="J631" s="374">
        <f>IFERROR(__xludf.DUMMYFUNCTION("IMPORTRANGE(""https://docs.google.com/spreadsheets/d/1XL5vhW3sbDhbH9Cz0tuDiY8C3ctxq1tqvaCgkFb8cCA/edit?usp=sharing"",""ศรีสะเกษ!J526"")"),323.0)</f>
        <v>323</v>
      </c>
      <c r="K631" s="375">
        <f t="shared" si="130"/>
        <v>23.1873654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IFERROR(__xludf.DUMMYFUNCTION("IMPORTRANGE(""https://docs.google.com/spreadsheets/d/1XL5vhW3sbDhbH9Cz0tuDiY8C3ctxq1tqvaCgkFb8cCA/edit?usp=sharing"",""ศรีสะเกษ!I527"")"),1857041.74)</f>
        <v>1857041.74</v>
      </c>
      <c r="J632" s="374">
        <f>IFERROR(__xludf.DUMMYFUNCTION("IMPORTRANGE(""https://docs.google.com/spreadsheets/d/1XL5vhW3sbDhbH9Cz0tuDiY8C3ctxq1tqvaCgkFb8cCA/edit?usp=sharing"",""ศรีสะเกษ!J527"")"),479591.29)</f>
        <v>479591.29</v>
      </c>
      <c r="K632" s="375">
        <f t="shared" si="130"/>
        <v>25.82555253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IFERROR(__xludf.DUMMYFUNCTION("IMPORTRANGE(""https://docs.google.com/spreadsheets/d/1XL5vhW3sbDhbH9Cz0tuDiY8C3ctxq1tqvaCgkFb8cCA/edit?usp=sharing"",""ศรีสะเกษ!I528"")"),105.0)</f>
        <v>105</v>
      </c>
      <c r="J633" s="374">
        <f>IFERROR(__xludf.DUMMYFUNCTION("IMPORTRANGE(""https://docs.google.com/spreadsheets/d/1XL5vhW3sbDhbH9Cz0tuDiY8C3ctxq1tqvaCgkFb8cCA/edit?usp=sharing"",""ศรีสะเกษ!J528"")"),24.0)</f>
        <v>24</v>
      </c>
      <c r="K633" s="375">
        <f t="shared" si="130"/>
        <v>22.85714286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IFERROR(__xludf.DUMMYFUNCTION("IMPORTRANGE(""https://docs.google.com/spreadsheets/d/1XL5vhW3sbDhbH9Cz0tuDiY8C3ctxq1tqvaCgkFb8cCA/edit?usp=sharing"",""ศรีสะเกษ!I529"")"),8000000.0)</f>
        <v>8000000</v>
      </c>
      <c r="J634" s="374">
        <f>IFERROR(__xludf.DUMMYFUNCTION("IMPORTRANGE(""https://docs.google.com/spreadsheets/d/1XL5vhW3sbDhbH9Cz0tuDiY8C3ctxq1tqvaCgkFb8cCA/edit?usp=sharing"",""ศรีสะเกษ!J529"")"),0.0)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IFERROR(__xludf.DUMMYFUNCTION("IMPORTRANGE(""https://docs.google.com/spreadsheets/d/1XL5vhW3sbDhbH9Cz0tuDiY8C3ctxq1tqvaCgkFb8cCA/edit?usp=sharing"",""ศรีสะเกษ!I530"")"),200.0)</f>
        <v>200</v>
      </c>
      <c r="J635" s="544">
        <f>IFERROR(__xludf.DUMMYFUNCTION("IMPORTRANGE(""https://docs.google.com/spreadsheets/d/1XL5vhW3sbDhbH9Cz0tuDiY8C3ctxq1tqvaCgkFb8cCA/edit?usp=sharing"",""ศรีสะเกษ!J530"")"),0.0)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265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6648286</v>
      </c>
      <c r="M8" s="41">
        <f t="shared" si="1"/>
        <v>2264590</v>
      </c>
      <c r="N8" s="41">
        <f t="shared" si="1"/>
        <v>2022023.21</v>
      </c>
      <c r="O8" s="40">
        <f t="shared" ref="O8:O16" si="3">IF(L8&gt;0,N8*100/L8,0)</f>
        <v>30.41420315</v>
      </c>
      <c r="P8" s="40">
        <f t="shared" ref="P8:P16" si="4">IF(M8&gt;0,N8*100/M8,0)</f>
        <v>89.28871054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6648286</v>
      </c>
      <c r="M10" s="48">
        <f t="shared" si="5"/>
        <v>2264590</v>
      </c>
      <c r="N10" s="48">
        <f t="shared" si="5"/>
        <v>2022023.21</v>
      </c>
      <c r="O10" s="47">
        <f t="shared" si="3"/>
        <v>30.41420315</v>
      </c>
      <c r="P10" s="47">
        <f t="shared" si="4"/>
        <v>89.28871054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6459886</v>
      </c>
      <c r="M12" s="58">
        <f t="shared" si="7"/>
        <v>2264590</v>
      </c>
      <c r="N12" s="58">
        <f t="shared" si="7"/>
        <v>1835623.21</v>
      </c>
      <c r="O12" s="58">
        <f t="shared" si="3"/>
        <v>28.41572142</v>
      </c>
      <c r="P12" s="58">
        <f t="shared" si="4"/>
        <v>81.05764001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2335900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4123986</v>
      </c>
      <c r="M14" s="58">
        <f t="shared" si="9"/>
        <v>0</v>
      </c>
      <c r="N14" s="58">
        <f t="shared" si="9"/>
        <v>439628.21</v>
      </c>
      <c r="O14" s="61">
        <f t="shared" si="3"/>
        <v>10.66027406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188400</v>
      </c>
      <c r="M16" s="58">
        <f t="shared" si="11"/>
        <v>0</v>
      </c>
      <c r="N16" s="58">
        <f t="shared" si="11"/>
        <v>186400</v>
      </c>
      <c r="O16" s="70">
        <f t="shared" si="3"/>
        <v>98.93842887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4347260</v>
      </c>
      <c r="M18" s="41">
        <f t="shared" si="12"/>
        <v>2264590</v>
      </c>
      <c r="N18" s="41">
        <f t="shared" si="12"/>
        <v>1582395</v>
      </c>
      <c r="O18" s="40">
        <f t="shared" ref="O18:O20" si="14">IF(L18&gt;0,N18*100/L18,0)</f>
        <v>36.39982426</v>
      </c>
      <c r="P18" s="40">
        <f t="shared" ref="P18:P26" si="15">IF(M18&gt;0,N18*100/M18,0)</f>
        <v>69.87556246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4347260</v>
      </c>
      <c r="M20" s="48">
        <f t="shared" si="16"/>
        <v>2264590</v>
      </c>
      <c r="N20" s="48">
        <f t="shared" si="16"/>
        <v>1582395</v>
      </c>
      <c r="O20" s="47">
        <f t="shared" si="14"/>
        <v>36.39982426</v>
      </c>
      <c r="P20" s="47">
        <f t="shared" si="15"/>
        <v>69.87556246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4158860</v>
      </c>
      <c r="M22" s="62">
        <f t="shared" si="18"/>
        <v>2264590</v>
      </c>
      <c r="N22" s="61">
        <f t="shared" si="18"/>
        <v>1395995</v>
      </c>
      <c r="O22" s="61">
        <f t="shared" si="19"/>
        <v>33.5667707</v>
      </c>
      <c r="P22" s="61">
        <f t="shared" si="15"/>
        <v>61.64449194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2335900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1822960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188400</v>
      </c>
      <c r="M26" s="70">
        <f t="shared" si="23"/>
        <v>0</v>
      </c>
      <c r="N26" s="70">
        <f t="shared" si="23"/>
        <v>186400</v>
      </c>
      <c r="O26" s="70">
        <f t="shared" si="19"/>
        <v>98.93842887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2301026</v>
      </c>
      <c r="M28" s="41">
        <f t="shared" si="24"/>
        <v>0</v>
      </c>
      <c r="N28" s="41">
        <f t="shared" si="24"/>
        <v>439628.21</v>
      </c>
      <c r="O28" s="40">
        <f t="shared" ref="O28:O30" si="26">IF(L28&gt;0,N28*100/L28,0)</f>
        <v>19.10574718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2301026</v>
      </c>
      <c r="M30" s="48">
        <f t="shared" si="28"/>
        <v>0</v>
      </c>
      <c r="N30" s="48">
        <f t="shared" si="28"/>
        <v>439628.21</v>
      </c>
      <c r="O30" s="47">
        <f t="shared" si="26"/>
        <v>19.10574718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2301026</v>
      </c>
      <c r="M32" s="61">
        <f t="shared" si="30"/>
        <v>0</v>
      </c>
      <c r="N32" s="61">
        <f t="shared" si="30"/>
        <v>439628.21</v>
      </c>
      <c r="O32" s="61">
        <f t="shared" si="31"/>
        <v>19.10574718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2301026</v>
      </c>
      <c r="M34" s="61">
        <f t="shared" si="33"/>
        <v>0</v>
      </c>
      <c r="N34" s="61">
        <f t="shared" si="33"/>
        <v>439628.21</v>
      </c>
      <c r="O34" s="61">
        <f t="shared" si="31"/>
        <v>19.10574718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4347260</v>
      </c>
      <c r="M37" s="75">
        <f t="shared" si="34"/>
        <v>2264590</v>
      </c>
      <c r="N37" s="75">
        <f t="shared" si="34"/>
        <v>1582395</v>
      </c>
      <c r="O37" s="76">
        <f t="shared" si="31"/>
        <v>36.39982426</v>
      </c>
      <c r="P37" s="76">
        <f t="shared" si="27"/>
        <v>69.87556246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884100</v>
      </c>
      <c r="M41" s="102">
        <f t="shared" si="35"/>
        <v>394000</v>
      </c>
      <c r="N41" s="102">
        <f t="shared" si="35"/>
        <v>405417</v>
      </c>
      <c r="O41" s="101">
        <f t="shared" ref="O41:O43" si="37">IF(L41&gt;0,N41*100/L41,0)</f>
        <v>45.8564642</v>
      </c>
      <c r="P41" s="101">
        <f t="shared" ref="P41:P43" si="38">IF(M41&gt;0,N41*100/M41,0)</f>
        <v>102.8977157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884100</v>
      </c>
      <c r="M43" s="102">
        <f t="shared" si="39"/>
        <v>394000</v>
      </c>
      <c r="N43" s="102">
        <f t="shared" si="39"/>
        <v>405417</v>
      </c>
      <c r="O43" s="101">
        <f t="shared" si="37"/>
        <v>45.8564642</v>
      </c>
      <c r="P43" s="101">
        <f t="shared" si="38"/>
        <v>102.8977157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788100</v>
      </c>
      <c r="M45" s="115">
        <f>IFERROR(__xludf.DUMMYFUNCTION("IMPORTRANGE(""https://docs.google.com/spreadsheets/d/1Yj_ptqi66GCucihVvJfMjLAmec39IyEx_6qawtMGysU/edit?usp=sharing"",""สบก!Q51"")"),394000.0)</f>
        <v>394000</v>
      </c>
      <c r="N45" s="115">
        <f>IFERROR(__xludf.DUMMYFUNCTION("IMPORTRANGE(""https://docs.google.com/spreadsheets/d/1Yj_ptqi66GCucihVvJfMjLAmec39IyEx_6qawtMGysU/edit?usp=sharing"",""สบก!R51"")"),311017.0)</f>
        <v>311017</v>
      </c>
      <c r="O45" s="116">
        <f>IF(L45&gt;0,N45*100/L45,0)</f>
        <v>39.4641543</v>
      </c>
      <c r="P45" s="116">
        <f>IF(M45&gt;0,N45*100/M45,0)</f>
        <v>78.93832487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IFERROR(__xludf.DUMMYFUNCTION("IMPORTRANGE(""https://docs.google.com/spreadsheets/d/1Yj_ptqi66GCucihVvJfMjLAmec39IyEx_6qawtMGysU/edit?usp=sharing"",""สบก!M51"")"),788100.0)</f>
        <v>788100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IFERROR(__xludf.DUMMYFUNCTION("IMPORTRANGE(""https://docs.google.com/spreadsheets/d/1Yj_ptqi66GCucihVvJfMjLAmec39IyEx_6qawtMGysU/edit?usp=sharing"",""สบก!N51"")"),0.0)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IFERROR(__xludf.DUMMYFUNCTION("IMPORTRANGE(""https://docs.google.com/spreadsheets/d/1Yj_ptqi66GCucihVvJfMjLAmec39IyEx_6qawtMGysU/edit?usp=sharing"",""สบก!O51"")"),96000.0)</f>
        <v>96000</v>
      </c>
      <c r="M49" s="125"/>
      <c r="N49" s="115">
        <f>IFERROR(__xludf.DUMMYFUNCTION("IMPORTRANGE(""https://docs.google.com/spreadsheets/d/1Yj_ptqi66GCucihVvJfMjLAmec39IyEx_6qawtMGysU/edit?usp=sharing"",""สบก!S51"")"),94400.0)</f>
        <v>94400</v>
      </c>
      <c r="O49" s="125">
        <f>IF(L49&gt;0,N49*100/L49,0)</f>
        <v>98.33333333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772800</v>
      </c>
      <c r="M53" s="151">
        <f t="shared" si="40"/>
        <v>391720</v>
      </c>
      <c r="N53" s="151">
        <f t="shared" si="40"/>
        <v>296388</v>
      </c>
      <c r="O53" s="150">
        <f t="shared" ref="O53:O55" si="42">IF(L53&gt;0,N53*100/L53,0)</f>
        <v>38.35248447</v>
      </c>
      <c r="P53" s="150">
        <f t="shared" ref="P53:P55" si="43">IF(M53&gt;0,N53*100/M53,0)</f>
        <v>75.66322884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772800</v>
      </c>
      <c r="M55" s="151">
        <f t="shared" si="44"/>
        <v>391720</v>
      </c>
      <c r="N55" s="151">
        <f t="shared" si="44"/>
        <v>296388</v>
      </c>
      <c r="O55" s="150">
        <f t="shared" si="42"/>
        <v>38.35248447</v>
      </c>
      <c r="P55" s="150">
        <f t="shared" si="43"/>
        <v>75.66322884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772800</v>
      </c>
      <c r="M57" s="115">
        <f>IFERROR(__xludf.DUMMYFUNCTION("IMPORTRANGE(""https://docs.google.com/spreadsheets/d/1Yj_ptqi66GCucihVvJfMjLAmec39IyEx_6qawtMGysU/edit?usp=sharing"",""สบก!Z51"")"),391720.0)</f>
        <v>391720</v>
      </c>
      <c r="N57" s="115">
        <f>IFERROR(__xludf.DUMMYFUNCTION("IMPORTRANGE(""https://docs.google.com/spreadsheets/d/1Yj_ptqi66GCucihVvJfMjLAmec39IyEx_6qawtMGysU/edit?usp=sharing"",""สบก!AA51"")"),296388.0)</f>
        <v>296388</v>
      </c>
      <c r="O57" s="116">
        <f>IF(L57&gt;0,N57*100/L57,0)</f>
        <v>38.35248447</v>
      </c>
      <c r="P57" s="116">
        <f>IF(M57&gt;0,N57*100/M57,0)</f>
        <v>75.66322884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IFERROR(__xludf.DUMMYFUNCTION("IMPORTRANGE(""https://docs.google.com/spreadsheets/d/1Yj_ptqi66GCucihVvJfMjLAmec39IyEx_6qawtMGysU/edit?usp=sharing"",""สบก!V51"")"),772800.0)</f>
        <v>772800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IFERROR(__xludf.DUMMYFUNCTION("IMPORTRANGE(""https://docs.google.com/spreadsheets/d/1Yj_ptqi66GCucihVvJfMjLAmec39IyEx_6qawtMGysU/edit?usp=sharing"",""สบก!W51"")"),0.0)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IFERROR(__xludf.DUMMYFUNCTION("IMPORTRANGE(""https://docs.google.com/spreadsheets/d/1Yj_ptqi66GCucihVvJfMjLAmec39IyEx_6qawtMGysU/edit?usp=sharing"",""สบก!X51"")"),0.0)</f>
        <v>0</v>
      </c>
      <c r="M61" s="125"/>
      <c r="N61" s="115">
        <f>IFERROR(__xludf.DUMMYFUNCTION("IMPORTRANGE(""https://docs.google.com/spreadsheets/d/1Yj_ptqi66GCucihVvJfMjLAmec39IyEx_6qawtMGysU/edit?usp=sharing"",""สบก!AB51"")"),0.0)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IFERROR(__xludf.DUMMYFUNCTION("IMPORTRANGE(""https://docs.google.com/spreadsheets/d/1XL5vhW3sbDhbH9Cz0tuDiY8C3ctxq1tqvaCgkFb8cCA/edit?usp=sharing"",""สกลนคร!I9"")"),1.0)</f>
        <v>1</v>
      </c>
      <c r="J64" s="172">
        <f>IFERROR(__xludf.DUMMYFUNCTION("IMPORTRANGE(""https://docs.google.com/spreadsheets/d/1XL5vhW3sbDhbH9Cz0tuDiY8C3ctxq1tqvaCgkFb8cCA/edit?usp=sharing"",""สกลนคร!J9"")"),1.0)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IFERROR(__xludf.DUMMYFUNCTION("IMPORTRANGE(""https://docs.google.com/spreadsheets/d/1XL5vhW3sbDhbH9Cz0tuDiY8C3ctxq1tqvaCgkFb8cCA/edit?usp=sharing"",""สกลนคร!I10"")"),30.0)</f>
        <v>30</v>
      </c>
      <c r="J65" s="172">
        <f>IFERROR(__xludf.DUMMYFUNCTION("IMPORTRANGE(""https://docs.google.com/spreadsheets/d/1XL5vhW3sbDhbH9Cz0tuDiY8C3ctxq1tqvaCgkFb8cCA/edit?usp=sharing"",""สกลนคร!J10"")"),30.0)</f>
        <v>30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577000</v>
      </c>
      <c r="M66" s="183">
        <f t="shared" si="46"/>
        <v>325120</v>
      </c>
      <c r="N66" s="183">
        <f t="shared" si="46"/>
        <v>67414</v>
      </c>
      <c r="O66" s="182">
        <f t="shared" ref="O66:O68" si="48">IF(L66&gt;0,N66*100/L66,0)</f>
        <v>11.68353553</v>
      </c>
      <c r="P66" s="182">
        <f t="shared" ref="P66:P68" si="49">IF(M66&gt;0,N66*100/M66,0)</f>
        <v>20.73511319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577000</v>
      </c>
      <c r="M68" s="188">
        <f t="shared" si="50"/>
        <v>325120</v>
      </c>
      <c r="N68" s="188">
        <f t="shared" si="50"/>
        <v>67414</v>
      </c>
      <c r="O68" s="187">
        <f t="shared" si="48"/>
        <v>11.68353553</v>
      </c>
      <c r="P68" s="187">
        <f t="shared" si="49"/>
        <v>20.73511319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577000</v>
      </c>
      <c r="M70" s="201">
        <f>IFERROR(__xludf.DUMMYFUNCTION("IMPORTRANGE(""https://docs.google.com/spreadsheets/d/1Yj_ptqi66GCucihVvJfMjLAmec39IyEx_6qawtMGysU/edit?usp=sharing"",""สบก!AI51"")"),325120.0)</f>
        <v>325120</v>
      </c>
      <c r="N70" s="202">
        <f>IFERROR(__xludf.DUMMYFUNCTION("IMPORTRANGE(""https://docs.google.com/spreadsheets/d/1Yj_ptqi66GCucihVvJfMjLAmec39IyEx_6qawtMGysU/edit?usp=sharing"",""สบก!AJ51"")"),67414.0)</f>
        <v>67414</v>
      </c>
      <c r="O70" s="203">
        <f>IF(L70&gt;0,N70*100/L70,0)</f>
        <v>11.68353553</v>
      </c>
      <c r="P70" s="203">
        <f>IF(M70&gt;0,N70*100/M70,0)</f>
        <v>20.73511319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IFERROR(__xludf.DUMMYFUNCTION("IMPORTRANGE(""https://docs.google.com/spreadsheets/d/1Yj_ptqi66GCucihVvJfMjLAmec39IyEx_6qawtMGysU/edit?usp=sharing"",""สบก!AE51"")"),205000.0)</f>
        <v>205000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IFERROR(__xludf.DUMMYFUNCTION("IMPORTRANGE(""https://docs.google.com/spreadsheets/d/1Yj_ptqi66GCucihVvJfMjLAmec39IyEx_6qawtMGysU/edit?usp=sharing"",""สบก!AF51"")"),372000.0)</f>
        <v>372000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IFERROR(__xludf.DUMMYFUNCTION("IMPORTRANGE(""https://docs.google.com/spreadsheets/d/1Yj_ptqi66GCucihVvJfMjLAmec39IyEx_6qawtMGysU/edit?usp=sharing"",""สบก!AG51"")"),0.0)</f>
        <v>0</v>
      </c>
      <c r="M74" s="125"/>
      <c r="N74" s="115">
        <f>IFERROR(__xludf.DUMMYFUNCTION("IMPORTRANGE(""https://docs.google.com/spreadsheets/d/1Yj_ptqi66GCucihVvJfMjLAmec39IyEx_6qawtMGysU/edit?usp=sharing"",""สบก!AK51"")"),0.0)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IFERROR(__xludf.DUMMYFUNCTION("IMPORTRANGE(""https://docs.google.com/spreadsheets/d/1XL5vhW3sbDhbH9Cz0tuDiY8C3ctxq1tqvaCgkFb8cCA/edit?usp=sharing"",""สกลนคร!J16"")"),0.0)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IFERROR(__xludf.DUMMYFUNCTION("IMPORTRANGE(""https://docs.google.com/spreadsheets/d/1XL5vhW3sbDhbH9Cz0tuDiY8C3ctxq1tqvaCgkFb8cCA/edit?usp=sharing"",""สกลนคร!J17"")"),1.0)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IFERROR(__xludf.DUMMYFUNCTION("IMPORTRANGE(""https://docs.google.com/spreadsheets/d/1XL5vhW3sbDhbH9Cz0tuDiY8C3ctxq1tqvaCgkFb8cCA/edit?usp=sharing"",""สกลนคร!J18"")"),0.0)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IFERROR(__xludf.DUMMYFUNCTION("IMPORTRANGE(""https://docs.google.com/spreadsheets/d/1XL5vhW3sbDhbH9Cz0tuDiY8C3ctxq1tqvaCgkFb8cCA/edit?usp=sharing"",""สกลนคร!J19"")"),1.0)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IFERROR(__xludf.DUMMYFUNCTION("IMPORTRANGE(""https://docs.google.com/spreadsheets/d/1XL5vhW3sbDhbH9Cz0tuDiY8C3ctxq1tqvaCgkFb8cCA/edit?usp=sharing"",""สกลนคร!I20"")"),1.0)</f>
        <v>1</v>
      </c>
      <c r="J80" s="235">
        <f>IFERROR(__xludf.DUMMYFUNCTION("IMPORTRANGE(""https://docs.google.com/spreadsheets/d/1XL5vhW3sbDhbH9Cz0tuDiY8C3ctxq1tqvaCgkFb8cCA/edit?usp=sharing"",""สกลนคร!J20"")"),1.0)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IFERROR(__xludf.DUMMYFUNCTION("IMPORTRANGE(""https://docs.google.com/spreadsheets/d/1XL5vhW3sbDhbH9Cz0tuDiY8C3ctxq1tqvaCgkFb8cCA/edit?usp=sharing"",""สกลนคร!I21"")"),30.0)</f>
        <v>30</v>
      </c>
      <c r="J81" s="235">
        <f>IFERROR(__xludf.DUMMYFUNCTION("IMPORTRANGE(""https://docs.google.com/spreadsheets/d/1XL5vhW3sbDhbH9Cz0tuDiY8C3ctxq1tqvaCgkFb8cCA/edit?usp=sharing"",""สกลนคร!J21"")"),30.0)</f>
        <v>30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IFERROR(__xludf.DUMMYFUNCTION("IMPORTRANGE(""https://docs.google.com/spreadsheets/d/1XL5vhW3sbDhbH9Cz0tuDiY8C3ctxq1tqvaCgkFb8cCA/edit?usp=sharing"",""สกลนคร!I22"")"),0.0)</f>
        <v>0</v>
      </c>
      <c r="J82" s="238">
        <f>IFERROR(__xludf.DUMMYFUNCTION("IMPORTRANGE(""https://docs.google.com/spreadsheets/d/1XL5vhW3sbDhbH9Cz0tuDiY8C3ctxq1tqvaCgkFb8cCA/edit?usp=sharing"",""สกลนคร!J22"")"),0.0)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IFERROR(__xludf.DUMMYFUNCTION("IMPORTRANGE(""https://docs.google.com/spreadsheets/d/1XL5vhW3sbDhbH9Cz0tuDiY8C3ctxq1tqvaCgkFb8cCA/edit?usp=sharing"",""สกลนคร!I23"")"),0.0)</f>
        <v>0</v>
      </c>
      <c r="J83" s="238">
        <f>IFERROR(__xludf.DUMMYFUNCTION("IMPORTRANGE(""https://docs.google.com/spreadsheets/d/1XL5vhW3sbDhbH9Cz0tuDiY8C3ctxq1tqvaCgkFb8cCA/edit?usp=sharing"",""สกลนคร!J23"")"),0.0)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IFERROR(__xludf.DUMMYFUNCTION("IMPORTRANGE(""https://docs.google.com/spreadsheets/d/1XL5vhW3sbDhbH9Cz0tuDiY8C3ctxq1tqvaCgkFb8cCA/edit?usp=sharing"",""สกลนคร!I24"")"),1.0)</f>
        <v>1</v>
      </c>
      <c r="J84" s="223">
        <f>IFERROR(__xludf.DUMMYFUNCTION("IMPORTRANGE(""https://docs.google.com/spreadsheets/d/1XL5vhW3sbDhbH9Cz0tuDiY8C3ctxq1tqvaCgkFb8cCA/edit?usp=sharing"",""สกลนคร!J24"")"),1.0)</f>
        <v>1</v>
      </c>
      <c r="K84" s="196">
        <f t="shared" si="51"/>
        <v>100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IFERROR(__xludf.DUMMYFUNCTION("IMPORTRANGE(""https://docs.google.com/spreadsheets/d/1XL5vhW3sbDhbH9Cz0tuDiY8C3ctxq1tqvaCgkFb8cCA/edit?usp=sharing"",""สกลนคร!I25"")"),30.0)</f>
        <v>30</v>
      </c>
      <c r="J85" s="223">
        <f>IFERROR(__xludf.DUMMYFUNCTION("IMPORTRANGE(""https://docs.google.com/spreadsheets/d/1XL5vhW3sbDhbH9Cz0tuDiY8C3ctxq1tqvaCgkFb8cCA/edit?usp=sharing"",""สกลนคร!J25"")"),30.0)</f>
        <v>30</v>
      </c>
      <c r="K85" s="196">
        <f t="shared" si="51"/>
        <v>100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IFERROR(__xludf.DUMMYFUNCTION("IMPORTRANGE(""https://docs.google.com/spreadsheets/d/1XL5vhW3sbDhbH9Cz0tuDiY8C3ctxq1tqvaCgkFb8cCA/edit?usp=sharing"",""สกลนคร!I26"")"),0.0)</f>
        <v>0</v>
      </c>
      <c r="J86" s="238">
        <f>IFERROR(__xludf.DUMMYFUNCTION("IMPORTRANGE(""https://docs.google.com/spreadsheets/d/1XL5vhW3sbDhbH9Cz0tuDiY8C3ctxq1tqvaCgkFb8cCA/edit?usp=sharing"",""สกลนคร!J26"")"),0.0)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IFERROR(__xludf.DUMMYFUNCTION("IMPORTRANGE(""https://docs.google.com/spreadsheets/d/1XL5vhW3sbDhbH9Cz0tuDiY8C3ctxq1tqvaCgkFb8cCA/edit?usp=sharing"",""สกลนคร!I27"")"),0.0)</f>
        <v>0</v>
      </c>
      <c r="J87" s="238">
        <f>IFERROR(__xludf.DUMMYFUNCTION("IMPORTRANGE(""https://docs.google.com/spreadsheets/d/1XL5vhW3sbDhbH9Cz0tuDiY8C3ctxq1tqvaCgkFb8cCA/edit?usp=sharing"",""สกลนคร!J27"")"),0.0)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IFERROR(__xludf.DUMMYFUNCTION("IMPORTRANGE(""https://docs.google.com/spreadsheets/d/1XL5vhW3sbDhbH9Cz0tuDiY8C3ctxq1tqvaCgkFb8cCA/edit?usp=sharing"",""สกลนคร!I28"")"),0.0)</f>
        <v>0</v>
      </c>
      <c r="J88" s="238">
        <f>IFERROR(__xludf.DUMMYFUNCTION("IMPORTRANGE(""https://docs.google.com/spreadsheets/d/1XL5vhW3sbDhbH9Cz0tuDiY8C3ctxq1tqvaCgkFb8cCA/edit?usp=sharing"",""สกลนคร!J28"")"),0.0)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IFERROR(__xludf.DUMMYFUNCTION("IMPORTRANGE(""https://docs.google.com/spreadsheets/d/1XL5vhW3sbDhbH9Cz0tuDiY8C3ctxq1tqvaCgkFb8cCA/edit?usp=sharing"",""สกลนคร!J29"")"),0.0)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IFERROR(__xludf.DUMMYFUNCTION("IMPORTRANGE(""https://docs.google.com/spreadsheets/d/1XL5vhW3sbDhbH9Cz0tuDiY8C3ctxq1tqvaCgkFb8cCA/edit?usp=sharing"",""สกลนคร!J30"")"),0.0)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IFERROR(__xludf.DUMMYFUNCTION("IMPORTRANGE(""https://docs.google.com/spreadsheets/d/1XL5vhW3sbDhbH9Cz0tuDiY8C3ctxq1tqvaCgkFb8cCA/edit?usp=sharing"",""สกลนคร!I32"")"),4.0)</f>
        <v>4</v>
      </c>
      <c r="J92" s="172">
        <f>IFERROR(__xludf.DUMMYFUNCTION("IMPORTRANGE(""https://docs.google.com/spreadsheets/d/1XL5vhW3sbDhbH9Cz0tuDiY8C3ctxq1tqvaCgkFb8cCA/edit?usp=sharing"",""สกลนคร!J32"")"),4.0)</f>
        <v>4</v>
      </c>
      <c r="K92" s="173">
        <f t="shared" ref="K92:K93" si="52">IF(I92&gt;0,J92*100/I92,0)</f>
        <v>100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IFERROR(__xludf.DUMMYFUNCTION("IMPORTRANGE(""https://docs.google.com/spreadsheets/d/1XL5vhW3sbDhbH9Cz0tuDiY8C3ctxq1tqvaCgkFb8cCA/edit?usp=sharing"",""สกลนคร!I33"")"),1.0)</f>
        <v>1</v>
      </c>
      <c r="J93" s="172">
        <f>IFERROR(__xludf.DUMMYFUNCTION("IMPORTRANGE(""https://docs.google.com/spreadsheets/d/1XL5vhW3sbDhbH9Cz0tuDiY8C3ctxq1tqvaCgkFb8cCA/edit?usp=sharing"",""สกลนคร!J33"")"),1.0)</f>
        <v>1</v>
      </c>
      <c r="K93" s="173">
        <f t="shared" si="52"/>
        <v>100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112020</v>
      </c>
      <c r="O94" s="182">
        <f t="shared" ref="O94:O96" si="55">IF(L94&gt;0,N94*100/L94,0)</f>
        <v>52.22377622</v>
      </c>
      <c r="P94" s="182">
        <f t="shared" ref="P94:P96" si="56">IF(M94&gt;0,N94*100/M94,0)</f>
        <v>162.9855958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112020</v>
      </c>
      <c r="O96" s="187">
        <f t="shared" si="55"/>
        <v>52.22377622</v>
      </c>
      <c r="P96" s="187">
        <f t="shared" si="56"/>
        <v>162.9855958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IFERROR(__xludf.DUMMYFUNCTION("IMPORTRANGE(""https://docs.google.com/spreadsheets/d/1Yj_ptqi66GCucihVvJfMjLAmec39IyEx_6qawtMGysU/edit?usp=sharing"",""สบก!AR51"")"),68730.0)</f>
        <v>68730</v>
      </c>
      <c r="N98" s="202">
        <f>IFERROR(__xludf.DUMMYFUNCTION("IMPORTRANGE(""https://docs.google.com/spreadsheets/d/1Yj_ptqi66GCucihVvJfMjLAmec39IyEx_6qawtMGysU/edit?usp=sharing"",""สบก!AS51"")"),20020.0)</f>
        <v>20020</v>
      </c>
      <c r="O98" s="203">
        <f>IF(L98&gt;0,N98*100/L98,0)</f>
        <v>16.3963964</v>
      </c>
      <c r="P98" s="203">
        <f>IF(M98&gt;0,N98*100/M98,0)</f>
        <v>29.12847374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IFERROR(__xludf.DUMMYFUNCTION("IMPORTRANGE(""https://docs.google.com/spreadsheets/d/1Yj_ptqi66GCucihVvJfMjLAmec39IyEx_6qawtMGysU/edit?usp=sharing"",""สบก!AN51"")"),0.0)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IFERROR(__xludf.DUMMYFUNCTION("IMPORTRANGE(""https://docs.google.com/spreadsheets/d/1Yj_ptqi66GCucihVvJfMjLAmec39IyEx_6qawtMGysU/edit?usp=sharing"",""สบก!AO51"")"),122100.0)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IFERROR(__xludf.DUMMYFUNCTION("IMPORTRANGE(""https://docs.google.com/spreadsheets/d/1Yj_ptqi66GCucihVvJfMjLAmec39IyEx_6qawtMGysU/edit?usp=sharing"",""สบก!AP51"")"),92400.0)</f>
        <v>92400</v>
      </c>
      <c r="M102" s="125"/>
      <c r="N102" s="115">
        <f>IFERROR(__xludf.DUMMYFUNCTION("IMPORTRANGE(""https://docs.google.com/spreadsheets/d/1Yj_ptqi66GCucihVvJfMjLAmec39IyEx_6qawtMGysU/edit?usp=sharing"",""สบก!AT51"")"),92000.0)</f>
        <v>92000</v>
      </c>
      <c r="O102" s="125">
        <f>IF(L102&gt;0,N102*100/L102,0)</f>
        <v>99.56709957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IFERROR(__xludf.DUMMYFUNCTION("IMPORTRANGE(""https://docs.google.com/spreadsheets/d/1XL5vhW3sbDhbH9Cz0tuDiY8C3ctxq1tqvaCgkFb8cCA/edit?usp=sharing"",""สกลนคร!J39"")"),0.0)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IFERROR(__xludf.DUMMYFUNCTION("IMPORTRANGE(""https://docs.google.com/spreadsheets/d/1XL5vhW3sbDhbH9Cz0tuDiY8C3ctxq1tqvaCgkFb8cCA/edit?usp=sharing"",""สกลนคร!J40"")"),1.0)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IFERROR(__xludf.DUMMYFUNCTION("IMPORTRANGE(""https://docs.google.com/spreadsheets/d/1XL5vhW3sbDhbH9Cz0tuDiY8C3ctxq1tqvaCgkFb8cCA/edit?usp=sharing"",""สกลนคร!J41"")"),1.0)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IFERROR(__xludf.DUMMYFUNCTION("IMPORTRANGE(""https://docs.google.com/spreadsheets/d/1XL5vhW3sbDhbH9Cz0tuDiY8C3ctxq1tqvaCgkFb8cCA/edit?usp=sharing"",""สกลนคร!J42"")"),1.0)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IFERROR(__xludf.DUMMYFUNCTION("IMPORTRANGE(""https://docs.google.com/spreadsheets/d/1XL5vhW3sbDhbH9Cz0tuDiY8C3ctxq1tqvaCgkFb8cCA/edit?usp=sharing"",""สกลนคร!I43"")"),1.0)</f>
        <v>1</v>
      </c>
      <c r="J108" s="238">
        <f>IFERROR(__xludf.DUMMYFUNCTION("IMPORTRANGE(""https://docs.google.com/spreadsheets/d/1XL5vhW3sbDhbH9Cz0tuDiY8C3ctxq1tqvaCgkFb8cCA/edit?usp=sharing"",""สกลนคร!J43"")"),1.0)</f>
        <v>1</v>
      </c>
      <c r="K108" s="258">
        <f t="shared" ref="K108:K113" si="58">IF(I108&gt;0,J108*100/I108,0)</f>
        <v>100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IFERROR(__xludf.DUMMYFUNCTION("IMPORTRANGE(""https://docs.google.com/spreadsheets/d/1XL5vhW3sbDhbH9Cz0tuDiY8C3ctxq1tqvaCgkFb8cCA/edit?usp=sharing"",""สกลนคร!I44"")"),4.0)</f>
        <v>4</v>
      </c>
      <c r="J109" s="238">
        <f>IFERROR(__xludf.DUMMYFUNCTION("IMPORTRANGE(""https://docs.google.com/spreadsheets/d/1XL5vhW3sbDhbH9Cz0tuDiY8C3ctxq1tqvaCgkFb8cCA/edit?usp=sharing"",""สกลนคร!J44"")"),4.0)</f>
        <v>4</v>
      </c>
      <c r="K109" s="258">
        <f t="shared" si="58"/>
        <v>100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IFERROR(__xludf.DUMMYFUNCTION("IMPORTRANGE(""https://docs.google.com/spreadsheets/d/1XL5vhW3sbDhbH9Cz0tuDiY8C3ctxq1tqvaCgkFb8cCA/edit?usp=sharing"",""สกลนคร!I45"")"),4.0)</f>
        <v>4</v>
      </c>
      <c r="J110" s="238">
        <f>IFERROR(__xludf.DUMMYFUNCTION("IMPORTRANGE(""https://docs.google.com/spreadsheets/d/1XL5vhW3sbDhbH9Cz0tuDiY8C3ctxq1tqvaCgkFb8cCA/edit?usp=sharing"",""สกลนคร!J45"")"),4.0)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IFERROR(__xludf.DUMMYFUNCTION("IMPORTRANGE(""https://docs.google.com/spreadsheets/d/1XL5vhW3sbDhbH9Cz0tuDiY8C3ctxq1tqvaCgkFb8cCA/edit?usp=sharing"",""สกลนคร!I46"")"),4.0)</f>
        <v>4</v>
      </c>
      <c r="J111" s="238">
        <f>IFERROR(__xludf.DUMMYFUNCTION("IMPORTRANGE(""https://docs.google.com/spreadsheets/d/1XL5vhW3sbDhbH9Cz0tuDiY8C3ctxq1tqvaCgkFb8cCA/edit?usp=sharing"",""สกลนคร!J46"")"),4.0)</f>
        <v>4</v>
      </c>
      <c r="K111" s="258">
        <f t="shared" si="58"/>
        <v>100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IFERROR(__xludf.DUMMYFUNCTION("IMPORTRANGE(""https://docs.google.com/spreadsheets/d/1XL5vhW3sbDhbH9Cz0tuDiY8C3ctxq1tqvaCgkFb8cCA/edit?usp=sharing"",""สกลนคร!I47"")"),4.0)</f>
        <v>4</v>
      </c>
      <c r="J112" s="238">
        <f>IFERROR(__xludf.DUMMYFUNCTION("IMPORTRANGE(""https://docs.google.com/spreadsheets/d/1XL5vhW3sbDhbH9Cz0tuDiY8C3ctxq1tqvaCgkFb8cCA/edit?usp=sharing"",""สกลนคร!J47"")"),0.0)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IFERROR(__xludf.DUMMYFUNCTION("IMPORTRANGE(""https://docs.google.com/spreadsheets/d/1XL5vhW3sbDhbH9Cz0tuDiY8C3ctxq1tqvaCgkFb8cCA/edit?usp=sharing"",""สกลนคร!I48"")"),1.0)</f>
        <v>1</v>
      </c>
      <c r="J113" s="238">
        <f>IFERROR(__xludf.DUMMYFUNCTION("IMPORTRANGE(""https://docs.google.com/spreadsheets/d/1XL5vhW3sbDhbH9Cz0tuDiY8C3ctxq1tqvaCgkFb8cCA/edit?usp=sharing"",""สกลนคร!J48"")"),1.0)</f>
        <v>1</v>
      </c>
      <c r="K113" s="258">
        <f t="shared" si="58"/>
        <v>100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IFERROR(__xludf.DUMMYFUNCTION("IMPORTRANGE(""https://docs.google.com/spreadsheets/d/1XL5vhW3sbDhbH9Cz0tuDiY8C3ctxq1tqvaCgkFb8cCA/edit?usp=sharing"",""สกลนคร!J49"")"),0.0)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IFERROR(__xludf.DUMMYFUNCTION("IMPORTRANGE(""https://docs.google.com/spreadsheets/d/1XL5vhW3sbDhbH9Cz0tuDiY8C3ctxq1tqvaCgkFb8cCA/edit?usp=sharing"",""สกลนคร!J50"")"),0.0)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IFERROR(__xludf.DUMMYFUNCTION("IMPORTRANGE(""https://docs.google.com/spreadsheets/d/1XL5vhW3sbDhbH9Cz0tuDiY8C3ctxq1tqvaCgkFb8cCA/edit?usp=sharing"",""สกลนคร!I52"")"),0.0)</f>
        <v>0</v>
      </c>
      <c r="J117" s="172">
        <f>IFERROR(__xludf.DUMMYFUNCTION("IMPORTRANGE(""https://docs.google.com/spreadsheets/d/1XL5vhW3sbDhbH9Cz0tuDiY8C3ctxq1tqvaCgkFb8cCA/edit?usp=sharing"",""สกลนคร!J52"")"),0.0)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IFERROR(__xludf.DUMMYFUNCTION("IMPORTRANGE(""https://docs.google.com/spreadsheets/d/1Yj_ptqi66GCucihVvJfMjLAmec39IyEx_6qawtMGysU/edit?usp=sharing"",""สบก!BA51"")"),0.0)</f>
        <v>0</v>
      </c>
      <c r="N122" s="202">
        <f>IFERROR(__xludf.DUMMYFUNCTION("IMPORTRANGE(""https://docs.google.com/spreadsheets/d/1Yj_ptqi66GCucihVvJfMjLAmec39IyEx_6qawtMGysU/edit?usp=sharing"",""สบก!BB51"")"),0.0)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IFERROR(__xludf.DUMMYFUNCTION("IMPORTRANGE(""https://docs.google.com/spreadsheets/d/1Yj_ptqi66GCucihVvJfMjLAmec39IyEx_6qawtMGysU/edit?usp=sharing"",""สบก!AW51"")"),0.0)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IFERROR(__xludf.DUMMYFUNCTION("IMPORTRANGE(""https://docs.google.com/spreadsheets/d/1Yj_ptqi66GCucihVvJfMjLAmec39IyEx_6qawtMGysU/edit?usp=sharing"",""สบก!AX51"")"),0.0)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IFERROR(__xludf.DUMMYFUNCTION("IMPORTRANGE(""https://docs.google.com/spreadsheets/d/1Yj_ptqi66GCucihVvJfMjLAmec39IyEx_6qawtMGysU/edit?usp=sharing"",""สบก!AY51"")"),0.0)</f>
        <v>0</v>
      </c>
      <c r="M126" s="125"/>
      <c r="N126" s="115">
        <f>IFERROR(__xludf.DUMMYFUNCTION("IMPORTRANGE(""https://docs.google.com/spreadsheets/d/1Yj_ptqi66GCucihVvJfMjLAmec39IyEx_6qawtMGysU/edit?usp=sharing"",""สบก!BC51"")"),0.0)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IFERROR(__xludf.DUMMYFUNCTION("IMPORTRANGE(""https://docs.google.com/spreadsheets/d/1XL5vhW3sbDhbH9Cz0tuDiY8C3ctxq1tqvaCgkFb8cCA/edit?usp=sharing"",""สกลนคร!J58"")"),0.0)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IFERROR(__xludf.DUMMYFUNCTION("IMPORTRANGE(""https://docs.google.com/spreadsheets/d/1XL5vhW3sbDhbH9Cz0tuDiY8C3ctxq1tqvaCgkFb8cCA/edit?usp=sharing"",""สกลนคร!J59"")"),0.0)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IFERROR(__xludf.DUMMYFUNCTION("IMPORTRANGE(""https://docs.google.com/spreadsheets/d/1XL5vhW3sbDhbH9Cz0tuDiY8C3ctxq1tqvaCgkFb8cCA/edit?usp=sharing"",""สกลนคร!J60"")"),0.0)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IFERROR(__xludf.DUMMYFUNCTION("IMPORTRANGE(""https://docs.google.com/spreadsheets/d/1XL5vhW3sbDhbH9Cz0tuDiY8C3ctxq1tqvaCgkFb8cCA/edit?usp=sharing"",""สกลนคร!J61"")"),0.0)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IFERROR(__xludf.DUMMYFUNCTION("IMPORTRANGE(""https://docs.google.com/spreadsheets/d/1XL5vhW3sbDhbH9Cz0tuDiY8C3ctxq1tqvaCgkFb8cCA/edit?usp=sharing"",""สกลนคร!I62"")"),0.0)</f>
        <v>0</v>
      </c>
      <c r="J132" s="238">
        <f>IFERROR(__xludf.DUMMYFUNCTION("IMPORTRANGE(""https://docs.google.com/spreadsheets/d/1XL5vhW3sbDhbH9Cz0tuDiY8C3ctxq1tqvaCgkFb8cCA/edit?usp=sharing"",""สกลนคร!J62"")"),0.0)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IFERROR(__xludf.DUMMYFUNCTION("IMPORTRANGE(""https://docs.google.com/spreadsheets/d/1XL5vhW3sbDhbH9Cz0tuDiY8C3ctxq1tqvaCgkFb8cCA/edit?usp=sharing"",""สกลนคร!I63"")"),0.0)</f>
        <v>0</v>
      </c>
      <c r="J133" s="238">
        <f>IFERROR(__xludf.DUMMYFUNCTION("IMPORTRANGE(""https://docs.google.com/spreadsheets/d/1XL5vhW3sbDhbH9Cz0tuDiY8C3ctxq1tqvaCgkFb8cCA/edit?usp=sharing"",""สกลนคร!J63"")"),0.0)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IFERROR(__xludf.DUMMYFUNCTION("IMPORTRANGE(""https://docs.google.com/spreadsheets/d/1XL5vhW3sbDhbH9Cz0tuDiY8C3ctxq1tqvaCgkFb8cCA/edit?usp=sharing"",""สกลนคร!J64"")"),0.0)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IFERROR(__xludf.DUMMYFUNCTION("IMPORTRANGE(""https://docs.google.com/spreadsheets/d/1XL5vhW3sbDhbH9Cz0tuDiY8C3ctxq1tqvaCgkFb8cCA/edit?usp=sharing"",""สกลนคร!J65"")"),0.0)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IFERROR(__xludf.DUMMYFUNCTION("IMPORTRANGE(""https://docs.google.com/spreadsheets/d/1XL5vhW3sbDhbH9Cz0tuDiY8C3ctxq1tqvaCgkFb8cCA/edit?usp=sharing"",""สกลนคร!I68"")"),50.0)</f>
        <v>50</v>
      </c>
      <c r="J138" s="301">
        <f>IFERROR(__xludf.DUMMYFUNCTION("IMPORTRANGE(""https://docs.google.com/spreadsheets/d/1XL5vhW3sbDhbH9Cz0tuDiY8C3ctxq1tqvaCgkFb8cCA/edit?usp=sharing"",""สกลนคร!J68"")"),30.0)</f>
        <v>30</v>
      </c>
      <c r="K138" s="302">
        <f>IF(I138&gt;0,J138*100/I138,0)</f>
        <v>60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619500</v>
      </c>
      <c r="M140" s="183">
        <f t="shared" si="65"/>
        <v>356150</v>
      </c>
      <c r="N140" s="183">
        <f t="shared" si="65"/>
        <v>187426</v>
      </c>
      <c r="O140" s="182">
        <f t="shared" ref="O140:O142" si="67">IF(L140&gt;0,N140*100/L140,0)</f>
        <v>30.25439871</v>
      </c>
      <c r="P140" s="182">
        <f t="shared" ref="P140:P142" si="68">IF(M140&gt;0,N140*100/M140,0)</f>
        <v>52.62557911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619500</v>
      </c>
      <c r="M142" s="188">
        <f t="shared" si="69"/>
        <v>356150</v>
      </c>
      <c r="N142" s="188">
        <f t="shared" si="69"/>
        <v>187426</v>
      </c>
      <c r="O142" s="187">
        <f t="shared" si="67"/>
        <v>30.25439871</v>
      </c>
      <c r="P142" s="187">
        <f t="shared" si="68"/>
        <v>52.62557911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619500</v>
      </c>
      <c r="M144" s="201">
        <f>IFERROR(__xludf.DUMMYFUNCTION("IMPORTRANGE(""https://docs.google.com/spreadsheets/d/1Yj_ptqi66GCucihVvJfMjLAmec39IyEx_6qawtMGysU/edit?usp=sharing"",""สบก!BJ51"")"),356150.0)</f>
        <v>356150</v>
      </c>
      <c r="N144" s="202">
        <f>IFERROR(__xludf.DUMMYFUNCTION("IMPORTRANGE(""https://docs.google.com/spreadsheets/d/1Yj_ptqi66GCucihVvJfMjLAmec39IyEx_6qawtMGysU/edit?usp=sharing"",""สบก!BK51"")"),187426.0)</f>
        <v>187426</v>
      </c>
      <c r="O144" s="203">
        <f>IF(L144&gt;0,N144*100/L144,0)</f>
        <v>30.25439871</v>
      </c>
      <c r="P144" s="203">
        <f>IF(M144&gt;0,N144*100/M144,0)</f>
        <v>52.62557911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IFERROR(__xludf.DUMMYFUNCTION("IMPORTRANGE(""https://docs.google.com/spreadsheets/d/1Yj_ptqi66GCucihVvJfMjLAmec39IyEx_6qawtMGysU/edit?usp=sharing"",""สบก!BF51"")"),264000.0)</f>
        <v>264000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IFERROR(__xludf.DUMMYFUNCTION("IMPORTRANGE(""https://docs.google.com/spreadsheets/d/1Yj_ptqi66GCucihVvJfMjLAmec39IyEx_6qawtMGysU/edit?usp=sharing"",""สบก!BG51"")"),355500.0)</f>
        <v>355500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IFERROR(__xludf.DUMMYFUNCTION("IMPORTRANGE(""https://docs.google.com/spreadsheets/d/1Yj_ptqi66GCucihVvJfMjLAmec39IyEx_6qawtMGysU/edit?usp=sharing"",""สบก!BH51"")"),0.0)</f>
        <v>0</v>
      </c>
      <c r="M148" s="125"/>
      <c r="N148" s="115">
        <f>IFERROR(__xludf.DUMMYFUNCTION("IMPORTRANGE(""https://docs.google.com/spreadsheets/d/1Yj_ptqi66GCucihVvJfMjLAmec39IyEx_6qawtMGysU/edit?usp=sharing"",""สบก!BL51"")"),0.0)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IFERROR(__xludf.DUMMYFUNCTION("IMPORTRANGE(""https://docs.google.com/spreadsheets/d/1XL5vhW3sbDhbH9Cz0tuDiY8C3ctxq1tqvaCgkFb8cCA/edit?usp=sharing"",""สกลนคร!I74"")"),4.0)</f>
        <v>4</v>
      </c>
      <c r="J149" s="309">
        <f>IFERROR(__xludf.DUMMYFUNCTION("IMPORTRANGE(""https://docs.google.com/spreadsheets/d/1XL5vhW3sbDhbH9Cz0tuDiY8C3ctxq1tqvaCgkFb8cCA/edit?usp=sharing"",""สกลนคร!J74"")"),1.0)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IFERROR(__xludf.DUMMYFUNCTION("IMPORTRANGE(""https://docs.google.com/spreadsheets/d/1XL5vhW3sbDhbH9Cz0tuDiY8C3ctxq1tqvaCgkFb8cCA/edit?usp=sharing"",""สกลนคร!J79"")"),0.0)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IFERROR(__xludf.DUMMYFUNCTION("IMPORTRANGE(""https://docs.google.com/spreadsheets/d/1XL5vhW3sbDhbH9Cz0tuDiY8C3ctxq1tqvaCgkFb8cCA/edit?usp=sharing"",""สกลนคร!J80"")"),1.0)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IFERROR(__xludf.DUMMYFUNCTION("IMPORTRANGE(""https://docs.google.com/spreadsheets/d/1XL5vhW3sbDhbH9Cz0tuDiY8C3ctxq1tqvaCgkFb8cCA/edit?usp=sharing"",""สกลนคร!J81"")"),1.0)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IFERROR(__xludf.DUMMYFUNCTION("IMPORTRANGE(""https://docs.google.com/spreadsheets/d/1XL5vhW3sbDhbH9Cz0tuDiY8C3ctxq1tqvaCgkFb8cCA/edit?usp=sharing"",""สกลนคร!J82"")"),1.0)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IFERROR(__xludf.DUMMYFUNCTION("IMPORTRANGE(""https://docs.google.com/spreadsheets/d/1XL5vhW3sbDhbH9Cz0tuDiY8C3ctxq1tqvaCgkFb8cCA/edit?usp=sharing"",""สกลนคร!I83"")"),4.0)</f>
        <v>4</v>
      </c>
      <c r="J158" s="223">
        <f>IFERROR(__xludf.DUMMYFUNCTION("IMPORTRANGE(""https://docs.google.com/spreadsheets/d/1XL5vhW3sbDhbH9Cz0tuDiY8C3ctxq1tqvaCgkFb8cCA/edit?usp=sharing"",""สกลนคร!J83"")"),1.0)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IFERROR(__xludf.DUMMYFUNCTION("IMPORTRANGE(""https://docs.google.com/spreadsheets/d/1XL5vhW3sbDhbH9Cz0tuDiY8C3ctxq1tqvaCgkFb8cCA/edit?usp=sharing"",""สกลนคร!J84"")"),150.0)</f>
        <v>150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IFERROR(__xludf.DUMMYFUNCTION("IMPORTRANGE(""https://docs.google.com/spreadsheets/d/1XL5vhW3sbDhbH9Cz0tuDiY8C3ctxq1tqvaCgkFb8cCA/edit?usp=sharing"",""สกลนคร!J85"")"),150.0)</f>
        <v>150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IFERROR(__xludf.DUMMYFUNCTION("IMPORTRANGE(""https://docs.google.com/spreadsheets/d/1XL5vhW3sbDhbH9Cz0tuDiY8C3ctxq1tqvaCgkFb8cCA/edit?usp=sharing"",""สกลนคร!J86"")"),0.0)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IFERROR(__xludf.DUMMYFUNCTION("IMPORTRANGE(""https://docs.google.com/spreadsheets/d/1XL5vhW3sbDhbH9Cz0tuDiY8C3ctxq1tqvaCgkFb8cCA/edit?usp=sharing"",""สกลนคร!J87"")"),0.0)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IFERROR(__xludf.DUMMYFUNCTION("IMPORTRANGE(""https://docs.google.com/spreadsheets/d/1XL5vhW3sbDhbH9Cz0tuDiY8C3ctxq1tqvaCgkFb8cCA/edit?usp=sharing"",""สกลนคร!J88"")"),0.0)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IFERROR(__xludf.DUMMYFUNCTION("IMPORTRANGE(""https://docs.google.com/spreadsheets/d/1XL5vhW3sbDhbH9Cz0tuDiY8C3ctxq1tqvaCgkFb8cCA/edit?usp=sharing"",""สกลนคร!I89"")"),3.0)</f>
        <v>3</v>
      </c>
      <c r="J164" s="317">
        <f>IFERROR(__xludf.DUMMYFUNCTION("IMPORTRANGE(""https://docs.google.com/spreadsheets/d/1XL5vhW3sbDhbH9Cz0tuDiY8C3ctxq1tqvaCgkFb8cCA/edit?usp=sharing"",""สกลนคร!J89"")"),0.0)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IFERROR(__xludf.DUMMYFUNCTION("IMPORTRANGE(""https://docs.google.com/spreadsheets/d/1XL5vhW3sbDhbH9Cz0tuDiY8C3ctxq1tqvaCgkFb8cCA/edit?usp=sharing"",""สกลนคร!J94"")"),0.0)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IFERROR(__xludf.DUMMYFUNCTION("IMPORTRANGE(""https://docs.google.com/spreadsheets/d/1XL5vhW3sbDhbH9Cz0tuDiY8C3ctxq1tqvaCgkFb8cCA/edit?usp=sharing"",""สกลนคร!J95"")"),1.0)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IFERROR(__xludf.DUMMYFUNCTION("IMPORTRANGE(""https://docs.google.com/spreadsheets/d/1XL5vhW3sbDhbH9Cz0tuDiY8C3ctxq1tqvaCgkFb8cCA/edit?usp=sharing"",""สกลนคร!J96"")"),1.0)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IFERROR(__xludf.DUMMYFUNCTION("IMPORTRANGE(""https://docs.google.com/spreadsheets/d/1XL5vhW3sbDhbH9Cz0tuDiY8C3ctxq1tqvaCgkFb8cCA/edit?usp=sharing"",""สกลนคร!J97"")"),1.0)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IFERROR(__xludf.DUMMYFUNCTION("IMPORTRANGE(""https://docs.google.com/spreadsheets/d/1XL5vhW3sbDhbH9Cz0tuDiY8C3ctxq1tqvaCgkFb8cCA/edit?usp=sharing"",""สกลนคร!I98"")"),3.0)</f>
        <v>3</v>
      </c>
      <c r="J173" s="223">
        <f>IFERROR(__xludf.DUMMYFUNCTION("IMPORTRANGE(""https://docs.google.com/spreadsheets/d/1XL5vhW3sbDhbH9Cz0tuDiY8C3ctxq1tqvaCgkFb8cCA/edit?usp=sharing"",""สกลนคร!J98"")"),0.0)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IFERROR(__xludf.DUMMYFUNCTION("IMPORTRANGE(""https://docs.google.com/spreadsheets/d/1XL5vhW3sbDhbH9Cz0tuDiY8C3ctxq1tqvaCgkFb8cCA/edit?usp=sharing"",""สกลนคร!J99"")"),0.0)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IFERROR(__xludf.DUMMYFUNCTION("IMPORTRANGE(""https://docs.google.com/spreadsheets/d/1XL5vhW3sbDhbH9Cz0tuDiY8C3ctxq1tqvaCgkFb8cCA/edit?usp=sharing"",""สกลนคร!J100"")"),0.0)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IFERROR(__xludf.DUMMYFUNCTION("IMPORTRANGE(""https://docs.google.com/spreadsheets/d/1XL5vhW3sbDhbH9Cz0tuDiY8C3ctxq1tqvaCgkFb8cCA/edit?usp=sharing"",""สกลนคร!I101"")"),0.0)</f>
        <v>0</v>
      </c>
      <c r="J176" s="317">
        <f>IFERROR(__xludf.DUMMYFUNCTION("IMPORTRANGE(""https://docs.google.com/spreadsheets/d/1XL5vhW3sbDhbH9Cz0tuDiY8C3ctxq1tqvaCgkFb8cCA/edit?usp=sharing"",""สกลนคร!J101"")"),0.0)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IFERROR(__xludf.DUMMYFUNCTION("IMPORTRANGE(""https://docs.google.com/spreadsheets/d/1XL5vhW3sbDhbH9Cz0tuDiY8C3ctxq1tqvaCgkFb8cCA/edit?usp=sharing"",""สกลนคร!J106"")"),0.0)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IFERROR(__xludf.DUMMYFUNCTION("IMPORTRANGE(""https://docs.google.com/spreadsheets/d/1XL5vhW3sbDhbH9Cz0tuDiY8C3ctxq1tqvaCgkFb8cCA/edit?usp=sharing"",""สกลนคร!J107"")"),0.0)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IFERROR(__xludf.DUMMYFUNCTION("IMPORTRANGE(""https://docs.google.com/spreadsheets/d/1XL5vhW3sbDhbH9Cz0tuDiY8C3ctxq1tqvaCgkFb8cCA/edit?usp=sharing"",""สกลนคร!J108"")"),0.0)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IFERROR(__xludf.DUMMYFUNCTION("IMPORTRANGE(""https://docs.google.com/spreadsheets/d/1XL5vhW3sbDhbH9Cz0tuDiY8C3ctxq1tqvaCgkFb8cCA/edit?usp=sharing"",""สกลนคร!J109"")"),0.0)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IFERROR(__xludf.DUMMYFUNCTION("IMPORTRANGE(""https://docs.google.com/spreadsheets/d/1XL5vhW3sbDhbH9Cz0tuDiY8C3ctxq1tqvaCgkFb8cCA/edit?usp=sharing"",""สกลนคร!I110"")"),0.0)</f>
        <v>0</v>
      </c>
      <c r="J185" s="238">
        <f>IFERROR(__xludf.DUMMYFUNCTION("IMPORTRANGE(""https://docs.google.com/spreadsheets/d/1XL5vhW3sbDhbH9Cz0tuDiY8C3ctxq1tqvaCgkFb8cCA/edit?usp=sharing"",""สกลนคร!J110"")"),0.0)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IFERROR(__xludf.DUMMYFUNCTION("IMPORTRANGE(""https://docs.google.com/spreadsheets/d/1XL5vhW3sbDhbH9Cz0tuDiY8C3ctxq1tqvaCgkFb8cCA/edit?usp=sharing"",""สกลนคร!I111"")"),0.0)</f>
        <v>0</v>
      </c>
      <c r="J186" s="238">
        <f>IFERROR(__xludf.DUMMYFUNCTION("IMPORTRANGE(""https://docs.google.com/spreadsheets/d/1XL5vhW3sbDhbH9Cz0tuDiY8C3ctxq1tqvaCgkFb8cCA/edit?usp=sharing"",""สกลนคร!J111"")"),0.0)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IFERROR(__xludf.DUMMYFUNCTION("IMPORTRANGE(""https://docs.google.com/spreadsheets/d/1XL5vhW3sbDhbH9Cz0tuDiY8C3ctxq1tqvaCgkFb8cCA/edit?usp=sharing"",""สกลนคร!J112"")"),0.0)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IFERROR(__xludf.DUMMYFUNCTION("IMPORTRANGE(""https://docs.google.com/spreadsheets/d/1XL5vhW3sbDhbH9Cz0tuDiY8C3ctxq1tqvaCgkFb8cCA/edit?usp=sharing"",""สกลนคร!J113"")"),0.0)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IFERROR(__xludf.DUMMYFUNCTION("IMPORTRANGE(""https://docs.google.com/spreadsheets/d/1XL5vhW3sbDhbH9Cz0tuDiY8C3ctxq1tqvaCgkFb8cCA/edit?usp=sharing"",""สกลนคร!I114"")"),12800.0)</f>
        <v>12800</v>
      </c>
      <c r="J189" s="317">
        <f>IFERROR(__xludf.DUMMYFUNCTION("IMPORTRANGE(""https://docs.google.com/spreadsheets/d/1XL5vhW3sbDhbH9Cz0tuDiY8C3ctxq1tqvaCgkFb8cCA/edit?usp=sharing"",""สกลนคร!J114"")"),0.0)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IFERROR(__xludf.DUMMYFUNCTION("IMPORTRANGE(""https://docs.google.com/spreadsheets/d/1XL5vhW3sbDhbH9Cz0tuDiY8C3ctxq1tqvaCgkFb8cCA/edit?usp=sharing"",""สกลนคร!J119"")"),1.0)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IFERROR(__xludf.DUMMYFUNCTION("IMPORTRANGE(""https://docs.google.com/spreadsheets/d/1XL5vhW3sbDhbH9Cz0tuDiY8C3ctxq1tqvaCgkFb8cCA/edit?usp=sharing"",""สกลนคร!J120"")"),0.0)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IFERROR(__xludf.DUMMYFUNCTION("IMPORTRANGE(""https://docs.google.com/spreadsheets/d/1XL5vhW3sbDhbH9Cz0tuDiY8C3ctxq1tqvaCgkFb8cCA/edit?usp=sharing"",""สกลนคร!J121"")"),1.0)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IFERROR(__xludf.DUMMYFUNCTION("IMPORTRANGE(""https://docs.google.com/spreadsheets/d/1XL5vhW3sbDhbH9Cz0tuDiY8C3ctxq1tqvaCgkFb8cCA/edit?usp=sharing"",""สกลนคร!J122"")"),1.0)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IFERROR(__xludf.DUMMYFUNCTION("IMPORTRANGE(""https://docs.google.com/spreadsheets/d/1XL5vhW3sbDhbH9Cz0tuDiY8C3ctxq1tqvaCgkFb8cCA/edit?usp=sharing"",""สกลนคร!I124"")"),12800.0)</f>
        <v>12800</v>
      </c>
      <c r="J199" s="223">
        <f>IFERROR(__xludf.DUMMYFUNCTION("IMPORTRANGE(""https://docs.google.com/spreadsheets/d/1XL5vhW3sbDhbH9Cz0tuDiY8C3ctxq1tqvaCgkFb8cCA/edit?usp=sharing"",""สกลนคร!J124"")"),12800.0)</f>
        <v>12800</v>
      </c>
      <c r="K199" s="196">
        <f t="shared" ref="K199:K201" si="71">IF(I199&gt;0,J199*100/I199,0)</f>
        <v>100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IFERROR(__xludf.DUMMYFUNCTION("IMPORTRANGE(""https://docs.google.com/spreadsheets/d/1XL5vhW3sbDhbH9Cz0tuDiY8C3ctxq1tqvaCgkFb8cCA/edit?usp=sharing"",""สกลนคร!I125"")"),12800.0)</f>
        <v>12800</v>
      </c>
      <c r="J200" s="223">
        <f>IFERROR(__xludf.DUMMYFUNCTION("IMPORTRANGE(""https://docs.google.com/spreadsheets/d/1XL5vhW3sbDhbH9Cz0tuDiY8C3ctxq1tqvaCgkFb8cCA/edit?usp=sharing"",""สกลนคร!J125"")"),0.0)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IFERROR(__xludf.DUMMYFUNCTION("IMPORTRANGE(""https://docs.google.com/spreadsheets/d/1XL5vhW3sbDhbH9Cz0tuDiY8C3ctxq1tqvaCgkFb8cCA/edit?usp=sharing"",""สกลนคร!I126"")"),0.0)</f>
        <v>0</v>
      </c>
      <c r="J201" s="223">
        <f>IFERROR(__xludf.DUMMYFUNCTION("IMPORTRANGE(""https://docs.google.com/spreadsheets/d/1XL5vhW3sbDhbH9Cz0tuDiY8C3ctxq1tqvaCgkFb8cCA/edit?usp=sharing"",""สกลนคร!J126"")"),0.0)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IFERROR(__xludf.DUMMYFUNCTION("IMPORTRANGE(""https://docs.google.com/spreadsheets/d/1XL5vhW3sbDhbH9Cz0tuDiY8C3ctxq1tqvaCgkFb8cCA/edit?usp=sharing"",""สกลนคร!J127"")"),0.0)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IFERROR(__xludf.DUMMYFUNCTION("IMPORTRANGE(""https://docs.google.com/spreadsheets/d/1XL5vhW3sbDhbH9Cz0tuDiY8C3ctxq1tqvaCgkFb8cCA/edit?usp=sharing"",""สกลนคร!J128"")"),0.0)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IFERROR(__xludf.DUMMYFUNCTION("IMPORTRANGE(""https://docs.google.com/spreadsheets/d/1XL5vhW3sbDhbH9Cz0tuDiY8C3ctxq1tqvaCgkFb8cCA/edit?usp=sharing"",""สกลนคร!I129"")"),50.0)</f>
        <v>50</v>
      </c>
      <c r="J204" s="317">
        <f>IFERROR(__xludf.DUMMYFUNCTION("IMPORTRANGE(""https://docs.google.com/spreadsheets/d/1XL5vhW3sbDhbH9Cz0tuDiY8C3ctxq1tqvaCgkFb8cCA/edit?usp=sharing"",""สกลนคร!J129"")"),30.0)</f>
        <v>30</v>
      </c>
      <c r="K204" s="318">
        <f>IF(I204&gt;0,J204*100/I204,0)</f>
        <v>60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IFERROR(__xludf.DUMMYFUNCTION("IMPORTRANGE(""https://docs.google.com/spreadsheets/d/1XL5vhW3sbDhbH9Cz0tuDiY8C3ctxq1tqvaCgkFb8cCA/edit?usp=sharing"",""สกลนคร!J134"")"),0.0)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IFERROR(__xludf.DUMMYFUNCTION("IMPORTRANGE(""https://docs.google.com/spreadsheets/d/1XL5vhW3sbDhbH9Cz0tuDiY8C3ctxq1tqvaCgkFb8cCA/edit?usp=sharing"",""สกลนคร!J135"")"),1.0)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IFERROR(__xludf.DUMMYFUNCTION("IMPORTRANGE(""https://docs.google.com/spreadsheets/d/1XL5vhW3sbDhbH9Cz0tuDiY8C3ctxq1tqvaCgkFb8cCA/edit?usp=sharing"",""สกลนคร!J136"")"),1.0)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IFERROR(__xludf.DUMMYFUNCTION("IMPORTRANGE(""https://docs.google.com/spreadsheets/d/1XL5vhW3sbDhbH9Cz0tuDiY8C3ctxq1tqvaCgkFb8cCA/edit?usp=sharing"",""สกลนคร!J137"")"),1.0)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IFERROR(__xludf.DUMMYFUNCTION("IMPORTRANGE(""https://docs.google.com/spreadsheets/d/1XL5vhW3sbDhbH9Cz0tuDiY8C3ctxq1tqvaCgkFb8cCA/edit?usp=sharing"",""สกลนคร!I138"")"),50.0)</f>
        <v>50</v>
      </c>
      <c r="J213" s="238">
        <f>IFERROR(__xludf.DUMMYFUNCTION("IMPORTRANGE(""https://docs.google.com/spreadsheets/d/1XL5vhW3sbDhbH9Cz0tuDiY8C3ctxq1tqvaCgkFb8cCA/edit?usp=sharing"",""สกลนคร!J138"")"),30.0)</f>
        <v>30</v>
      </c>
      <c r="K213" s="258">
        <f>IF(I213&gt;0,J213*100/I213,0)</f>
        <v>60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IFERROR(__xludf.DUMMYFUNCTION("IMPORTRANGE(""https://docs.google.com/spreadsheets/d/1XL5vhW3sbDhbH9Cz0tuDiY8C3ctxq1tqvaCgkFb8cCA/edit?usp=sharing"",""สกลนคร!I140"")"),50.0)</f>
        <v>50</v>
      </c>
      <c r="J215" s="238">
        <f>IFERROR(__xludf.DUMMYFUNCTION("IMPORTRANGE(""https://docs.google.com/spreadsheets/d/1XL5vhW3sbDhbH9Cz0tuDiY8C3ctxq1tqvaCgkFb8cCA/edit?usp=sharing"",""สกลนคร!J140"")"),0.0)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IFERROR(__xludf.DUMMYFUNCTION("IMPORTRANGE(""https://docs.google.com/spreadsheets/d/1XL5vhW3sbDhbH9Cz0tuDiY8C3ctxq1tqvaCgkFb8cCA/edit?usp=sharing"",""สกลนคร!I141"")"),1.0)</f>
        <v>1</v>
      </c>
      <c r="J216" s="238">
        <f>IFERROR(__xludf.DUMMYFUNCTION("IMPORTRANGE(""https://docs.google.com/spreadsheets/d/1XL5vhW3sbDhbH9Cz0tuDiY8C3ctxq1tqvaCgkFb8cCA/edit?usp=sharing"",""สกลนคร!J141"")"),0.0)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IFERROR(__xludf.DUMMYFUNCTION("IMPORTRANGE(""https://docs.google.com/spreadsheets/d/1XL5vhW3sbDhbH9Cz0tuDiY8C3ctxq1tqvaCgkFb8cCA/edit?usp=sharing"",""สกลนคร!J142"")"),0.0)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IFERROR(__xludf.DUMMYFUNCTION("IMPORTRANGE(""https://docs.google.com/spreadsheets/d/1XL5vhW3sbDhbH9Cz0tuDiY8C3ctxq1tqvaCgkFb8cCA/edit?usp=sharing"",""สกลนคร!J143"")"),0.0)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IFERROR(__xludf.DUMMYFUNCTION("IMPORTRANGE(""https://docs.google.com/spreadsheets/d/1XL5vhW3sbDhbH9Cz0tuDiY8C3ctxq1tqvaCgkFb8cCA/edit?usp=sharing"",""สกลนคร!I144"")"),14.0)</f>
        <v>14</v>
      </c>
      <c r="J219" s="301">
        <f>IFERROR(__xludf.DUMMYFUNCTION("IMPORTRANGE(""https://docs.google.com/spreadsheets/d/1XL5vhW3sbDhbH9Cz0tuDiY8C3ctxq1tqvaCgkFb8cCA/edit?usp=sharing"",""สกลนคร!J144"")"),14.0)</f>
        <v>14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20210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20210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IFERROR(__xludf.DUMMYFUNCTION("IMPORTRANGE(""https://docs.google.com/spreadsheets/d/1Yj_ptqi66GCucihVvJfMjLAmec39IyEx_6qawtMGysU/edit?usp=sharing"",""สบก!BS51"")"),20210.0)</f>
        <v>20210</v>
      </c>
      <c r="N224" s="202">
        <f>IFERROR(__xludf.DUMMYFUNCTION("IMPORTRANGE(""https://docs.google.com/spreadsheets/d/1Yj_ptqi66GCucihVvJfMjLAmec39IyEx_6qawtMGysU/edit?usp=sharing"",""สบก!BT51"")"),20210.0)</f>
        <v>20210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IFERROR(__xludf.DUMMYFUNCTION("IMPORTRANGE(""https://docs.google.com/spreadsheets/d/1Yj_ptqi66GCucihVvJfMjLAmec39IyEx_6qawtMGysU/edit?usp=sharing"",""สบก!BO51"")"),0.0)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IFERROR(__xludf.DUMMYFUNCTION("IMPORTRANGE(""https://docs.google.com/spreadsheets/d/1Yj_ptqi66GCucihVvJfMjLAmec39IyEx_6qawtMGysU/edit?usp=sharing"",""สบก!BP51"")"),20210.0)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IFERROR(__xludf.DUMMYFUNCTION("IMPORTRANGE(""https://docs.google.com/spreadsheets/d/1Yj_ptqi66GCucihVvJfMjLAmec39IyEx_6qawtMGysU/edit?usp=sharing"",""สบก!BQ51"")"),0.0)</f>
        <v>0</v>
      </c>
      <c r="M228" s="125"/>
      <c r="N228" s="115">
        <f>IFERROR(__xludf.DUMMYFUNCTION("IMPORTRANGE(""https://docs.google.com/spreadsheets/d/1Yj_ptqi66GCucihVvJfMjLAmec39IyEx_6qawtMGysU/edit?usp=sharing"",""สบก!BU51"")"),0.0)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IFERROR(__xludf.DUMMYFUNCTION("IMPORTRANGE(""https://docs.google.com/spreadsheets/d/1XL5vhW3sbDhbH9Cz0tuDiY8C3ctxq1tqvaCgkFb8cCA/edit?usp=sharing"",""สกลนคร!I149"")"),14.0)</f>
        <v>14</v>
      </c>
      <c r="J229" s="301">
        <f>IFERROR(__xludf.DUMMYFUNCTION("IMPORTRANGE(""https://docs.google.com/spreadsheets/d/1XL5vhW3sbDhbH9Cz0tuDiY8C3ctxq1tqvaCgkFb8cCA/edit?usp=sharing"",""สกลนคร!J149"")"),14.0)</f>
        <v>14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IFERROR(__xludf.DUMMYFUNCTION("IMPORTRANGE(""https://docs.google.com/spreadsheets/d/1XL5vhW3sbDhbH9Cz0tuDiY8C3ctxq1tqvaCgkFb8cCA/edit?usp=sharing"",""สกลนคร!J151"")"),0.0)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IFERROR(__xludf.DUMMYFUNCTION("IMPORTRANGE(""https://docs.google.com/spreadsheets/d/1XL5vhW3sbDhbH9Cz0tuDiY8C3ctxq1tqvaCgkFb8cCA/edit?usp=sharing"",""สกลนคร!J152"")"),1.0)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IFERROR(__xludf.DUMMYFUNCTION("IMPORTRANGE(""https://docs.google.com/spreadsheets/d/1XL5vhW3sbDhbH9Cz0tuDiY8C3ctxq1tqvaCgkFb8cCA/edit?usp=sharing"",""สกลนคร!J153"")"),1.0)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IFERROR(__xludf.DUMMYFUNCTION("IMPORTRANGE(""https://docs.google.com/spreadsheets/d/1XL5vhW3sbDhbH9Cz0tuDiY8C3ctxq1tqvaCgkFb8cCA/edit?usp=sharing"",""สกลนคร!J154"")"),1.0)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IFERROR(__xludf.DUMMYFUNCTION("IMPORTRANGE(""https://docs.google.com/spreadsheets/d/1XL5vhW3sbDhbH9Cz0tuDiY8C3ctxq1tqvaCgkFb8cCA/edit?usp=sharing"",""สกลนคร!I155"")"),14.0)</f>
        <v>14</v>
      </c>
      <c r="J235" s="223">
        <f>IFERROR(__xludf.DUMMYFUNCTION("IMPORTRANGE(""https://docs.google.com/spreadsheets/d/1XL5vhW3sbDhbH9Cz0tuDiY8C3ctxq1tqvaCgkFb8cCA/edit?usp=sharing"",""สกลนคร!J155"")"),14.0)</f>
        <v>14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IFERROR(__xludf.DUMMYFUNCTION("IMPORTRANGE(""https://docs.google.com/spreadsheets/d/1XL5vhW3sbDhbH9Cz0tuDiY8C3ctxq1tqvaCgkFb8cCA/edit?usp=sharing"",""สกลนคร!J156"")"),0.0)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IFERROR(__xludf.DUMMYFUNCTION("IMPORTRANGE(""https://docs.google.com/spreadsheets/d/1XL5vhW3sbDhbH9Cz0tuDiY8C3ctxq1tqvaCgkFb8cCA/edit?usp=sharing"",""สกลนคร!J157"")"),0.0)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IFERROR(__xludf.DUMMYFUNCTION("IMPORTRANGE(""https://docs.google.com/spreadsheets/d/1XL5vhW3sbDhbH9Cz0tuDiY8C3ctxq1tqvaCgkFb8cCA/edit?usp=sharing"",""สกลนคร!I158"")"),0.0)</f>
        <v>0</v>
      </c>
      <c r="J238" s="301">
        <f>IFERROR(__xludf.DUMMYFUNCTION("IMPORTRANGE(""https://docs.google.com/spreadsheets/d/1XL5vhW3sbDhbH9Cz0tuDiY8C3ctxq1tqvaCgkFb8cCA/edit?usp=sharing"",""สกลนคร!J158"")"),0.0)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IFERROR(__xludf.DUMMYFUNCTION("IMPORTRANGE(""https://docs.google.com/spreadsheets/d/1XL5vhW3sbDhbH9Cz0tuDiY8C3ctxq1tqvaCgkFb8cCA/edit?usp=sharing"",""สกลนคร!J159"")"),"")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IFERROR(__xludf.DUMMYFUNCTION("IMPORTRANGE(""https://docs.google.com/spreadsheets/d/1XL5vhW3sbDhbH9Cz0tuDiY8C3ctxq1tqvaCgkFb8cCA/edit?usp=sharing"",""สกลนคร!J161"")"),0.0)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IFERROR(__xludf.DUMMYFUNCTION("IMPORTRANGE(""https://docs.google.com/spreadsheets/d/1XL5vhW3sbDhbH9Cz0tuDiY8C3ctxq1tqvaCgkFb8cCA/edit?usp=sharing"",""สกลนคร!J162"")"),0.0)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IFERROR(__xludf.DUMMYFUNCTION("IMPORTRANGE(""https://docs.google.com/spreadsheets/d/1XL5vhW3sbDhbH9Cz0tuDiY8C3ctxq1tqvaCgkFb8cCA/edit?usp=sharing"",""สกลนคร!J163"")"),0.0)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IFERROR(__xludf.DUMMYFUNCTION("IMPORTRANGE(""https://docs.google.com/spreadsheets/d/1XL5vhW3sbDhbH9Cz0tuDiY8C3ctxq1tqvaCgkFb8cCA/edit?usp=sharing"",""สกลนคร!I164"")"),0.0)</f>
        <v>0</v>
      </c>
      <c r="J244" s="222">
        <f>IFERROR(__xludf.DUMMYFUNCTION("IMPORTRANGE(""https://docs.google.com/spreadsheets/d/1XL5vhW3sbDhbH9Cz0tuDiY8C3ctxq1tqvaCgkFb8cCA/edit?usp=sharing"",""สกลนคร!J164"")"),0.0)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IFERROR(__xludf.DUMMYFUNCTION("IMPORTRANGE(""https://docs.google.com/spreadsheets/d/1XL5vhW3sbDhbH9Cz0tuDiY8C3ctxq1tqvaCgkFb8cCA/edit?usp=sharing"",""สกลนคร!J165"")"),0.0)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IFERROR(__xludf.DUMMYFUNCTION("IMPORTRANGE(""https://docs.google.com/spreadsheets/d/1XL5vhW3sbDhbH9Cz0tuDiY8C3ctxq1tqvaCgkFb8cCA/edit?usp=sharing"",""สกลนคร!J166"")"),0.0)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IFERROR(__xludf.DUMMYFUNCTION("IMPORTRANGE(""https://docs.google.com/spreadsheets/d/1XL5vhW3sbDhbH9Cz0tuDiY8C3ctxq1tqvaCgkFb8cCA/edit?usp=sharing"",""สกลนคร!I169"")"),25.0)</f>
        <v>25</v>
      </c>
      <c r="J249" s="349">
        <f>IFERROR(__xludf.DUMMYFUNCTION("IMPORTRANGE(""https://docs.google.com/spreadsheets/d/1XL5vhW3sbDhbH9Cz0tuDiY8C3ctxq1tqvaCgkFb8cCA/edit?usp=sharing"",""สกลนคร!J169"")"),13.0)</f>
        <v>13</v>
      </c>
      <c r="K249" s="350">
        <f>IF(I249&gt;0,J249*100/I249,0)</f>
        <v>52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89000</v>
      </c>
      <c r="M250" s="183">
        <f t="shared" si="78"/>
        <v>42500</v>
      </c>
      <c r="N250" s="183">
        <f t="shared" si="78"/>
        <v>42225</v>
      </c>
      <c r="O250" s="182">
        <f t="shared" ref="O250:O252" si="80">IF(L250&gt;0,N250*100/L250,0)</f>
        <v>47.44382022</v>
      </c>
      <c r="P250" s="182">
        <f t="shared" ref="P250:P252" si="81">IF(M250&gt;0,N250*100/M250,0)</f>
        <v>99.35294118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89000</v>
      </c>
      <c r="M252" s="188">
        <f t="shared" si="82"/>
        <v>42500</v>
      </c>
      <c r="N252" s="188">
        <f t="shared" si="82"/>
        <v>42225</v>
      </c>
      <c r="O252" s="187">
        <f t="shared" si="80"/>
        <v>47.44382022</v>
      </c>
      <c r="P252" s="187">
        <f t="shared" si="81"/>
        <v>99.35294118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89000</v>
      </c>
      <c r="M254" s="201">
        <f>IFERROR(__xludf.DUMMYFUNCTION("IMPORTRANGE(""https://docs.google.com/spreadsheets/d/1Yj_ptqi66GCucihVvJfMjLAmec39IyEx_6qawtMGysU/edit?usp=sharing"",""สบก!CB51"")"),42500.0)</f>
        <v>42500</v>
      </c>
      <c r="N254" s="202">
        <f>IFERROR(__xludf.DUMMYFUNCTION("IMPORTRANGE(""https://docs.google.com/spreadsheets/d/1Yj_ptqi66GCucihVvJfMjLAmec39IyEx_6qawtMGysU/edit?usp=sharing"",""สบก!CC51"")"),42225.0)</f>
        <v>42225</v>
      </c>
      <c r="O254" s="203">
        <f>IF(L254&gt;0,N254*100/L254,0)</f>
        <v>47.44382022</v>
      </c>
      <c r="P254" s="203">
        <f>IF(M254&gt;0,N254*100/M254,0)</f>
        <v>99.35294118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IFERROR(__xludf.DUMMYFUNCTION("IMPORTRANGE(""https://docs.google.com/spreadsheets/d/1Yj_ptqi66GCucihVvJfMjLAmec39IyEx_6qawtMGysU/edit?usp=sharing"",""สบก!BX51"")"),0.0)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IFERROR(__xludf.DUMMYFUNCTION("IMPORTRANGE(""https://docs.google.com/spreadsheets/d/1Yj_ptqi66GCucihVvJfMjLAmec39IyEx_6qawtMGysU/edit?usp=sharing"",""สบก!BY51"")"),89000.0)</f>
        <v>89000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IFERROR(__xludf.DUMMYFUNCTION("IMPORTRANGE(""https://docs.google.com/spreadsheets/d/1Yj_ptqi66GCucihVvJfMjLAmec39IyEx_6qawtMGysU/edit?usp=sharing"",""สบก!BZ51"")"),0.0)</f>
        <v>0</v>
      </c>
      <c r="M258" s="125"/>
      <c r="N258" s="115">
        <f>IFERROR(__xludf.DUMMYFUNCTION("IMPORTRANGE(""https://docs.google.com/spreadsheets/d/1Yj_ptqi66GCucihVvJfMjLAmec39IyEx_6qawtMGysU/edit?usp=sharing"",""สบก!CD51"")"),0.0)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IFERROR(__xludf.DUMMYFUNCTION("IMPORTRANGE(""https://docs.google.com/spreadsheets/d/1XL5vhW3sbDhbH9Cz0tuDiY8C3ctxq1tqvaCgkFb8cCA/edit?usp=sharing"",""สกลนคร!J175"")"),0.0)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IFERROR(__xludf.DUMMYFUNCTION("IMPORTRANGE(""https://docs.google.com/spreadsheets/d/1XL5vhW3sbDhbH9Cz0tuDiY8C3ctxq1tqvaCgkFb8cCA/edit?usp=sharing"",""สกลนคร!J176"")"),1.0)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IFERROR(__xludf.DUMMYFUNCTION("IMPORTRANGE(""https://docs.google.com/spreadsheets/d/1XL5vhW3sbDhbH9Cz0tuDiY8C3ctxq1tqvaCgkFb8cCA/edit?usp=sharing"",""สกลนคร!J177"")"),1.0)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IFERROR(__xludf.DUMMYFUNCTION("IMPORTRANGE(""https://docs.google.com/spreadsheets/d/1XL5vhW3sbDhbH9Cz0tuDiY8C3ctxq1tqvaCgkFb8cCA/edit?usp=sharing"",""สกลนคร!J178"")"),1.0)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IFERROR(__xludf.DUMMYFUNCTION("IMPORTRANGE(""https://docs.google.com/spreadsheets/d/1XL5vhW3sbDhbH9Cz0tuDiY8C3ctxq1tqvaCgkFb8cCA/edit?usp=sharing"",""สกลนคร!I179"")"),1.0)</f>
        <v>1</v>
      </c>
      <c r="J264" s="223">
        <f>IFERROR(__xludf.DUMMYFUNCTION("IMPORTRANGE(""https://docs.google.com/spreadsheets/d/1XL5vhW3sbDhbH9Cz0tuDiY8C3ctxq1tqvaCgkFb8cCA/edit?usp=sharing"",""สกลนคร!J179"")"),0.0)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IFERROR(__xludf.DUMMYFUNCTION("IMPORTRANGE(""https://docs.google.com/spreadsheets/d/1XL5vhW3sbDhbH9Cz0tuDiY8C3ctxq1tqvaCgkFb8cCA/edit?usp=sharing"",""สกลนคร!I180"")"),25.0)</f>
        <v>25</v>
      </c>
      <c r="J265" s="223">
        <f>IFERROR(__xludf.DUMMYFUNCTION("IMPORTRANGE(""https://docs.google.com/spreadsheets/d/1XL5vhW3sbDhbH9Cz0tuDiY8C3ctxq1tqvaCgkFb8cCA/edit?usp=sharing"",""สกลนคร!J180"")"),13.0)</f>
        <v>13</v>
      </c>
      <c r="K265" s="196">
        <f t="shared" si="83"/>
        <v>52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IFERROR(__xludf.DUMMYFUNCTION("IMPORTRANGE(""https://docs.google.com/spreadsheets/d/1XL5vhW3sbDhbH9Cz0tuDiY8C3ctxq1tqvaCgkFb8cCA/edit?usp=sharing"",""สกลนคร!I181"")"),25.0)</f>
        <v>25</v>
      </c>
      <c r="J266" s="223">
        <f>IFERROR(__xludf.DUMMYFUNCTION("IMPORTRANGE(""https://docs.google.com/spreadsheets/d/1XL5vhW3sbDhbH9Cz0tuDiY8C3ctxq1tqvaCgkFb8cCA/edit?usp=sharing"",""สกลนคร!J181"")"),0.0)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IFERROR(__xludf.DUMMYFUNCTION("IMPORTRANGE(""https://docs.google.com/spreadsheets/d/1XL5vhW3sbDhbH9Cz0tuDiY8C3ctxq1tqvaCgkFb8cCA/edit?usp=sharing"",""สกลนคร!I182"")"),1.0)</f>
        <v>1</v>
      </c>
      <c r="J267" s="223">
        <f>IFERROR(__xludf.DUMMYFUNCTION("IMPORTRANGE(""https://docs.google.com/spreadsheets/d/1XL5vhW3sbDhbH9Cz0tuDiY8C3ctxq1tqvaCgkFb8cCA/edit?usp=sharing"",""สกลนคร!J182"")"),1.0)</f>
        <v>1</v>
      </c>
      <c r="K267" s="196">
        <f t="shared" si="83"/>
        <v>100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IFERROR(__xludf.DUMMYFUNCTION("IMPORTRANGE(""https://docs.google.com/spreadsheets/d/1XL5vhW3sbDhbH9Cz0tuDiY8C3ctxq1tqvaCgkFb8cCA/edit?usp=sharing"",""สกลนคร!J183"")"),0.0)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IFERROR(__xludf.DUMMYFUNCTION("IMPORTRANGE(""https://docs.google.com/spreadsheets/d/1XL5vhW3sbDhbH9Cz0tuDiY8C3ctxq1tqvaCgkFb8cCA/edit?usp=sharing"",""สกลนคร!J184"")"),0.0)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IFERROR(__xludf.DUMMYFUNCTION("IMPORTRANGE(""https://docs.google.com/spreadsheets/d/1XL5vhW3sbDhbH9Cz0tuDiY8C3ctxq1tqvaCgkFb8cCA/edit?usp=sharing"",""สกลนคร!I185"")"),0.0)</f>
        <v>0</v>
      </c>
      <c r="J270" s="349">
        <f>IFERROR(__xludf.DUMMYFUNCTION("IMPORTRANGE(""https://docs.google.com/spreadsheets/d/1XL5vhW3sbDhbH9Cz0tuDiY8C3ctxq1tqvaCgkFb8cCA/edit?usp=sharing"",""สกลนคร!J185"")"),0.0)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IFERROR(__xludf.DUMMYFUNCTION("IMPORTRANGE(""https://docs.google.com/spreadsheets/d/1Yj_ptqi66GCucihVvJfMjLAmec39IyEx_6qawtMGysU/edit?usp=sharing"",""สบก!CK51"")"),0.0)</f>
        <v>0</v>
      </c>
      <c r="N275" s="202">
        <f>IFERROR(__xludf.DUMMYFUNCTION("IMPORTRANGE(""https://docs.google.com/spreadsheets/d/1Yj_ptqi66GCucihVvJfMjLAmec39IyEx_6qawtMGysU/edit?usp=sharing"",""สบก!CL51"")"),0.0)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IFERROR(__xludf.DUMMYFUNCTION("IMPORTRANGE(""https://docs.google.com/spreadsheets/d/1Yj_ptqi66GCucihVvJfMjLAmec39IyEx_6qawtMGysU/edit?usp=sharing"",""สบก!CG51"")"),0.0)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IFERROR(__xludf.DUMMYFUNCTION("IMPORTRANGE(""https://docs.google.com/spreadsheets/d/1Yj_ptqi66GCucihVvJfMjLAmec39IyEx_6qawtMGysU/edit?usp=sharing"",""สบก!CH51"")"),0.0)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IFERROR(__xludf.DUMMYFUNCTION("IMPORTRANGE(""https://docs.google.com/spreadsheets/d/1Yj_ptqi66GCucihVvJfMjLAmec39IyEx_6qawtMGysU/edit?usp=sharing"",""สบก!CI51"")"),0.0)</f>
        <v>0</v>
      </c>
      <c r="M279" s="125"/>
      <c r="N279" s="115">
        <f>IFERROR(__xludf.DUMMYFUNCTION("IMPORTRANGE(""https://docs.google.com/spreadsheets/d/1Yj_ptqi66GCucihVvJfMjLAmec39IyEx_6qawtMGysU/edit?usp=sharing"",""สบก!CM51"")"),0.0)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IFERROR(__xludf.DUMMYFUNCTION("IMPORTRANGE(""https://docs.google.com/spreadsheets/d/1XL5vhW3sbDhbH9Cz0tuDiY8C3ctxq1tqvaCgkFb8cCA/edit?usp=sharing"",""สกลนคร!J191"")"),0.0)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IFERROR(__xludf.DUMMYFUNCTION("IMPORTRANGE(""https://docs.google.com/spreadsheets/d/1XL5vhW3sbDhbH9Cz0tuDiY8C3ctxq1tqvaCgkFb8cCA/edit?usp=sharing"",""สกลนคร!J192"")"),0.0)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IFERROR(__xludf.DUMMYFUNCTION("IMPORTRANGE(""https://docs.google.com/spreadsheets/d/1XL5vhW3sbDhbH9Cz0tuDiY8C3ctxq1tqvaCgkFb8cCA/edit?usp=sharing"",""สกลนคร!J193"")"),0.0)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IFERROR(__xludf.DUMMYFUNCTION("IMPORTRANGE(""https://docs.google.com/spreadsheets/d/1XL5vhW3sbDhbH9Cz0tuDiY8C3ctxq1tqvaCgkFb8cCA/edit?usp=sharing"",""สกลนคร!J194"")"),0.0)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IFERROR(__xludf.DUMMYFUNCTION("IMPORTRANGE(""https://docs.google.com/spreadsheets/d/1XL5vhW3sbDhbH9Cz0tuDiY8C3ctxq1tqvaCgkFb8cCA/edit?usp=sharing"",""สกลนคร!I195"")"),0.0)</f>
        <v>0</v>
      </c>
      <c r="J285" s="223">
        <f>IFERROR(__xludf.DUMMYFUNCTION("IMPORTRANGE(""https://docs.google.com/spreadsheets/d/1XL5vhW3sbDhbH9Cz0tuDiY8C3ctxq1tqvaCgkFb8cCA/edit?usp=sharing"",""สกลนคร!J195"")"),0.0)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IFERROR(__xludf.DUMMYFUNCTION("IMPORTRANGE(""https://docs.google.com/spreadsheets/d/1XL5vhW3sbDhbH9Cz0tuDiY8C3ctxq1tqvaCgkFb8cCA/edit?usp=sharing"",""สกลนคร!J196"")"),0.0)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IFERROR(__xludf.DUMMYFUNCTION("IMPORTRANGE(""https://docs.google.com/spreadsheets/d/1XL5vhW3sbDhbH9Cz0tuDiY8C3ctxq1tqvaCgkFb8cCA/edit?usp=sharing"",""สกลนคร!J197"")"),0.0)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IFERROR(__xludf.DUMMYFUNCTION("IMPORTRANGE(""https://docs.google.com/spreadsheets/d/1XL5vhW3sbDhbH9Cz0tuDiY8C3ctxq1tqvaCgkFb8cCA/edit?usp=sharing"",""สกลนคร!I199"")"),0.0)</f>
        <v>0</v>
      </c>
      <c r="J289" s="349">
        <f>IFERROR(__xludf.DUMMYFUNCTION("IMPORTRANGE(""https://docs.google.com/spreadsheets/d/1XL5vhW3sbDhbH9Cz0tuDiY8C3ctxq1tqvaCgkFb8cCA/edit?usp=sharing"",""สกลนคร!J199"")"),0.0)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IFERROR(__xludf.DUMMYFUNCTION("IMPORTRANGE(""https://docs.google.com/spreadsheets/d/1Yj_ptqi66GCucihVvJfMjLAmec39IyEx_6qawtMGysU/edit?usp=sharing"",""สบก!CT51"")"),0.0)</f>
        <v>0</v>
      </c>
      <c r="N294" s="202">
        <f>IFERROR(__xludf.DUMMYFUNCTION("IMPORTRANGE(""https://docs.google.com/spreadsheets/d/1Yj_ptqi66GCucihVvJfMjLAmec39IyEx_6qawtMGysU/edit?usp=sharing"",""สบก!CU51"")"),0.0)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IFERROR(__xludf.DUMMYFUNCTION("IMPORTRANGE(""https://docs.google.com/spreadsheets/d/1Yj_ptqi66GCucihVvJfMjLAmec39IyEx_6qawtMGysU/edit?usp=sharing"",""สบก!CP51"")"),0.0)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IFERROR(__xludf.DUMMYFUNCTION("IMPORTRANGE(""https://docs.google.com/spreadsheets/d/1Yj_ptqi66GCucihVvJfMjLAmec39IyEx_6qawtMGysU/edit?usp=sharing"",""สบก!CQ51"")"),0.0)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IFERROR(__xludf.DUMMYFUNCTION("IMPORTRANGE(""https://docs.google.com/spreadsheets/d/1Yj_ptqi66GCucihVvJfMjLAmec39IyEx_6qawtMGysU/edit?usp=sharing"",""สบก!CR51"")"),0.0)</f>
        <v>0</v>
      </c>
      <c r="M298" s="125"/>
      <c r="N298" s="115">
        <f>IFERROR(__xludf.DUMMYFUNCTION("IMPORTRANGE(""https://docs.google.com/spreadsheets/d/1Yj_ptqi66GCucihVvJfMjLAmec39IyEx_6qawtMGysU/edit?usp=sharing"",""สบก!CV51"")"),0.0)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IFERROR(__xludf.DUMMYFUNCTION("IMPORTRANGE(""https://docs.google.com/spreadsheets/d/1XL5vhW3sbDhbH9Cz0tuDiY8C3ctxq1tqvaCgkFb8cCA/edit?usp=sharing"",""สกลนคร!J205"")"),0.0)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IFERROR(__xludf.DUMMYFUNCTION("IMPORTRANGE(""https://docs.google.com/spreadsheets/d/1XL5vhW3sbDhbH9Cz0tuDiY8C3ctxq1tqvaCgkFb8cCA/edit?usp=sharing"",""สกลนคร!J206"")"),0.0)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IFERROR(__xludf.DUMMYFUNCTION("IMPORTRANGE(""https://docs.google.com/spreadsheets/d/1XL5vhW3sbDhbH9Cz0tuDiY8C3ctxq1tqvaCgkFb8cCA/edit?usp=sharing"",""สกลนคร!J207"")"),0.0)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IFERROR(__xludf.DUMMYFUNCTION("IMPORTRANGE(""https://docs.google.com/spreadsheets/d/1XL5vhW3sbDhbH9Cz0tuDiY8C3ctxq1tqvaCgkFb8cCA/edit?usp=sharing"",""สกลนคร!J208"")"),0.0)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IFERROR(__xludf.DUMMYFUNCTION("IMPORTRANGE(""https://docs.google.com/spreadsheets/d/1XL5vhW3sbDhbH9Cz0tuDiY8C3ctxq1tqvaCgkFb8cCA/edit?usp=sharing"",""สกลนคร!I209"")"),0.0)</f>
        <v>0</v>
      </c>
      <c r="J304" s="238">
        <f>IFERROR(__xludf.DUMMYFUNCTION("IMPORTRANGE(""https://docs.google.com/spreadsheets/d/1XL5vhW3sbDhbH9Cz0tuDiY8C3ctxq1tqvaCgkFb8cCA/edit?usp=sharing"",""สกลนคร!J209"")"),0.0)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IFERROR(__xludf.DUMMYFUNCTION("IMPORTRANGE(""https://docs.google.com/spreadsheets/d/1XL5vhW3sbDhbH9Cz0tuDiY8C3ctxq1tqvaCgkFb8cCA/edit?usp=sharing"",""สกลนคร!I211"")"),0.0)</f>
        <v>0</v>
      </c>
      <c r="J306" s="238">
        <f>IFERROR(__xludf.DUMMYFUNCTION("IMPORTRANGE(""https://docs.google.com/spreadsheets/d/1XL5vhW3sbDhbH9Cz0tuDiY8C3ctxq1tqvaCgkFb8cCA/edit?usp=sharing"",""สกลนคร!J211"")"),0.0)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IFERROR(__xludf.DUMMYFUNCTION("IMPORTRANGE(""https://docs.google.com/spreadsheets/d/1XL5vhW3sbDhbH9Cz0tuDiY8C3ctxq1tqvaCgkFb8cCA/edit?usp=sharing"",""สกลนคร!J212"")"),0.0)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IFERROR(__xludf.DUMMYFUNCTION("IMPORTRANGE(""https://docs.google.com/spreadsheets/d/1XL5vhW3sbDhbH9Cz0tuDiY8C3ctxq1tqvaCgkFb8cCA/edit?usp=sharing"",""สกลนคร!J213"")"),0.0)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IFERROR(__xludf.DUMMYFUNCTION("IMPORTRANGE(""https://docs.google.com/spreadsheets/d/1XL5vhW3sbDhbH9Cz0tuDiY8C3ctxq1tqvaCgkFb8cCA/edit?usp=sharing"",""สกลนคร!I214"")"),0.0)</f>
        <v>0</v>
      </c>
      <c r="J309" s="366">
        <f>IFERROR(__xludf.DUMMYFUNCTION("IMPORTRANGE(""https://docs.google.com/spreadsheets/d/1XL5vhW3sbDhbH9Cz0tuDiY8C3ctxq1tqvaCgkFb8cCA/edit?usp=sharing"",""สกลนคร!J214"")"),0.0)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IFERROR(__xludf.DUMMYFUNCTION("IMPORTRANGE(""https://docs.google.com/spreadsheets/d/1Yj_ptqi66GCucihVvJfMjLAmec39IyEx_6qawtMGysU/edit?usp=sharing"",""สบก!DC51"")"),0.0)</f>
        <v>0</v>
      </c>
      <c r="N314" s="202">
        <f>IFERROR(__xludf.DUMMYFUNCTION("IMPORTRANGE(""https://docs.google.com/spreadsheets/d/1Yj_ptqi66GCucihVvJfMjLAmec39IyEx_6qawtMGysU/edit?usp=sharing"",""สบก!DD51"")"),0.0)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IFERROR(__xludf.DUMMYFUNCTION("IMPORTRANGE(""https://docs.google.com/spreadsheets/d/1Yj_ptqi66GCucihVvJfMjLAmec39IyEx_6qawtMGysU/edit?usp=sharing"",""สบก!CY51"")"),0.0)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IFERROR(__xludf.DUMMYFUNCTION("IMPORTRANGE(""https://docs.google.com/spreadsheets/d/1Yj_ptqi66GCucihVvJfMjLAmec39IyEx_6qawtMGysU/edit?usp=sharing"",""สบก!CZ51"")"),0.0)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IFERROR(__xludf.DUMMYFUNCTION("IMPORTRANGE(""https://docs.google.com/spreadsheets/d/1Yj_ptqi66GCucihVvJfMjLAmec39IyEx_6qawtMGysU/edit?usp=sharing"",""สบก!DA51"")"),0.0)</f>
        <v>0</v>
      </c>
      <c r="M318" s="125"/>
      <c r="N318" s="115">
        <f>IFERROR(__xludf.DUMMYFUNCTION("IMPORTRANGE(""https://docs.google.com/spreadsheets/d/1Yj_ptqi66GCucihVvJfMjLAmec39IyEx_6qawtMGysU/edit?usp=sharing"",""สบก!DE51"")"),0.0)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IFERROR(__xludf.DUMMYFUNCTION("IMPORTRANGE(""https://docs.google.com/spreadsheets/d/1XL5vhW3sbDhbH9Cz0tuDiY8C3ctxq1tqvaCgkFb8cCA/edit?usp=sharing"",""สกลนคร!J220"")"),0.0)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IFERROR(__xludf.DUMMYFUNCTION("IMPORTRANGE(""https://docs.google.com/spreadsheets/d/1XL5vhW3sbDhbH9Cz0tuDiY8C3ctxq1tqvaCgkFb8cCA/edit?usp=sharing"",""สกลนคร!J221"")"),0.0)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IFERROR(__xludf.DUMMYFUNCTION("IMPORTRANGE(""https://docs.google.com/spreadsheets/d/1XL5vhW3sbDhbH9Cz0tuDiY8C3ctxq1tqvaCgkFb8cCA/edit?usp=sharing"",""สกลนคร!J222"")"),0.0)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IFERROR(__xludf.DUMMYFUNCTION("IMPORTRANGE(""https://docs.google.com/spreadsheets/d/1XL5vhW3sbDhbH9Cz0tuDiY8C3ctxq1tqvaCgkFb8cCA/edit?usp=sharing"",""สกลนคร!J223"")"),0.0)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IFERROR(__xludf.DUMMYFUNCTION("IMPORTRANGE(""https://docs.google.com/spreadsheets/d/1XL5vhW3sbDhbH9Cz0tuDiY8C3ctxq1tqvaCgkFb8cCA/edit?usp=sharing"",""สกลนคร!I224"")"),0.0)</f>
        <v>0</v>
      </c>
      <c r="J324" s="238">
        <f>IFERROR(__xludf.DUMMYFUNCTION("IMPORTRANGE(""https://docs.google.com/spreadsheets/d/1XL5vhW3sbDhbH9Cz0tuDiY8C3ctxq1tqvaCgkFb8cCA/edit?usp=sharing"",""สกลนคร!J224"")"),0.0)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IFERROR(__xludf.DUMMYFUNCTION("IMPORTRANGE(""https://docs.google.com/spreadsheets/d/1XL5vhW3sbDhbH9Cz0tuDiY8C3ctxq1tqvaCgkFb8cCA/edit?usp=sharing"",""สกลนคร!J225"")"),0.0)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IFERROR(__xludf.DUMMYFUNCTION("IMPORTRANGE(""https://docs.google.com/spreadsheets/d/1XL5vhW3sbDhbH9Cz0tuDiY8C3ctxq1tqvaCgkFb8cCA/edit?usp=sharing"",""สกลนคร!J226"")"),0.0)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IFERROR(__xludf.DUMMYFUNCTION("IMPORTRANGE(""https://docs.google.com/spreadsheets/d/1XL5vhW3sbDhbH9Cz0tuDiY8C3ctxq1tqvaCgkFb8cCA/edit?usp=sharing"",""สกลนคร!I228"")"),610.0)</f>
        <v>610</v>
      </c>
      <c r="J328" s="372">
        <f>IFERROR(__xludf.DUMMYFUNCTION("IMPORTRANGE(""https://docs.google.com/spreadsheets/d/1XL5vhW3sbDhbH9Cz0tuDiY8C3ctxq1tqvaCgkFb8cCA/edit?usp=sharing"",""สกลนคร!J228"")"),0.0)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1170150</v>
      </c>
      <c r="M329" s="183">
        <f t="shared" si="99"/>
        <v>666160</v>
      </c>
      <c r="N329" s="183">
        <f t="shared" si="99"/>
        <v>451295</v>
      </c>
      <c r="O329" s="182">
        <f t="shared" ref="O329:O331" si="101">IF(L329&gt;0,N329*100/L329,0)</f>
        <v>38.5672777</v>
      </c>
      <c r="P329" s="182">
        <f t="shared" ref="P329:P331" si="102">IF(M329&gt;0,N329*100/M329,0)</f>
        <v>67.74573676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1170150</v>
      </c>
      <c r="M331" s="188">
        <f t="shared" si="103"/>
        <v>666160</v>
      </c>
      <c r="N331" s="188">
        <f t="shared" si="103"/>
        <v>451295</v>
      </c>
      <c r="O331" s="187">
        <f t="shared" si="101"/>
        <v>38.5672777</v>
      </c>
      <c r="P331" s="187">
        <f t="shared" si="102"/>
        <v>67.74573676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1170150</v>
      </c>
      <c r="M333" s="201">
        <f>IFERROR(__xludf.DUMMYFUNCTION("IMPORTRANGE(""https://docs.google.com/spreadsheets/d/1Yj_ptqi66GCucihVvJfMjLAmec39IyEx_6qawtMGysU/edit?usp=sharing"",""สบก!DL51"")"),666160.0)</f>
        <v>666160</v>
      </c>
      <c r="N333" s="202">
        <f>IFERROR(__xludf.DUMMYFUNCTION("IMPORTRANGE(""https://docs.google.com/spreadsheets/d/1Yj_ptqi66GCucihVvJfMjLAmec39IyEx_6qawtMGysU/edit?usp=sharing"",""สบก!DM51"")"),451295.0)</f>
        <v>451295</v>
      </c>
      <c r="O333" s="203">
        <f>IF(L333&gt;0,N333*100/L333,0)</f>
        <v>38.5672777</v>
      </c>
      <c r="P333" s="203">
        <f>IF(M333&gt;0,N333*100/M333,0)</f>
        <v>67.74573676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IFERROR(__xludf.DUMMYFUNCTION("IMPORTRANGE(""https://docs.google.com/spreadsheets/d/1Yj_ptqi66GCucihVvJfMjLAmec39IyEx_6qawtMGysU/edit?usp=sharing"",""สบก!DH51"")"),306000.0)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IFERROR(__xludf.DUMMYFUNCTION("IMPORTRANGE(""https://docs.google.com/spreadsheets/d/1Yj_ptqi66GCucihVvJfMjLAmec39IyEx_6qawtMGysU/edit?usp=sharing"",""สบก!DI51"")"),864150.0)</f>
        <v>864150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IFERROR(__xludf.DUMMYFUNCTION("IMPORTRANGE(""https://docs.google.com/spreadsheets/d/1Yj_ptqi66GCucihVvJfMjLAmec39IyEx_6qawtMGysU/edit?usp=sharing"",""สบก!DJ51"")"),0.0)</f>
        <v>0</v>
      </c>
      <c r="M337" s="125"/>
      <c r="N337" s="115">
        <f>IFERROR(__xludf.DUMMYFUNCTION("IMPORTRANGE(""https://docs.google.com/spreadsheets/d/1Yj_ptqi66GCucihVvJfMjLAmec39IyEx_6qawtMGysU/edit?usp=sharing"",""สบก!DN51"")"),0.0)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IFERROR(__xludf.DUMMYFUNCTION("IMPORTRANGE(""https://docs.google.com/spreadsheets/d/1XL5vhW3sbDhbH9Cz0tuDiY8C3ctxq1tqvaCgkFb8cCA/edit?usp=sharing"",""สกลนคร!I234"")"),0.0)</f>
        <v>0</v>
      </c>
      <c r="J339" s="222">
        <f>IFERROR(__xludf.DUMMYFUNCTION("IMPORTRANGE(""https://docs.google.com/spreadsheets/d/1XL5vhW3sbDhbH9Cz0tuDiY8C3ctxq1tqvaCgkFb8cCA/edit?usp=sharing"",""สกลนคร!J234"")"),285.0)</f>
        <v>285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IFERROR(__xludf.DUMMYFUNCTION("IMPORTRANGE(""https://docs.google.com/spreadsheets/d/1XL5vhW3sbDhbH9Cz0tuDiY8C3ctxq1tqvaCgkFb8cCA/edit?usp=sharing"",""สกลนคร!I235"")"),4920.0)</f>
        <v>4920</v>
      </c>
      <c r="J340" s="222">
        <f>IFERROR(__xludf.DUMMYFUNCTION("IMPORTRANGE(""https://docs.google.com/spreadsheets/d/1XL5vhW3sbDhbH9Cz0tuDiY8C3ctxq1tqvaCgkFb8cCA/edit?usp=sharing"",""สกลนคร!J235"")"),2512.27)</f>
        <v>2512.27</v>
      </c>
      <c r="K340" s="375">
        <f t="shared" si="104"/>
        <v>51.06239837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IFERROR(__xludf.DUMMYFUNCTION("IMPORTRANGE(""https://docs.google.com/spreadsheets/d/1XL5vhW3sbDhbH9Cz0tuDiY8C3ctxq1tqvaCgkFb8cCA/edit?usp=sharing"",""สกลนคร!I236"")"),610.0)</f>
        <v>610</v>
      </c>
      <c r="J341" s="222">
        <f>IFERROR(__xludf.DUMMYFUNCTION("IMPORTRANGE(""https://docs.google.com/spreadsheets/d/1XL5vhW3sbDhbH9Cz0tuDiY8C3ctxq1tqvaCgkFb8cCA/edit?usp=sharing"",""สกลนคร!J236"")"),251.0)</f>
        <v>251</v>
      </c>
      <c r="K341" s="375">
        <f t="shared" si="104"/>
        <v>41.14754098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IFERROR(__xludf.DUMMYFUNCTION("IMPORTRANGE(""https://docs.google.com/spreadsheets/d/1XL5vhW3sbDhbH9Cz0tuDiY8C3ctxq1tqvaCgkFb8cCA/edit?usp=sharing"",""สกลนคร!I237"")"),0.0)</f>
        <v>0</v>
      </c>
      <c r="J342" s="222">
        <f>IFERROR(__xludf.DUMMYFUNCTION("IMPORTRANGE(""https://docs.google.com/spreadsheets/d/1XL5vhW3sbDhbH9Cz0tuDiY8C3ctxq1tqvaCgkFb8cCA/edit?usp=sharing"",""สกลนคร!J237"")"),2066.19)</f>
        <v>2066.19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IFERROR(__xludf.DUMMYFUNCTION("IMPORTRANGE(""https://docs.google.com/spreadsheets/d/1XL5vhW3sbDhbH9Cz0tuDiY8C3ctxq1tqvaCgkFb8cCA/edit?usp=sharing"",""สกลนคร!I238"")"),610.0)</f>
        <v>610</v>
      </c>
      <c r="J343" s="222">
        <f>IFERROR(__xludf.DUMMYFUNCTION("IMPORTRANGE(""https://docs.google.com/spreadsheets/d/1XL5vhW3sbDhbH9Cz0tuDiY8C3ctxq1tqvaCgkFb8cCA/edit?usp=sharing"",""สกลนคร!J238"")"),0.0)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IFERROR(__xludf.DUMMYFUNCTION("IMPORTRANGE(""https://docs.google.com/spreadsheets/d/1XL5vhW3sbDhbH9Cz0tuDiY8C3ctxq1tqvaCgkFb8cCA/edit?usp=sharing"",""สกลนคร!I239"")"),0.0)</f>
        <v>0</v>
      </c>
      <c r="J344" s="222">
        <f>IFERROR(__xludf.DUMMYFUNCTION("IMPORTRANGE(""https://docs.google.com/spreadsheets/d/1XL5vhW3sbDhbH9Cz0tuDiY8C3ctxq1tqvaCgkFb8cCA/edit?usp=sharing"",""สกลนคร!J239"")"),0.0)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IFERROR(__xludf.DUMMYFUNCTION("IMPORTRANGE(""https://docs.google.com/spreadsheets/d/1XL5vhW3sbDhbH9Cz0tuDiY8C3ctxq1tqvaCgkFb8cCA/edit?usp=sharing"",""สกลนคร!I240"")"),610.0)</f>
        <v>610</v>
      </c>
      <c r="J345" s="222">
        <f>IFERROR(__xludf.DUMMYFUNCTION("IMPORTRANGE(""https://docs.google.com/spreadsheets/d/1XL5vhW3sbDhbH9Cz0tuDiY8C3ctxq1tqvaCgkFb8cCA/edit?usp=sharing"",""สกลนคร!J240"")"),0.0)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IFERROR(__xludf.DUMMYFUNCTION("IMPORTRANGE(""https://docs.google.com/spreadsheets/d/1XL5vhW3sbDhbH9Cz0tuDiY8C3ctxq1tqvaCgkFb8cCA/edit?usp=sharing"",""สกลนคร!I241"")"),0.0)</f>
        <v>0</v>
      </c>
      <c r="J346" s="222">
        <f>IFERROR(__xludf.DUMMYFUNCTION("IMPORTRANGE(""https://docs.google.com/spreadsheets/d/1XL5vhW3sbDhbH9Cz0tuDiY8C3ctxq1tqvaCgkFb8cCA/edit?usp=sharing"",""สกลนคร!J241"")"),0.0)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IFERROR(__xludf.DUMMYFUNCTION("IMPORTRANGE(""https://docs.google.com/spreadsheets/d/1XL5vhW3sbDhbH9Cz0tuDiY8C3ctxq1tqvaCgkFb8cCA/edit?usp=sharing"",""สกลนคร!L242"")"),2301026.0)</f>
        <v>2301026</v>
      </c>
      <c r="M347" s="391"/>
      <c r="N347" s="391">
        <f>IFERROR(__xludf.DUMMYFUNCTION("IMPORTRANGE(""https://docs.google.com/spreadsheets/d/1XL5vhW3sbDhbH9Cz0tuDiY8C3ctxq1tqvaCgkFb8cCA/edit?usp=sharing"",""สกลนคร!M242"")"),439628.21)</f>
        <v>439628.21</v>
      </c>
      <c r="O347" s="391">
        <f>+IF(L347&gt;0,N347*100/L347,0)</f>
        <v>19.10574718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IFERROR(__xludf.DUMMYFUNCTION("IMPORTRANGE(""https://docs.google.com/spreadsheets/d/1XL5vhW3sbDhbH9Cz0tuDiY8C3ctxq1tqvaCgkFb8cCA/edit?usp=sharing"",""สกลนคร!I244"")"),116.0)</f>
        <v>116</v>
      </c>
      <c r="J349" s="404">
        <f>IFERROR(__xludf.DUMMYFUNCTION("IMPORTRANGE(""https://docs.google.com/spreadsheets/d/1XL5vhW3sbDhbH9Cz0tuDiY8C3ctxq1tqvaCgkFb8cCA/edit?usp=sharing"",""สกลนคร!J244"")"),26.0)</f>
        <v>26</v>
      </c>
      <c r="K349" s="405">
        <f t="shared" ref="K349:K350" si="105">IF(I349&gt;0,J349*100/I349,0)</f>
        <v>22.4137931</v>
      </c>
      <c r="L349" s="406">
        <f>IFERROR(__xludf.DUMMYFUNCTION("IMPORTRANGE(""https://docs.google.com/spreadsheets/d/1XL5vhW3sbDhbH9Cz0tuDiY8C3ctxq1tqvaCgkFb8cCA/edit?usp=sharing"",""สกลนคร!L244"")"),374170.0)</f>
        <v>374170</v>
      </c>
      <c r="M349" s="406"/>
      <c r="N349" s="406">
        <f>IFERROR(__xludf.DUMMYFUNCTION("IMPORTRANGE(""https://docs.google.com/spreadsheets/d/1XL5vhW3sbDhbH9Cz0tuDiY8C3ctxq1tqvaCgkFb8cCA/edit?usp=sharing"",""สกลนคร!M244"")"),108687.26000000001)</f>
        <v>108687.26</v>
      </c>
      <c r="O349" s="406">
        <f>+IF(L349&gt;0,N349*100/L349,0)</f>
        <v>29.04756127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IFERROR(__xludf.DUMMYFUNCTION("IMPORTRANGE(""https://docs.google.com/spreadsheets/d/1XL5vhW3sbDhbH9Cz0tuDiY8C3ctxq1tqvaCgkFb8cCA/edit?usp=sharing"",""สกลนคร!I245"")"),61.0)</f>
        <v>61</v>
      </c>
      <c r="J350" s="404">
        <f>IFERROR(__xludf.DUMMYFUNCTION("IMPORTRANGE(""https://docs.google.com/spreadsheets/d/1XL5vhW3sbDhbH9Cz0tuDiY8C3ctxq1tqvaCgkFb8cCA/edit?usp=sharing"",""สกลนคร!J245"")"),0.0)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IFERROR(__xludf.DUMMYFUNCTION("IMPORTRANGE(""https://docs.google.com/spreadsheets/d/1XL5vhW3sbDhbH9Cz0tuDiY8C3ctxq1tqvaCgkFb8cCA/edit?usp=sharing"",""สกลนคร!L246"")"),0.0)</f>
        <v>0</v>
      </c>
      <c r="M351" s="197"/>
      <c r="N351" s="197">
        <f>IFERROR(__xludf.DUMMYFUNCTION("IMPORTRANGE(""https://docs.google.com/spreadsheets/d/1XL5vhW3sbDhbH9Cz0tuDiY8C3ctxq1tqvaCgkFb8cCA/edit?usp=sharing"",""สกลนคร!M246"")"),0.0)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IFERROR(__xludf.DUMMYFUNCTION("IMPORTRANGE(""https://docs.google.com/spreadsheets/d/1XL5vhW3sbDhbH9Cz0tuDiY8C3ctxq1tqvaCgkFb8cCA/edit?usp=sharing"",""สกลนคร!L247"")"),374170.0)</f>
        <v>374170</v>
      </c>
      <c r="M352" s="198"/>
      <c r="N352" s="197">
        <f>IFERROR(__xludf.DUMMYFUNCTION("IMPORTRANGE(""https://docs.google.com/spreadsheets/d/1XL5vhW3sbDhbH9Cz0tuDiY8C3ctxq1tqvaCgkFb8cCA/edit?usp=sharing"",""สกลนคร!M247"")"),108687.26000000001)</f>
        <v>108687.26</v>
      </c>
      <c r="O352" s="198">
        <f t="shared" si="106"/>
        <v>29.04756127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IFERROR(__xludf.DUMMYFUNCTION("IMPORTRANGE(""https://docs.google.com/spreadsheets/d/1XL5vhW3sbDhbH9Cz0tuDiY8C3ctxq1tqvaCgkFb8cCA/edit?usp=sharing"",""สกลนคร!L248"")"),0.0)</f>
        <v>0</v>
      </c>
      <c r="M353" s="203"/>
      <c r="N353" s="203">
        <f>IFERROR(__xludf.DUMMYFUNCTION("IMPORTRANGE(""https://docs.google.com/spreadsheets/d/1XL5vhW3sbDhbH9Cz0tuDiY8C3ctxq1tqvaCgkFb8cCA/edit?usp=sharing"",""สกลนคร!M248"")"),0.0)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IFERROR(__xludf.DUMMYFUNCTION("IMPORTRANGE(""https://docs.google.com/spreadsheets/d/1XL5vhW3sbDhbH9Cz0tuDiY8C3ctxq1tqvaCgkFb8cCA/edit?usp=sharing"",""สกลนคร!L249"")"),374170.0)</f>
        <v>374170</v>
      </c>
      <c r="M354" s="203"/>
      <c r="N354" s="200">
        <f>IFERROR(__xludf.DUMMYFUNCTION("IMPORTRANGE(""https://docs.google.com/spreadsheets/d/1XL5vhW3sbDhbH9Cz0tuDiY8C3ctxq1tqvaCgkFb8cCA/edit?usp=sharing"",""สกลนคร!M249"")"),108687.26000000001)</f>
        <v>108687.26</v>
      </c>
      <c r="O354" s="203">
        <f t="shared" si="106"/>
        <v>29.04756127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IFERROR(__xludf.DUMMYFUNCTION("IMPORTRANGE(""https://docs.google.com/spreadsheets/d/1XL5vhW3sbDhbH9Cz0tuDiY8C3ctxq1tqvaCgkFb8cCA/edit?usp=sharing"",""สกลนคร!M250"")"),44345.0)</f>
        <v>44345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IFERROR(__xludf.DUMMYFUNCTION("IMPORTRANGE(""https://docs.google.com/spreadsheets/d/1XL5vhW3sbDhbH9Cz0tuDiY8C3ctxq1tqvaCgkFb8cCA/edit?usp=sharing"",""สกลนคร!M251"")"),19800.0)</f>
        <v>19800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IFERROR(__xludf.DUMMYFUNCTION("IMPORTRANGE(""https://docs.google.com/spreadsheets/d/1XL5vhW3sbDhbH9Cz0tuDiY8C3ctxq1tqvaCgkFb8cCA/edit?usp=sharing"",""สกลนคร!M252"")"),39032.26)</f>
        <v>39032.26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IFERROR(__xludf.DUMMYFUNCTION("IMPORTRANGE(""https://docs.google.com/spreadsheets/d/1XL5vhW3sbDhbH9Cz0tuDiY8C3ctxq1tqvaCgkFb8cCA/edit?usp=sharing"",""สกลนคร!M253"")"),5510.0)</f>
        <v>5510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IFERROR(__xludf.DUMMYFUNCTION("IMPORTRANGE(""https://docs.google.com/spreadsheets/d/1XL5vhW3sbDhbH9Cz0tuDiY8C3ctxq1tqvaCgkFb8cCA/edit?usp=sharing"",""สกลนคร!J255"")"),0.0)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IFERROR(__xludf.DUMMYFUNCTION("IMPORTRANGE(""https://docs.google.com/spreadsheets/d/1XL5vhW3sbDhbH9Cz0tuDiY8C3ctxq1tqvaCgkFb8cCA/edit?usp=sharing"",""สกลนคร!J256"")"),1.0)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IFERROR(__xludf.DUMMYFUNCTION("IMPORTRANGE(""https://docs.google.com/spreadsheets/d/1XL5vhW3sbDhbH9Cz0tuDiY8C3ctxq1tqvaCgkFb8cCA/edit?usp=sharing"",""สกลนคร!J257"")"),1.0)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IFERROR(__xludf.DUMMYFUNCTION("IMPORTRANGE(""https://docs.google.com/spreadsheets/d/1XL5vhW3sbDhbH9Cz0tuDiY8C3ctxq1tqvaCgkFb8cCA/edit?usp=sharing"",""สกลนคร!J258"")"),1.0)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IFERROR(__xludf.DUMMYFUNCTION("IMPORTRANGE(""https://docs.google.com/spreadsheets/d/1XL5vhW3sbDhbH9Cz0tuDiY8C3ctxq1tqvaCgkFb8cCA/edit?usp=sharing"",""สกลนคร!J166"")"),0.0)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IFERROR(__xludf.DUMMYFUNCTION("IMPORTRANGE(""https://docs.google.com/spreadsheets/d/1XL5vhW3sbDhbH9Cz0tuDiY8C3ctxq1tqvaCgkFb8cCA/edit?usp=sharing"",""สกลนคร!J166"")"),0.0)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IFERROR(__xludf.DUMMYFUNCTION("IMPORTRANGE(""https://docs.google.com/spreadsheets/d/1XL5vhW3sbDhbH9Cz0tuDiY8C3ctxq1tqvaCgkFb8cCA/edit?usp=sharing"",""สกลนคร!J166"")"),0.0)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IFERROR(__xludf.DUMMYFUNCTION("IMPORTRANGE(""https://docs.google.com/spreadsheets/d/1XL5vhW3sbDhbH9Cz0tuDiY8C3ctxq1tqvaCgkFb8cCA/edit?usp=sharing"",""สกลนคร!J166"")"),0.0)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IFERROR(__xludf.DUMMYFUNCTION("IMPORTRANGE(""https://docs.google.com/spreadsheets/d/1XL5vhW3sbDhbH9Cz0tuDiY8C3ctxq1tqvaCgkFb8cCA/edit?usp=sharing"",""สกลนคร!I263"")"),61.0)</f>
        <v>61</v>
      </c>
      <c r="J368" s="222">
        <f>IFERROR(__xludf.DUMMYFUNCTION("IMPORTRANGE(""https://docs.google.com/spreadsheets/d/1XL5vhW3sbDhbH9Cz0tuDiY8C3ctxq1tqvaCgkFb8cCA/edit?usp=sharing"",""สกลนคร!J263"")"),0.0)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IFERROR(__xludf.DUMMYFUNCTION("IMPORTRANGE(""https://docs.google.com/spreadsheets/d/1XL5vhW3sbDhbH9Cz0tuDiY8C3ctxq1tqvaCgkFb8cCA/edit?usp=sharing"",""สกลนคร!I164"")"),0.0)</f>
        <v>0</v>
      </c>
      <c r="J369" s="238">
        <f>IFERROR(__xludf.DUMMYFUNCTION("IMPORTRANGE(""https://docs.google.com/spreadsheets/d/1XL5vhW3sbDhbH9Cz0tuDiY8C3ctxq1tqvaCgkFb8cCA/edit?usp=sharing"",""สกลนคร!J164"")"),0.0)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IFERROR(__xludf.DUMMYFUNCTION("IMPORTRANGE(""https://docs.google.com/spreadsheets/d/1XL5vhW3sbDhbH9Cz0tuDiY8C3ctxq1tqvaCgkFb8cCA/edit?usp=sharing"",""สกลนคร!I265"")"),61.0)</f>
        <v>61</v>
      </c>
      <c r="J370" s="238">
        <f>IFERROR(__xludf.DUMMYFUNCTION("IMPORTRANGE(""https://docs.google.com/spreadsheets/d/1XL5vhW3sbDhbH9Cz0tuDiY8C3ctxq1tqvaCgkFb8cCA/edit?usp=sharing"",""สกลนคร!J265"")"),29.0)</f>
        <v>29</v>
      </c>
      <c r="K370" s="196">
        <f t="shared" si="107"/>
        <v>47.54098361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IFERROR(__xludf.DUMMYFUNCTION("IMPORTRANGE(""https://docs.google.com/spreadsheets/d/1XL5vhW3sbDhbH9Cz0tuDiY8C3ctxq1tqvaCgkFb8cCA/edit?usp=sharing"",""สกลนคร!I164"")"),0.0)</f>
        <v>0</v>
      </c>
      <c r="J371" s="223">
        <f>IFERROR(__xludf.DUMMYFUNCTION("IMPORTRANGE(""https://docs.google.com/spreadsheets/d/1XL5vhW3sbDhbH9Cz0tuDiY8C3ctxq1tqvaCgkFb8cCA/edit?usp=sharing"",""สกลนคร!J164"")"),0.0)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IFERROR(__xludf.DUMMYFUNCTION("IMPORTRANGE(""https://docs.google.com/spreadsheets/d/1XL5vhW3sbDhbH9Cz0tuDiY8C3ctxq1tqvaCgkFb8cCA/edit?usp=sharing"",""สกลนคร!I267"")"),61.0)</f>
        <v>61</v>
      </c>
      <c r="J372" s="223">
        <f>IFERROR(__xludf.DUMMYFUNCTION("IMPORTRANGE(""https://docs.google.com/spreadsheets/d/1XL5vhW3sbDhbH9Cz0tuDiY8C3ctxq1tqvaCgkFb8cCA/edit?usp=sharing"",""สกลนคร!J267"")"),0.0)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IFERROR(__xludf.DUMMYFUNCTION("IMPORTRANGE(""https://docs.google.com/spreadsheets/d/1XL5vhW3sbDhbH9Cz0tuDiY8C3ctxq1tqvaCgkFb8cCA/edit?usp=sharing"",""สกลนคร!I164"")"),0.0)</f>
        <v>0</v>
      </c>
      <c r="J373" s="238">
        <f>IFERROR(__xludf.DUMMYFUNCTION("IMPORTRANGE(""https://docs.google.com/spreadsheets/d/1XL5vhW3sbDhbH9Cz0tuDiY8C3ctxq1tqvaCgkFb8cCA/edit?usp=sharing"",""สกลนคร!J164"")"),0.0)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IFERROR(__xludf.DUMMYFUNCTION("IMPORTRANGE(""https://docs.google.com/spreadsheets/d/1XL5vhW3sbDhbH9Cz0tuDiY8C3ctxq1tqvaCgkFb8cCA/edit?usp=sharing"",""สกลนคร!I164"")"),0.0)</f>
        <v>0</v>
      </c>
      <c r="J374" s="222">
        <f>IFERROR(__xludf.DUMMYFUNCTION("IMPORTRANGE(""https://docs.google.com/spreadsheets/d/1XL5vhW3sbDhbH9Cz0tuDiY8C3ctxq1tqvaCgkFb8cCA/edit?usp=sharing"",""สกลนคร!J164"")"),0.0)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IFERROR(__xludf.DUMMYFUNCTION("IMPORTRANGE(""https://docs.google.com/spreadsheets/d/1XL5vhW3sbDhbH9Cz0tuDiY8C3ctxq1tqvaCgkFb8cCA/edit?usp=sharing"",""สกลนคร!I270"")"),116.0)</f>
        <v>116</v>
      </c>
      <c r="J375" s="222">
        <f>IFERROR(__xludf.DUMMYFUNCTION("IMPORTRANGE(""https://docs.google.com/spreadsheets/d/1XL5vhW3sbDhbH9Cz0tuDiY8C3ctxq1tqvaCgkFb8cCA/edit?usp=sharing"",""สกลนคร!J270"")"),26.0)</f>
        <v>26</v>
      </c>
      <c r="K375" s="196">
        <f t="shared" ref="K375:K377" si="108">IF(I375&gt;0,J375*100/I375,0)</f>
        <v>22.4137931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IFERROR(__xludf.DUMMYFUNCTION("IMPORTRANGE(""https://docs.google.com/spreadsheets/d/1XL5vhW3sbDhbH9Cz0tuDiY8C3ctxq1tqvaCgkFb8cCA/edit?usp=sharing"",""สกลนคร!I271"")"),34.0)</f>
        <v>34</v>
      </c>
      <c r="J376" s="223">
        <f>IFERROR(__xludf.DUMMYFUNCTION("IMPORTRANGE(""https://docs.google.com/spreadsheets/d/1XL5vhW3sbDhbH9Cz0tuDiY8C3ctxq1tqvaCgkFb8cCA/edit?usp=sharing"",""สกลนคร!J271"")"),0.0)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IFERROR(__xludf.DUMMYFUNCTION("IMPORTRANGE(""https://docs.google.com/spreadsheets/d/1XL5vhW3sbDhbH9Cz0tuDiY8C3ctxq1tqvaCgkFb8cCA/edit?usp=sharing"",""สกลนคร!I272"")"),82.0)</f>
        <v>82</v>
      </c>
      <c r="J377" s="238">
        <f>IFERROR(__xludf.DUMMYFUNCTION("IMPORTRANGE(""https://docs.google.com/spreadsheets/d/1XL5vhW3sbDhbH9Cz0tuDiY8C3ctxq1tqvaCgkFb8cCA/edit?usp=sharing"",""สกลนคร!J272"")"),26.0)</f>
        <v>26</v>
      </c>
      <c r="K377" s="196">
        <f t="shared" si="108"/>
        <v>31.70731707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IFERROR(__xludf.DUMMYFUNCTION("IMPORTRANGE(""https://docs.google.com/spreadsheets/d/1XL5vhW3sbDhbH9Cz0tuDiY8C3ctxq1tqvaCgkFb8cCA/edit?usp=sharing"",""สกลนคร!J273"")"),0.0)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IFERROR(__xludf.DUMMYFUNCTION("IMPORTRANGE(""https://docs.google.com/spreadsheets/d/1XL5vhW3sbDhbH9Cz0tuDiY8C3ctxq1tqvaCgkFb8cCA/edit?usp=sharing"",""สกลนคร!J274"")"),0.0)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IFERROR(__xludf.DUMMYFUNCTION("IMPORTRANGE(""https://docs.google.com/spreadsheets/d/1XL5vhW3sbDhbH9Cz0tuDiY8C3ctxq1tqvaCgkFb8cCA/edit?usp=sharing"",""สกลนคร!I275"")"),500.0)</f>
        <v>500</v>
      </c>
      <c r="J380" s="404">
        <f>IFERROR(__xludf.DUMMYFUNCTION("IMPORTRANGE(""https://docs.google.com/spreadsheets/d/1XL5vhW3sbDhbH9Cz0tuDiY8C3ctxq1tqvaCgkFb8cCA/edit?usp=sharing"",""สกลนคร!J275"")"),0.0)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IFERROR(__xludf.DUMMYFUNCTION("IMPORTRANGE(""https://docs.google.com/spreadsheets/d/1XL5vhW3sbDhbH9Cz0tuDiY8C3ctxq1tqvaCgkFb8cCA/edit?usp=sharing"",""สกลนคร!L275"")"),460140.0)</f>
        <v>460140</v>
      </c>
      <c r="M380" s="406"/>
      <c r="N380" s="406">
        <f>IFERROR(__xludf.DUMMYFUNCTION("IMPORTRANGE(""https://docs.google.com/spreadsheets/d/1XL5vhW3sbDhbH9Cz0tuDiY8C3ctxq1tqvaCgkFb8cCA/edit?usp=sharing"",""สกลนคร!M275"")"),0.0)</f>
        <v>0</v>
      </c>
      <c r="O380" s="406">
        <f>+IF(L380&gt;0,N380*100/L380,0)</f>
        <v>0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IFERROR(__xludf.DUMMYFUNCTION("IMPORTRANGE(""https://docs.google.com/spreadsheets/d/1XL5vhW3sbDhbH9Cz0tuDiY8C3ctxq1tqvaCgkFb8cCA/edit?usp=sharing"",""สกลนคร!I276"")"),50.0)</f>
        <v>50</v>
      </c>
      <c r="J381" s="404">
        <f>IFERROR(__xludf.DUMMYFUNCTION("IMPORTRANGE(""https://docs.google.com/spreadsheets/d/1XL5vhW3sbDhbH9Cz0tuDiY8C3ctxq1tqvaCgkFb8cCA/edit?usp=sharing"",""สกลนคร!J276"")"),0.0)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IFERROR(__xludf.DUMMYFUNCTION("IMPORTRANGE(""https://docs.google.com/spreadsheets/d/1XL5vhW3sbDhbH9Cz0tuDiY8C3ctxq1tqvaCgkFb8cCA/edit?usp=sharing"",""สกลนคร!L277"")"),0.0)</f>
        <v>0</v>
      </c>
      <c r="M382" s="197"/>
      <c r="N382" s="197">
        <f>IFERROR(__xludf.DUMMYFUNCTION("IMPORTRANGE(""https://docs.google.com/spreadsheets/d/1XL5vhW3sbDhbH9Cz0tuDiY8C3ctxq1tqvaCgkFb8cCA/edit?usp=sharing"",""สกลนคร!M277"")"),0.0)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IFERROR(__xludf.DUMMYFUNCTION("IMPORTRANGE(""https://docs.google.com/spreadsheets/d/1XL5vhW3sbDhbH9Cz0tuDiY8C3ctxq1tqvaCgkFb8cCA/edit?usp=sharing"",""สกลนคร!L278"")"),460140.0)</f>
        <v>460140</v>
      </c>
      <c r="M383" s="198"/>
      <c r="N383" s="198">
        <f>IFERROR(__xludf.DUMMYFUNCTION("IMPORTRANGE(""https://docs.google.com/spreadsheets/d/1XL5vhW3sbDhbH9Cz0tuDiY8C3ctxq1tqvaCgkFb8cCA/edit?usp=sharing"",""สกลนคร!M278"")"),0.0)</f>
        <v>0</v>
      </c>
      <c r="O383" s="198">
        <f t="shared" si="110"/>
        <v>0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IFERROR(__xludf.DUMMYFUNCTION("IMPORTRANGE(""https://docs.google.com/spreadsheets/d/1XL5vhW3sbDhbH9Cz0tuDiY8C3ctxq1tqvaCgkFb8cCA/edit?usp=sharing"",""สกลนคร!L279"")"),0.0)</f>
        <v>0</v>
      </c>
      <c r="M384" s="203"/>
      <c r="N384" s="203">
        <f>IFERROR(__xludf.DUMMYFUNCTION("IMPORTRANGE(""https://docs.google.com/spreadsheets/d/1XL5vhW3sbDhbH9Cz0tuDiY8C3ctxq1tqvaCgkFb8cCA/edit?usp=sharing"",""สกลนคร!M279"")"),0.0)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IFERROR(__xludf.DUMMYFUNCTION("IMPORTRANGE(""https://docs.google.com/spreadsheets/d/1XL5vhW3sbDhbH9Cz0tuDiY8C3ctxq1tqvaCgkFb8cCA/edit?usp=sharing"",""สกลนคร!L280"")"),460140.0)</f>
        <v>460140</v>
      </c>
      <c r="M385" s="203"/>
      <c r="N385" s="200">
        <f>IFERROR(__xludf.DUMMYFUNCTION("IMPORTRANGE(""https://docs.google.com/spreadsheets/d/1XL5vhW3sbDhbH9Cz0tuDiY8C3ctxq1tqvaCgkFb8cCA/edit?usp=sharing"",""สกลนคร!M280"")"),0.0)</f>
        <v>0</v>
      </c>
      <c r="O385" s="203">
        <f t="shared" si="110"/>
        <v>0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IFERROR(__xludf.DUMMYFUNCTION("IMPORTRANGE(""https://docs.google.com/spreadsheets/d/1XL5vhW3sbDhbH9Cz0tuDiY8C3ctxq1tqvaCgkFb8cCA/edit?usp=sharing"",""สกลนคร!M281"")"),0.0)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IFERROR(__xludf.DUMMYFUNCTION("IMPORTRANGE(""https://docs.google.com/spreadsheets/d/1XL5vhW3sbDhbH9Cz0tuDiY8C3ctxq1tqvaCgkFb8cCA/edit?usp=sharing"",""สกลนคร!M282"")"),0.0)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IFERROR(__xludf.DUMMYFUNCTION("IMPORTRANGE(""https://docs.google.com/spreadsheets/d/1XL5vhW3sbDhbH9Cz0tuDiY8C3ctxq1tqvaCgkFb8cCA/edit?usp=sharing"",""สกลนคร!M283"")"),0.0)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IFERROR(__xludf.DUMMYFUNCTION("IMPORTRANGE(""https://docs.google.com/spreadsheets/d/1XL5vhW3sbDhbH9Cz0tuDiY8C3ctxq1tqvaCgkFb8cCA/edit?usp=sharing"",""สกลนคร!M284"")"),0.0)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IFERROR(__xludf.DUMMYFUNCTION("IMPORTRANGE(""https://docs.google.com/spreadsheets/d/1XL5vhW3sbDhbH9Cz0tuDiY8C3ctxq1tqvaCgkFb8cCA/edit?usp=sharing"",""สกลนคร!J286"")"),1.0)</f>
        <v>1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IFERROR(__xludf.DUMMYFUNCTION("IMPORTRANGE(""https://docs.google.com/spreadsheets/d/1XL5vhW3sbDhbH9Cz0tuDiY8C3ctxq1tqvaCgkFb8cCA/edit?usp=sharing"",""สกลนคร!J287"")"),0.0)</f>
        <v>0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IFERROR(__xludf.DUMMYFUNCTION("IMPORTRANGE(""https://docs.google.com/spreadsheets/d/1XL5vhW3sbDhbH9Cz0tuDiY8C3ctxq1tqvaCgkFb8cCA/edit?usp=sharing"",""สกลนคร!J288"")"),0.0)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IFERROR(__xludf.DUMMYFUNCTION("IMPORTRANGE(""https://docs.google.com/spreadsheets/d/1XL5vhW3sbDhbH9Cz0tuDiY8C3ctxq1tqvaCgkFb8cCA/edit?usp=sharing"",""สกลนคร!J289"")"),0.0)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IFERROR(__xludf.DUMMYFUNCTION("IMPORTRANGE(""https://docs.google.com/spreadsheets/d/1XL5vhW3sbDhbH9Cz0tuDiY8C3ctxq1tqvaCgkFb8cCA/edit?usp=sharing"",""สกลนคร!I291"")"),50.0)</f>
        <v>50</v>
      </c>
      <c r="J396" s="232">
        <f>IFERROR(__xludf.DUMMYFUNCTION("IMPORTRANGE(""https://docs.google.com/spreadsheets/d/1XL5vhW3sbDhbH9Cz0tuDiY8C3ctxq1tqvaCgkFb8cCA/edit?usp=sharing"",""สกลนคร!J291"")"),0.0)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IFERROR(__xludf.DUMMYFUNCTION("IMPORTRANGE(""https://docs.google.com/spreadsheets/d/1XL5vhW3sbDhbH9Cz0tuDiY8C3ctxq1tqvaCgkFb8cCA/edit?usp=sharing"",""สกลนคร!I292"")"),500.0)</f>
        <v>500</v>
      </c>
      <c r="J397" s="232">
        <f>IFERROR(__xludf.DUMMYFUNCTION("IMPORTRANGE(""https://docs.google.com/spreadsheets/d/1XL5vhW3sbDhbH9Cz0tuDiY8C3ctxq1tqvaCgkFb8cCA/edit?usp=sharing"",""สกลนคร!J292"")"),0.0)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IFERROR(__xludf.DUMMYFUNCTION("IMPORTRANGE(""https://docs.google.com/spreadsheets/d/1XL5vhW3sbDhbH9Cz0tuDiY8C3ctxq1tqvaCgkFb8cCA/edit?usp=sharing"",""สกลนคร!I293"")"),50.0)</f>
        <v>50</v>
      </c>
      <c r="J398" s="232">
        <f>IFERROR(__xludf.DUMMYFUNCTION("IMPORTRANGE(""https://docs.google.com/spreadsheets/d/1XL5vhW3sbDhbH9Cz0tuDiY8C3ctxq1tqvaCgkFb8cCA/edit?usp=sharing"",""สกลนคร!J293"")"),0.0)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IFERROR(__xludf.DUMMYFUNCTION("IMPORTRANGE(""https://docs.google.com/spreadsheets/d/1XL5vhW3sbDhbH9Cz0tuDiY8C3ctxq1tqvaCgkFb8cCA/edit?usp=sharing"",""สกลนคร!J294"")"),0.0)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IFERROR(__xludf.DUMMYFUNCTION("IMPORTRANGE(""https://docs.google.com/spreadsheets/d/1XL5vhW3sbDhbH9Cz0tuDiY8C3ctxq1tqvaCgkFb8cCA/edit?usp=sharing"",""สกลนคร!J295"")"),0.0)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IFERROR(__xludf.DUMMYFUNCTION("IMPORTRANGE(""https://docs.google.com/spreadsheets/d/1XL5vhW3sbDhbH9Cz0tuDiY8C3ctxq1tqvaCgkFb8cCA/edit?usp=sharing"",""สกลนคร!I296"")"),186.0)</f>
        <v>186</v>
      </c>
      <c r="J401" s="404">
        <f>IFERROR(__xludf.DUMMYFUNCTION("IMPORTRANGE(""https://docs.google.com/spreadsheets/d/1XL5vhW3sbDhbH9Cz0tuDiY8C3ctxq1tqvaCgkFb8cCA/edit?usp=sharing"",""สกลนคร!J296"")"),0.0)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IFERROR(__xludf.DUMMYFUNCTION("IMPORTRANGE(""https://docs.google.com/spreadsheets/d/1XL5vhW3sbDhbH9Cz0tuDiY8C3ctxq1tqvaCgkFb8cCA/edit?usp=sharing"",""สกลนคร!L296"")"),208700.0)</f>
        <v>208700</v>
      </c>
      <c r="M401" s="406"/>
      <c r="N401" s="406">
        <f>IFERROR(__xludf.DUMMYFUNCTION("IMPORTRANGE(""https://docs.google.com/spreadsheets/d/1XL5vhW3sbDhbH9Cz0tuDiY8C3ctxq1tqvaCgkFb8cCA/edit?usp=sharing"",""สกลนคร!M296"")"),960.0)</f>
        <v>960</v>
      </c>
      <c r="O401" s="406">
        <f>+IF(L401&gt;0,N401*100/L401,0)</f>
        <v>0.4599904169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IFERROR(__xludf.DUMMYFUNCTION("IMPORTRANGE(""https://docs.google.com/spreadsheets/d/1XL5vhW3sbDhbH9Cz0tuDiY8C3ctxq1tqvaCgkFb8cCA/edit?usp=sharing"",""สกลนคร!I297"")"),62.0)</f>
        <v>62</v>
      </c>
      <c r="J402" s="404">
        <f>IFERROR(__xludf.DUMMYFUNCTION("IMPORTRANGE(""https://docs.google.com/spreadsheets/d/1XL5vhW3sbDhbH9Cz0tuDiY8C3ctxq1tqvaCgkFb8cCA/edit?usp=sharing"",""สกลนคร!J297"")"),0.0)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IFERROR(__xludf.DUMMYFUNCTION("IMPORTRANGE(""https://docs.google.com/spreadsheets/d/1XL5vhW3sbDhbH9Cz0tuDiY8C3ctxq1tqvaCgkFb8cCA/edit?usp=sharing"",""สกลนคร!L298"")"),0.0)</f>
        <v>0</v>
      </c>
      <c r="M403" s="197"/>
      <c r="N403" s="203">
        <f>IFERROR(__xludf.DUMMYFUNCTION("IMPORTRANGE(""https://docs.google.com/spreadsheets/d/1XL5vhW3sbDhbH9Cz0tuDiY8C3ctxq1tqvaCgkFb8cCA/edit?usp=sharing"",""สกลนคร!M298"")"),0.0)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IFERROR(__xludf.DUMMYFUNCTION("IMPORTRANGE(""https://docs.google.com/spreadsheets/d/1XL5vhW3sbDhbH9Cz0tuDiY8C3ctxq1tqvaCgkFb8cCA/edit?usp=sharing"",""สกลนคร!L299"")"),208700.0)</f>
        <v>208700</v>
      </c>
      <c r="M404" s="198"/>
      <c r="N404" s="203">
        <f>IFERROR(__xludf.DUMMYFUNCTION("IMPORTRANGE(""https://docs.google.com/spreadsheets/d/1XL5vhW3sbDhbH9Cz0tuDiY8C3ctxq1tqvaCgkFb8cCA/edit?usp=sharing"",""สกลนคร!M299"")"),960.0)</f>
        <v>960</v>
      </c>
      <c r="O404" s="203">
        <f t="shared" si="113"/>
        <v>0.4599904169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IFERROR(__xludf.DUMMYFUNCTION("IMPORTRANGE(""https://docs.google.com/spreadsheets/d/1XL5vhW3sbDhbH9Cz0tuDiY8C3ctxq1tqvaCgkFb8cCA/edit?usp=sharing"",""สกลนคร!L300"")"),0.0)</f>
        <v>0</v>
      </c>
      <c r="M405" s="203"/>
      <c r="N405" s="203">
        <f>IFERROR(__xludf.DUMMYFUNCTION("IMPORTRANGE(""https://docs.google.com/spreadsheets/d/1XL5vhW3sbDhbH9Cz0tuDiY8C3ctxq1tqvaCgkFb8cCA/edit?usp=sharing"",""สกลนคร!M300"")"),0.0)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IFERROR(__xludf.DUMMYFUNCTION("IMPORTRANGE(""https://docs.google.com/spreadsheets/d/1XL5vhW3sbDhbH9Cz0tuDiY8C3ctxq1tqvaCgkFb8cCA/edit?usp=sharing"",""สกลนคร!L301"")"),208700.0)</f>
        <v>208700</v>
      </c>
      <c r="M406" s="203"/>
      <c r="N406" s="203">
        <f>IFERROR(__xludf.DUMMYFUNCTION("IMPORTRANGE(""https://docs.google.com/spreadsheets/d/1XL5vhW3sbDhbH9Cz0tuDiY8C3ctxq1tqvaCgkFb8cCA/edit?usp=sharing"",""สกลนคร!M301"")"),960.0)</f>
        <v>960</v>
      </c>
      <c r="O406" s="203">
        <f t="shared" si="113"/>
        <v>0.4599904169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IFERROR(__xludf.DUMMYFUNCTION("IMPORTRANGE(""https://docs.google.com/spreadsheets/d/1XL5vhW3sbDhbH9Cz0tuDiY8C3ctxq1tqvaCgkFb8cCA/edit?usp=sharing"",""สกลนคร!M302"")"),0.0)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IFERROR(__xludf.DUMMYFUNCTION("IMPORTRANGE(""https://docs.google.com/spreadsheets/d/1XL5vhW3sbDhbH9Cz0tuDiY8C3ctxq1tqvaCgkFb8cCA/edit?usp=sharing"",""สกลนคร!M303"")"),0.0)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IFERROR(__xludf.DUMMYFUNCTION("IMPORTRANGE(""https://docs.google.com/spreadsheets/d/1XL5vhW3sbDhbH9Cz0tuDiY8C3ctxq1tqvaCgkFb8cCA/edit?usp=sharing"",""สกลนคร!M304"")"),0.0)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IFERROR(__xludf.DUMMYFUNCTION("IMPORTRANGE(""https://docs.google.com/spreadsheets/d/1XL5vhW3sbDhbH9Cz0tuDiY8C3ctxq1tqvaCgkFb8cCA/edit?usp=sharing"",""สกลนคร!M305"")"),960.0)</f>
        <v>960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IFERROR(__xludf.DUMMYFUNCTION("IMPORTRANGE(""https://docs.google.com/spreadsheets/d/1XL5vhW3sbDhbH9Cz0tuDiY8C3ctxq1tqvaCgkFb8cCA/edit?usp=sharing"",""สกลนคร!J307"")"),0.0)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IFERROR(__xludf.DUMMYFUNCTION("IMPORTRANGE(""https://docs.google.com/spreadsheets/d/1XL5vhW3sbDhbH9Cz0tuDiY8C3ctxq1tqvaCgkFb8cCA/edit?usp=sharing"",""สกลนคร!J308"")"),1.0)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IFERROR(__xludf.DUMMYFUNCTION("IMPORTRANGE(""https://docs.google.com/spreadsheets/d/1XL5vhW3sbDhbH9Cz0tuDiY8C3ctxq1tqvaCgkFb8cCA/edit?usp=sharing"",""สกลนคร!J309"")"),1.0)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IFERROR(__xludf.DUMMYFUNCTION("IMPORTRANGE(""https://docs.google.com/spreadsheets/d/1XL5vhW3sbDhbH9Cz0tuDiY8C3ctxq1tqvaCgkFb8cCA/edit?usp=sharing"",""สกลนคร!J310"")"),1.0)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IFERROR(__xludf.DUMMYFUNCTION("IMPORTRANGE(""https://docs.google.com/spreadsheets/d/1XL5vhW3sbDhbH9Cz0tuDiY8C3ctxq1tqvaCgkFb8cCA/edit?usp=sharing"",""สกลนคร!I311"")"),62.0)</f>
        <v>62</v>
      </c>
      <c r="J416" s="235">
        <f>IFERROR(__xludf.DUMMYFUNCTION("IMPORTRANGE(""https://docs.google.com/spreadsheets/d/1XL5vhW3sbDhbH9Cz0tuDiY8C3ctxq1tqvaCgkFb8cCA/edit?usp=sharing"",""สกลนคร!J311"")"),0.0)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IFERROR(__xludf.DUMMYFUNCTION("IMPORTRANGE(""https://docs.google.com/spreadsheets/d/1XL5vhW3sbDhbH9Cz0tuDiY8C3ctxq1tqvaCgkFb8cCA/edit?usp=sharing"",""สกลนคร!I312"")"),20.0)</f>
        <v>20</v>
      </c>
      <c r="J417" s="425">
        <f>IFERROR(__xludf.DUMMYFUNCTION("IMPORTRANGE(""https://docs.google.com/spreadsheets/d/1XL5vhW3sbDhbH9Cz0tuDiY8C3ctxq1tqvaCgkFb8cCA/edit?usp=sharing"",""สกลนคร!J312"")"),0.0)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IFERROR(__xludf.DUMMYFUNCTION("IMPORTRANGE(""https://docs.google.com/spreadsheets/d/1XL5vhW3sbDhbH9Cz0tuDiY8C3ctxq1tqvaCgkFb8cCA/edit?usp=sharing"",""สกลนคร!I313"")"),60.0)</f>
        <v>60</v>
      </c>
      <c r="J418" s="426">
        <f>IFERROR(__xludf.DUMMYFUNCTION("IMPORTRANGE(""https://docs.google.com/spreadsheets/d/1XL5vhW3sbDhbH9Cz0tuDiY8C3ctxq1tqvaCgkFb8cCA/edit?usp=sharing"",""สกลนคร!J313"")"),0.0)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IFERROR(__xludf.DUMMYFUNCTION("IMPORTRANGE(""https://docs.google.com/spreadsheets/d/1XL5vhW3sbDhbH9Cz0tuDiY8C3ctxq1tqvaCgkFb8cCA/edit?usp=sharing"",""สกลนคร!I314"")"),20.0)</f>
        <v>20</v>
      </c>
      <c r="J419" s="427">
        <f>IFERROR(__xludf.DUMMYFUNCTION("IMPORTRANGE(""https://docs.google.com/spreadsheets/d/1XL5vhW3sbDhbH9Cz0tuDiY8C3ctxq1tqvaCgkFb8cCA/edit?usp=sharing"",""สกลนคร!J314"")"),0.0)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IFERROR(__xludf.DUMMYFUNCTION("IMPORTRANGE(""https://docs.google.com/spreadsheets/d/1XL5vhW3sbDhbH9Cz0tuDiY8C3ctxq1tqvaCgkFb8cCA/edit?usp=sharing"",""สกลนคร!I315"")"),20.0)</f>
        <v>20</v>
      </c>
      <c r="J420" s="427">
        <f>IFERROR(__xludf.DUMMYFUNCTION("IMPORTRANGE(""https://docs.google.com/spreadsheets/d/1XL5vhW3sbDhbH9Cz0tuDiY8C3ctxq1tqvaCgkFb8cCA/edit?usp=sharing"",""สกลนคร!J315"")"),0.0)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IFERROR(__xludf.DUMMYFUNCTION("IMPORTRANGE(""https://docs.google.com/spreadsheets/d/1XL5vhW3sbDhbH9Cz0tuDiY8C3ctxq1tqvaCgkFb8cCA/edit?usp=sharing"",""สกลนคร!I316"")"),30.0)</f>
        <v>30</v>
      </c>
      <c r="J421" s="425">
        <f>IFERROR(__xludf.DUMMYFUNCTION("IMPORTRANGE(""https://docs.google.com/spreadsheets/d/1XL5vhW3sbDhbH9Cz0tuDiY8C3ctxq1tqvaCgkFb8cCA/edit?usp=sharing"",""สกลนคร!J316"")"),0.0)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IFERROR(__xludf.DUMMYFUNCTION("IMPORTRANGE(""https://docs.google.com/spreadsheets/d/1XL5vhW3sbDhbH9Cz0tuDiY8C3ctxq1tqvaCgkFb8cCA/edit?usp=sharing"",""สกลนคร!I317"")"),90.0)</f>
        <v>90</v>
      </c>
      <c r="J422" s="426">
        <f>IFERROR(__xludf.DUMMYFUNCTION("IMPORTRANGE(""https://docs.google.com/spreadsheets/d/1XL5vhW3sbDhbH9Cz0tuDiY8C3ctxq1tqvaCgkFb8cCA/edit?usp=sharing"",""สกลนคร!J317"")"),0.0)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IFERROR(__xludf.DUMMYFUNCTION("IMPORTRANGE(""https://docs.google.com/spreadsheets/d/1XL5vhW3sbDhbH9Cz0tuDiY8C3ctxq1tqvaCgkFb8cCA/edit?usp=sharing"",""สกลนคร!I318"")"),30.0)</f>
        <v>30</v>
      </c>
      <c r="J423" s="427">
        <f>IFERROR(__xludf.DUMMYFUNCTION("IMPORTRANGE(""https://docs.google.com/spreadsheets/d/1XL5vhW3sbDhbH9Cz0tuDiY8C3ctxq1tqvaCgkFb8cCA/edit?usp=sharing"",""สกลนคร!J318"")"),0.0)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IFERROR(__xludf.DUMMYFUNCTION("IMPORTRANGE(""https://docs.google.com/spreadsheets/d/1XL5vhW3sbDhbH9Cz0tuDiY8C3ctxq1tqvaCgkFb8cCA/edit?usp=sharing"",""สกลนคร!I319"")"),30.0)</f>
        <v>30</v>
      </c>
      <c r="J424" s="427">
        <f>IFERROR(__xludf.DUMMYFUNCTION("IMPORTRANGE(""https://docs.google.com/spreadsheets/d/1XL5vhW3sbDhbH9Cz0tuDiY8C3ctxq1tqvaCgkFb8cCA/edit?usp=sharing"",""สกลนคร!J319"")"),0.0)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IFERROR(__xludf.DUMMYFUNCTION("IMPORTRANGE(""https://docs.google.com/spreadsheets/d/1XL5vhW3sbDhbH9Cz0tuDiY8C3ctxq1tqvaCgkFb8cCA/edit?usp=sharing"",""สกลนคร!I320"")"),30.0)</f>
        <v>30</v>
      </c>
      <c r="J425" s="427">
        <f>IFERROR(__xludf.DUMMYFUNCTION("IMPORTRANGE(""https://docs.google.com/spreadsheets/d/1XL5vhW3sbDhbH9Cz0tuDiY8C3ctxq1tqvaCgkFb8cCA/edit?usp=sharing"",""สกลนคร!J320"")"),0.0)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IFERROR(__xludf.DUMMYFUNCTION("IMPORTRANGE(""https://docs.google.com/spreadsheets/d/1XL5vhW3sbDhbH9Cz0tuDiY8C3ctxq1tqvaCgkFb8cCA/edit?usp=sharing"",""สกลนคร!I321"")"),12.0)</f>
        <v>12</v>
      </c>
      <c r="J426" s="425">
        <f>IFERROR(__xludf.DUMMYFUNCTION("IMPORTRANGE(""https://docs.google.com/spreadsheets/d/1XL5vhW3sbDhbH9Cz0tuDiY8C3ctxq1tqvaCgkFb8cCA/edit?usp=sharing"",""สกลนคร!J321"")"),0.0)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IFERROR(__xludf.DUMMYFUNCTION("IMPORTRANGE(""https://docs.google.com/spreadsheets/d/1XL5vhW3sbDhbH9Cz0tuDiY8C3ctxq1tqvaCgkFb8cCA/edit?usp=sharing"",""สกลนคร!I322"")"),36.0)</f>
        <v>36</v>
      </c>
      <c r="J427" s="426">
        <f>IFERROR(__xludf.DUMMYFUNCTION("IMPORTRANGE(""https://docs.google.com/spreadsheets/d/1XL5vhW3sbDhbH9Cz0tuDiY8C3ctxq1tqvaCgkFb8cCA/edit?usp=sharing"",""สกลนคร!J322"")"),0.0)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IFERROR(__xludf.DUMMYFUNCTION("IMPORTRANGE(""https://docs.google.com/spreadsheets/d/1XL5vhW3sbDhbH9Cz0tuDiY8C3ctxq1tqvaCgkFb8cCA/edit?usp=sharing"",""สกลนคร!I323"")"),12.0)</f>
        <v>12</v>
      </c>
      <c r="J428" s="427">
        <f>IFERROR(__xludf.DUMMYFUNCTION("IMPORTRANGE(""https://docs.google.com/spreadsheets/d/1XL5vhW3sbDhbH9Cz0tuDiY8C3ctxq1tqvaCgkFb8cCA/edit?usp=sharing"",""สกลนคร!J323"")"),0.0)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IFERROR(__xludf.DUMMYFUNCTION("IMPORTRANGE(""https://docs.google.com/spreadsheets/d/1XL5vhW3sbDhbH9Cz0tuDiY8C3ctxq1tqvaCgkFb8cCA/edit?usp=sharing"",""สกลนคร!I324"")"),12.0)</f>
        <v>12</v>
      </c>
      <c r="J429" s="427">
        <f>IFERROR(__xludf.DUMMYFUNCTION("IMPORTRANGE(""https://docs.google.com/spreadsheets/d/1XL5vhW3sbDhbH9Cz0tuDiY8C3ctxq1tqvaCgkFb8cCA/edit?usp=sharing"",""สกลนคร!J324"")"),0.0)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IFERROR(__xludf.DUMMYFUNCTION("IMPORTRANGE(""https://docs.google.com/spreadsheets/d/1XL5vhW3sbDhbH9Cz0tuDiY8C3ctxq1tqvaCgkFb8cCA/edit?usp=sharing"",""สกลนคร!I325"")"),50.0)</f>
        <v>50</v>
      </c>
      <c r="J430" s="425">
        <f>IFERROR(__xludf.DUMMYFUNCTION("IMPORTRANGE(""https://docs.google.com/spreadsheets/d/1XL5vhW3sbDhbH9Cz0tuDiY8C3ctxq1tqvaCgkFb8cCA/edit?usp=sharing"",""สกลนคร!J325"")"),0.0)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IFERROR(__xludf.DUMMYFUNCTION("IMPORTRANGE(""https://docs.google.com/spreadsheets/d/1XL5vhW3sbDhbH9Cz0tuDiY8C3ctxq1tqvaCgkFb8cCA/edit?usp=sharing"",""สกลนคร!I326"")"),20.0)</f>
        <v>20</v>
      </c>
      <c r="J431" s="427">
        <f>IFERROR(__xludf.DUMMYFUNCTION("IMPORTRANGE(""https://docs.google.com/spreadsheets/d/1XL5vhW3sbDhbH9Cz0tuDiY8C3ctxq1tqvaCgkFb8cCA/edit?usp=sharing"",""สกลนคร!J326"")"),0.0)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IFERROR(__xludf.DUMMYFUNCTION("IMPORTRANGE(""https://docs.google.com/spreadsheets/d/1XL5vhW3sbDhbH9Cz0tuDiY8C3ctxq1tqvaCgkFb8cCA/edit?usp=sharing"",""สกลนคร!I327"")"),30.0)</f>
        <v>30</v>
      </c>
      <c r="J432" s="427">
        <f>IFERROR(__xludf.DUMMYFUNCTION("IMPORTRANGE(""https://docs.google.com/spreadsheets/d/1XL5vhW3sbDhbH9Cz0tuDiY8C3ctxq1tqvaCgkFb8cCA/edit?usp=sharing"",""สกลนคร!J327"")"),0.0)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IFERROR(__xludf.DUMMYFUNCTION("IMPORTRANGE(""https://docs.google.com/spreadsheets/d/1XL5vhW3sbDhbH9Cz0tuDiY8C3ctxq1tqvaCgkFb8cCA/edit?usp=sharing"",""สกลนคร!J328"")"),0.0)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IFERROR(__xludf.DUMMYFUNCTION("IMPORTRANGE(""https://docs.google.com/spreadsheets/d/1XL5vhW3sbDhbH9Cz0tuDiY8C3ctxq1tqvaCgkFb8cCA/edit?usp=sharing"",""สกลนคร!J329"")"),0.0)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IFERROR(__xludf.DUMMYFUNCTION("IMPORTRANGE(""https://docs.google.com/spreadsheets/d/1XL5vhW3sbDhbH9Cz0tuDiY8C3ctxq1tqvaCgkFb8cCA/edit?usp=sharing"",""สกลนคร!I330"")"),30.0)</f>
        <v>30</v>
      </c>
      <c r="J435" s="443">
        <f>IFERROR(__xludf.DUMMYFUNCTION("IMPORTRANGE(""https://docs.google.com/spreadsheets/d/1XL5vhW3sbDhbH9Cz0tuDiY8C3ctxq1tqvaCgkFb8cCA/edit?usp=sharing"",""สกลนคร!J330"")"),30.0)</f>
        <v>30</v>
      </c>
      <c r="K435" s="444">
        <f>IF(I435&gt;0,J435*100/I435,0)</f>
        <v>100</v>
      </c>
      <c r="L435" s="445">
        <f>IFERROR(__xludf.DUMMYFUNCTION("IMPORTRANGE(""https://docs.google.com/spreadsheets/d/1XL5vhW3sbDhbH9Cz0tuDiY8C3ctxq1tqvaCgkFb8cCA/edit?usp=sharing"",""สกลนคร!L330"")"),116000.0)</f>
        <v>116000</v>
      </c>
      <c r="M435" s="445"/>
      <c r="N435" s="445">
        <f>IFERROR(__xludf.DUMMYFUNCTION("IMPORTRANGE(""https://docs.google.com/spreadsheets/d/1XL5vhW3sbDhbH9Cz0tuDiY8C3ctxq1tqvaCgkFb8cCA/edit?usp=sharing"",""สกลนคร!M330"")"),51074.0)</f>
        <v>51074</v>
      </c>
      <c r="O435" s="445">
        <f t="shared" ref="O435:O439" si="115">+IF(L435&gt;0,N435*100/L435,0)</f>
        <v>44.02931034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IFERROR(__xludf.DUMMYFUNCTION("IMPORTRANGE(""https://docs.google.com/spreadsheets/d/1XL5vhW3sbDhbH9Cz0tuDiY8C3ctxq1tqvaCgkFb8cCA/edit?usp=sharing"",""สกลนคร!L331"")"),0.0)</f>
        <v>0</v>
      </c>
      <c r="M436" s="197"/>
      <c r="N436" s="203">
        <f>IFERROR(__xludf.DUMMYFUNCTION("IMPORTRANGE(""https://docs.google.com/spreadsheets/d/1XL5vhW3sbDhbH9Cz0tuDiY8C3ctxq1tqvaCgkFb8cCA/edit?usp=sharing"",""สกลนคร!M331"")"),0.0)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IFERROR(__xludf.DUMMYFUNCTION("IMPORTRANGE(""https://docs.google.com/spreadsheets/d/1XL5vhW3sbDhbH9Cz0tuDiY8C3ctxq1tqvaCgkFb8cCA/edit?usp=sharing"",""สกลนคร!L332"")"),116000.0)</f>
        <v>116000</v>
      </c>
      <c r="M437" s="198"/>
      <c r="N437" s="203">
        <f>IFERROR(__xludf.DUMMYFUNCTION("IMPORTRANGE(""https://docs.google.com/spreadsheets/d/1XL5vhW3sbDhbH9Cz0tuDiY8C3ctxq1tqvaCgkFb8cCA/edit?usp=sharing"",""สกลนคร!M332"")"),51074.0)</f>
        <v>51074</v>
      </c>
      <c r="O437" s="203">
        <f t="shared" si="115"/>
        <v>44.02931034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IFERROR(__xludf.DUMMYFUNCTION("IMPORTRANGE(""https://docs.google.com/spreadsheets/d/1XL5vhW3sbDhbH9Cz0tuDiY8C3ctxq1tqvaCgkFb8cCA/edit?usp=sharing"",""สกลนคร!L333"")"),0.0)</f>
        <v>0</v>
      </c>
      <c r="M438" s="203"/>
      <c r="N438" s="203">
        <f>IFERROR(__xludf.DUMMYFUNCTION("IMPORTRANGE(""https://docs.google.com/spreadsheets/d/1XL5vhW3sbDhbH9Cz0tuDiY8C3ctxq1tqvaCgkFb8cCA/edit?usp=sharing"",""สกลนคร!M333"")"),0.0)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IFERROR(__xludf.DUMMYFUNCTION("IMPORTRANGE(""https://docs.google.com/spreadsheets/d/1XL5vhW3sbDhbH9Cz0tuDiY8C3ctxq1tqvaCgkFb8cCA/edit?usp=sharing"",""สกลนคร!L334"")"),116000.0)</f>
        <v>116000</v>
      </c>
      <c r="M439" s="203"/>
      <c r="N439" s="203">
        <f>IFERROR(__xludf.DUMMYFUNCTION("IMPORTRANGE(""https://docs.google.com/spreadsheets/d/1XL5vhW3sbDhbH9Cz0tuDiY8C3ctxq1tqvaCgkFb8cCA/edit?usp=sharing"",""สกลนคร!M334"")"),51074.0)</f>
        <v>51074</v>
      </c>
      <c r="O439" s="203">
        <f t="shared" si="115"/>
        <v>44.02931034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IFERROR(__xludf.DUMMYFUNCTION("IMPORTRANGE(""https://docs.google.com/spreadsheets/d/1XL5vhW3sbDhbH9Cz0tuDiY8C3ctxq1tqvaCgkFb8cCA/edit?usp=sharing"",""สกลนคร!M335"")"),38104.0)</f>
        <v>38104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IFERROR(__xludf.DUMMYFUNCTION("IMPORTRANGE(""https://docs.google.com/spreadsheets/d/1XL5vhW3sbDhbH9Cz0tuDiY8C3ctxq1tqvaCgkFb8cCA/edit?usp=sharing"",""สกลนคร!M336"")"),0.0)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IFERROR(__xludf.DUMMYFUNCTION("IMPORTRANGE(""https://docs.google.com/spreadsheets/d/1XL5vhW3sbDhbH9Cz0tuDiY8C3ctxq1tqvaCgkFb8cCA/edit?usp=sharing"",""สกลนคร!M337"")"),0.0)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IFERROR(__xludf.DUMMYFUNCTION("IMPORTRANGE(""https://docs.google.com/spreadsheets/d/1XL5vhW3sbDhbH9Cz0tuDiY8C3ctxq1tqvaCgkFb8cCA/edit?usp=sharing"",""สกลนคร!M338"")"),12970.0)</f>
        <v>12970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IFERROR(__xludf.DUMMYFUNCTION("IMPORTRANGE(""https://docs.google.com/spreadsheets/d/1XL5vhW3sbDhbH9Cz0tuDiY8C3ctxq1tqvaCgkFb8cCA/edit?usp=sharing"",""สกลนคร!J340"")"),0.0)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IFERROR(__xludf.DUMMYFUNCTION("IMPORTRANGE(""https://docs.google.com/spreadsheets/d/1XL5vhW3sbDhbH9Cz0tuDiY8C3ctxq1tqvaCgkFb8cCA/edit?usp=sharing"",""สกลนคร!J341"")"),1.0)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IFERROR(__xludf.DUMMYFUNCTION("IMPORTRANGE(""https://docs.google.com/spreadsheets/d/1XL5vhW3sbDhbH9Cz0tuDiY8C3ctxq1tqvaCgkFb8cCA/edit?usp=sharing"",""สกลนคร!J342"")"),1.0)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IFERROR(__xludf.DUMMYFUNCTION("IMPORTRANGE(""https://docs.google.com/spreadsheets/d/1XL5vhW3sbDhbH9Cz0tuDiY8C3ctxq1tqvaCgkFb8cCA/edit?usp=sharing"",""สกลนคร!J343"")"),1.0)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IFERROR(__xludf.DUMMYFUNCTION("IMPORTRANGE(""https://docs.google.com/spreadsheets/d/1XL5vhW3sbDhbH9Cz0tuDiY8C3ctxq1tqvaCgkFb8cCA/edit?usp=sharing"",""สกลนคร!I344"")"),30.0)</f>
        <v>30</v>
      </c>
      <c r="J449" s="235">
        <f>IFERROR(__xludf.DUMMYFUNCTION("IMPORTRANGE(""https://docs.google.com/spreadsheets/d/1XL5vhW3sbDhbH9Cz0tuDiY8C3ctxq1tqvaCgkFb8cCA/edit?usp=sharing"",""สกลนคร!J344"")"),30.0)</f>
        <v>30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IFERROR(__xludf.DUMMYFUNCTION("IMPORTRANGE(""https://docs.google.com/spreadsheets/d/1XL5vhW3sbDhbH9Cz0tuDiY8C3ctxq1tqvaCgkFb8cCA/edit?usp=sharing"",""สกลนคร!I345"")"),30.0)</f>
        <v>30</v>
      </c>
      <c r="J450" s="223">
        <f>IFERROR(__xludf.DUMMYFUNCTION("IMPORTRANGE(""https://docs.google.com/spreadsheets/d/1XL5vhW3sbDhbH9Cz0tuDiY8C3ctxq1tqvaCgkFb8cCA/edit?usp=sharing"",""สกลนคร!J345"")"),30.0)</f>
        <v>30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IFERROR(__xludf.DUMMYFUNCTION("IMPORTRANGE(""https://docs.google.com/spreadsheets/d/1XL5vhW3sbDhbH9Cz0tuDiY8C3ctxq1tqvaCgkFb8cCA/edit?usp=sharing"",""สกลนคร!I346"")"),0.0)</f>
        <v>0</v>
      </c>
      <c r="J451" s="222">
        <f>IFERROR(__xludf.DUMMYFUNCTION("IMPORTRANGE(""https://docs.google.com/spreadsheets/d/1XL5vhW3sbDhbH9Cz0tuDiY8C3ctxq1tqvaCgkFb8cCA/edit?usp=sharing"",""สกลนคร!J346"")"),0.0)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IFERROR(__xludf.DUMMYFUNCTION("IMPORTRANGE(""https://docs.google.com/spreadsheets/d/1XL5vhW3sbDhbH9Cz0tuDiY8C3ctxq1tqvaCgkFb8cCA/edit?usp=sharing"",""สกลนคร!I347"")"),0.0)</f>
        <v>0</v>
      </c>
      <c r="J452" s="222">
        <f>IFERROR(__xludf.DUMMYFUNCTION("IMPORTRANGE(""https://docs.google.com/spreadsheets/d/1XL5vhW3sbDhbH9Cz0tuDiY8C3ctxq1tqvaCgkFb8cCA/edit?usp=sharing"",""สกลนคร!J347"")"),0.0)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IFERROR(__xludf.DUMMYFUNCTION("IMPORTRANGE(""https://docs.google.com/spreadsheets/d/1XL5vhW3sbDhbH9Cz0tuDiY8C3ctxq1tqvaCgkFb8cCA/edit?usp=sharing"",""สกลนคร!J348"")"),0.0)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IFERROR(__xludf.DUMMYFUNCTION("IMPORTRANGE(""https://docs.google.com/spreadsheets/d/1XL5vhW3sbDhbH9Cz0tuDiY8C3ctxq1tqvaCgkFb8cCA/edit?usp=sharing"",""สกลนคร!J349"")"),0.0)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IFERROR(__xludf.DUMMYFUNCTION("IMPORTRANGE(""https://docs.google.com/spreadsheets/d/1XL5vhW3sbDhbH9Cz0tuDiY8C3ctxq1tqvaCgkFb8cCA/edit?usp=sharing"",""สกลนคร!I350"")"),43589.0)</f>
        <v>43589</v>
      </c>
      <c r="J455" s="404">
        <f>IFERROR(__xludf.DUMMYFUNCTION("IMPORTRANGE(""https://docs.google.com/spreadsheets/d/1XL5vhW3sbDhbH9Cz0tuDiY8C3ctxq1tqvaCgkFb8cCA/edit?usp=sharing"",""สกลนคร!J350"")"),0.0)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IFERROR(__xludf.DUMMYFUNCTION("IMPORTRANGE(""https://docs.google.com/spreadsheets/d/1XL5vhW3sbDhbH9Cz0tuDiY8C3ctxq1tqvaCgkFb8cCA/edit?usp=sharing"",""สกลนคร!L350"")"),585768.0)</f>
        <v>585768</v>
      </c>
      <c r="M455" s="406"/>
      <c r="N455" s="406">
        <f>IFERROR(__xludf.DUMMYFUNCTION("IMPORTRANGE(""https://docs.google.com/spreadsheets/d/1XL5vhW3sbDhbH9Cz0tuDiY8C3ctxq1tqvaCgkFb8cCA/edit?usp=sharing"",""สกลนคร!M350"")"),67701.26000000001)</f>
        <v>67701.26</v>
      </c>
      <c r="O455" s="406">
        <f t="shared" ref="O455:O459" si="117">+IF(L455&gt;0,N455*100/L455,0)</f>
        <v>11.55769178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IFERROR(__xludf.DUMMYFUNCTION("IMPORTRANGE(""https://docs.google.com/spreadsheets/d/1XL5vhW3sbDhbH9Cz0tuDiY8C3ctxq1tqvaCgkFb8cCA/edit?usp=sharing"",""สกลนคร!L351"")"),0.0)</f>
        <v>0</v>
      </c>
      <c r="M456" s="197"/>
      <c r="N456" s="203">
        <f>IFERROR(__xludf.DUMMYFUNCTION("IMPORTRANGE(""https://docs.google.com/spreadsheets/d/1XL5vhW3sbDhbH9Cz0tuDiY8C3ctxq1tqvaCgkFb8cCA/edit?usp=sharing"",""สกลนคร!M351"")"),0.0)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IFERROR(__xludf.DUMMYFUNCTION("IMPORTRANGE(""https://docs.google.com/spreadsheets/d/1XL5vhW3sbDhbH9Cz0tuDiY8C3ctxq1tqvaCgkFb8cCA/edit?usp=sharing"",""สกลนคร!L352"")"),585768.0)</f>
        <v>585768</v>
      </c>
      <c r="M457" s="198"/>
      <c r="N457" s="203">
        <f>IFERROR(__xludf.DUMMYFUNCTION("IMPORTRANGE(""https://docs.google.com/spreadsheets/d/1XL5vhW3sbDhbH9Cz0tuDiY8C3ctxq1tqvaCgkFb8cCA/edit?usp=sharing"",""สกลนคร!M352"")"),67701.26000000001)</f>
        <v>67701.26</v>
      </c>
      <c r="O457" s="203">
        <f t="shared" si="117"/>
        <v>11.55769178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IFERROR(__xludf.DUMMYFUNCTION("IMPORTRANGE(""https://docs.google.com/spreadsheets/d/1XL5vhW3sbDhbH9Cz0tuDiY8C3ctxq1tqvaCgkFb8cCA/edit?usp=sharing"",""สกลนคร!L353"")"),0.0)</f>
        <v>0</v>
      </c>
      <c r="M458" s="203"/>
      <c r="N458" s="203">
        <f>IFERROR(__xludf.DUMMYFUNCTION("IMPORTRANGE(""https://docs.google.com/spreadsheets/d/1XL5vhW3sbDhbH9Cz0tuDiY8C3ctxq1tqvaCgkFb8cCA/edit?usp=sharing"",""สกลนคร!M353"")"),0.0)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IFERROR(__xludf.DUMMYFUNCTION("IMPORTRANGE(""https://docs.google.com/spreadsheets/d/1XL5vhW3sbDhbH9Cz0tuDiY8C3ctxq1tqvaCgkFb8cCA/edit?usp=sharing"",""สกลนคร!L354"")"),585768.0)</f>
        <v>585768</v>
      </c>
      <c r="M459" s="203"/>
      <c r="N459" s="203">
        <f>IFERROR(__xludf.DUMMYFUNCTION("IMPORTRANGE(""https://docs.google.com/spreadsheets/d/1XL5vhW3sbDhbH9Cz0tuDiY8C3ctxq1tqvaCgkFb8cCA/edit?usp=sharing"",""สกลนคร!M354"")"),67701.26000000001)</f>
        <v>67701.26</v>
      </c>
      <c r="O459" s="203">
        <f t="shared" si="117"/>
        <v>11.55769178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IFERROR(__xludf.DUMMYFUNCTION("IMPORTRANGE(""https://docs.google.com/spreadsheets/d/1XL5vhW3sbDhbH9Cz0tuDiY8C3ctxq1tqvaCgkFb8cCA/edit?usp=sharing"",""สกลนคร!M355"")"),0.0)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IFERROR(__xludf.DUMMYFUNCTION("IMPORTRANGE(""https://docs.google.com/spreadsheets/d/1XL5vhW3sbDhbH9Cz0tuDiY8C3ctxq1tqvaCgkFb8cCA/edit?usp=sharing"",""สกลนคร!M356"")"),0.0)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IFERROR(__xludf.DUMMYFUNCTION("IMPORTRANGE(""https://docs.google.com/spreadsheets/d/1XL5vhW3sbDhbH9Cz0tuDiY8C3ctxq1tqvaCgkFb8cCA/edit?usp=sharing"",""สกลนคร!M357"")"),39032.26)</f>
        <v>39032.26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IFERROR(__xludf.DUMMYFUNCTION("IMPORTRANGE(""https://docs.google.com/spreadsheets/d/1XL5vhW3sbDhbH9Cz0tuDiY8C3ctxq1tqvaCgkFb8cCA/edit?usp=sharing"",""สกลนคร!M358"")"),28669.0)</f>
        <v>28669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IFERROR(__xludf.DUMMYFUNCTION("IMPORTRANGE(""https://docs.google.com/spreadsheets/d/1XL5vhW3sbDhbH9Cz0tuDiY8C3ctxq1tqvaCgkFb8cCA/edit?usp=sharing"",""สกลนคร!I359"")"),43589.0)</f>
        <v>43589</v>
      </c>
      <c r="J464" s="301">
        <f>IFERROR(__xludf.DUMMYFUNCTION("IMPORTRANGE(""https://docs.google.com/spreadsheets/d/1XL5vhW3sbDhbH9Cz0tuDiY8C3ctxq1tqvaCgkFb8cCA/edit?usp=sharing"",""สกลนคร!J359"")"),0.0)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IFERROR(__xludf.DUMMYFUNCTION("IMPORTRANGE(""https://docs.google.com/spreadsheets/d/1XL5vhW3sbDhbH9Cz0tuDiY8C3ctxq1tqvaCgkFb8cCA/edit?usp=sharing"",""สกลนคร!I360"")"),43589.0)</f>
        <v>43589</v>
      </c>
      <c r="J465" s="453">
        <f>IFERROR(__xludf.DUMMYFUNCTION("IMPORTRANGE(""https://docs.google.com/spreadsheets/d/1XL5vhW3sbDhbH9Cz0tuDiY8C3ctxq1tqvaCgkFb8cCA/edit?usp=sharing"",""สกลนคร!J360"")"),18520.0)</f>
        <v>18520</v>
      </c>
      <c r="K465" s="236">
        <f t="shared" si="118"/>
        <v>42.48778362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IFERROR(__xludf.DUMMYFUNCTION("IMPORTRANGE(""https://docs.google.com/spreadsheets/d/1XL5vhW3sbDhbH9Cz0tuDiY8C3ctxq1tqvaCgkFb8cCA/edit?usp=sharing"",""สกลนคร!I361"")"),5754.0)</f>
        <v>5754</v>
      </c>
      <c r="J466" s="453">
        <f>IFERROR(__xludf.DUMMYFUNCTION("IMPORTRANGE(""https://docs.google.com/spreadsheets/d/1XL5vhW3sbDhbH9Cz0tuDiY8C3ctxq1tqvaCgkFb8cCA/edit?usp=sharing"",""สกลนคร!J361"")"),2550.0)</f>
        <v>2550</v>
      </c>
      <c r="K466" s="236">
        <f t="shared" si="118"/>
        <v>44.31699687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IFERROR(__xludf.DUMMYFUNCTION("IMPORTRANGE(""https://docs.google.com/spreadsheets/d/1XL5vhW3sbDhbH9Cz0tuDiY8C3ctxq1tqvaCgkFb8cCA/edit?usp=sharing"",""สกลนคร!I362"")"),0.0)</f>
        <v>0</v>
      </c>
      <c r="J467" s="223">
        <f>IFERROR(__xludf.DUMMYFUNCTION("IMPORTRANGE(""https://docs.google.com/spreadsheets/d/1XL5vhW3sbDhbH9Cz0tuDiY8C3ctxq1tqvaCgkFb8cCA/edit?usp=sharing"",""สกลนคร!J362"")"),14858.0)</f>
        <v>14858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IFERROR(__xludf.DUMMYFUNCTION("IMPORTRANGE(""https://docs.google.com/spreadsheets/d/1XL5vhW3sbDhbH9Cz0tuDiY8C3ctxq1tqvaCgkFb8cCA/edit?usp=sharing"",""สกลนคร!I363"")"),0.0)</f>
        <v>0</v>
      </c>
      <c r="J468" s="223">
        <f>IFERROR(__xludf.DUMMYFUNCTION("IMPORTRANGE(""https://docs.google.com/spreadsheets/d/1XL5vhW3sbDhbH9Cz0tuDiY8C3ctxq1tqvaCgkFb8cCA/edit?usp=sharing"",""สกลนคร!J363"")"),2199.0)</f>
        <v>2199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IFERROR(__xludf.DUMMYFUNCTION("IMPORTRANGE(""https://docs.google.com/spreadsheets/d/1XL5vhW3sbDhbH9Cz0tuDiY8C3ctxq1tqvaCgkFb8cCA/edit?usp=sharing"",""สกลนคร!I364"")"),0.0)</f>
        <v>0</v>
      </c>
      <c r="J469" s="223">
        <f>IFERROR(__xludf.DUMMYFUNCTION("IMPORTRANGE(""https://docs.google.com/spreadsheets/d/1XL5vhW3sbDhbH9Cz0tuDiY8C3ctxq1tqvaCgkFb8cCA/edit?usp=sharing"",""สกลนคร!J364"")"),3257.0)</f>
        <v>3257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IFERROR(__xludf.DUMMYFUNCTION("IMPORTRANGE(""https://docs.google.com/spreadsheets/d/1XL5vhW3sbDhbH9Cz0tuDiY8C3ctxq1tqvaCgkFb8cCA/edit?usp=sharing"",""สกลนคร!I365"")"),0.0)</f>
        <v>0</v>
      </c>
      <c r="J470" s="223">
        <f>IFERROR(__xludf.DUMMYFUNCTION("IMPORTRANGE(""https://docs.google.com/spreadsheets/d/1XL5vhW3sbDhbH9Cz0tuDiY8C3ctxq1tqvaCgkFb8cCA/edit?usp=sharing"",""สกลนคร!J365"")"),303.0)</f>
        <v>303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IFERROR(__xludf.DUMMYFUNCTION("IMPORTRANGE(""https://docs.google.com/spreadsheets/d/1XL5vhW3sbDhbH9Cz0tuDiY8C3ctxq1tqvaCgkFb8cCA/edit?usp=sharing"",""สกลนคร!I366"")"),0.0)</f>
        <v>0</v>
      </c>
      <c r="J471" s="223">
        <f>IFERROR(__xludf.DUMMYFUNCTION("IMPORTRANGE(""https://docs.google.com/spreadsheets/d/1XL5vhW3sbDhbH9Cz0tuDiY8C3ctxq1tqvaCgkFb8cCA/edit?usp=sharing"",""สกลนคร!J366"")"),405.0)</f>
        <v>405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IFERROR(__xludf.DUMMYFUNCTION("IMPORTRANGE(""https://docs.google.com/spreadsheets/d/1XL5vhW3sbDhbH9Cz0tuDiY8C3ctxq1tqvaCgkFb8cCA/edit?usp=sharing"",""สกลนคร!I367"")"),0.0)</f>
        <v>0</v>
      </c>
      <c r="J472" s="223">
        <f>IFERROR(__xludf.DUMMYFUNCTION("IMPORTRANGE(""https://docs.google.com/spreadsheets/d/1XL5vhW3sbDhbH9Cz0tuDiY8C3ctxq1tqvaCgkFb8cCA/edit?usp=sharing"",""สกลนคร!J367"")"),48.0)</f>
        <v>48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IFERROR(__xludf.DUMMYFUNCTION("IMPORTRANGE(""https://docs.google.com/spreadsheets/d/1XL5vhW3sbDhbH9Cz0tuDiY8C3ctxq1tqvaCgkFb8cCA/edit?usp=sharing"",""สกลนคร!I368"")"),43589.0)</f>
        <v>43589</v>
      </c>
      <c r="J473" s="453">
        <f>IFERROR(__xludf.DUMMYFUNCTION("IMPORTRANGE(""https://docs.google.com/spreadsheets/d/1XL5vhW3sbDhbH9Cz0tuDiY8C3ctxq1tqvaCgkFb8cCA/edit?usp=sharing"",""สกลนคร!J368"")"),0.0)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IFERROR(__xludf.DUMMYFUNCTION("IMPORTRANGE(""https://docs.google.com/spreadsheets/d/1XL5vhW3sbDhbH9Cz0tuDiY8C3ctxq1tqvaCgkFb8cCA/edit?usp=sharing"",""สกลนคร!I369"")"),5754.0)</f>
        <v>5754</v>
      </c>
      <c r="J474" s="453">
        <f>IFERROR(__xludf.DUMMYFUNCTION("IMPORTRANGE(""https://docs.google.com/spreadsheets/d/1XL5vhW3sbDhbH9Cz0tuDiY8C3ctxq1tqvaCgkFb8cCA/edit?usp=sharing"",""สกลนคร!J369"")"),0.0)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IFERROR(__xludf.DUMMYFUNCTION("IMPORTRANGE(""https://docs.google.com/spreadsheets/d/1XL5vhW3sbDhbH9Cz0tuDiY8C3ctxq1tqvaCgkFb8cCA/edit?usp=sharing"",""สกลนคร!I370"")"),0.0)</f>
        <v>0</v>
      </c>
      <c r="J475" s="223">
        <f>IFERROR(__xludf.DUMMYFUNCTION("IMPORTRANGE(""https://docs.google.com/spreadsheets/d/1XL5vhW3sbDhbH9Cz0tuDiY8C3ctxq1tqvaCgkFb8cCA/edit?usp=sharing"",""สกลนคร!J370"")"),0.0)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IFERROR(__xludf.DUMMYFUNCTION("IMPORTRANGE(""https://docs.google.com/spreadsheets/d/1XL5vhW3sbDhbH9Cz0tuDiY8C3ctxq1tqvaCgkFb8cCA/edit?usp=sharing"",""สกลนคร!I371"")"),0.0)</f>
        <v>0</v>
      </c>
      <c r="J476" s="223">
        <f>IFERROR(__xludf.DUMMYFUNCTION("IMPORTRANGE(""https://docs.google.com/spreadsheets/d/1XL5vhW3sbDhbH9Cz0tuDiY8C3ctxq1tqvaCgkFb8cCA/edit?usp=sharing"",""สกลนคร!J371"")"),0.0)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IFERROR(__xludf.DUMMYFUNCTION("IMPORTRANGE(""https://docs.google.com/spreadsheets/d/1XL5vhW3sbDhbH9Cz0tuDiY8C3ctxq1tqvaCgkFb8cCA/edit?usp=sharing"",""สกลนคร!I372"")"),0.0)</f>
        <v>0</v>
      </c>
      <c r="J477" s="223">
        <f>IFERROR(__xludf.DUMMYFUNCTION("IMPORTRANGE(""https://docs.google.com/spreadsheets/d/1XL5vhW3sbDhbH9Cz0tuDiY8C3ctxq1tqvaCgkFb8cCA/edit?usp=sharing"",""สกลนคร!J372"")"),0.0)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IFERROR(__xludf.DUMMYFUNCTION("IMPORTRANGE(""https://docs.google.com/spreadsheets/d/1XL5vhW3sbDhbH9Cz0tuDiY8C3ctxq1tqvaCgkFb8cCA/edit?usp=sharing"",""สกลนคร!I373"")"),0.0)</f>
        <v>0</v>
      </c>
      <c r="J478" s="223">
        <f>IFERROR(__xludf.DUMMYFUNCTION("IMPORTRANGE(""https://docs.google.com/spreadsheets/d/1XL5vhW3sbDhbH9Cz0tuDiY8C3ctxq1tqvaCgkFb8cCA/edit?usp=sharing"",""สกลนคร!J373"")"),0.0)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IFERROR(__xludf.DUMMYFUNCTION("IMPORTRANGE(""https://docs.google.com/spreadsheets/d/1XL5vhW3sbDhbH9Cz0tuDiY8C3ctxq1tqvaCgkFb8cCA/edit?usp=sharing"",""สกลนคร!I374"")"),0.0)</f>
        <v>0</v>
      </c>
      <c r="J479" s="223">
        <f>IFERROR(__xludf.DUMMYFUNCTION("IMPORTRANGE(""https://docs.google.com/spreadsheets/d/1XL5vhW3sbDhbH9Cz0tuDiY8C3ctxq1tqvaCgkFb8cCA/edit?usp=sharing"",""สกลนคร!J374"")"),0.0)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IFERROR(__xludf.DUMMYFUNCTION("IMPORTRANGE(""https://docs.google.com/spreadsheets/d/1XL5vhW3sbDhbH9Cz0tuDiY8C3ctxq1tqvaCgkFb8cCA/edit?usp=sharing"",""สกลนคร!I375"")"),0.0)</f>
        <v>0</v>
      </c>
      <c r="J480" s="223">
        <f>IFERROR(__xludf.DUMMYFUNCTION("IMPORTRANGE(""https://docs.google.com/spreadsheets/d/1XL5vhW3sbDhbH9Cz0tuDiY8C3ctxq1tqvaCgkFb8cCA/edit?usp=sharing"",""สกลนคร!J375"")"),0.0)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IFERROR(__xludf.DUMMYFUNCTION("IMPORTRANGE(""https://docs.google.com/spreadsheets/d/1XL5vhW3sbDhbH9Cz0tuDiY8C3ctxq1tqvaCgkFb8cCA/edit?usp=sharing"",""สกลนคร!I376"")"),43589.0)</f>
        <v>43589</v>
      </c>
      <c r="J481" s="453">
        <f>IFERROR(__xludf.DUMMYFUNCTION("IMPORTRANGE(""https://docs.google.com/spreadsheets/d/1XL5vhW3sbDhbH9Cz0tuDiY8C3ctxq1tqvaCgkFb8cCA/edit?usp=sharing"",""สกลนคร!J376"")"),0.0)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IFERROR(__xludf.DUMMYFUNCTION("IMPORTRANGE(""https://docs.google.com/spreadsheets/d/1XL5vhW3sbDhbH9Cz0tuDiY8C3ctxq1tqvaCgkFb8cCA/edit?usp=sharing"",""สกลนคร!I377"")"),5754.0)</f>
        <v>5754</v>
      </c>
      <c r="J482" s="453">
        <f>IFERROR(__xludf.DUMMYFUNCTION("IMPORTRANGE(""https://docs.google.com/spreadsheets/d/1XL5vhW3sbDhbH9Cz0tuDiY8C3ctxq1tqvaCgkFb8cCA/edit?usp=sharing"",""สกลนคร!J377"")"),0.0)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IFERROR(__xludf.DUMMYFUNCTION("IMPORTRANGE(""https://docs.google.com/spreadsheets/d/1XL5vhW3sbDhbH9Cz0tuDiY8C3ctxq1tqvaCgkFb8cCA/edit?usp=sharing"",""สกลนคร!I378"")"),0.0)</f>
        <v>0</v>
      </c>
      <c r="J483" s="223">
        <f>IFERROR(__xludf.DUMMYFUNCTION("IMPORTRANGE(""https://docs.google.com/spreadsheets/d/1XL5vhW3sbDhbH9Cz0tuDiY8C3ctxq1tqvaCgkFb8cCA/edit?usp=sharing"",""สกลนคร!J378"")"),0.0)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IFERROR(__xludf.DUMMYFUNCTION("IMPORTRANGE(""https://docs.google.com/spreadsheets/d/1XL5vhW3sbDhbH9Cz0tuDiY8C3ctxq1tqvaCgkFb8cCA/edit?usp=sharing"",""สกลนคร!I379"")"),0.0)</f>
        <v>0</v>
      </c>
      <c r="J484" s="223">
        <f>IFERROR(__xludf.DUMMYFUNCTION("IMPORTRANGE(""https://docs.google.com/spreadsheets/d/1XL5vhW3sbDhbH9Cz0tuDiY8C3ctxq1tqvaCgkFb8cCA/edit?usp=sharing"",""สกลนคร!J379"")"),0.0)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IFERROR(__xludf.DUMMYFUNCTION("IMPORTRANGE(""https://docs.google.com/spreadsheets/d/1XL5vhW3sbDhbH9Cz0tuDiY8C3ctxq1tqvaCgkFb8cCA/edit?usp=sharing"",""สกลนคร!I380"")"),0.0)</f>
        <v>0</v>
      </c>
      <c r="J485" s="223">
        <f>IFERROR(__xludf.DUMMYFUNCTION("IMPORTRANGE(""https://docs.google.com/spreadsheets/d/1XL5vhW3sbDhbH9Cz0tuDiY8C3ctxq1tqvaCgkFb8cCA/edit?usp=sharing"",""สกลนคร!J380"")"),0.0)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IFERROR(__xludf.DUMMYFUNCTION("IMPORTRANGE(""https://docs.google.com/spreadsheets/d/1XL5vhW3sbDhbH9Cz0tuDiY8C3ctxq1tqvaCgkFb8cCA/edit?usp=sharing"",""สกลนคร!I381"")"),0.0)</f>
        <v>0</v>
      </c>
      <c r="J486" s="223">
        <f>IFERROR(__xludf.DUMMYFUNCTION("IMPORTRANGE(""https://docs.google.com/spreadsheets/d/1XL5vhW3sbDhbH9Cz0tuDiY8C3ctxq1tqvaCgkFb8cCA/edit?usp=sharing"",""สกลนคร!J381"")"),0.0)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IFERROR(__xludf.DUMMYFUNCTION("IMPORTRANGE(""https://docs.google.com/spreadsheets/d/1XL5vhW3sbDhbH9Cz0tuDiY8C3ctxq1tqvaCgkFb8cCA/edit?usp=sharing"",""สกลนคร!I382"")"),0.0)</f>
        <v>0</v>
      </c>
      <c r="J487" s="453">
        <f>IFERROR(__xludf.DUMMYFUNCTION("IMPORTRANGE(""https://docs.google.com/spreadsheets/d/1XL5vhW3sbDhbH9Cz0tuDiY8C3ctxq1tqvaCgkFb8cCA/edit?usp=sharing"",""สกลนคร!J382"")"),0.0)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IFERROR(__xludf.DUMMYFUNCTION("IMPORTRANGE(""https://docs.google.com/spreadsheets/d/1XL5vhW3sbDhbH9Cz0tuDiY8C3ctxq1tqvaCgkFb8cCA/edit?usp=sharing"",""สกลนคร!I383"")"),0.0)</f>
        <v>0</v>
      </c>
      <c r="J488" s="453">
        <f>IFERROR(__xludf.DUMMYFUNCTION("IMPORTRANGE(""https://docs.google.com/spreadsheets/d/1XL5vhW3sbDhbH9Cz0tuDiY8C3ctxq1tqvaCgkFb8cCA/edit?usp=sharing"",""สกลนคร!J383"")"),0.0)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IFERROR(__xludf.DUMMYFUNCTION("IMPORTRANGE(""https://docs.google.com/spreadsheets/d/1XL5vhW3sbDhbH9Cz0tuDiY8C3ctxq1tqvaCgkFb8cCA/edit?usp=sharing"",""สกลนคร!I384"")"),0.0)</f>
        <v>0</v>
      </c>
      <c r="J489" s="223">
        <f>IFERROR(__xludf.DUMMYFUNCTION("IMPORTRANGE(""https://docs.google.com/spreadsheets/d/1XL5vhW3sbDhbH9Cz0tuDiY8C3ctxq1tqvaCgkFb8cCA/edit?usp=sharing"",""สกลนคร!J384"")"),0.0)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IFERROR(__xludf.DUMMYFUNCTION("IMPORTRANGE(""https://docs.google.com/spreadsheets/d/1XL5vhW3sbDhbH9Cz0tuDiY8C3ctxq1tqvaCgkFb8cCA/edit?usp=sharing"",""สกลนคร!I385"")"),0.0)</f>
        <v>0</v>
      </c>
      <c r="J490" s="223">
        <f>IFERROR(__xludf.DUMMYFUNCTION("IMPORTRANGE(""https://docs.google.com/spreadsheets/d/1XL5vhW3sbDhbH9Cz0tuDiY8C3ctxq1tqvaCgkFb8cCA/edit?usp=sharing"",""สกลนคร!J385"")"),0.0)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IFERROR(__xludf.DUMMYFUNCTION("IMPORTRANGE(""https://docs.google.com/spreadsheets/d/1XL5vhW3sbDhbH9Cz0tuDiY8C3ctxq1tqvaCgkFb8cCA/edit?usp=sharing"",""สกลนคร!I386"")"),0.0)</f>
        <v>0</v>
      </c>
      <c r="J491" s="223">
        <f>IFERROR(__xludf.DUMMYFUNCTION("IMPORTRANGE(""https://docs.google.com/spreadsheets/d/1XL5vhW3sbDhbH9Cz0tuDiY8C3ctxq1tqvaCgkFb8cCA/edit?usp=sharing"",""สกลนคร!J386"")"),0.0)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IFERROR(__xludf.DUMMYFUNCTION("IMPORTRANGE(""https://docs.google.com/spreadsheets/d/1XL5vhW3sbDhbH9Cz0tuDiY8C3ctxq1tqvaCgkFb8cCA/edit?usp=sharing"",""สกลนคร!I387"")"),0.0)</f>
        <v>0</v>
      </c>
      <c r="J492" s="223">
        <f>IFERROR(__xludf.DUMMYFUNCTION("IMPORTRANGE(""https://docs.google.com/spreadsheets/d/1XL5vhW3sbDhbH9Cz0tuDiY8C3ctxq1tqvaCgkFb8cCA/edit?usp=sharing"",""สกลนคร!J387"")"),0.0)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IFERROR(__xludf.DUMMYFUNCTION("IMPORTRANGE(""https://docs.google.com/spreadsheets/d/1XL5vhW3sbDhbH9Cz0tuDiY8C3ctxq1tqvaCgkFb8cCA/edit?usp=sharing"",""สกลนคร!I388"")"),0.0)</f>
        <v>0</v>
      </c>
      <c r="J493" s="223">
        <f>IFERROR(__xludf.DUMMYFUNCTION("IMPORTRANGE(""https://docs.google.com/spreadsheets/d/1XL5vhW3sbDhbH9Cz0tuDiY8C3ctxq1tqvaCgkFb8cCA/edit?usp=sharing"",""สกลนคร!J388"")"),0.0)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IFERROR(__xludf.DUMMYFUNCTION("IMPORTRANGE(""https://docs.google.com/spreadsheets/d/1XL5vhW3sbDhbH9Cz0tuDiY8C3ctxq1tqvaCgkFb8cCA/edit?usp=sharing"",""สกลนคร!I389"")"),0.0)</f>
        <v>0</v>
      </c>
      <c r="J494" s="469">
        <f>IFERROR(__xludf.DUMMYFUNCTION("IMPORTRANGE(""https://docs.google.com/spreadsheets/d/1XL5vhW3sbDhbH9Cz0tuDiY8C3ctxq1tqvaCgkFb8cCA/edit?usp=sharing"",""สกลนคร!J389"")"),0.0)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IFERROR(__xludf.DUMMYFUNCTION("IMPORTRANGE(""https://docs.google.com/spreadsheets/d/1XL5vhW3sbDhbH9Cz0tuDiY8C3ctxq1tqvaCgkFb8cCA/edit?usp=sharing"",""สกลนคร!I390"")"),0.0)</f>
        <v>0</v>
      </c>
      <c r="J495" s="469">
        <f>IFERROR(__xludf.DUMMYFUNCTION("IMPORTRANGE(""https://docs.google.com/spreadsheets/d/1XL5vhW3sbDhbH9Cz0tuDiY8C3ctxq1tqvaCgkFb8cCA/edit?usp=sharing"",""สกลนคร!J390"")"),0.0)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IFERROR(__xludf.DUMMYFUNCTION("IMPORTRANGE(""https://docs.google.com/spreadsheets/d/1XL5vhW3sbDhbH9Cz0tuDiY8C3ctxq1tqvaCgkFb8cCA/edit?usp=sharing"",""สกลนคร!I391"")"),0.0)</f>
        <v>0</v>
      </c>
      <c r="J496" s="469">
        <f>IFERROR(__xludf.DUMMYFUNCTION("IMPORTRANGE(""https://docs.google.com/spreadsheets/d/1XL5vhW3sbDhbH9Cz0tuDiY8C3ctxq1tqvaCgkFb8cCA/edit?usp=sharing"",""สกลนคร!J391"")"),0.0)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IFERROR(__xludf.DUMMYFUNCTION("IMPORTRANGE(""https://docs.google.com/spreadsheets/d/1XL5vhW3sbDhbH9Cz0tuDiY8C3ctxq1tqvaCgkFb8cCA/edit?usp=sharing"",""สกลนคร!I392"")"),4190.0)</f>
        <v>4190</v>
      </c>
      <c r="J497" s="476">
        <f>IFERROR(__xludf.DUMMYFUNCTION("IMPORTRANGE(""https://docs.google.com/spreadsheets/d/1XL5vhW3sbDhbH9Cz0tuDiY8C3ctxq1tqvaCgkFb8cCA/edit?usp=sharing"",""สกลนคร!J392"")"),1131.0)</f>
        <v>1131</v>
      </c>
      <c r="K497" s="477">
        <f t="shared" si="118"/>
        <v>26.9928401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IFERROR(__xludf.DUMMYFUNCTION("IMPORTRANGE(""https://docs.google.com/spreadsheets/d/1XL5vhW3sbDhbH9Cz0tuDiY8C3ctxq1tqvaCgkFb8cCA/edit?usp=sharing"",""สกลนคร!I393"")"),4190.0)</f>
        <v>4190</v>
      </c>
      <c r="J498" s="453">
        <f>IFERROR(__xludf.DUMMYFUNCTION("IMPORTRANGE(""https://docs.google.com/spreadsheets/d/1XL5vhW3sbDhbH9Cz0tuDiY8C3ctxq1tqvaCgkFb8cCA/edit?usp=sharing"",""สกลนคร!J393"")"),1131.0)</f>
        <v>1131</v>
      </c>
      <c r="K498" s="196">
        <f t="shared" si="118"/>
        <v>26.9928401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IFERROR(__xludf.DUMMYFUNCTION("IMPORTRANGE(""https://docs.google.com/spreadsheets/d/1XL5vhW3sbDhbH9Cz0tuDiY8C3ctxq1tqvaCgkFb8cCA/edit?usp=sharing"",""สกลนคร!I394"")"),456.0)</f>
        <v>456</v>
      </c>
      <c r="J499" s="453">
        <f>IFERROR(__xludf.DUMMYFUNCTION("IMPORTRANGE(""https://docs.google.com/spreadsheets/d/1XL5vhW3sbDhbH9Cz0tuDiY8C3ctxq1tqvaCgkFb8cCA/edit?usp=sharing"",""สกลนคร!J394"")"),112.0)</f>
        <v>112</v>
      </c>
      <c r="K499" s="236">
        <f t="shared" si="118"/>
        <v>24.56140351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IFERROR(__xludf.DUMMYFUNCTION("IMPORTRANGE(""https://docs.google.com/spreadsheets/d/1XL5vhW3sbDhbH9Cz0tuDiY8C3ctxq1tqvaCgkFb8cCA/edit?usp=sharing"",""สกลนคร!I395"")"),0.0)</f>
        <v>0</v>
      </c>
      <c r="J500" s="195">
        <f>IFERROR(__xludf.DUMMYFUNCTION("IMPORTRANGE(""https://docs.google.com/spreadsheets/d/1XL5vhW3sbDhbH9Cz0tuDiY8C3ctxq1tqvaCgkFb8cCA/edit?usp=sharing"",""สกลนคร!J395"")"),1131.0)</f>
        <v>1131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IFERROR(__xludf.DUMMYFUNCTION("IMPORTRANGE(""https://docs.google.com/spreadsheets/d/1XL5vhW3sbDhbH9Cz0tuDiY8C3ctxq1tqvaCgkFb8cCA/edit?usp=sharing"",""สกลนคร!I396"")"),0.0)</f>
        <v>0</v>
      </c>
      <c r="J501" s="195">
        <f>IFERROR(__xludf.DUMMYFUNCTION("IMPORTRANGE(""https://docs.google.com/spreadsheets/d/1XL5vhW3sbDhbH9Cz0tuDiY8C3ctxq1tqvaCgkFb8cCA/edit?usp=sharing"",""สกลนคร!J396"")"),112.0)</f>
        <v>112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IFERROR(__xludf.DUMMYFUNCTION("IMPORTRANGE(""https://docs.google.com/spreadsheets/d/1XL5vhW3sbDhbH9Cz0tuDiY8C3ctxq1tqvaCgkFb8cCA/edit?usp=sharing"",""สกลนคร!I397"")"),0.0)</f>
        <v>0</v>
      </c>
      <c r="J502" s="223">
        <f>IFERROR(__xludf.DUMMYFUNCTION("IMPORTRANGE(""https://docs.google.com/spreadsheets/d/1XL5vhW3sbDhbH9Cz0tuDiY8C3ctxq1tqvaCgkFb8cCA/edit?usp=sharing"",""สกลนคร!J397"")"),1097.0)</f>
        <v>1097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IFERROR(__xludf.DUMMYFUNCTION("IMPORTRANGE(""https://docs.google.com/spreadsheets/d/1XL5vhW3sbDhbH9Cz0tuDiY8C3ctxq1tqvaCgkFb8cCA/edit?usp=sharing"",""สกลนคร!I398"")"),0.0)</f>
        <v>0</v>
      </c>
      <c r="J503" s="232">
        <f>IFERROR(__xludf.DUMMYFUNCTION("IMPORTRANGE(""https://docs.google.com/spreadsheets/d/1XL5vhW3sbDhbH9Cz0tuDiY8C3ctxq1tqvaCgkFb8cCA/edit?usp=sharing"",""สกลนคร!J398"")"),107.0)</f>
        <v>107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IFERROR(__xludf.DUMMYFUNCTION("IMPORTRANGE(""https://docs.google.com/spreadsheets/d/1XL5vhW3sbDhbH9Cz0tuDiY8C3ctxq1tqvaCgkFb8cCA/edit?usp=sharing"",""สกลนคร!I399"")"),0.0)</f>
        <v>0</v>
      </c>
      <c r="J504" s="223">
        <f>IFERROR(__xludf.DUMMYFUNCTION("IMPORTRANGE(""https://docs.google.com/spreadsheets/d/1XL5vhW3sbDhbH9Cz0tuDiY8C3ctxq1tqvaCgkFb8cCA/edit?usp=sharing"",""สกลนคร!J399"")"),34.0)</f>
        <v>34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IFERROR(__xludf.DUMMYFUNCTION("IMPORTRANGE(""https://docs.google.com/spreadsheets/d/1XL5vhW3sbDhbH9Cz0tuDiY8C3ctxq1tqvaCgkFb8cCA/edit?usp=sharing"",""สกลนคร!I400"")"),0.0)</f>
        <v>0</v>
      </c>
      <c r="J505" s="232">
        <f>IFERROR(__xludf.DUMMYFUNCTION("IMPORTRANGE(""https://docs.google.com/spreadsheets/d/1XL5vhW3sbDhbH9Cz0tuDiY8C3ctxq1tqvaCgkFb8cCA/edit?usp=sharing"",""สกลนคร!J400"")"),5.0)</f>
        <v>5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IFERROR(__xludf.DUMMYFUNCTION("IMPORTRANGE(""https://docs.google.com/spreadsheets/d/1XL5vhW3sbDhbH9Cz0tuDiY8C3ctxq1tqvaCgkFb8cCA/edit?usp=sharing"",""สกลนคร!I401"")"),0.0)</f>
        <v>0</v>
      </c>
      <c r="J506" s="223">
        <f>IFERROR(__xludf.DUMMYFUNCTION("IMPORTRANGE(""https://docs.google.com/spreadsheets/d/1XL5vhW3sbDhbH9Cz0tuDiY8C3ctxq1tqvaCgkFb8cCA/edit?usp=sharing"",""สกลนคร!J401"")"),0.0)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IFERROR(__xludf.DUMMYFUNCTION("IMPORTRANGE(""https://docs.google.com/spreadsheets/d/1XL5vhW3sbDhbH9Cz0tuDiY8C3ctxq1tqvaCgkFb8cCA/edit?usp=sharing"",""สกลนคร!I402"")"),0.0)</f>
        <v>0</v>
      </c>
      <c r="J507" s="232">
        <f>IFERROR(__xludf.DUMMYFUNCTION("IMPORTRANGE(""https://docs.google.com/spreadsheets/d/1XL5vhW3sbDhbH9Cz0tuDiY8C3ctxq1tqvaCgkFb8cCA/edit?usp=sharing"",""สกลนคร!J402"")"),0.0)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IFERROR(__xludf.DUMMYFUNCTION("IMPORTRANGE(""https://docs.google.com/spreadsheets/d/1XL5vhW3sbDhbH9Cz0tuDiY8C3ctxq1tqvaCgkFb8cCA/edit?usp=sharing"",""สกลนคร!I403"")"),0.0)</f>
        <v>0</v>
      </c>
      <c r="J508" s="195">
        <f>IFERROR(__xludf.DUMMYFUNCTION("IMPORTRANGE(""https://docs.google.com/spreadsheets/d/1XL5vhW3sbDhbH9Cz0tuDiY8C3ctxq1tqvaCgkFb8cCA/edit?usp=sharing"",""สกลนคร!J403"")"),0.0)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IFERROR(__xludf.DUMMYFUNCTION("IMPORTRANGE(""https://docs.google.com/spreadsheets/d/1XL5vhW3sbDhbH9Cz0tuDiY8C3ctxq1tqvaCgkFb8cCA/edit?usp=sharing"",""สกลนคร!I404"")"),0.0)</f>
        <v>0</v>
      </c>
      <c r="J509" s="195">
        <f>IFERROR(__xludf.DUMMYFUNCTION("IMPORTRANGE(""https://docs.google.com/spreadsheets/d/1XL5vhW3sbDhbH9Cz0tuDiY8C3ctxq1tqvaCgkFb8cCA/edit?usp=sharing"",""สกลนคร!J404"")"),0.0)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IFERROR(__xludf.DUMMYFUNCTION("IMPORTRANGE(""https://docs.google.com/spreadsheets/d/1XL5vhW3sbDhbH9Cz0tuDiY8C3ctxq1tqvaCgkFb8cCA/edit?usp=sharing"",""สกลนคร!I405"")"),0.0)</f>
        <v>0</v>
      </c>
      <c r="J510" s="232">
        <f>IFERROR(__xludf.DUMMYFUNCTION("IMPORTRANGE(""https://docs.google.com/spreadsheets/d/1XL5vhW3sbDhbH9Cz0tuDiY8C3ctxq1tqvaCgkFb8cCA/edit?usp=sharing"",""สกลนคร!J405"")"),0.0)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IFERROR(__xludf.DUMMYFUNCTION("IMPORTRANGE(""https://docs.google.com/spreadsheets/d/1XL5vhW3sbDhbH9Cz0tuDiY8C3ctxq1tqvaCgkFb8cCA/edit?usp=sharing"",""สกลนคร!I406"")"),0.0)</f>
        <v>0</v>
      </c>
      <c r="J511" s="232">
        <f>IFERROR(__xludf.DUMMYFUNCTION("IMPORTRANGE(""https://docs.google.com/spreadsheets/d/1XL5vhW3sbDhbH9Cz0tuDiY8C3ctxq1tqvaCgkFb8cCA/edit?usp=sharing"",""สกลนคร!J406"")"),0.0)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IFERROR(__xludf.DUMMYFUNCTION("IMPORTRANGE(""https://docs.google.com/spreadsheets/d/1XL5vhW3sbDhbH9Cz0tuDiY8C3ctxq1tqvaCgkFb8cCA/edit?usp=sharing"",""สกลนคร!I407"")"),0.0)</f>
        <v>0</v>
      </c>
      <c r="J512" s="232">
        <f>IFERROR(__xludf.DUMMYFUNCTION("IMPORTRANGE(""https://docs.google.com/spreadsheets/d/1XL5vhW3sbDhbH9Cz0tuDiY8C3ctxq1tqvaCgkFb8cCA/edit?usp=sharing"",""สกลนคร!J407"")"),0.0)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IFERROR(__xludf.DUMMYFUNCTION("IMPORTRANGE(""https://docs.google.com/spreadsheets/d/1XL5vhW3sbDhbH9Cz0tuDiY8C3ctxq1tqvaCgkFb8cCA/edit?usp=sharing"",""สกลนคร!I408"")"),0.0)</f>
        <v>0</v>
      </c>
      <c r="J513" s="232">
        <f>IFERROR(__xludf.DUMMYFUNCTION("IMPORTRANGE(""https://docs.google.com/spreadsheets/d/1XL5vhW3sbDhbH9Cz0tuDiY8C3ctxq1tqvaCgkFb8cCA/edit?usp=sharing"",""สกลนคร!J408"")"),0.0)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IFERROR(__xludf.DUMMYFUNCTION("IMPORTRANGE(""https://docs.google.com/spreadsheets/d/1XL5vhW3sbDhbH9Cz0tuDiY8C3ctxq1tqvaCgkFb8cCA/edit?usp=sharing"",""สกลนคร!I409"")"),0.0)</f>
        <v>0</v>
      </c>
      <c r="J514" s="232">
        <f>IFERROR(__xludf.DUMMYFUNCTION("IMPORTRANGE(""https://docs.google.com/spreadsheets/d/1XL5vhW3sbDhbH9Cz0tuDiY8C3ctxq1tqvaCgkFb8cCA/edit?usp=sharing"",""สกลนคร!J409"")"),0.0)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IFERROR(__xludf.DUMMYFUNCTION("IMPORTRANGE(""https://docs.google.com/spreadsheets/d/1XL5vhW3sbDhbH9Cz0tuDiY8C3ctxq1tqvaCgkFb8cCA/edit?usp=sharing"",""สกลนคร!I410"")"),0.0)</f>
        <v>0</v>
      </c>
      <c r="J515" s="232">
        <f>IFERROR(__xludf.DUMMYFUNCTION("IMPORTRANGE(""https://docs.google.com/spreadsheets/d/1XL5vhW3sbDhbH9Cz0tuDiY8C3ctxq1tqvaCgkFb8cCA/edit?usp=sharing"",""สกลนคร!J410"")"),0.0)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IFERROR(__xludf.DUMMYFUNCTION("IMPORTRANGE(""https://docs.google.com/spreadsheets/d/1XL5vhW3sbDhbH9Cz0tuDiY8C3ctxq1tqvaCgkFb8cCA/edit?usp=sharing"",""สกลนคร!I411"")"),0.0)</f>
        <v>0</v>
      </c>
      <c r="J516" s="301">
        <f>IFERROR(__xludf.DUMMYFUNCTION("IMPORTRANGE(""https://docs.google.com/spreadsheets/d/1XL5vhW3sbDhbH9Cz0tuDiY8C3ctxq1tqvaCgkFb8cCA/edit?usp=sharing"",""สกลนคร!J411"")"),0.0)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IFERROR(__xludf.DUMMYFUNCTION("IMPORTRANGE(""https://docs.google.com/spreadsheets/d/1XL5vhW3sbDhbH9Cz0tuDiY8C3ctxq1tqvaCgkFb8cCA/edit?usp=sharing"",""สกลนคร!I412"")"),0.0)</f>
        <v>0</v>
      </c>
      <c r="J517" s="317">
        <f>IFERROR(__xludf.DUMMYFUNCTION("IMPORTRANGE(""https://docs.google.com/spreadsheets/d/1XL5vhW3sbDhbH9Cz0tuDiY8C3ctxq1tqvaCgkFb8cCA/edit?usp=sharing"",""สกลนคร!J412"")"),0.0)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IFERROR(__xludf.DUMMYFUNCTION("IMPORTRANGE(""https://docs.google.com/spreadsheets/d/1XL5vhW3sbDhbH9Cz0tuDiY8C3ctxq1tqvaCgkFb8cCA/edit?usp=sharing"",""สกลนคร!I413"")"),0.0)</f>
        <v>0</v>
      </c>
      <c r="J518" s="317">
        <f>IFERROR(__xludf.DUMMYFUNCTION("IMPORTRANGE(""https://docs.google.com/spreadsheets/d/1XL5vhW3sbDhbH9Cz0tuDiY8C3ctxq1tqvaCgkFb8cCA/edit?usp=sharing"",""สกลนคร!J413"")"),0.0)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IFERROR(__xludf.DUMMYFUNCTION("IMPORTRANGE(""https://docs.google.com/spreadsheets/d/1XL5vhW3sbDhbH9Cz0tuDiY8C3ctxq1tqvaCgkFb8cCA/edit?usp=sharing"",""สกลนคร!I414"")"),0.0)</f>
        <v>0</v>
      </c>
      <c r="J519" s="222">
        <f>IFERROR(__xludf.DUMMYFUNCTION("IMPORTRANGE(""https://docs.google.com/spreadsheets/d/1XL5vhW3sbDhbH9Cz0tuDiY8C3ctxq1tqvaCgkFb8cCA/edit?usp=sharing"",""สกลนคร!J414"")"),0.0)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IFERROR(__xludf.DUMMYFUNCTION("IMPORTRANGE(""https://docs.google.com/spreadsheets/d/1XL5vhW3sbDhbH9Cz0tuDiY8C3ctxq1tqvaCgkFb8cCA/edit?usp=sharing"",""สกลนคร!I415"")"),0.0)</f>
        <v>0</v>
      </c>
      <c r="J520" s="222">
        <f>IFERROR(__xludf.DUMMYFUNCTION("IMPORTRANGE(""https://docs.google.com/spreadsheets/d/1XL5vhW3sbDhbH9Cz0tuDiY8C3ctxq1tqvaCgkFb8cCA/edit?usp=sharing"",""สกลนคร!J415"")"),0.0)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IFERROR(__xludf.DUMMYFUNCTION("IMPORTRANGE(""https://docs.google.com/spreadsheets/d/1XL5vhW3sbDhbH9Cz0tuDiY8C3ctxq1tqvaCgkFb8cCA/edit?usp=sharing"",""สกลนคร!I416"")"),0.0)</f>
        <v>0</v>
      </c>
      <c r="J521" s="222">
        <f>IFERROR(__xludf.DUMMYFUNCTION("IMPORTRANGE(""https://docs.google.com/spreadsheets/d/1XL5vhW3sbDhbH9Cz0tuDiY8C3ctxq1tqvaCgkFb8cCA/edit?usp=sharing"",""สกลนคร!J416"")"),0.0)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IFERROR(__xludf.DUMMYFUNCTION("IMPORTRANGE(""https://docs.google.com/spreadsheets/d/1XL5vhW3sbDhbH9Cz0tuDiY8C3ctxq1tqvaCgkFb8cCA/edit?usp=sharing"",""สกลนคร!I417"")"),0.0)</f>
        <v>0</v>
      </c>
      <c r="J522" s="222">
        <f>IFERROR(__xludf.DUMMYFUNCTION("IMPORTRANGE(""https://docs.google.com/spreadsheets/d/1XL5vhW3sbDhbH9Cz0tuDiY8C3ctxq1tqvaCgkFb8cCA/edit?usp=sharing"",""สกลนคร!J417"")"),0.0)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IFERROR(__xludf.DUMMYFUNCTION("IMPORTRANGE(""https://docs.google.com/spreadsheets/d/1XL5vhW3sbDhbH9Cz0tuDiY8C3ctxq1tqvaCgkFb8cCA/edit?usp=sharing"",""สกลนคร!I418"")"),0.0)</f>
        <v>0</v>
      </c>
      <c r="J523" s="222">
        <f>IFERROR(__xludf.DUMMYFUNCTION("IMPORTRANGE(""https://docs.google.com/spreadsheets/d/1XL5vhW3sbDhbH9Cz0tuDiY8C3ctxq1tqvaCgkFb8cCA/edit?usp=sharing"",""สกลนคร!J418"")"),0.0)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IFERROR(__xludf.DUMMYFUNCTION("IMPORTRANGE(""https://docs.google.com/spreadsheets/d/1XL5vhW3sbDhbH9Cz0tuDiY8C3ctxq1tqvaCgkFb8cCA/edit?usp=sharing"",""สกลนคร!I419"")"),0.0)</f>
        <v>0</v>
      </c>
      <c r="J524" s="222">
        <f>IFERROR(__xludf.DUMMYFUNCTION("IMPORTRANGE(""https://docs.google.com/spreadsheets/d/1XL5vhW3sbDhbH9Cz0tuDiY8C3ctxq1tqvaCgkFb8cCA/edit?usp=sharing"",""สกลนคร!J419"")"),0.0)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IFERROR(__xludf.DUMMYFUNCTION("IMPORTRANGE(""https://docs.google.com/spreadsheets/d/1XL5vhW3sbDhbH9Cz0tuDiY8C3ctxq1tqvaCgkFb8cCA/edit?usp=sharing"",""สกลนคร!I420"")"),0.0)</f>
        <v>0</v>
      </c>
      <c r="J525" s="317">
        <f>IFERROR(__xludf.DUMMYFUNCTION("IMPORTRANGE(""https://docs.google.com/spreadsheets/d/1XL5vhW3sbDhbH9Cz0tuDiY8C3ctxq1tqvaCgkFb8cCA/edit?usp=sharing"",""สกลนคร!J420"")"),0.0)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IFERROR(__xludf.DUMMYFUNCTION("IMPORTRANGE(""https://docs.google.com/spreadsheets/d/1XL5vhW3sbDhbH9Cz0tuDiY8C3ctxq1tqvaCgkFb8cCA/edit?usp=sharing"",""สกลนคร!I421"")"),0.0)</f>
        <v>0</v>
      </c>
      <c r="J526" s="317">
        <f>IFERROR(__xludf.DUMMYFUNCTION("IMPORTRANGE(""https://docs.google.com/spreadsheets/d/1XL5vhW3sbDhbH9Cz0tuDiY8C3ctxq1tqvaCgkFb8cCA/edit?usp=sharing"",""สกลนคร!J421"")"),0.0)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IFERROR(__xludf.DUMMYFUNCTION("IMPORTRANGE(""https://docs.google.com/spreadsheets/d/1XL5vhW3sbDhbH9Cz0tuDiY8C3ctxq1tqvaCgkFb8cCA/edit?usp=sharing"",""สกลนคร!I422"")"),0.0)</f>
        <v>0</v>
      </c>
      <c r="J527" s="232">
        <f>IFERROR(__xludf.DUMMYFUNCTION("IMPORTRANGE(""https://docs.google.com/spreadsheets/d/1XL5vhW3sbDhbH9Cz0tuDiY8C3ctxq1tqvaCgkFb8cCA/edit?usp=sharing"",""สกลนคร!J422"")"),0.0)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IFERROR(__xludf.DUMMYFUNCTION("IMPORTRANGE(""https://docs.google.com/spreadsheets/d/1XL5vhW3sbDhbH9Cz0tuDiY8C3ctxq1tqvaCgkFb8cCA/edit?usp=sharing"",""สกลนคร!I423"")"),0.0)</f>
        <v>0</v>
      </c>
      <c r="J528" s="232">
        <f>IFERROR(__xludf.DUMMYFUNCTION("IMPORTRANGE(""https://docs.google.com/spreadsheets/d/1XL5vhW3sbDhbH9Cz0tuDiY8C3ctxq1tqvaCgkFb8cCA/edit?usp=sharing"",""สกลนคร!J423"")"),0.0)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IFERROR(__xludf.DUMMYFUNCTION("IMPORTRANGE(""https://docs.google.com/spreadsheets/d/1XL5vhW3sbDhbH9Cz0tuDiY8C3ctxq1tqvaCgkFb8cCA/edit?usp=sharing"",""สกลนคร!I424"")"),0.0)</f>
        <v>0</v>
      </c>
      <c r="J529" s="232">
        <f>IFERROR(__xludf.DUMMYFUNCTION("IMPORTRANGE(""https://docs.google.com/spreadsheets/d/1XL5vhW3sbDhbH9Cz0tuDiY8C3ctxq1tqvaCgkFb8cCA/edit?usp=sharing"",""สกลนคร!J424"")"),0.0)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IFERROR(__xludf.DUMMYFUNCTION("IMPORTRANGE(""https://docs.google.com/spreadsheets/d/1XL5vhW3sbDhbH9Cz0tuDiY8C3ctxq1tqvaCgkFb8cCA/edit?usp=sharing"",""สกลนคร!I425"")"),0.0)</f>
        <v>0</v>
      </c>
      <c r="J530" s="232">
        <f>IFERROR(__xludf.DUMMYFUNCTION("IMPORTRANGE(""https://docs.google.com/spreadsheets/d/1XL5vhW3sbDhbH9Cz0tuDiY8C3ctxq1tqvaCgkFb8cCA/edit?usp=sharing"",""สกลนคร!J425"")"),0.0)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IFERROR(__xludf.DUMMYFUNCTION("IMPORTRANGE(""https://docs.google.com/spreadsheets/d/1XL5vhW3sbDhbH9Cz0tuDiY8C3ctxq1tqvaCgkFb8cCA/edit?usp=sharing"",""สกลนคร!I426"")"),0.0)</f>
        <v>0</v>
      </c>
      <c r="J531" s="232">
        <f>IFERROR(__xludf.DUMMYFUNCTION("IMPORTRANGE(""https://docs.google.com/spreadsheets/d/1XL5vhW3sbDhbH9Cz0tuDiY8C3ctxq1tqvaCgkFb8cCA/edit?usp=sharing"",""สกลนคร!J426"")"),0.0)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IFERROR(__xludf.DUMMYFUNCTION("IMPORTRANGE(""https://docs.google.com/spreadsheets/d/1XL5vhW3sbDhbH9Cz0tuDiY8C3ctxq1tqvaCgkFb8cCA/edit?usp=sharing"",""สกลนคร!I427"")"),0.0)</f>
        <v>0</v>
      </c>
      <c r="J532" s="499">
        <f>IFERROR(__xludf.DUMMYFUNCTION("IMPORTRANGE(""https://docs.google.com/spreadsheets/d/1XL5vhW3sbDhbH9Cz0tuDiY8C3ctxq1tqvaCgkFb8cCA/edit?usp=sharing"",""สกลนคร!J427"")"),0.0)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IFERROR(__xludf.DUMMYFUNCTION("IMPORTRANGE(""https://docs.google.com/spreadsheets/d/1XL5vhW3sbDhbH9Cz0tuDiY8C3ctxq1tqvaCgkFb8cCA/edit?usp=sharing"",""สกลนคร!I428"")"),26.0)</f>
        <v>26</v>
      </c>
      <c r="J533" s="443">
        <f>IFERROR(__xludf.DUMMYFUNCTION("IMPORTRANGE(""https://docs.google.com/spreadsheets/d/1XL5vhW3sbDhbH9Cz0tuDiY8C3ctxq1tqvaCgkFb8cCA/edit?usp=sharing"",""สกลนคร!J428"")"),26.0)</f>
        <v>26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IFERROR(__xludf.DUMMYFUNCTION("IMPORTRANGE(""https://docs.google.com/spreadsheets/d/1XL5vhW3sbDhbH9Cz0tuDiY8C3ctxq1tqvaCgkFb8cCA/edit?usp=sharing"",""สกลนคร!L428"")"),37740.0)</f>
        <v>37740</v>
      </c>
      <c r="M533" s="445"/>
      <c r="N533" s="445">
        <f>IFERROR(__xludf.DUMMYFUNCTION("IMPORTRANGE(""https://docs.google.com/spreadsheets/d/1XL5vhW3sbDhbH9Cz0tuDiY8C3ctxq1tqvaCgkFb8cCA/edit?usp=sharing"",""สกลนคร!M428"")"),33995.0)</f>
        <v>33995</v>
      </c>
      <c r="O533" s="445">
        <f t="shared" ref="O533:O537" si="119">+IF(L533&gt;0,N533*100/L533,0)</f>
        <v>90.07684155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IFERROR(__xludf.DUMMYFUNCTION("IMPORTRANGE(""https://docs.google.com/spreadsheets/d/1XL5vhW3sbDhbH9Cz0tuDiY8C3ctxq1tqvaCgkFb8cCA/edit?usp=sharing"",""สกลนคร!L429"")"),0.0)</f>
        <v>0</v>
      </c>
      <c r="M534" s="197"/>
      <c r="N534" s="203">
        <f>IFERROR(__xludf.DUMMYFUNCTION("IMPORTRANGE(""https://docs.google.com/spreadsheets/d/1XL5vhW3sbDhbH9Cz0tuDiY8C3ctxq1tqvaCgkFb8cCA/edit?usp=sharing"",""สกลนคร!M429"")"),0.0)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IFERROR(__xludf.DUMMYFUNCTION("IMPORTRANGE(""https://docs.google.com/spreadsheets/d/1XL5vhW3sbDhbH9Cz0tuDiY8C3ctxq1tqvaCgkFb8cCA/edit?usp=sharing"",""สกลนคร!L430"")"),37740.0)</f>
        <v>37740</v>
      </c>
      <c r="M535" s="198"/>
      <c r="N535" s="203">
        <f>IFERROR(__xludf.DUMMYFUNCTION("IMPORTRANGE(""https://docs.google.com/spreadsheets/d/1XL5vhW3sbDhbH9Cz0tuDiY8C3ctxq1tqvaCgkFb8cCA/edit?usp=sharing"",""สกลนคร!M430"")"),33995.0)</f>
        <v>33995</v>
      </c>
      <c r="O535" s="203">
        <f t="shared" si="119"/>
        <v>90.07684155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IFERROR(__xludf.DUMMYFUNCTION("IMPORTRANGE(""https://docs.google.com/spreadsheets/d/1XL5vhW3sbDhbH9Cz0tuDiY8C3ctxq1tqvaCgkFb8cCA/edit?usp=sharing"",""สกลนคร!L431"")"),0.0)</f>
        <v>0</v>
      </c>
      <c r="M536" s="203"/>
      <c r="N536" s="203">
        <f>IFERROR(__xludf.DUMMYFUNCTION("IMPORTRANGE(""https://docs.google.com/spreadsheets/d/1XL5vhW3sbDhbH9Cz0tuDiY8C3ctxq1tqvaCgkFb8cCA/edit?usp=sharing"",""สกลนคร!M431"")"),0.0)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IFERROR(__xludf.DUMMYFUNCTION("IMPORTRANGE(""https://docs.google.com/spreadsheets/d/1XL5vhW3sbDhbH9Cz0tuDiY8C3ctxq1tqvaCgkFb8cCA/edit?usp=sharing"",""สกลนคร!L432"")"),37740.0)</f>
        <v>37740</v>
      </c>
      <c r="M537" s="203"/>
      <c r="N537" s="203">
        <f>IFERROR(__xludf.DUMMYFUNCTION("IMPORTRANGE(""https://docs.google.com/spreadsheets/d/1XL5vhW3sbDhbH9Cz0tuDiY8C3ctxq1tqvaCgkFb8cCA/edit?usp=sharing"",""สกลนคร!M432"")"),33995.0)</f>
        <v>33995</v>
      </c>
      <c r="O537" s="203">
        <f t="shared" si="119"/>
        <v>90.07684155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IFERROR(__xludf.DUMMYFUNCTION("IMPORTRANGE(""https://docs.google.com/spreadsheets/d/1XL5vhW3sbDhbH9Cz0tuDiY8C3ctxq1tqvaCgkFb8cCA/edit?usp=sharing"",""สกลนคร!M433"")"),22140.0)</f>
        <v>22140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IFERROR(__xludf.DUMMYFUNCTION("IMPORTRANGE(""https://docs.google.com/spreadsheets/d/1XL5vhW3sbDhbH9Cz0tuDiY8C3ctxq1tqvaCgkFb8cCA/edit?usp=sharing"",""สกลนคร!M434"")"),0.0)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IFERROR(__xludf.DUMMYFUNCTION("IMPORTRANGE(""https://docs.google.com/spreadsheets/d/1XL5vhW3sbDhbH9Cz0tuDiY8C3ctxq1tqvaCgkFb8cCA/edit?usp=sharing"",""สกลนคร!M435"")"),0.0)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IFERROR(__xludf.DUMMYFUNCTION("IMPORTRANGE(""https://docs.google.com/spreadsheets/d/1XL5vhW3sbDhbH9Cz0tuDiY8C3ctxq1tqvaCgkFb8cCA/edit?usp=sharing"",""สกลนคร!M436"")"),11855.0)</f>
        <v>11855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IFERROR(__xludf.DUMMYFUNCTION("IMPORTRANGE(""https://docs.google.com/spreadsheets/d/1XL5vhW3sbDhbH9Cz0tuDiY8C3ctxq1tqvaCgkFb8cCA/edit?usp=sharing"",""สกลนคร!J438"")"),0.0)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IFERROR(__xludf.DUMMYFUNCTION("IMPORTRANGE(""https://docs.google.com/spreadsheets/d/1XL5vhW3sbDhbH9Cz0tuDiY8C3ctxq1tqvaCgkFb8cCA/edit?usp=sharing"",""สกลนคร!J439"")"),1.0)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IFERROR(__xludf.DUMMYFUNCTION("IMPORTRANGE(""https://docs.google.com/spreadsheets/d/1XL5vhW3sbDhbH9Cz0tuDiY8C3ctxq1tqvaCgkFb8cCA/edit?usp=sharing"",""สกลนคร!J440"")"),1.0)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IFERROR(__xludf.DUMMYFUNCTION("IMPORTRANGE(""https://docs.google.com/spreadsheets/d/1XL5vhW3sbDhbH9Cz0tuDiY8C3ctxq1tqvaCgkFb8cCA/edit?usp=sharing"",""สกลนคร!J441"")"),1.0)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IFERROR(__xludf.DUMMYFUNCTION("IMPORTRANGE(""https://docs.google.com/spreadsheets/d/1XL5vhW3sbDhbH9Cz0tuDiY8C3ctxq1tqvaCgkFb8cCA/edit?usp=sharing"",""สกลนคร!I442"")"),26.0)</f>
        <v>26</v>
      </c>
      <c r="J547" s="223">
        <f>IFERROR(__xludf.DUMMYFUNCTION("IMPORTRANGE(""https://docs.google.com/spreadsheets/d/1XL5vhW3sbDhbH9Cz0tuDiY8C3ctxq1tqvaCgkFb8cCA/edit?usp=sharing"",""สกลนคร!J442"")"),26.0)</f>
        <v>26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IFERROR(__xludf.DUMMYFUNCTION("IMPORTRANGE(""https://docs.google.com/spreadsheets/d/1XL5vhW3sbDhbH9Cz0tuDiY8C3ctxq1tqvaCgkFb8cCA/edit?usp=sharing"",""สกลนคร!J166"")"),0.0)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IFERROR(__xludf.DUMMYFUNCTION("IMPORTRANGE(""https://docs.google.com/spreadsheets/d/1XL5vhW3sbDhbH9Cz0tuDiY8C3ctxq1tqvaCgkFb8cCA/edit?usp=sharing"",""สกลนคร!J444"")"),0.0)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IFERROR(__xludf.DUMMYFUNCTION("IMPORTRANGE(""https://docs.google.com/spreadsheets/d/1XL5vhW3sbDhbH9Cz0tuDiY8C3ctxq1tqvaCgkFb8cCA/edit?usp=sharing"",""สกลนคร!J445"")"),0.0)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IFERROR(__xludf.DUMMYFUNCTION("IMPORTRANGE(""https://docs.google.com/spreadsheets/d/1XL5vhW3sbDhbH9Cz0tuDiY8C3ctxq1tqvaCgkFb8cCA/edit?usp=sharing"",""สกลนคร!I446"")"),0.0)</f>
        <v>0</v>
      </c>
      <c r="J551" s="443">
        <f>IFERROR(__xludf.DUMMYFUNCTION("IMPORTRANGE(""https://docs.google.com/spreadsheets/d/1XL5vhW3sbDhbH9Cz0tuDiY8C3ctxq1tqvaCgkFb8cCA/edit?usp=sharing"",""สกลนคร!J446"")"),0.0)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IFERROR(__xludf.DUMMYFUNCTION("IMPORTRANGE(""https://docs.google.com/spreadsheets/d/1XL5vhW3sbDhbH9Cz0tuDiY8C3ctxq1tqvaCgkFb8cCA/edit?usp=sharing"",""สกลนคร!L446"")"),0.0)</f>
        <v>0</v>
      </c>
      <c r="M551" s="445"/>
      <c r="N551" s="445">
        <f>IFERROR(__xludf.DUMMYFUNCTION("IMPORTRANGE(""https://docs.google.com/spreadsheets/d/1XL5vhW3sbDhbH9Cz0tuDiY8C3ctxq1tqvaCgkFb8cCA/edit?usp=sharing"",""สกลนคร!M446"")"),0.0)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IFERROR(__xludf.DUMMYFUNCTION("IMPORTRANGE(""https://docs.google.com/spreadsheets/d/1XL5vhW3sbDhbH9Cz0tuDiY8C3ctxq1tqvaCgkFb8cCA/edit?usp=sharing"",""สกลนคร!L447"")"),0.0)</f>
        <v>0</v>
      </c>
      <c r="M552" s="197"/>
      <c r="N552" s="203">
        <f>IFERROR(__xludf.DUMMYFUNCTION("IMPORTRANGE(""https://docs.google.com/spreadsheets/d/1XL5vhW3sbDhbH9Cz0tuDiY8C3ctxq1tqvaCgkFb8cCA/edit?usp=sharing"",""สกลนคร!M447"")"),0.0)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IFERROR(__xludf.DUMMYFUNCTION("IMPORTRANGE(""https://docs.google.com/spreadsheets/d/1XL5vhW3sbDhbH9Cz0tuDiY8C3ctxq1tqvaCgkFb8cCA/edit?usp=sharing"",""สกลนคร!L448"")"),0.0)</f>
        <v>0</v>
      </c>
      <c r="M553" s="198"/>
      <c r="N553" s="203">
        <f>IFERROR(__xludf.DUMMYFUNCTION("IMPORTRANGE(""https://docs.google.com/spreadsheets/d/1XL5vhW3sbDhbH9Cz0tuDiY8C3ctxq1tqvaCgkFb8cCA/edit?usp=sharing"",""สกลนคร!M448"")"),0.0)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IFERROR(__xludf.DUMMYFUNCTION("IMPORTRANGE(""https://docs.google.com/spreadsheets/d/1XL5vhW3sbDhbH9Cz0tuDiY8C3ctxq1tqvaCgkFb8cCA/edit?usp=sharing"",""สกลนคร!L449"")"),0.0)</f>
        <v>0</v>
      </c>
      <c r="M554" s="203"/>
      <c r="N554" s="203">
        <f>IFERROR(__xludf.DUMMYFUNCTION("IMPORTRANGE(""https://docs.google.com/spreadsheets/d/1XL5vhW3sbDhbH9Cz0tuDiY8C3ctxq1tqvaCgkFb8cCA/edit?usp=sharing"",""สกลนคร!M449"")"),0.0)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IFERROR(__xludf.DUMMYFUNCTION("IMPORTRANGE(""https://docs.google.com/spreadsheets/d/1XL5vhW3sbDhbH9Cz0tuDiY8C3ctxq1tqvaCgkFb8cCA/edit?usp=sharing"",""สกลนคร!L450"")"),0.0)</f>
        <v>0</v>
      </c>
      <c r="M555" s="203"/>
      <c r="N555" s="203">
        <f>IFERROR(__xludf.DUMMYFUNCTION("IMPORTRANGE(""https://docs.google.com/spreadsheets/d/1XL5vhW3sbDhbH9Cz0tuDiY8C3ctxq1tqvaCgkFb8cCA/edit?usp=sharing"",""สกลนคร!M450"")"),0.0)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IFERROR(__xludf.DUMMYFUNCTION("IMPORTRANGE(""https://docs.google.com/spreadsheets/d/1XL5vhW3sbDhbH9Cz0tuDiY8C3ctxq1tqvaCgkFb8cCA/edit?usp=sharing"",""สกลนคร!M451"")"),0.0)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IFERROR(__xludf.DUMMYFUNCTION("IMPORTRANGE(""https://docs.google.com/spreadsheets/d/1XL5vhW3sbDhbH9Cz0tuDiY8C3ctxq1tqvaCgkFb8cCA/edit?usp=sharing"",""สกลนคร!M452"")"),0.0)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IFERROR(__xludf.DUMMYFUNCTION("IMPORTRANGE(""https://docs.google.com/spreadsheets/d/1XL5vhW3sbDhbH9Cz0tuDiY8C3ctxq1tqvaCgkFb8cCA/edit?usp=sharing"",""สกลนคร!M453"")"),0.0)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IFERROR(__xludf.DUMMYFUNCTION("IMPORTRANGE(""https://docs.google.com/spreadsheets/d/1XL5vhW3sbDhbH9Cz0tuDiY8C3ctxq1tqvaCgkFb8cCA/edit?usp=sharing"",""สกลนคร!M454"")"),0.0)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IFERROR(__xludf.DUMMYFUNCTION("IMPORTRANGE(""https://docs.google.com/spreadsheets/d/1XL5vhW3sbDhbH9Cz0tuDiY8C3ctxq1tqvaCgkFb8cCA/edit?usp=sharing"",""สกลนคร!I455"")"),0.0)</f>
        <v>0</v>
      </c>
      <c r="J560" s="195">
        <f>IFERROR(__xludf.DUMMYFUNCTION("IMPORTRANGE(""https://docs.google.com/spreadsheets/d/1XL5vhW3sbDhbH9Cz0tuDiY8C3ctxq1tqvaCgkFb8cCA/edit?usp=sharing"",""สกลนคร!J455"")"),0.0)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IFERROR(__xludf.DUMMYFUNCTION("IMPORTRANGE(""https://docs.google.com/spreadsheets/d/1XL5vhW3sbDhbH9Cz0tuDiY8C3ctxq1tqvaCgkFb8cCA/edit?usp=sharing"",""สกลนคร!I456"")"),0.0)</f>
        <v>0</v>
      </c>
      <c r="J561" s="238">
        <f>IFERROR(__xludf.DUMMYFUNCTION("IMPORTRANGE(""https://docs.google.com/spreadsheets/d/1XL5vhW3sbDhbH9Cz0tuDiY8C3ctxq1tqvaCgkFb8cCA/edit?usp=sharing"",""สกลนคร!J456"")"),0.0)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IFERROR(__xludf.DUMMYFUNCTION("IMPORTRANGE(""https://docs.google.com/spreadsheets/d/1XL5vhW3sbDhbH9Cz0tuDiY8C3ctxq1tqvaCgkFb8cCA/edit?usp=sharing"",""สกลนคร!I457"")"),"")</f>
        <v/>
      </c>
      <c r="J562" s="238" t="str">
        <f>IFERROR(__xludf.DUMMYFUNCTION("IMPORTRANGE(""https://docs.google.com/spreadsheets/d/1XL5vhW3sbDhbH9Cz0tuDiY8C3ctxq1tqvaCgkFb8cCA/edit?usp=sharing"",""สกลนคร!J457"")"),"")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IFERROR(__xludf.DUMMYFUNCTION("IMPORTRANGE(""https://docs.google.com/spreadsheets/d/1XL5vhW3sbDhbH9Cz0tuDiY8C3ctxq1tqvaCgkFb8cCA/edit?usp=sharing"",""สกลนคร!I458"")"),"")</f>
        <v/>
      </c>
      <c r="J563" s="222" t="str">
        <f>IFERROR(__xludf.DUMMYFUNCTION("IMPORTRANGE(""https://docs.google.com/spreadsheets/d/1XL5vhW3sbDhbH9Cz0tuDiY8C3ctxq1tqvaCgkFb8cCA/edit?usp=sharing"",""สกลนคร!J458"")"),"")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IFERROR(__xludf.DUMMYFUNCTION("IMPORTRANGE(""https://docs.google.com/spreadsheets/d/1XL5vhW3sbDhbH9Cz0tuDiY8C3ctxq1tqvaCgkFb8cCA/edit?usp=sharing"",""สกลนคร!I459"")"),4200.0)</f>
        <v>4200</v>
      </c>
      <c r="J564" s="404">
        <f>IFERROR(__xludf.DUMMYFUNCTION("IMPORTRANGE(""https://docs.google.com/spreadsheets/d/1XL5vhW3sbDhbH9Cz0tuDiY8C3ctxq1tqvaCgkFb8cCA/edit?usp=sharing"",""สกลนคร!J459"")"),2913.0)</f>
        <v>2913</v>
      </c>
      <c r="K564" s="405">
        <f t="shared" si="122"/>
        <v>69.35714286</v>
      </c>
      <c r="L564" s="406">
        <f>IFERROR(__xludf.DUMMYFUNCTION("IMPORTRANGE(""https://docs.google.com/spreadsheets/d/1XL5vhW3sbDhbH9Cz0tuDiY8C3ctxq1tqvaCgkFb8cCA/edit?usp=sharing"",""สกลนคร!L459"")"),167200.0)</f>
        <v>167200</v>
      </c>
      <c r="M564" s="406"/>
      <c r="N564" s="406">
        <f>IFERROR(__xludf.DUMMYFUNCTION("IMPORTRANGE(""https://docs.google.com/spreadsheets/d/1XL5vhW3sbDhbH9Cz0tuDiY8C3ctxq1tqvaCgkFb8cCA/edit?usp=sharing"",""สกลนคร!M459"")"),83928.43)</f>
        <v>83928.43</v>
      </c>
      <c r="O564" s="406">
        <f t="shared" ref="O564:O568" si="123">+IF(L564&gt;0,N564*100/L564,0)</f>
        <v>50.19642943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IFERROR(__xludf.DUMMYFUNCTION("IMPORTRANGE(""https://docs.google.com/spreadsheets/d/1XL5vhW3sbDhbH9Cz0tuDiY8C3ctxq1tqvaCgkFb8cCA/edit?usp=sharing"",""สกลนคร!L460"")"),0.0)</f>
        <v>0</v>
      </c>
      <c r="M565" s="197"/>
      <c r="N565" s="203">
        <f>IFERROR(__xludf.DUMMYFUNCTION("IMPORTRANGE(""https://docs.google.com/spreadsheets/d/1XL5vhW3sbDhbH9Cz0tuDiY8C3ctxq1tqvaCgkFb8cCA/edit?usp=sharing"",""สกลนคร!M460"")"),0.0)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IFERROR(__xludf.DUMMYFUNCTION("IMPORTRANGE(""https://docs.google.com/spreadsheets/d/1XL5vhW3sbDhbH9Cz0tuDiY8C3ctxq1tqvaCgkFb8cCA/edit?usp=sharing"",""สกลนคร!L461"")"),167200.0)</f>
        <v>167200</v>
      </c>
      <c r="M566" s="198"/>
      <c r="N566" s="203">
        <f>IFERROR(__xludf.DUMMYFUNCTION("IMPORTRANGE(""https://docs.google.com/spreadsheets/d/1XL5vhW3sbDhbH9Cz0tuDiY8C3ctxq1tqvaCgkFb8cCA/edit?usp=sharing"",""สกลนคร!M461"")"),83928.43)</f>
        <v>83928.43</v>
      </c>
      <c r="O566" s="203">
        <f t="shared" si="123"/>
        <v>50.19642943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IFERROR(__xludf.DUMMYFUNCTION("IMPORTRANGE(""https://docs.google.com/spreadsheets/d/1XL5vhW3sbDhbH9Cz0tuDiY8C3ctxq1tqvaCgkFb8cCA/edit?usp=sharing"",""สกลนคร!L462"")"),0.0)</f>
        <v>0</v>
      </c>
      <c r="M567" s="203"/>
      <c r="N567" s="203">
        <f>IFERROR(__xludf.DUMMYFUNCTION("IMPORTRANGE(""https://docs.google.com/spreadsheets/d/1XL5vhW3sbDhbH9Cz0tuDiY8C3ctxq1tqvaCgkFb8cCA/edit?usp=sharing"",""สกลนคร!M462"")"),0.0)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IFERROR(__xludf.DUMMYFUNCTION("IMPORTRANGE(""https://docs.google.com/spreadsheets/d/1XL5vhW3sbDhbH9Cz0tuDiY8C3ctxq1tqvaCgkFb8cCA/edit?usp=sharing"",""สกลนคร!L463"")"),167200.0)</f>
        <v>167200</v>
      </c>
      <c r="M568" s="203"/>
      <c r="N568" s="203">
        <f>IFERROR(__xludf.DUMMYFUNCTION("IMPORTRANGE(""https://docs.google.com/spreadsheets/d/1XL5vhW3sbDhbH9Cz0tuDiY8C3ctxq1tqvaCgkFb8cCA/edit?usp=sharing"",""สกลนคร!M463"")"),83928.43)</f>
        <v>83928.43</v>
      </c>
      <c r="O568" s="203">
        <f t="shared" si="123"/>
        <v>50.19642943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IFERROR(__xludf.DUMMYFUNCTION("IMPORTRANGE(""https://docs.google.com/spreadsheets/d/1XL5vhW3sbDhbH9Cz0tuDiY8C3ctxq1tqvaCgkFb8cCA/edit?usp=sharing"",""สกลนคร!M464"")"),0.0)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IFERROR(__xludf.DUMMYFUNCTION("IMPORTRANGE(""https://docs.google.com/spreadsheets/d/1XL5vhW3sbDhbH9Cz0tuDiY8C3ctxq1tqvaCgkFb8cCA/edit?usp=sharing"",""สกลนคร!M465"")"),0.0)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IFERROR(__xludf.DUMMYFUNCTION("IMPORTRANGE(""https://docs.google.com/spreadsheets/d/1XL5vhW3sbDhbH9Cz0tuDiY8C3ctxq1tqvaCgkFb8cCA/edit?usp=sharing"",""สกลนคร!M466"")"),39032.26)</f>
        <v>39032.26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IFERROR(__xludf.DUMMYFUNCTION("IMPORTRANGE(""https://docs.google.com/spreadsheets/d/1XL5vhW3sbDhbH9Cz0tuDiY8C3ctxq1tqvaCgkFb8cCA/edit?usp=sharing"",""สกลนคร!M467"")"),44896.17)</f>
        <v>44896.17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IFERROR(__xludf.DUMMYFUNCTION("IMPORTRANGE(""https://docs.google.com/spreadsheets/d/1XL5vhW3sbDhbH9Cz0tuDiY8C3ctxq1tqvaCgkFb8cCA/edit?usp=sharing"",""สกลนคร!I468"")"),4200.0)</f>
        <v>4200</v>
      </c>
      <c r="J573" s="453">
        <f>IFERROR(__xludf.DUMMYFUNCTION("IMPORTRANGE(""https://docs.google.com/spreadsheets/d/1XL5vhW3sbDhbH9Cz0tuDiY8C3ctxq1tqvaCgkFb8cCA/edit?usp=sharing"",""สกลนคร!J468"")"),2913.0)</f>
        <v>2913</v>
      </c>
      <c r="K573" s="236">
        <f>IF(I573&gt;0,J573*100/I573,0)</f>
        <v>69.35714286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IFERROR(__xludf.DUMMYFUNCTION("IMPORTRANGE(""https://docs.google.com/spreadsheets/d/1XL5vhW3sbDhbH9Cz0tuDiY8C3ctxq1tqvaCgkFb8cCA/edit?usp=sharing"",""สกลนคร!I470"")"),0.0)</f>
        <v>0</v>
      </c>
      <c r="J575" s="232">
        <f>IFERROR(__xludf.DUMMYFUNCTION("IMPORTRANGE(""https://docs.google.com/spreadsheets/d/1XL5vhW3sbDhbH9Cz0tuDiY8C3ctxq1tqvaCgkFb8cCA/edit?usp=sharing"",""สกลนคร!J470"")"),7.0)</f>
        <v>7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IFERROR(__xludf.DUMMYFUNCTION("IMPORTRANGE(""https://docs.google.com/spreadsheets/d/1XL5vhW3sbDhbH9Cz0tuDiY8C3ctxq1tqvaCgkFb8cCA/edit?usp=sharing"",""สกลนคร!I471"")"),0.0)</f>
        <v>0</v>
      </c>
      <c r="J576" s="232">
        <f>IFERROR(__xludf.DUMMYFUNCTION("IMPORTRANGE(""https://docs.google.com/spreadsheets/d/1XL5vhW3sbDhbH9Cz0tuDiY8C3ctxq1tqvaCgkFb8cCA/edit?usp=sharing"",""สกลนคร!J471"")"),965.0)</f>
        <v>965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IFERROR(__xludf.DUMMYFUNCTION("IMPORTRANGE(""https://docs.google.com/spreadsheets/d/1XL5vhW3sbDhbH9Cz0tuDiY8C3ctxq1tqvaCgkFb8cCA/edit?usp=sharing"",""สกลนคร!I472"")"),0.0)</f>
        <v>0</v>
      </c>
      <c r="J577" s="223">
        <f>IFERROR(__xludf.DUMMYFUNCTION("IMPORTRANGE(""https://docs.google.com/spreadsheets/d/1XL5vhW3sbDhbH9Cz0tuDiY8C3ctxq1tqvaCgkFb8cCA/edit?usp=sharing"",""สกลนคร!J472"")"),1948.0)</f>
        <v>1948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IFERROR(__xludf.DUMMYFUNCTION("IMPORTRANGE(""https://docs.google.com/spreadsheets/d/1XL5vhW3sbDhbH9Cz0tuDiY8C3ctxq1tqvaCgkFb8cCA/edit?usp=sharing"",""สกลนคร!I473"")"),0.0)</f>
        <v>0</v>
      </c>
      <c r="J578" s="232">
        <f>IFERROR(__xludf.DUMMYFUNCTION("IMPORTRANGE(""https://docs.google.com/spreadsheets/d/1XL5vhW3sbDhbH9Cz0tuDiY8C3ctxq1tqvaCgkFb8cCA/edit?usp=sharing"",""สกลนคร!J473"")"),0.0)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IFERROR(__xludf.DUMMYFUNCTION("IMPORTRANGE(""https://docs.google.com/spreadsheets/d/1XL5vhW3sbDhbH9Cz0tuDiY8C3ctxq1tqvaCgkFb8cCA/edit?usp=sharing"",""สกลนคร!I474"")"),0.0)</f>
        <v>0</v>
      </c>
      <c r="J579" s="232">
        <f>IFERROR(__xludf.DUMMYFUNCTION("IMPORTRANGE(""https://docs.google.com/spreadsheets/d/1XL5vhW3sbDhbH9Cz0tuDiY8C3ctxq1tqvaCgkFb8cCA/edit?usp=sharing"",""สกลนคร!J474"")"),0.0)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IFERROR(__xludf.DUMMYFUNCTION("IMPORTRANGE(""https://docs.google.com/spreadsheets/d/1XL5vhW3sbDhbH9Cz0tuDiY8C3ctxq1tqvaCgkFb8cCA/edit?usp=sharing"",""สกลนคร!I475"")"),216.0)</f>
        <v>216</v>
      </c>
      <c r="J580" s="404">
        <f>IFERROR(__xludf.DUMMYFUNCTION("IMPORTRANGE(""https://docs.google.com/spreadsheets/d/1XL5vhW3sbDhbH9Cz0tuDiY8C3ctxq1tqvaCgkFb8cCA/edit?usp=sharing"",""สกลนคร!J475"")"),0.0)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IFERROR(__xludf.DUMMYFUNCTION("IMPORTRANGE(""https://docs.google.com/spreadsheets/d/1XL5vhW3sbDhbH9Cz0tuDiY8C3ctxq1tqvaCgkFb8cCA/edit?usp=sharing"",""สกลนคร!L475"")"),330408.0)</f>
        <v>330408</v>
      </c>
      <c r="M580" s="406"/>
      <c r="N580" s="406">
        <f>IFERROR(__xludf.DUMMYFUNCTION("IMPORTRANGE(""https://docs.google.com/spreadsheets/d/1XL5vhW3sbDhbH9Cz0tuDiY8C3ctxq1tqvaCgkFb8cCA/edit?usp=sharing"",""สกลนคร!M475"")"),93282.26000000001)</f>
        <v>93282.26</v>
      </c>
      <c r="O580" s="406">
        <f t="shared" ref="O580:O584" si="125">+IF(L580&gt;0,N580*100/L580,0)</f>
        <v>28.23244595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IFERROR(__xludf.DUMMYFUNCTION("IMPORTRANGE(""https://docs.google.com/spreadsheets/d/1XL5vhW3sbDhbH9Cz0tuDiY8C3ctxq1tqvaCgkFb8cCA/edit?usp=sharing"",""สกลนคร!L476"")"),0.0)</f>
        <v>0</v>
      </c>
      <c r="M581" s="197"/>
      <c r="N581" s="203">
        <f>IFERROR(__xludf.DUMMYFUNCTION("IMPORTRANGE(""https://docs.google.com/spreadsheets/d/1XL5vhW3sbDhbH9Cz0tuDiY8C3ctxq1tqvaCgkFb8cCA/edit?usp=sharing"",""สกลนคร!M476"")"),0.0)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IFERROR(__xludf.DUMMYFUNCTION("IMPORTRANGE(""https://docs.google.com/spreadsheets/d/1XL5vhW3sbDhbH9Cz0tuDiY8C3ctxq1tqvaCgkFb8cCA/edit?usp=sharing"",""สกลนคร!L477"")"),330408.0)</f>
        <v>330408</v>
      </c>
      <c r="M582" s="198"/>
      <c r="N582" s="203">
        <f>IFERROR(__xludf.DUMMYFUNCTION("IMPORTRANGE(""https://docs.google.com/spreadsheets/d/1XL5vhW3sbDhbH9Cz0tuDiY8C3ctxq1tqvaCgkFb8cCA/edit?usp=sharing"",""สกลนคร!M477"")"),93282.26000000001)</f>
        <v>93282.26</v>
      </c>
      <c r="O582" s="203">
        <f t="shared" si="125"/>
        <v>28.23244595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IFERROR(__xludf.DUMMYFUNCTION("IMPORTRANGE(""https://docs.google.com/spreadsheets/d/1XL5vhW3sbDhbH9Cz0tuDiY8C3ctxq1tqvaCgkFb8cCA/edit?usp=sharing"",""สกลนคร!L478"")"),0.0)</f>
        <v>0</v>
      </c>
      <c r="M583" s="203"/>
      <c r="N583" s="203">
        <f>IFERROR(__xludf.DUMMYFUNCTION("IMPORTRANGE(""https://docs.google.com/spreadsheets/d/1XL5vhW3sbDhbH9Cz0tuDiY8C3ctxq1tqvaCgkFb8cCA/edit?usp=sharing"",""สกลนคร!M478"")"),0.0)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IFERROR(__xludf.DUMMYFUNCTION("IMPORTRANGE(""https://docs.google.com/spreadsheets/d/1XL5vhW3sbDhbH9Cz0tuDiY8C3ctxq1tqvaCgkFb8cCA/edit?usp=sharing"",""สกลนคร!L479"")"),330408.0)</f>
        <v>330408</v>
      </c>
      <c r="M584" s="203"/>
      <c r="N584" s="203">
        <f>IFERROR(__xludf.DUMMYFUNCTION("IMPORTRANGE(""https://docs.google.com/spreadsheets/d/1XL5vhW3sbDhbH9Cz0tuDiY8C3ctxq1tqvaCgkFb8cCA/edit?usp=sharing"",""สกลนคร!M479"")"),93282.26000000001)</f>
        <v>93282.26</v>
      </c>
      <c r="O584" s="203">
        <f t="shared" si="125"/>
        <v>28.23244595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IFERROR(__xludf.DUMMYFUNCTION("IMPORTRANGE(""https://docs.google.com/spreadsheets/d/1XL5vhW3sbDhbH9Cz0tuDiY8C3ctxq1tqvaCgkFb8cCA/edit?usp=sharing"",""สกลนคร!M480"")"),0.0)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IFERROR(__xludf.DUMMYFUNCTION("IMPORTRANGE(""https://docs.google.com/spreadsheets/d/1XL5vhW3sbDhbH9Cz0tuDiY8C3ctxq1tqvaCgkFb8cCA/edit?usp=sharing"",""สกลนคร!M481"")"),0.0)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IFERROR(__xludf.DUMMYFUNCTION("IMPORTRANGE(""https://docs.google.com/spreadsheets/d/1XL5vhW3sbDhbH9Cz0tuDiY8C3ctxq1tqvaCgkFb8cCA/edit?usp=sharing"",""สกลนคร!M482"")"),44000.0)</f>
        <v>44000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IFERROR(__xludf.DUMMYFUNCTION("IMPORTRANGE(""https://docs.google.com/spreadsheets/d/1XL5vhW3sbDhbH9Cz0tuDiY8C3ctxq1tqvaCgkFb8cCA/edit?usp=sharing"",""สกลนคร!M483"")"),49282.26)</f>
        <v>49282.26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IFERROR(__xludf.DUMMYFUNCTION("IMPORTRANGE(""https://docs.google.com/spreadsheets/d/1XL5vhW3sbDhbH9Cz0tuDiY8C3ctxq1tqvaCgkFb8cCA/edit?usp=sharing"",""สกลนคร!I484"")"),216.0)</f>
        <v>216</v>
      </c>
      <c r="J589" s="222">
        <f>IFERROR(__xludf.DUMMYFUNCTION("IMPORTRANGE(""https://docs.google.com/spreadsheets/d/1XL5vhW3sbDhbH9Cz0tuDiY8C3ctxq1tqvaCgkFb8cCA/edit?usp=sharing"",""สกลนคร!J484"")"),51.0)</f>
        <v>51</v>
      </c>
      <c r="K589" s="196">
        <f t="shared" ref="K589:K596" si="126">IF(I589&gt;0,J589*100/I589,0)</f>
        <v>23.61111111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IFERROR(__xludf.DUMMYFUNCTION("IMPORTRANGE(""https://docs.google.com/spreadsheets/d/1XL5vhW3sbDhbH9Cz0tuDiY8C3ctxq1tqvaCgkFb8cCA/edit?usp=sharing"",""สกลนคร!I485"")"),0.0)</f>
        <v>0</v>
      </c>
      <c r="J590" s="222">
        <f>IFERROR(__xludf.DUMMYFUNCTION("IMPORTRANGE(""https://docs.google.com/spreadsheets/d/1XL5vhW3sbDhbH9Cz0tuDiY8C3ctxq1tqvaCgkFb8cCA/edit?usp=sharing"",""สกลนคร!J485"")"),18.33)</f>
        <v>18.33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IFERROR(__xludf.DUMMYFUNCTION("IMPORTRANGE(""https://docs.google.com/spreadsheets/d/1XL5vhW3sbDhbH9Cz0tuDiY8C3ctxq1tqvaCgkFb8cCA/edit?usp=sharing"",""สกลนคร!I486"")"),216.0)</f>
        <v>216</v>
      </c>
      <c r="J591" s="222">
        <f>IFERROR(__xludf.DUMMYFUNCTION("IMPORTRANGE(""https://docs.google.com/spreadsheets/d/1XL5vhW3sbDhbH9Cz0tuDiY8C3ctxq1tqvaCgkFb8cCA/edit?usp=sharing"",""สกลนคร!J486"")"),48.0)</f>
        <v>48</v>
      </c>
      <c r="K591" s="196">
        <f t="shared" si="126"/>
        <v>22.22222222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IFERROR(__xludf.DUMMYFUNCTION("IMPORTRANGE(""https://docs.google.com/spreadsheets/d/1XL5vhW3sbDhbH9Cz0tuDiY8C3ctxq1tqvaCgkFb8cCA/edit?usp=sharing"",""สกลนคร!I487"")"),0.0)</f>
        <v>0</v>
      </c>
      <c r="J592" s="222">
        <f>IFERROR(__xludf.DUMMYFUNCTION("IMPORTRANGE(""https://docs.google.com/spreadsheets/d/1XL5vhW3sbDhbH9Cz0tuDiY8C3ctxq1tqvaCgkFb8cCA/edit?usp=sharing"",""สกลนคร!J487"")"),15.24)</f>
        <v>15.24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IFERROR(__xludf.DUMMYFUNCTION("IMPORTRANGE(""https://docs.google.com/spreadsheets/d/1XL5vhW3sbDhbH9Cz0tuDiY8C3ctxq1tqvaCgkFb8cCA/edit?usp=sharing"",""สกลนคร!I488"")"),216.0)</f>
        <v>216</v>
      </c>
      <c r="J593" s="222">
        <f>IFERROR(__xludf.DUMMYFUNCTION("IMPORTRANGE(""https://docs.google.com/spreadsheets/d/1XL5vhW3sbDhbH9Cz0tuDiY8C3ctxq1tqvaCgkFb8cCA/edit?usp=sharing"",""สกลนคร!J488"")"),0.0)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IFERROR(__xludf.DUMMYFUNCTION("IMPORTRANGE(""https://docs.google.com/spreadsheets/d/1XL5vhW3sbDhbH9Cz0tuDiY8C3ctxq1tqvaCgkFb8cCA/edit?usp=sharing"",""สกลนคร!I489"")"),0.0)</f>
        <v>0</v>
      </c>
      <c r="J594" s="222">
        <f>IFERROR(__xludf.DUMMYFUNCTION("IMPORTRANGE(""https://docs.google.com/spreadsheets/d/1XL5vhW3sbDhbH9Cz0tuDiY8C3ctxq1tqvaCgkFb8cCA/edit?usp=sharing"",""สกลนคร!J489"")"),0.0)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IFERROR(__xludf.DUMMYFUNCTION("IMPORTRANGE(""https://docs.google.com/spreadsheets/d/1XL5vhW3sbDhbH9Cz0tuDiY8C3ctxq1tqvaCgkFb8cCA/edit?usp=sharing"",""สกลนคร!I490"")"),216.0)</f>
        <v>216</v>
      </c>
      <c r="J595" s="222">
        <f>IFERROR(__xludf.DUMMYFUNCTION("IMPORTRANGE(""https://docs.google.com/spreadsheets/d/1XL5vhW3sbDhbH9Cz0tuDiY8C3ctxq1tqvaCgkFb8cCA/edit?usp=sharing"",""สกลนคร!J490"")"),0.0)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IFERROR(__xludf.DUMMYFUNCTION("IMPORTRANGE(""https://docs.google.com/spreadsheets/d/1XL5vhW3sbDhbH9Cz0tuDiY8C3ctxq1tqvaCgkFb8cCA/edit?usp=sharing"",""สกลนคร!I491"")"),0.0)</f>
        <v>0</v>
      </c>
      <c r="J596" s="275">
        <f>IFERROR(__xludf.DUMMYFUNCTION("IMPORTRANGE(""https://docs.google.com/spreadsheets/d/1XL5vhW3sbDhbH9Cz0tuDiY8C3ctxq1tqvaCgkFb8cCA/edit?usp=sharing"",""สกลนคร!J491"")"),0.0)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IFERROR(__xludf.DUMMYFUNCTION("IMPORTRANGE(""https://docs.google.com/spreadsheets/d/1XL5vhW3sbDhbH9Cz0tuDiY8C3ctxq1tqvaCgkFb8cCA/edit?usp=sharing"",""สกลนคร!I492"")"),100.0)</f>
        <v>100</v>
      </c>
      <c r="J597" s="520">
        <f>IFERROR(__xludf.DUMMYFUNCTION("IMPORTRANGE(""https://docs.google.com/spreadsheets/d/1XL5vhW3sbDhbH9Cz0tuDiY8C3ctxq1tqvaCgkFb8cCA/edit?usp=sharing"",""สกลนคร!J492"")"),0.0)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IFERROR(__xludf.DUMMYFUNCTION("IMPORTRANGE(""https://docs.google.com/spreadsheets/d/1XL5vhW3sbDhbH9Cz0tuDiY8C3ctxq1tqvaCgkFb8cCA/edit?usp=sharing"",""สกลนคร!L492"")"),20900.0)</f>
        <v>20900</v>
      </c>
      <c r="M597" s="445"/>
      <c r="N597" s="445">
        <f>IFERROR(__xludf.DUMMYFUNCTION("IMPORTRANGE(""https://docs.google.com/spreadsheets/d/1XL5vhW3sbDhbH9Cz0tuDiY8C3ctxq1tqvaCgkFb8cCA/edit?usp=sharing"",""สกลนคร!M492"")"),0.0)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IFERROR(__xludf.DUMMYFUNCTION("IMPORTRANGE(""https://docs.google.com/spreadsheets/d/1XL5vhW3sbDhbH9Cz0tuDiY8C3ctxq1tqvaCgkFb8cCA/edit?usp=sharing"",""สกลนคร!L493"")"),0.0)</f>
        <v>0</v>
      </c>
      <c r="M598" s="197"/>
      <c r="N598" s="203">
        <f>IFERROR(__xludf.DUMMYFUNCTION("IMPORTRANGE(""https://docs.google.com/spreadsheets/d/1XL5vhW3sbDhbH9Cz0tuDiY8C3ctxq1tqvaCgkFb8cCA/edit?usp=sharing"",""สกลนคร!M493"")"),0.0)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IFERROR(__xludf.DUMMYFUNCTION("IMPORTRANGE(""https://docs.google.com/spreadsheets/d/1XL5vhW3sbDhbH9Cz0tuDiY8C3ctxq1tqvaCgkFb8cCA/edit?usp=sharing"",""สกลนคร!L494"")"),20900.0)</f>
        <v>20900</v>
      </c>
      <c r="M599" s="198"/>
      <c r="N599" s="203">
        <f>IFERROR(__xludf.DUMMYFUNCTION("IMPORTRANGE(""https://docs.google.com/spreadsheets/d/1XL5vhW3sbDhbH9Cz0tuDiY8C3ctxq1tqvaCgkFb8cCA/edit?usp=sharing"",""สกลนคร!M494"")"),0.0)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IFERROR(__xludf.DUMMYFUNCTION("IMPORTRANGE(""https://docs.google.com/spreadsheets/d/1XL5vhW3sbDhbH9Cz0tuDiY8C3ctxq1tqvaCgkFb8cCA/edit?usp=sharing"",""สกลนคร!L495"")"),0.0)</f>
        <v>0</v>
      </c>
      <c r="M600" s="203"/>
      <c r="N600" s="203">
        <f>IFERROR(__xludf.DUMMYFUNCTION("IMPORTRANGE(""https://docs.google.com/spreadsheets/d/1XL5vhW3sbDhbH9Cz0tuDiY8C3ctxq1tqvaCgkFb8cCA/edit?usp=sharing"",""สกลนคร!M495"")"),0.0)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IFERROR(__xludf.DUMMYFUNCTION("IMPORTRANGE(""https://docs.google.com/spreadsheets/d/1XL5vhW3sbDhbH9Cz0tuDiY8C3ctxq1tqvaCgkFb8cCA/edit?usp=sharing"",""สกลนคร!L496"")"),20900.0)</f>
        <v>20900</v>
      </c>
      <c r="M601" s="203"/>
      <c r="N601" s="203">
        <f>IFERROR(__xludf.DUMMYFUNCTION("IMPORTRANGE(""https://docs.google.com/spreadsheets/d/1XL5vhW3sbDhbH9Cz0tuDiY8C3ctxq1tqvaCgkFb8cCA/edit?usp=sharing"",""สกลนคร!M496"")"),0.0)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IFERROR(__xludf.DUMMYFUNCTION("IMPORTRANGE(""https://docs.google.com/spreadsheets/d/1XL5vhW3sbDhbH9Cz0tuDiY8C3ctxq1tqvaCgkFb8cCA/edit?usp=sharing"",""สกลนคร!M497"")"),0.0)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IFERROR(__xludf.DUMMYFUNCTION("IMPORTRANGE(""https://docs.google.com/spreadsheets/d/1XL5vhW3sbDhbH9Cz0tuDiY8C3ctxq1tqvaCgkFb8cCA/edit?usp=sharing"",""สกลนคร!M498"")"),0.0)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IFERROR(__xludf.DUMMYFUNCTION("IMPORTRANGE(""https://docs.google.com/spreadsheets/d/1XL5vhW3sbDhbH9Cz0tuDiY8C3ctxq1tqvaCgkFb8cCA/edit?usp=sharing"",""สกลนคร!M499"")"),0.0)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IFERROR(__xludf.DUMMYFUNCTION("IMPORTRANGE(""https://docs.google.com/spreadsheets/d/1XL5vhW3sbDhbH9Cz0tuDiY8C3ctxq1tqvaCgkFb8cCA/edit?usp=sharing"",""สกลนคร!M500"")"),0.0)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IFERROR(__xludf.DUMMYFUNCTION("IMPORTRANGE(""https://docs.google.com/spreadsheets/d/1XL5vhW3sbDhbH9Cz0tuDiY8C3ctxq1tqvaCgkFb8cCA/edit?usp=sharing"",""สกลนคร!J502"")"),1.0)</f>
        <v>1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IFERROR(__xludf.DUMMYFUNCTION("IMPORTRANGE(""https://docs.google.com/spreadsheets/d/1XL5vhW3sbDhbH9Cz0tuDiY8C3ctxq1tqvaCgkFb8cCA/edit?usp=sharing"",""สกลนคร!J503"")"),0.0)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IFERROR(__xludf.DUMMYFUNCTION("IMPORTRANGE(""https://docs.google.com/spreadsheets/d/1XL5vhW3sbDhbH9Cz0tuDiY8C3ctxq1tqvaCgkFb8cCA/edit?usp=sharing"",""สกลนคร!J166"")"),0.0)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IFERROR(__xludf.DUMMYFUNCTION("IMPORTRANGE(""https://docs.google.com/spreadsheets/d/1XL5vhW3sbDhbH9Cz0tuDiY8C3ctxq1tqvaCgkFb8cCA/edit?usp=sharing"",""สกลนคร!J166"")"),0.0)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IFERROR(__xludf.DUMMYFUNCTION("IMPORTRANGE(""https://docs.google.com/spreadsheets/d/1XL5vhW3sbDhbH9Cz0tuDiY8C3ctxq1tqvaCgkFb8cCA/edit?usp=sharing"",""สกลนคร!I506"")"),100.0)</f>
        <v>100</v>
      </c>
      <c r="J611" s="195">
        <f>IFERROR(__xludf.DUMMYFUNCTION("IMPORTRANGE(""https://docs.google.com/spreadsheets/d/1XL5vhW3sbDhbH9Cz0tuDiY8C3ctxq1tqvaCgkFb8cCA/edit?usp=sharing"",""สกลนคร!J506"")"),0.0)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IFERROR(__xludf.DUMMYFUNCTION("IMPORTRANGE(""https://docs.google.com/spreadsheets/d/1XL5vhW3sbDhbH9Cz0tuDiY8C3ctxq1tqvaCgkFb8cCA/edit?usp=sharing"",""สกลนคร!I507"")"),0.0)</f>
        <v>0</v>
      </c>
      <c r="J612" s="232">
        <f>IFERROR(__xludf.DUMMYFUNCTION("IMPORTRANGE(""https://docs.google.com/spreadsheets/d/1XL5vhW3sbDhbH9Cz0tuDiY8C3ctxq1tqvaCgkFb8cCA/edit?usp=sharing"",""สกลนคร!J507"")"),0.0)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IFERROR(__xludf.DUMMYFUNCTION("IMPORTRANGE(""https://docs.google.com/spreadsheets/d/1XL5vhW3sbDhbH9Cz0tuDiY8C3ctxq1tqvaCgkFb8cCA/edit?usp=sharing"",""สกลนคร!I508"")"),0.0)</f>
        <v>0</v>
      </c>
      <c r="J613" s="232">
        <f>IFERROR(__xludf.DUMMYFUNCTION("IMPORTRANGE(""https://docs.google.com/spreadsheets/d/1XL5vhW3sbDhbH9Cz0tuDiY8C3ctxq1tqvaCgkFb8cCA/edit?usp=sharing"",""สกลนคร!J508"")"),0.0)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IFERROR(__xludf.DUMMYFUNCTION("IMPORTRANGE(""https://docs.google.com/spreadsheets/d/1XL5vhW3sbDhbH9Cz0tuDiY8C3ctxq1tqvaCgkFb8cCA/edit?usp=sharing"",""สกลนคร!I509"")"),0.0)</f>
        <v>0</v>
      </c>
      <c r="J614" s="232">
        <f>IFERROR(__xludf.DUMMYFUNCTION("IMPORTRANGE(""https://docs.google.com/spreadsheets/d/1XL5vhW3sbDhbH9Cz0tuDiY8C3ctxq1tqvaCgkFb8cCA/edit?usp=sharing"",""สกลนคร!J509"")"),0.0)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IFERROR(__xludf.DUMMYFUNCTION("IMPORTRANGE(""https://docs.google.com/spreadsheets/d/1XL5vhW3sbDhbH9Cz0tuDiY8C3ctxq1tqvaCgkFb8cCA/edit?usp=sharing"",""สกลนคร!I510"")"),0.0)</f>
        <v>0</v>
      </c>
      <c r="J615" s="232">
        <f>IFERROR(__xludf.DUMMYFUNCTION("IMPORTRANGE(""https://docs.google.com/spreadsheets/d/1XL5vhW3sbDhbH9Cz0tuDiY8C3ctxq1tqvaCgkFb8cCA/edit?usp=sharing"",""สกลนคร!J510"")"),0.0)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IFERROR(__xludf.DUMMYFUNCTION("IMPORTRANGE(""https://docs.google.com/spreadsheets/d/1XL5vhW3sbDhbH9Cz0tuDiY8C3ctxq1tqvaCgkFb8cCA/edit?usp=sharing"",""สกลนคร!I511"")"),0.0)</f>
        <v>0</v>
      </c>
      <c r="J616" s="232">
        <f>IFERROR(__xludf.DUMMYFUNCTION("IMPORTRANGE(""https://docs.google.com/spreadsheets/d/1XL5vhW3sbDhbH9Cz0tuDiY8C3ctxq1tqvaCgkFb8cCA/edit?usp=sharing"",""สกลนคร!J511"")"),0.0)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IFERROR(__xludf.DUMMYFUNCTION("IMPORTRANGE(""https://docs.google.com/spreadsheets/d/1XL5vhW3sbDhbH9Cz0tuDiY8C3ctxq1tqvaCgkFb8cCA/edit?usp=sharing"",""สกลนคร!I512"")"),0.0)</f>
        <v>0</v>
      </c>
      <c r="J617" s="222">
        <f>IFERROR(__xludf.DUMMYFUNCTION("IMPORTRANGE(""https://docs.google.com/spreadsheets/d/1XL5vhW3sbDhbH9Cz0tuDiY8C3ctxq1tqvaCgkFb8cCA/edit?usp=sharing"",""สกลนคร!J512"")"),0.0)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IFERROR(__xludf.DUMMYFUNCTION("IMPORTRANGE(""https://docs.google.com/spreadsheets/d/1XL5vhW3sbDhbH9Cz0tuDiY8C3ctxq1tqvaCgkFb8cCA/edit?usp=sharing"",""สกลนคร!I513"")"),0.0)</f>
        <v>0</v>
      </c>
      <c r="J618" s="223">
        <f>IFERROR(__xludf.DUMMYFUNCTION("IMPORTRANGE(""https://docs.google.com/spreadsheets/d/1XL5vhW3sbDhbH9Cz0tuDiY8C3ctxq1tqvaCgkFb8cCA/edit?usp=sharing"",""สกลนคร!J513"")"),0.0)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IFERROR(__xludf.DUMMYFUNCTION("IMPORTRANGE(""https://docs.google.com/spreadsheets/d/1XL5vhW3sbDhbH9Cz0tuDiY8C3ctxq1tqvaCgkFb8cCA/edit?usp=sharing"",""สกลนคร!I514"")"),0.0)</f>
        <v>0</v>
      </c>
      <c r="J619" s="223">
        <f>IFERROR(__xludf.DUMMYFUNCTION("IMPORTRANGE(""https://docs.google.com/spreadsheets/d/1XL5vhW3sbDhbH9Cz0tuDiY8C3ctxq1tqvaCgkFb8cCA/edit?usp=sharing"",""สกลนคร!J514"")"),0.0)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IFERROR(__xludf.DUMMYFUNCTION("IMPORTRANGE(""https://docs.google.com/spreadsheets/d/1XL5vhW3sbDhbH9Cz0tuDiY8C3ctxq1tqvaCgkFb8cCA/edit?usp=sharing"",""สกลนคร!I515"")"),0.0)</f>
        <v>0</v>
      </c>
      <c r="J620" s="237">
        <f>IFERROR(__xludf.DUMMYFUNCTION("IMPORTRANGE(""https://docs.google.com/spreadsheets/d/1XL5vhW3sbDhbH9Cz0tuDiY8C3ctxq1tqvaCgkFb8cCA/edit?usp=sharing"",""สกลนคร!J515"")"),0.0)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IFERROR(__xludf.DUMMYFUNCTION("IMPORTRANGE(""https://docs.google.com/spreadsheets/d/1XL5vhW3sbDhbH9Cz0tuDiY8C3ctxq1tqvaCgkFb8cCA/edit?usp=sharing"",""สกลนคร!I516"")"),0.0)</f>
        <v>0</v>
      </c>
      <c r="J621" s="237">
        <f>IFERROR(__xludf.DUMMYFUNCTION("IMPORTRANGE(""https://docs.google.com/spreadsheets/d/1XL5vhW3sbDhbH9Cz0tuDiY8C3ctxq1tqvaCgkFb8cCA/edit?usp=sharing"",""สกลนคร!J516"")"),0.0)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IFERROR(__xludf.DUMMYFUNCTION("IMPORTRANGE(""https://docs.google.com/spreadsheets/d/1XL5vhW3sbDhbH9Cz0tuDiY8C3ctxq1tqvaCgkFb8cCA/edit?usp=sharing"",""สกลนคร!I517"")"),0.0)</f>
        <v>0</v>
      </c>
      <c r="J622" s="223">
        <f>IFERROR(__xludf.DUMMYFUNCTION("IMPORTRANGE(""https://docs.google.com/spreadsheets/d/1XL5vhW3sbDhbH9Cz0tuDiY8C3ctxq1tqvaCgkFb8cCA/edit?usp=sharing"",""สกลนคร!J517"")"),0.0)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IFERROR(__xludf.DUMMYFUNCTION("IMPORTRANGE(""https://docs.google.com/spreadsheets/d/1XL5vhW3sbDhbH9Cz0tuDiY8C3ctxq1tqvaCgkFb8cCA/edit?usp=sharing"",""สกลนคร!I518"")"),0.0)</f>
        <v>0</v>
      </c>
      <c r="J623" s="223">
        <f>IFERROR(__xludf.DUMMYFUNCTION("IMPORTRANGE(""https://docs.google.com/spreadsheets/d/1XL5vhW3sbDhbH9Cz0tuDiY8C3ctxq1tqvaCgkFb8cCA/edit?usp=sharing"",""สกลนคร!J518"")"),0.0)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IFERROR(__xludf.DUMMYFUNCTION("IMPORTRANGE(""https://docs.google.com/spreadsheets/d/1XL5vhW3sbDhbH9Cz0tuDiY8C3ctxq1tqvaCgkFb8cCA/edit?usp=sharing"",""สกลนคร!I519"")"),0.0)</f>
        <v>0</v>
      </c>
      <c r="J624" s="222">
        <f>IFERROR(__xludf.DUMMYFUNCTION("IMPORTRANGE(""https://docs.google.com/spreadsheets/d/1XL5vhW3sbDhbH9Cz0tuDiY8C3ctxq1tqvaCgkFb8cCA/edit?usp=sharing"",""สกลนคร!J519"")"),0.0)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IFERROR(__xludf.DUMMYFUNCTION("IMPORTRANGE(""https://docs.google.com/spreadsheets/d/1XL5vhW3sbDhbH9Cz0tuDiY8C3ctxq1tqvaCgkFb8cCA/edit?usp=sharing"",""สกลนคร!I520"")"),0.0)</f>
        <v>0</v>
      </c>
      <c r="J625" s="223">
        <f>IFERROR(__xludf.DUMMYFUNCTION("IMPORTRANGE(""https://docs.google.com/spreadsheets/d/1XL5vhW3sbDhbH9Cz0tuDiY8C3ctxq1tqvaCgkFb8cCA/edit?usp=sharing"",""สกลนคร!J520"")"),0.0)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IFERROR(__xludf.DUMMYFUNCTION("IMPORTRANGE(""https://docs.google.com/spreadsheets/d/1XL5vhW3sbDhbH9Cz0tuDiY8C3ctxq1tqvaCgkFb8cCA/edit?usp=sharing"",""สกลนคร!I521"")"),0.0)</f>
        <v>0</v>
      </c>
      <c r="J626" s="223">
        <f>IFERROR(__xludf.DUMMYFUNCTION("IMPORTRANGE(""https://docs.google.com/spreadsheets/d/1XL5vhW3sbDhbH9Cz0tuDiY8C3ctxq1tqvaCgkFb8cCA/edit?usp=sharing"",""สกลนคร!J521"")"),0.0)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IFERROR(__xludf.DUMMYFUNCTION("IMPORTRANGE(""https://docs.google.com/spreadsheets/d/1XL5vhW3sbDhbH9Cz0tuDiY8C3ctxq1tqvaCgkFb8cCA/edit?usp=sharing"",""สกลนคร!I523"")"),9017111.67)</f>
        <v>9017111.67</v>
      </c>
      <c r="J628" s="374">
        <f>IFERROR(__xludf.DUMMYFUNCTION("IMPORTRANGE(""https://docs.google.com/spreadsheets/d/1XL5vhW3sbDhbH9Cz0tuDiY8C3ctxq1tqvaCgkFb8cCA/edit?usp=sharing"",""สกลนคร!J523"")"),311169.71)</f>
        <v>311169.71</v>
      </c>
      <c r="K628" s="375">
        <f t="shared" ref="K628:K635" si="130">IF(I628&gt;0,J628*100/I628,0)</f>
        <v>3.450880075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IFERROR(__xludf.DUMMYFUNCTION("IMPORTRANGE(""https://docs.google.com/spreadsheets/d/1XL5vhW3sbDhbH9Cz0tuDiY8C3ctxq1tqvaCgkFb8cCA/edit?usp=sharing"",""สกลนคร!I524"")"),757.0)</f>
        <v>757</v>
      </c>
      <c r="J629" s="374">
        <f>IFERROR(__xludf.DUMMYFUNCTION("IMPORTRANGE(""https://docs.google.com/spreadsheets/d/1XL5vhW3sbDhbH9Cz0tuDiY8C3ctxq1tqvaCgkFb8cCA/edit?usp=sharing"",""สกลนคร!J524"")"),27.0)</f>
        <v>27</v>
      </c>
      <c r="K629" s="375">
        <f t="shared" si="130"/>
        <v>3.5667107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IFERROR(__xludf.DUMMYFUNCTION("IMPORTRANGE(""https://docs.google.com/spreadsheets/d/1XL5vhW3sbDhbH9Cz0tuDiY8C3ctxq1tqvaCgkFb8cCA/edit?usp=sharing"",""สกลนคร!I525"")"),3296006.08)</f>
        <v>3296006.08</v>
      </c>
      <c r="J630" s="374">
        <f>IFERROR(__xludf.DUMMYFUNCTION("IMPORTRANGE(""https://docs.google.com/spreadsheets/d/1XL5vhW3sbDhbH9Cz0tuDiY8C3ctxq1tqvaCgkFb8cCA/edit?usp=sharing"",""สกลนคร!J525"")"),424346.44)</f>
        <v>424346.44</v>
      </c>
      <c r="K630" s="375">
        <f t="shared" si="130"/>
        <v>12.87456484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IFERROR(__xludf.DUMMYFUNCTION("IMPORTRANGE(""https://docs.google.com/spreadsheets/d/1XL5vhW3sbDhbH9Cz0tuDiY8C3ctxq1tqvaCgkFb8cCA/edit?usp=sharing"",""สกลนคร!I526"")"),160.0)</f>
        <v>160</v>
      </c>
      <c r="J631" s="374">
        <f>IFERROR(__xludf.DUMMYFUNCTION("IMPORTRANGE(""https://docs.google.com/spreadsheets/d/1XL5vhW3sbDhbH9Cz0tuDiY8C3ctxq1tqvaCgkFb8cCA/edit?usp=sharing"",""สกลนคร!J526"")"),46.0)</f>
        <v>46</v>
      </c>
      <c r="K631" s="375">
        <f t="shared" si="130"/>
        <v>28.75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IFERROR(__xludf.DUMMYFUNCTION("IMPORTRANGE(""https://docs.google.com/spreadsheets/d/1XL5vhW3sbDhbH9Cz0tuDiY8C3ctxq1tqvaCgkFb8cCA/edit?usp=sharing"",""สกลนคร!I527"")"),0.0)</f>
        <v>0</v>
      </c>
      <c r="J632" s="374">
        <f>IFERROR(__xludf.DUMMYFUNCTION("IMPORTRANGE(""https://docs.google.com/spreadsheets/d/1XL5vhW3sbDhbH9Cz0tuDiY8C3ctxq1tqvaCgkFb8cCA/edit?usp=sharing"",""สกลนคร!J527"")"),0.0)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IFERROR(__xludf.DUMMYFUNCTION("IMPORTRANGE(""https://docs.google.com/spreadsheets/d/1XL5vhW3sbDhbH9Cz0tuDiY8C3ctxq1tqvaCgkFb8cCA/edit?usp=sharing"",""สกลนคร!I528"")"),0.0)</f>
        <v>0</v>
      </c>
      <c r="J633" s="374">
        <f>IFERROR(__xludf.DUMMYFUNCTION("IMPORTRANGE(""https://docs.google.com/spreadsheets/d/1XL5vhW3sbDhbH9Cz0tuDiY8C3ctxq1tqvaCgkFb8cCA/edit?usp=sharing"",""สกลนคร!J528"")"),0.0)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IFERROR(__xludf.DUMMYFUNCTION("IMPORTRANGE(""https://docs.google.com/spreadsheets/d/1XL5vhW3sbDhbH9Cz0tuDiY8C3ctxq1tqvaCgkFb8cCA/edit?usp=sharing"",""สกลนคร!I529"")"),1.0E7)</f>
        <v>10000000</v>
      </c>
      <c r="J634" s="374">
        <f>IFERROR(__xludf.DUMMYFUNCTION("IMPORTRANGE(""https://docs.google.com/spreadsheets/d/1XL5vhW3sbDhbH9Cz0tuDiY8C3ctxq1tqvaCgkFb8cCA/edit?usp=sharing"",""สกลนคร!J529"")"),0.0)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IFERROR(__xludf.DUMMYFUNCTION("IMPORTRANGE(""https://docs.google.com/spreadsheets/d/1XL5vhW3sbDhbH9Cz0tuDiY8C3ctxq1tqvaCgkFb8cCA/edit?usp=sharing"",""สกลนคร!I530"")"),200.0)</f>
        <v>200</v>
      </c>
      <c r="J635" s="544">
        <f>IFERROR(__xludf.DUMMYFUNCTION("IMPORTRANGE(""https://docs.google.com/spreadsheets/d/1XL5vhW3sbDhbH9Cz0tuDiY8C3ctxq1tqvaCgkFb8cCA/edit?usp=sharing"",""สกลนคร!J530"")"),0.0)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267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7277111</v>
      </c>
      <c r="M8" s="41">
        <f t="shared" si="1"/>
        <v>1799720</v>
      </c>
      <c r="N8" s="41">
        <f t="shared" si="1"/>
        <v>2392465</v>
      </c>
      <c r="O8" s="40">
        <f t="shared" ref="O8:O16" si="3">IF(L8&gt;0,N8*100/L8,0)</f>
        <v>32.87657698</v>
      </c>
      <c r="P8" s="40">
        <f t="shared" ref="P8:P16" si="4">IF(M8&gt;0,N8*100/M8,0)</f>
        <v>132.9354011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7277111</v>
      </c>
      <c r="M10" s="48">
        <f t="shared" si="5"/>
        <v>1799720</v>
      </c>
      <c r="N10" s="48">
        <f t="shared" si="5"/>
        <v>2392465</v>
      </c>
      <c r="O10" s="47">
        <f t="shared" si="3"/>
        <v>32.87657698</v>
      </c>
      <c r="P10" s="47">
        <f t="shared" si="4"/>
        <v>132.9354011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6139311</v>
      </c>
      <c r="M12" s="58">
        <f t="shared" si="7"/>
        <v>1799720</v>
      </c>
      <c r="N12" s="58">
        <f t="shared" si="7"/>
        <v>1359519</v>
      </c>
      <c r="O12" s="58">
        <f t="shared" si="3"/>
        <v>22.1444882</v>
      </c>
      <c r="P12" s="58">
        <f t="shared" si="4"/>
        <v>75.54058409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1962000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4177311</v>
      </c>
      <c r="M14" s="58">
        <f t="shared" si="9"/>
        <v>0</v>
      </c>
      <c r="N14" s="58">
        <f t="shared" si="9"/>
        <v>166777</v>
      </c>
      <c r="O14" s="61">
        <f t="shared" si="3"/>
        <v>3.992448731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1137800</v>
      </c>
      <c r="M16" s="58">
        <f t="shared" si="11"/>
        <v>0</v>
      </c>
      <c r="N16" s="58">
        <f t="shared" si="11"/>
        <v>1032946</v>
      </c>
      <c r="O16" s="70">
        <f t="shared" si="3"/>
        <v>90.7844964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4435820</v>
      </c>
      <c r="M18" s="41">
        <f t="shared" si="12"/>
        <v>1799720</v>
      </c>
      <c r="N18" s="41">
        <f t="shared" si="12"/>
        <v>2225688</v>
      </c>
      <c r="O18" s="40">
        <f t="shared" ref="O18:O20" si="14">IF(L18&gt;0,N18*100/L18,0)</f>
        <v>50.17534526</v>
      </c>
      <c r="P18" s="40">
        <f t="shared" ref="P18:P26" si="15">IF(M18&gt;0,N18*100/M18,0)</f>
        <v>123.6685707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4435820</v>
      </c>
      <c r="M20" s="48">
        <f t="shared" si="16"/>
        <v>1799720</v>
      </c>
      <c r="N20" s="48">
        <f t="shared" si="16"/>
        <v>2225688</v>
      </c>
      <c r="O20" s="47">
        <f t="shared" si="14"/>
        <v>50.17534526</v>
      </c>
      <c r="P20" s="47">
        <f t="shared" si="15"/>
        <v>123.6685707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3298020</v>
      </c>
      <c r="M22" s="62">
        <f t="shared" si="18"/>
        <v>1799720</v>
      </c>
      <c r="N22" s="61">
        <f t="shared" si="18"/>
        <v>1192742</v>
      </c>
      <c r="O22" s="61">
        <f t="shared" si="19"/>
        <v>36.16539621</v>
      </c>
      <c r="P22" s="61">
        <f t="shared" si="15"/>
        <v>66.2737537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1962000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1336020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1137800</v>
      </c>
      <c r="M26" s="70">
        <f t="shared" si="23"/>
        <v>0</v>
      </c>
      <c r="N26" s="70">
        <f t="shared" si="23"/>
        <v>1032946</v>
      </c>
      <c r="O26" s="70">
        <f t="shared" si="19"/>
        <v>90.7844964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2841291</v>
      </c>
      <c r="M28" s="41">
        <f t="shared" si="24"/>
        <v>0</v>
      </c>
      <c r="N28" s="41">
        <f t="shared" si="24"/>
        <v>166777</v>
      </c>
      <c r="O28" s="40">
        <f t="shared" ref="O28:O30" si="26">IF(L28&gt;0,N28*100/L28,0)</f>
        <v>5.869761316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2841291</v>
      </c>
      <c r="M30" s="48">
        <f t="shared" si="28"/>
        <v>0</v>
      </c>
      <c r="N30" s="48">
        <f t="shared" si="28"/>
        <v>166777</v>
      </c>
      <c r="O30" s="47">
        <f t="shared" si="26"/>
        <v>5.869761316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2841291</v>
      </c>
      <c r="M32" s="61">
        <f t="shared" si="30"/>
        <v>0</v>
      </c>
      <c r="N32" s="61">
        <f t="shared" si="30"/>
        <v>166777</v>
      </c>
      <c r="O32" s="61">
        <f t="shared" si="31"/>
        <v>5.869761316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2841291</v>
      </c>
      <c r="M34" s="61">
        <f t="shared" si="33"/>
        <v>0</v>
      </c>
      <c r="N34" s="61">
        <f t="shared" si="33"/>
        <v>166777</v>
      </c>
      <c r="O34" s="61">
        <f t="shared" si="31"/>
        <v>5.869761316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4435820</v>
      </c>
      <c r="M37" s="75">
        <f t="shared" si="34"/>
        <v>1799720</v>
      </c>
      <c r="N37" s="75">
        <f t="shared" si="34"/>
        <v>2225688</v>
      </c>
      <c r="O37" s="76">
        <f t="shared" si="31"/>
        <v>50.17534526</v>
      </c>
      <c r="P37" s="76">
        <f t="shared" si="27"/>
        <v>123.6685707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1874100</v>
      </c>
      <c r="M41" s="102">
        <f t="shared" si="35"/>
        <v>387000</v>
      </c>
      <c r="N41" s="102">
        <f t="shared" si="35"/>
        <v>1276492</v>
      </c>
      <c r="O41" s="101">
        <f t="shared" ref="O41:O43" si="37">IF(L41&gt;0,N41*100/L41,0)</f>
        <v>68.11226722</v>
      </c>
      <c r="P41" s="101">
        <f t="shared" ref="P41:P43" si="38">IF(M41&gt;0,N41*100/M41,0)</f>
        <v>329.8428941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1874100</v>
      </c>
      <c r="M43" s="102">
        <f t="shared" si="39"/>
        <v>387000</v>
      </c>
      <c r="N43" s="102">
        <f t="shared" si="39"/>
        <v>1276492</v>
      </c>
      <c r="O43" s="101">
        <f t="shared" si="37"/>
        <v>68.11226722</v>
      </c>
      <c r="P43" s="101">
        <f t="shared" si="38"/>
        <v>329.8428941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774100</v>
      </c>
      <c r="M45" s="115">
        <f>IFERROR(__xludf.DUMMYFUNCTION("IMPORTRANGE(""https://docs.google.com/spreadsheets/d/1Yj_ptqi66GCucihVvJfMjLAmec39IyEx_6qawtMGysU/edit?usp=sharing"",""สบก!Q52"")"),387000.0)</f>
        <v>387000</v>
      </c>
      <c r="N45" s="115">
        <f>IFERROR(__xludf.DUMMYFUNCTION("IMPORTRANGE(""https://docs.google.com/spreadsheets/d/1Yj_ptqi66GCucihVvJfMjLAmec39IyEx_6qawtMGysU/edit?usp=sharing"",""สบก!R52"")"),280836.0)</f>
        <v>280836</v>
      </c>
      <c r="O45" s="116">
        <f>IF(L45&gt;0,N45*100/L45,0)</f>
        <v>36.27903372</v>
      </c>
      <c r="P45" s="116">
        <f>IF(M45&gt;0,N45*100/M45,0)</f>
        <v>72.56744186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IFERROR(__xludf.DUMMYFUNCTION("IMPORTRANGE(""https://docs.google.com/spreadsheets/d/1Yj_ptqi66GCucihVvJfMjLAmec39IyEx_6qawtMGysU/edit?usp=sharing"",""สบก!M52"")"),774100.0)</f>
        <v>774100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IFERROR(__xludf.DUMMYFUNCTION("IMPORTRANGE(""https://docs.google.com/spreadsheets/d/1Yj_ptqi66GCucihVvJfMjLAmec39IyEx_6qawtMGysU/edit?usp=sharing"",""สบก!N52"")"),0.0)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IFERROR(__xludf.DUMMYFUNCTION("IMPORTRANGE(""https://docs.google.com/spreadsheets/d/1Yj_ptqi66GCucihVvJfMjLAmec39IyEx_6qawtMGysU/edit?usp=sharing"",""สบก!O52"")"),1100000.0)</f>
        <v>1100000</v>
      </c>
      <c r="M49" s="125"/>
      <c r="N49" s="115">
        <f>IFERROR(__xludf.DUMMYFUNCTION("IMPORTRANGE(""https://docs.google.com/spreadsheets/d/1Yj_ptqi66GCucihVvJfMjLAmec39IyEx_6qawtMGysU/edit?usp=sharing"",""สบก!S52"")"),995656.0)</f>
        <v>995656</v>
      </c>
      <c r="O49" s="125">
        <f>IF(L49&gt;0,N49*100/L49,0)</f>
        <v>90.51418182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428400</v>
      </c>
      <c r="M53" s="151">
        <f t="shared" si="40"/>
        <v>227340</v>
      </c>
      <c r="N53" s="151">
        <f t="shared" si="40"/>
        <v>144632</v>
      </c>
      <c r="O53" s="150">
        <f t="shared" ref="O53:O55" si="42">IF(L53&gt;0,N53*100/L53,0)</f>
        <v>33.76097106</v>
      </c>
      <c r="P53" s="150">
        <f t="shared" ref="P53:P55" si="43">IF(M53&gt;0,N53*100/M53,0)</f>
        <v>63.6192487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428400</v>
      </c>
      <c r="M55" s="151">
        <f t="shared" si="44"/>
        <v>227340</v>
      </c>
      <c r="N55" s="151">
        <f t="shared" si="44"/>
        <v>144632</v>
      </c>
      <c r="O55" s="150">
        <f t="shared" si="42"/>
        <v>33.76097106</v>
      </c>
      <c r="P55" s="150">
        <f t="shared" si="43"/>
        <v>63.6192487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428400</v>
      </c>
      <c r="M57" s="115">
        <f>IFERROR(__xludf.DUMMYFUNCTION("IMPORTRANGE(""https://docs.google.com/spreadsheets/d/1Yj_ptqi66GCucihVvJfMjLAmec39IyEx_6qawtMGysU/edit?usp=sharing"",""สบก!Z52"")"),227340.0)</f>
        <v>227340</v>
      </c>
      <c r="N57" s="115">
        <f>IFERROR(__xludf.DUMMYFUNCTION("IMPORTRANGE(""https://docs.google.com/spreadsheets/d/1Yj_ptqi66GCucihVvJfMjLAmec39IyEx_6qawtMGysU/edit?usp=sharing"",""สบก!AA52"")"),144632.0)</f>
        <v>144632</v>
      </c>
      <c r="O57" s="116">
        <f>IF(L57&gt;0,N57*100/L57,0)</f>
        <v>33.76097106</v>
      </c>
      <c r="P57" s="116">
        <f>IF(M57&gt;0,N57*100/M57,0)</f>
        <v>63.6192487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IFERROR(__xludf.DUMMYFUNCTION("IMPORTRANGE(""https://docs.google.com/spreadsheets/d/1Yj_ptqi66GCucihVvJfMjLAmec39IyEx_6qawtMGysU/edit?usp=sharing"",""สบก!V52"")"),428400.0)</f>
        <v>428400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IFERROR(__xludf.DUMMYFUNCTION("IMPORTRANGE(""https://docs.google.com/spreadsheets/d/1Yj_ptqi66GCucihVvJfMjLAmec39IyEx_6qawtMGysU/edit?usp=sharing"",""สบก!W52"")"),0.0)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IFERROR(__xludf.DUMMYFUNCTION("IMPORTRANGE(""https://docs.google.com/spreadsheets/d/1Yj_ptqi66GCucihVvJfMjLAmec39IyEx_6qawtMGysU/edit?usp=sharing"",""สบก!X52"")"),0.0)</f>
        <v>0</v>
      </c>
      <c r="M61" s="125"/>
      <c r="N61" s="115">
        <f>IFERROR(__xludf.DUMMYFUNCTION("IMPORTRANGE(""https://docs.google.com/spreadsheets/d/1Yj_ptqi66GCucihVvJfMjLAmec39IyEx_6qawtMGysU/edit?usp=sharing"",""สบก!AB52"")"),0.0)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IFERROR(__xludf.DUMMYFUNCTION("IMPORTRANGE(""https://docs.google.com/spreadsheets/d/1XL5vhW3sbDhbH9Cz0tuDiY8C3ctxq1tqvaCgkFb8cCA/edit?usp=sharing"",""สุรินทร์!I9"")"),0.0)</f>
        <v>0</v>
      </c>
      <c r="J64" s="172">
        <f>IFERROR(__xludf.DUMMYFUNCTION("IMPORTRANGE(""https://docs.google.com/spreadsheets/d/1XL5vhW3sbDhbH9Cz0tuDiY8C3ctxq1tqvaCgkFb8cCA/edit?usp=sharing"",""สุรินทร์!J9"")"),0.0)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IFERROR(__xludf.DUMMYFUNCTION("IMPORTRANGE(""https://docs.google.com/spreadsheets/d/1XL5vhW3sbDhbH9Cz0tuDiY8C3ctxq1tqvaCgkFb8cCA/edit?usp=sharing"",""สุรินทร์!I10"")"),0.0)</f>
        <v>0</v>
      </c>
      <c r="J65" s="172">
        <f>IFERROR(__xludf.DUMMYFUNCTION("IMPORTRANGE(""https://docs.google.com/spreadsheets/d/1XL5vhW3sbDhbH9Cz0tuDiY8C3ctxq1tqvaCgkFb8cCA/edit?usp=sharing"",""สุรินทร์!J10"")"),0.0)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IFERROR(__xludf.DUMMYFUNCTION("IMPORTRANGE(""https://docs.google.com/spreadsheets/d/1Yj_ptqi66GCucihVvJfMjLAmec39IyEx_6qawtMGysU/edit?usp=sharing"",""สบก!AI52"")"),0.0)</f>
        <v>0</v>
      </c>
      <c r="N70" s="202">
        <f>IFERROR(__xludf.DUMMYFUNCTION("IMPORTRANGE(""https://docs.google.com/spreadsheets/d/1Yj_ptqi66GCucihVvJfMjLAmec39IyEx_6qawtMGysU/edit?usp=sharing"",""สบก!AJ52"")"),0.0)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IFERROR(__xludf.DUMMYFUNCTION("IMPORTRANGE(""https://docs.google.com/spreadsheets/d/1Yj_ptqi66GCucihVvJfMjLAmec39IyEx_6qawtMGysU/edit?usp=sharing"",""สบก!AE52"")"),0.0)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IFERROR(__xludf.DUMMYFUNCTION("IMPORTRANGE(""https://docs.google.com/spreadsheets/d/1Yj_ptqi66GCucihVvJfMjLAmec39IyEx_6qawtMGysU/edit?usp=sharing"",""สบก!AF52"")"),0.0)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IFERROR(__xludf.DUMMYFUNCTION("IMPORTRANGE(""https://docs.google.com/spreadsheets/d/1Yj_ptqi66GCucihVvJfMjLAmec39IyEx_6qawtMGysU/edit?usp=sharing"",""สบก!AG52"")"),0.0)</f>
        <v>0</v>
      </c>
      <c r="M74" s="125"/>
      <c r="N74" s="115">
        <f>IFERROR(__xludf.DUMMYFUNCTION("IMPORTRANGE(""https://docs.google.com/spreadsheets/d/1Yj_ptqi66GCucihVvJfMjLAmec39IyEx_6qawtMGysU/edit?usp=sharing"",""สบก!AK52"")"),0.0)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IFERROR(__xludf.DUMMYFUNCTION("IMPORTRANGE(""https://docs.google.com/spreadsheets/d/1XL5vhW3sbDhbH9Cz0tuDiY8C3ctxq1tqvaCgkFb8cCA/edit?usp=sharing"",""สุรินทร์!J16"")"),0.0)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IFERROR(__xludf.DUMMYFUNCTION("IMPORTRANGE(""https://docs.google.com/spreadsheets/d/1XL5vhW3sbDhbH9Cz0tuDiY8C3ctxq1tqvaCgkFb8cCA/edit?usp=sharing"",""สุรินทร์!J17"")"),0.0)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IFERROR(__xludf.DUMMYFUNCTION("IMPORTRANGE(""https://docs.google.com/spreadsheets/d/1XL5vhW3sbDhbH9Cz0tuDiY8C3ctxq1tqvaCgkFb8cCA/edit?usp=sharing"",""สุรินทร์!J18"")"),0.0)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IFERROR(__xludf.DUMMYFUNCTION("IMPORTRANGE(""https://docs.google.com/spreadsheets/d/1XL5vhW3sbDhbH9Cz0tuDiY8C3ctxq1tqvaCgkFb8cCA/edit?usp=sharing"",""สุรินทร์!J19"")"),0.0)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IFERROR(__xludf.DUMMYFUNCTION("IMPORTRANGE(""https://docs.google.com/spreadsheets/d/1XL5vhW3sbDhbH9Cz0tuDiY8C3ctxq1tqvaCgkFb8cCA/edit?usp=sharing"",""สุรินทร์!I20"")"),0.0)</f>
        <v>0</v>
      </c>
      <c r="J80" s="235">
        <f>IFERROR(__xludf.DUMMYFUNCTION("IMPORTRANGE(""https://docs.google.com/spreadsheets/d/1XL5vhW3sbDhbH9Cz0tuDiY8C3ctxq1tqvaCgkFb8cCA/edit?usp=sharing"",""สุรินทร์!J20"")"),0.0)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IFERROR(__xludf.DUMMYFUNCTION("IMPORTRANGE(""https://docs.google.com/spreadsheets/d/1XL5vhW3sbDhbH9Cz0tuDiY8C3ctxq1tqvaCgkFb8cCA/edit?usp=sharing"",""สุรินทร์!I21"")"),0.0)</f>
        <v>0</v>
      </c>
      <c r="J81" s="235">
        <f>IFERROR(__xludf.DUMMYFUNCTION("IMPORTRANGE(""https://docs.google.com/spreadsheets/d/1XL5vhW3sbDhbH9Cz0tuDiY8C3ctxq1tqvaCgkFb8cCA/edit?usp=sharing"",""สุรินทร์!J21"")"),0.0)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IFERROR(__xludf.DUMMYFUNCTION("IMPORTRANGE(""https://docs.google.com/spreadsheets/d/1XL5vhW3sbDhbH9Cz0tuDiY8C3ctxq1tqvaCgkFb8cCA/edit?usp=sharing"",""สุรินทร์!I22"")"),0.0)</f>
        <v>0</v>
      </c>
      <c r="J82" s="238">
        <f>IFERROR(__xludf.DUMMYFUNCTION("IMPORTRANGE(""https://docs.google.com/spreadsheets/d/1XL5vhW3sbDhbH9Cz0tuDiY8C3ctxq1tqvaCgkFb8cCA/edit?usp=sharing"",""สุรินทร์!J22"")"),0.0)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IFERROR(__xludf.DUMMYFUNCTION("IMPORTRANGE(""https://docs.google.com/spreadsheets/d/1XL5vhW3sbDhbH9Cz0tuDiY8C3ctxq1tqvaCgkFb8cCA/edit?usp=sharing"",""สุรินทร์!I23"")"),0.0)</f>
        <v>0</v>
      </c>
      <c r="J83" s="238">
        <f>IFERROR(__xludf.DUMMYFUNCTION("IMPORTRANGE(""https://docs.google.com/spreadsheets/d/1XL5vhW3sbDhbH9Cz0tuDiY8C3ctxq1tqvaCgkFb8cCA/edit?usp=sharing"",""สุรินทร์!J23"")"),0.0)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IFERROR(__xludf.DUMMYFUNCTION("IMPORTRANGE(""https://docs.google.com/spreadsheets/d/1XL5vhW3sbDhbH9Cz0tuDiY8C3ctxq1tqvaCgkFb8cCA/edit?usp=sharing"",""สุรินทร์!I24"")"),0.0)</f>
        <v>0</v>
      </c>
      <c r="J84" s="223">
        <f>IFERROR(__xludf.DUMMYFUNCTION("IMPORTRANGE(""https://docs.google.com/spreadsheets/d/1XL5vhW3sbDhbH9Cz0tuDiY8C3ctxq1tqvaCgkFb8cCA/edit?usp=sharing"",""สุรินทร์!J24"")"),0.0)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IFERROR(__xludf.DUMMYFUNCTION("IMPORTRANGE(""https://docs.google.com/spreadsheets/d/1XL5vhW3sbDhbH9Cz0tuDiY8C3ctxq1tqvaCgkFb8cCA/edit?usp=sharing"",""สุรินทร์!I25"")"),0.0)</f>
        <v>0</v>
      </c>
      <c r="J85" s="223">
        <f>IFERROR(__xludf.DUMMYFUNCTION("IMPORTRANGE(""https://docs.google.com/spreadsheets/d/1XL5vhW3sbDhbH9Cz0tuDiY8C3ctxq1tqvaCgkFb8cCA/edit?usp=sharing"",""สุรินทร์!J25"")"),0.0)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IFERROR(__xludf.DUMMYFUNCTION("IMPORTRANGE(""https://docs.google.com/spreadsheets/d/1XL5vhW3sbDhbH9Cz0tuDiY8C3ctxq1tqvaCgkFb8cCA/edit?usp=sharing"",""สุรินทร์!I26"")"),0.0)</f>
        <v>0</v>
      </c>
      <c r="J86" s="238">
        <f>IFERROR(__xludf.DUMMYFUNCTION("IMPORTRANGE(""https://docs.google.com/spreadsheets/d/1XL5vhW3sbDhbH9Cz0tuDiY8C3ctxq1tqvaCgkFb8cCA/edit?usp=sharing"",""สุรินทร์!J26"")"),0.0)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IFERROR(__xludf.DUMMYFUNCTION("IMPORTRANGE(""https://docs.google.com/spreadsheets/d/1XL5vhW3sbDhbH9Cz0tuDiY8C3ctxq1tqvaCgkFb8cCA/edit?usp=sharing"",""สุรินทร์!I27"")"),0.0)</f>
        <v>0</v>
      </c>
      <c r="J87" s="238">
        <f>IFERROR(__xludf.DUMMYFUNCTION("IMPORTRANGE(""https://docs.google.com/spreadsheets/d/1XL5vhW3sbDhbH9Cz0tuDiY8C3ctxq1tqvaCgkFb8cCA/edit?usp=sharing"",""สุรินทร์!J27"")"),0.0)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IFERROR(__xludf.DUMMYFUNCTION("IMPORTRANGE(""https://docs.google.com/spreadsheets/d/1XL5vhW3sbDhbH9Cz0tuDiY8C3ctxq1tqvaCgkFb8cCA/edit?usp=sharing"",""สุรินทร์!I28"")"),0.0)</f>
        <v>0</v>
      </c>
      <c r="J88" s="238">
        <f>IFERROR(__xludf.DUMMYFUNCTION("IMPORTRANGE(""https://docs.google.com/spreadsheets/d/1XL5vhW3sbDhbH9Cz0tuDiY8C3ctxq1tqvaCgkFb8cCA/edit?usp=sharing"",""สุรินทร์!J28"")"),0.0)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IFERROR(__xludf.DUMMYFUNCTION("IMPORTRANGE(""https://docs.google.com/spreadsheets/d/1XL5vhW3sbDhbH9Cz0tuDiY8C3ctxq1tqvaCgkFb8cCA/edit?usp=sharing"",""สุรินทร์!J29"")"),0.0)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IFERROR(__xludf.DUMMYFUNCTION("IMPORTRANGE(""https://docs.google.com/spreadsheets/d/1XL5vhW3sbDhbH9Cz0tuDiY8C3ctxq1tqvaCgkFb8cCA/edit?usp=sharing"",""สุรินทร์!J30"")"),0.0)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IFERROR(__xludf.DUMMYFUNCTION("IMPORTRANGE(""https://docs.google.com/spreadsheets/d/1XL5vhW3sbDhbH9Cz0tuDiY8C3ctxq1tqvaCgkFb8cCA/edit?usp=sharing"",""สุรินทร์!I32"")"),0.0)</f>
        <v>0</v>
      </c>
      <c r="J92" s="172">
        <f>IFERROR(__xludf.DUMMYFUNCTION("IMPORTRANGE(""https://docs.google.com/spreadsheets/d/1XL5vhW3sbDhbH9Cz0tuDiY8C3ctxq1tqvaCgkFb8cCA/edit?usp=sharing"",""สุรินทร์!J32"")"),0.0)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IFERROR(__xludf.DUMMYFUNCTION("IMPORTRANGE(""https://docs.google.com/spreadsheets/d/1XL5vhW3sbDhbH9Cz0tuDiY8C3ctxq1tqvaCgkFb8cCA/edit?usp=sharing"",""สุรินทร์!I33"")"),0.0)</f>
        <v>0</v>
      </c>
      <c r="J93" s="172">
        <f>IFERROR(__xludf.DUMMYFUNCTION("IMPORTRANGE(""https://docs.google.com/spreadsheets/d/1XL5vhW3sbDhbH9Cz0tuDiY8C3ctxq1tqvaCgkFb8cCA/edit?usp=sharing"",""สุรินทร์!J33"")"),0.0)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IFERROR(__xludf.DUMMYFUNCTION("IMPORTRANGE(""https://docs.google.com/spreadsheets/d/1Yj_ptqi66GCucihVvJfMjLAmec39IyEx_6qawtMGysU/edit?usp=sharing"",""สบก!AR52"")"),0.0)</f>
        <v>0</v>
      </c>
      <c r="N98" s="202">
        <f>IFERROR(__xludf.DUMMYFUNCTION("IMPORTRANGE(""https://docs.google.com/spreadsheets/d/1Yj_ptqi66GCucihVvJfMjLAmec39IyEx_6qawtMGysU/edit?usp=sharing"",""สบก!AS52"")"),0.0)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IFERROR(__xludf.DUMMYFUNCTION("IMPORTRANGE(""https://docs.google.com/spreadsheets/d/1Yj_ptqi66GCucihVvJfMjLAmec39IyEx_6qawtMGysU/edit?usp=sharing"",""สบก!AN52"")"),0.0)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IFERROR(__xludf.DUMMYFUNCTION("IMPORTRANGE(""https://docs.google.com/spreadsheets/d/1Yj_ptqi66GCucihVvJfMjLAmec39IyEx_6qawtMGysU/edit?usp=sharing"",""สบก!AO52"")"),0.0)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IFERROR(__xludf.DUMMYFUNCTION("IMPORTRANGE(""https://docs.google.com/spreadsheets/d/1Yj_ptqi66GCucihVvJfMjLAmec39IyEx_6qawtMGysU/edit?usp=sharing"",""สบก!AP52"")"),0.0)</f>
        <v>0</v>
      </c>
      <c r="M102" s="125"/>
      <c r="N102" s="115">
        <f>IFERROR(__xludf.DUMMYFUNCTION("IMPORTRANGE(""https://docs.google.com/spreadsheets/d/1Yj_ptqi66GCucihVvJfMjLAmec39IyEx_6qawtMGysU/edit?usp=sharing"",""สบก!AT52"")"),0.0)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IFERROR(__xludf.DUMMYFUNCTION("IMPORTRANGE(""https://docs.google.com/spreadsheets/d/1XL5vhW3sbDhbH9Cz0tuDiY8C3ctxq1tqvaCgkFb8cCA/edit?usp=sharing"",""สุรินทร์!J39"")"),0.0)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IFERROR(__xludf.DUMMYFUNCTION("IMPORTRANGE(""https://docs.google.com/spreadsheets/d/1XL5vhW3sbDhbH9Cz0tuDiY8C3ctxq1tqvaCgkFb8cCA/edit?usp=sharing"",""สุรินทร์!J40"")"),0.0)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IFERROR(__xludf.DUMMYFUNCTION("IMPORTRANGE(""https://docs.google.com/spreadsheets/d/1XL5vhW3sbDhbH9Cz0tuDiY8C3ctxq1tqvaCgkFb8cCA/edit?usp=sharing"",""สุรินทร์!J41"")"),0.0)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IFERROR(__xludf.DUMMYFUNCTION("IMPORTRANGE(""https://docs.google.com/spreadsheets/d/1XL5vhW3sbDhbH9Cz0tuDiY8C3ctxq1tqvaCgkFb8cCA/edit?usp=sharing"",""สุรินทร์!J42"")"),0.0)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IFERROR(__xludf.DUMMYFUNCTION("IMPORTRANGE(""https://docs.google.com/spreadsheets/d/1XL5vhW3sbDhbH9Cz0tuDiY8C3ctxq1tqvaCgkFb8cCA/edit?usp=sharing"",""สุรินทร์!I43"")"),0.0)</f>
        <v>0</v>
      </c>
      <c r="J108" s="238">
        <f>IFERROR(__xludf.DUMMYFUNCTION("IMPORTRANGE(""https://docs.google.com/spreadsheets/d/1XL5vhW3sbDhbH9Cz0tuDiY8C3ctxq1tqvaCgkFb8cCA/edit?usp=sharing"",""สุรินทร์!J43"")"),0.0)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IFERROR(__xludf.DUMMYFUNCTION("IMPORTRANGE(""https://docs.google.com/spreadsheets/d/1XL5vhW3sbDhbH9Cz0tuDiY8C3ctxq1tqvaCgkFb8cCA/edit?usp=sharing"",""สุรินทร์!I44"")"),0.0)</f>
        <v>0</v>
      </c>
      <c r="J109" s="238">
        <f>IFERROR(__xludf.DUMMYFUNCTION("IMPORTRANGE(""https://docs.google.com/spreadsheets/d/1XL5vhW3sbDhbH9Cz0tuDiY8C3ctxq1tqvaCgkFb8cCA/edit?usp=sharing"",""สุรินทร์!J44"")"),0.0)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IFERROR(__xludf.DUMMYFUNCTION("IMPORTRANGE(""https://docs.google.com/spreadsheets/d/1XL5vhW3sbDhbH9Cz0tuDiY8C3ctxq1tqvaCgkFb8cCA/edit?usp=sharing"",""สุรินทร์!I45"")"),0.0)</f>
        <v>0</v>
      </c>
      <c r="J110" s="238">
        <f>IFERROR(__xludf.DUMMYFUNCTION("IMPORTRANGE(""https://docs.google.com/spreadsheets/d/1XL5vhW3sbDhbH9Cz0tuDiY8C3ctxq1tqvaCgkFb8cCA/edit?usp=sharing"",""สุรินทร์!J45"")"),0.0)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IFERROR(__xludf.DUMMYFUNCTION("IMPORTRANGE(""https://docs.google.com/spreadsheets/d/1XL5vhW3sbDhbH9Cz0tuDiY8C3ctxq1tqvaCgkFb8cCA/edit?usp=sharing"",""สุรินทร์!I46"")"),0.0)</f>
        <v>0</v>
      </c>
      <c r="J111" s="238">
        <f>IFERROR(__xludf.DUMMYFUNCTION("IMPORTRANGE(""https://docs.google.com/spreadsheets/d/1XL5vhW3sbDhbH9Cz0tuDiY8C3ctxq1tqvaCgkFb8cCA/edit?usp=sharing"",""สุรินทร์!J46"")"),0.0)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IFERROR(__xludf.DUMMYFUNCTION("IMPORTRANGE(""https://docs.google.com/spreadsheets/d/1XL5vhW3sbDhbH9Cz0tuDiY8C3ctxq1tqvaCgkFb8cCA/edit?usp=sharing"",""สุรินทร์!I47"")"),0.0)</f>
        <v>0</v>
      </c>
      <c r="J112" s="238">
        <f>IFERROR(__xludf.DUMMYFUNCTION("IMPORTRANGE(""https://docs.google.com/spreadsheets/d/1XL5vhW3sbDhbH9Cz0tuDiY8C3ctxq1tqvaCgkFb8cCA/edit?usp=sharing"",""สุรินทร์!J47"")"),0.0)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IFERROR(__xludf.DUMMYFUNCTION("IMPORTRANGE(""https://docs.google.com/spreadsheets/d/1XL5vhW3sbDhbH9Cz0tuDiY8C3ctxq1tqvaCgkFb8cCA/edit?usp=sharing"",""สุรินทร์!I48"")"),0.0)</f>
        <v>0</v>
      </c>
      <c r="J113" s="238">
        <f>IFERROR(__xludf.DUMMYFUNCTION("IMPORTRANGE(""https://docs.google.com/spreadsheets/d/1XL5vhW3sbDhbH9Cz0tuDiY8C3ctxq1tqvaCgkFb8cCA/edit?usp=sharing"",""สุรินทร์!J48"")"),0.0)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IFERROR(__xludf.DUMMYFUNCTION("IMPORTRANGE(""https://docs.google.com/spreadsheets/d/1XL5vhW3sbDhbH9Cz0tuDiY8C3ctxq1tqvaCgkFb8cCA/edit?usp=sharing"",""สุรินทร์!J49"")"),0.0)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IFERROR(__xludf.DUMMYFUNCTION("IMPORTRANGE(""https://docs.google.com/spreadsheets/d/1XL5vhW3sbDhbH9Cz0tuDiY8C3ctxq1tqvaCgkFb8cCA/edit?usp=sharing"",""สุรินทร์!J50"")"),0.0)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IFERROR(__xludf.DUMMYFUNCTION("IMPORTRANGE(""https://docs.google.com/spreadsheets/d/1XL5vhW3sbDhbH9Cz0tuDiY8C3ctxq1tqvaCgkFb8cCA/edit?usp=sharing"",""สุรินทร์!I52"")"),0.0)</f>
        <v>0</v>
      </c>
      <c r="J117" s="172">
        <f>IFERROR(__xludf.DUMMYFUNCTION("IMPORTRANGE(""https://docs.google.com/spreadsheets/d/1XL5vhW3sbDhbH9Cz0tuDiY8C3ctxq1tqvaCgkFb8cCA/edit?usp=sharing"",""สุรินทร์!J52"")"),0.0)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IFERROR(__xludf.DUMMYFUNCTION("IMPORTRANGE(""https://docs.google.com/spreadsheets/d/1Yj_ptqi66GCucihVvJfMjLAmec39IyEx_6qawtMGysU/edit?usp=sharing"",""สบก!BA52"")"),0.0)</f>
        <v>0</v>
      </c>
      <c r="N122" s="202">
        <f>IFERROR(__xludf.DUMMYFUNCTION("IMPORTRANGE(""https://docs.google.com/spreadsheets/d/1Yj_ptqi66GCucihVvJfMjLAmec39IyEx_6qawtMGysU/edit?usp=sharing"",""สบก!BB52"")"),0.0)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IFERROR(__xludf.DUMMYFUNCTION("IMPORTRANGE(""https://docs.google.com/spreadsheets/d/1Yj_ptqi66GCucihVvJfMjLAmec39IyEx_6qawtMGysU/edit?usp=sharing"",""สบก!AW52"")"),0.0)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IFERROR(__xludf.DUMMYFUNCTION("IMPORTRANGE(""https://docs.google.com/spreadsheets/d/1Yj_ptqi66GCucihVvJfMjLAmec39IyEx_6qawtMGysU/edit?usp=sharing"",""สบก!AX52"")"),0.0)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IFERROR(__xludf.DUMMYFUNCTION("IMPORTRANGE(""https://docs.google.com/spreadsheets/d/1Yj_ptqi66GCucihVvJfMjLAmec39IyEx_6qawtMGysU/edit?usp=sharing"",""สบก!AY52"")"),0.0)</f>
        <v>0</v>
      </c>
      <c r="M126" s="125"/>
      <c r="N126" s="115">
        <f>IFERROR(__xludf.DUMMYFUNCTION("IMPORTRANGE(""https://docs.google.com/spreadsheets/d/1Yj_ptqi66GCucihVvJfMjLAmec39IyEx_6qawtMGysU/edit?usp=sharing"",""สบก!BC52"")"),0.0)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268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IFERROR(__xludf.DUMMYFUNCTION("IMPORTRANGE(""https://docs.google.com/spreadsheets/d/1XL5vhW3sbDhbH9Cz0tuDiY8C3ctxq1tqvaCgkFb8cCA/edit?usp=sharing"",""สุรินทร์!J58"")"),0.0)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IFERROR(__xludf.DUMMYFUNCTION("IMPORTRANGE(""https://docs.google.com/spreadsheets/d/1XL5vhW3sbDhbH9Cz0tuDiY8C3ctxq1tqvaCgkFb8cCA/edit?usp=sharing"",""สุรินทร์!J59"")"),0.0)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IFERROR(__xludf.DUMMYFUNCTION("IMPORTRANGE(""https://docs.google.com/spreadsheets/d/1XL5vhW3sbDhbH9Cz0tuDiY8C3ctxq1tqvaCgkFb8cCA/edit?usp=sharing"",""สุรินทร์!J60"")"),0.0)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IFERROR(__xludf.DUMMYFUNCTION("IMPORTRANGE(""https://docs.google.com/spreadsheets/d/1XL5vhW3sbDhbH9Cz0tuDiY8C3ctxq1tqvaCgkFb8cCA/edit?usp=sharing"",""สุรินทร์!J61"")"),0.0)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IFERROR(__xludf.DUMMYFUNCTION("IMPORTRANGE(""https://docs.google.com/spreadsheets/d/1XL5vhW3sbDhbH9Cz0tuDiY8C3ctxq1tqvaCgkFb8cCA/edit?usp=sharing"",""สุรินทร์!I62"")"),0.0)</f>
        <v>0</v>
      </c>
      <c r="J132" s="238">
        <f>IFERROR(__xludf.DUMMYFUNCTION("IMPORTRANGE(""https://docs.google.com/spreadsheets/d/1XL5vhW3sbDhbH9Cz0tuDiY8C3ctxq1tqvaCgkFb8cCA/edit?usp=sharing"",""สุรินทร์!J62"")"),0.0)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IFERROR(__xludf.DUMMYFUNCTION("IMPORTRANGE(""https://docs.google.com/spreadsheets/d/1XL5vhW3sbDhbH9Cz0tuDiY8C3ctxq1tqvaCgkFb8cCA/edit?usp=sharing"",""สุรินทร์!I63"")"),0.0)</f>
        <v>0</v>
      </c>
      <c r="J133" s="238">
        <f>IFERROR(__xludf.DUMMYFUNCTION("IMPORTRANGE(""https://docs.google.com/spreadsheets/d/1XL5vhW3sbDhbH9Cz0tuDiY8C3ctxq1tqvaCgkFb8cCA/edit?usp=sharing"",""สุรินทร์!J63"")"),0.0)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IFERROR(__xludf.DUMMYFUNCTION("IMPORTRANGE(""https://docs.google.com/spreadsheets/d/1XL5vhW3sbDhbH9Cz0tuDiY8C3ctxq1tqvaCgkFb8cCA/edit?usp=sharing"",""สุรินทร์!J64"")"),0.0)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IFERROR(__xludf.DUMMYFUNCTION("IMPORTRANGE(""https://docs.google.com/spreadsheets/d/1XL5vhW3sbDhbH9Cz0tuDiY8C3ctxq1tqvaCgkFb8cCA/edit?usp=sharing"",""สุรินทร์!J65"")"),0.0)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IFERROR(__xludf.DUMMYFUNCTION("IMPORTRANGE(""https://docs.google.com/spreadsheets/d/1XL5vhW3sbDhbH9Cz0tuDiY8C3ctxq1tqvaCgkFb8cCA/edit?usp=sharing"",""สุรินทร์!I68"")"),0.0)</f>
        <v>0</v>
      </c>
      <c r="J138" s="301">
        <f>IFERROR(__xludf.DUMMYFUNCTION("IMPORTRANGE(""https://docs.google.com/spreadsheets/d/1XL5vhW3sbDhbH9Cz0tuDiY8C3ctxq1tqvaCgkFb8cCA/edit?usp=sharing"",""สุรินทร์!J68"")"),0.0)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117900</v>
      </c>
      <c r="M140" s="183">
        <f t="shared" si="65"/>
        <v>85750</v>
      </c>
      <c r="N140" s="183">
        <f t="shared" si="65"/>
        <v>41070</v>
      </c>
      <c r="O140" s="182">
        <f t="shared" ref="O140:O142" si="67">IF(L140&gt;0,N140*100/L140,0)</f>
        <v>34.8346056</v>
      </c>
      <c r="P140" s="182">
        <f t="shared" ref="P140:P142" si="68">IF(M140&gt;0,N140*100/M140,0)</f>
        <v>47.89504373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117900</v>
      </c>
      <c r="M142" s="188">
        <f t="shared" si="69"/>
        <v>85750</v>
      </c>
      <c r="N142" s="188">
        <f t="shared" si="69"/>
        <v>41070</v>
      </c>
      <c r="O142" s="187">
        <f t="shared" si="67"/>
        <v>34.8346056</v>
      </c>
      <c r="P142" s="187">
        <f t="shared" si="68"/>
        <v>47.89504373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117900</v>
      </c>
      <c r="M144" s="201">
        <f>IFERROR(__xludf.DUMMYFUNCTION("IMPORTRANGE(""https://docs.google.com/spreadsheets/d/1Yj_ptqi66GCucihVvJfMjLAmec39IyEx_6qawtMGysU/edit?usp=sharing"",""สบก!BJ52"")"),85750.0)</f>
        <v>85750</v>
      </c>
      <c r="N144" s="202">
        <f>IFERROR(__xludf.DUMMYFUNCTION("IMPORTRANGE(""https://docs.google.com/spreadsheets/d/1Yj_ptqi66GCucihVvJfMjLAmec39IyEx_6qawtMGysU/edit?usp=sharing"",""สบก!BK52"")"),41070.0)</f>
        <v>41070</v>
      </c>
      <c r="O144" s="203">
        <f>IF(L144&gt;0,N144*100/L144,0)</f>
        <v>34.8346056</v>
      </c>
      <c r="P144" s="203">
        <f>IF(M144&gt;0,N144*100/M144,0)</f>
        <v>47.89504373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IFERROR(__xludf.DUMMYFUNCTION("IMPORTRANGE(""https://docs.google.com/spreadsheets/d/1Yj_ptqi66GCucihVvJfMjLAmec39IyEx_6qawtMGysU/edit?usp=sharing"",""สบก!BF52"")"),0.0)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IFERROR(__xludf.DUMMYFUNCTION("IMPORTRANGE(""https://docs.google.com/spreadsheets/d/1Yj_ptqi66GCucihVvJfMjLAmec39IyEx_6qawtMGysU/edit?usp=sharing"",""สบก!BG52"")"),117900.0)</f>
        <v>117900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IFERROR(__xludf.DUMMYFUNCTION("IMPORTRANGE(""https://docs.google.com/spreadsheets/d/1Yj_ptqi66GCucihVvJfMjLAmec39IyEx_6qawtMGysU/edit?usp=sharing"",""สบก!BH52"")"),0.0)</f>
        <v>0</v>
      </c>
      <c r="M148" s="125"/>
      <c r="N148" s="115">
        <f>IFERROR(__xludf.DUMMYFUNCTION("IMPORTRANGE(""https://docs.google.com/spreadsheets/d/1Yj_ptqi66GCucihVvJfMjLAmec39IyEx_6qawtMGysU/edit?usp=sharing"",""สบก!BL52"")"),0.0)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IFERROR(__xludf.DUMMYFUNCTION("IMPORTRANGE(""https://docs.google.com/spreadsheets/d/1XL5vhW3sbDhbH9Cz0tuDiY8C3ctxq1tqvaCgkFb8cCA/edit?usp=sharing"",""สุรินทร์!I74"")"),4.0)</f>
        <v>4</v>
      </c>
      <c r="J149" s="309">
        <f>IFERROR(__xludf.DUMMYFUNCTION("IMPORTRANGE(""https://docs.google.com/spreadsheets/d/1XL5vhW3sbDhbH9Cz0tuDiY8C3ctxq1tqvaCgkFb8cCA/edit?usp=sharing"",""สุรินทร์!J74"")"),1.0)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IFERROR(__xludf.DUMMYFUNCTION("IMPORTRANGE(""https://docs.google.com/spreadsheets/d/1XL5vhW3sbDhbH9Cz0tuDiY8C3ctxq1tqvaCgkFb8cCA/edit?usp=sharing"",""สุรินทร์!J79"")"),0.0)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IFERROR(__xludf.DUMMYFUNCTION("IMPORTRANGE(""https://docs.google.com/spreadsheets/d/1XL5vhW3sbDhbH9Cz0tuDiY8C3ctxq1tqvaCgkFb8cCA/edit?usp=sharing"",""สุรินทร์!J80"")"),1.0)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IFERROR(__xludf.DUMMYFUNCTION("IMPORTRANGE(""https://docs.google.com/spreadsheets/d/1XL5vhW3sbDhbH9Cz0tuDiY8C3ctxq1tqvaCgkFb8cCA/edit?usp=sharing"",""สุรินทร์!J81"")"),1.0)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IFERROR(__xludf.DUMMYFUNCTION("IMPORTRANGE(""https://docs.google.com/spreadsheets/d/1XL5vhW3sbDhbH9Cz0tuDiY8C3ctxq1tqvaCgkFb8cCA/edit?usp=sharing"",""สุรินทร์!J82"")"),1.0)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IFERROR(__xludf.DUMMYFUNCTION("IMPORTRANGE(""https://docs.google.com/spreadsheets/d/1XL5vhW3sbDhbH9Cz0tuDiY8C3ctxq1tqvaCgkFb8cCA/edit?usp=sharing"",""สุรินทร์!I83"")"),4.0)</f>
        <v>4</v>
      </c>
      <c r="J158" s="223">
        <f>IFERROR(__xludf.DUMMYFUNCTION("IMPORTRANGE(""https://docs.google.com/spreadsheets/d/1XL5vhW3sbDhbH9Cz0tuDiY8C3ctxq1tqvaCgkFb8cCA/edit?usp=sharing"",""สุรินทร์!J83"")"),1.0)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IFERROR(__xludf.DUMMYFUNCTION("IMPORTRANGE(""https://docs.google.com/spreadsheets/d/1XL5vhW3sbDhbH9Cz0tuDiY8C3ctxq1tqvaCgkFb8cCA/edit?usp=sharing"",""สุรินทร์!J84"")"),0.0)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IFERROR(__xludf.DUMMYFUNCTION("IMPORTRANGE(""https://docs.google.com/spreadsheets/d/1XL5vhW3sbDhbH9Cz0tuDiY8C3ctxq1tqvaCgkFb8cCA/edit?usp=sharing"",""สุรินทร์!J85"")"),0.0)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IFERROR(__xludf.DUMMYFUNCTION("IMPORTRANGE(""https://docs.google.com/spreadsheets/d/1XL5vhW3sbDhbH9Cz0tuDiY8C3ctxq1tqvaCgkFb8cCA/edit?usp=sharing"",""สุรินทร์!J86"")"),0.0)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IFERROR(__xludf.DUMMYFUNCTION("IMPORTRANGE(""https://docs.google.com/spreadsheets/d/1XL5vhW3sbDhbH9Cz0tuDiY8C3ctxq1tqvaCgkFb8cCA/edit?usp=sharing"",""สุรินทร์!J87"")"),0.0)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IFERROR(__xludf.DUMMYFUNCTION("IMPORTRANGE(""https://docs.google.com/spreadsheets/d/1XL5vhW3sbDhbH9Cz0tuDiY8C3ctxq1tqvaCgkFb8cCA/edit?usp=sharing"",""สุรินทร์!J88"")"),0.0)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IFERROR(__xludf.DUMMYFUNCTION("IMPORTRANGE(""https://docs.google.com/spreadsheets/d/1XL5vhW3sbDhbH9Cz0tuDiY8C3ctxq1tqvaCgkFb8cCA/edit?usp=sharing"",""สุรินทร์!I89"")"),3.0)</f>
        <v>3</v>
      </c>
      <c r="J164" s="317">
        <f>IFERROR(__xludf.DUMMYFUNCTION("IMPORTRANGE(""https://docs.google.com/spreadsheets/d/1XL5vhW3sbDhbH9Cz0tuDiY8C3ctxq1tqvaCgkFb8cCA/edit?usp=sharing"",""สุรินทร์!J89"")"),0.0)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IFERROR(__xludf.DUMMYFUNCTION("IMPORTRANGE(""https://docs.google.com/spreadsheets/d/1XL5vhW3sbDhbH9Cz0tuDiY8C3ctxq1tqvaCgkFb8cCA/edit?usp=sharing"",""สุรินทร์!J94"")"),0.0)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IFERROR(__xludf.DUMMYFUNCTION("IMPORTRANGE(""https://docs.google.com/spreadsheets/d/1XL5vhW3sbDhbH9Cz0tuDiY8C3ctxq1tqvaCgkFb8cCA/edit?usp=sharing"",""สุรินทร์!J95"")"),1.0)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IFERROR(__xludf.DUMMYFUNCTION("IMPORTRANGE(""https://docs.google.com/spreadsheets/d/1XL5vhW3sbDhbH9Cz0tuDiY8C3ctxq1tqvaCgkFb8cCA/edit?usp=sharing"",""สุรินทร์!J96"")"),1.0)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IFERROR(__xludf.DUMMYFUNCTION("IMPORTRANGE(""https://docs.google.com/spreadsheets/d/1XL5vhW3sbDhbH9Cz0tuDiY8C3ctxq1tqvaCgkFb8cCA/edit?usp=sharing"",""สุรินทร์!J97"")"),1.0)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IFERROR(__xludf.DUMMYFUNCTION("IMPORTRANGE(""https://docs.google.com/spreadsheets/d/1XL5vhW3sbDhbH9Cz0tuDiY8C3ctxq1tqvaCgkFb8cCA/edit?usp=sharing"",""สุรินทร์!I98"")"),3.0)</f>
        <v>3</v>
      </c>
      <c r="J173" s="223">
        <f>IFERROR(__xludf.DUMMYFUNCTION("IMPORTRANGE(""https://docs.google.com/spreadsheets/d/1XL5vhW3sbDhbH9Cz0tuDiY8C3ctxq1tqvaCgkFb8cCA/edit?usp=sharing"",""สุรินทร์!J98"")"),0.0)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IFERROR(__xludf.DUMMYFUNCTION("IMPORTRANGE(""https://docs.google.com/spreadsheets/d/1XL5vhW3sbDhbH9Cz0tuDiY8C3ctxq1tqvaCgkFb8cCA/edit?usp=sharing"",""สุรินทร์!J99"")"),0.0)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IFERROR(__xludf.DUMMYFUNCTION("IMPORTRANGE(""https://docs.google.com/spreadsheets/d/1XL5vhW3sbDhbH9Cz0tuDiY8C3ctxq1tqvaCgkFb8cCA/edit?usp=sharing"",""สุรินทร์!J100"")"),0.0)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IFERROR(__xludf.DUMMYFUNCTION("IMPORTRANGE(""https://docs.google.com/spreadsheets/d/1XL5vhW3sbDhbH9Cz0tuDiY8C3ctxq1tqvaCgkFb8cCA/edit?usp=sharing"",""สุรินทร์!I101"")"),4.0)</f>
        <v>4</v>
      </c>
      <c r="J176" s="317">
        <f>IFERROR(__xludf.DUMMYFUNCTION("IMPORTRANGE(""https://docs.google.com/spreadsheets/d/1XL5vhW3sbDhbH9Cz0tuDiY8C3ctxq1tqvaCgkFb8cCA/edit?usp=sharing"",""สุรินทร์!J101"")"),4.0)</f>
        <v>4</v>
      </c>
      <c r="K176" s="318">
        <f>IF(I176&gt;0,J176*100/I176,0)</f>
        <v>100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IFERROR(__xludf.DUMMYFUNCTION("IMPORTRANGE(""https://docs.google.com/spreadsheets/d/1XL5vhW3sbDhbH9Cz0tuDiY8C3ctxq1tqvaCgkFb8cCA/edit?usp=sharing"",""สุรินทร์!J106"")"),0.0)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IFERROR(__xludf.DUMMYFUNCTION("IMPORTRANGE(""https://docs.google.com/spreadsheets/d/1XL5vhW3sbDhbH9Cz0tuDiY8C3ctxq1tqvaCgkFb8cCA/edit?usp=sharing"",""สุรินทร์!J107"")"),1.0)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IFERROR(__xludf.DUMMYFUNCTION("IMPORTRANGE(""https://docs.google.com/spreadsheets/d/1XL5vhW3sbDhbH9Cz0tuDiY8C3ctxq1tqvaCgkFb8cCA/edit?usp=sharing"",""สุรินทร์!J108"")"),1.0)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IFERROR(__xludf.DUMMYFUNCTION("IMPORTRANGE(""https://docs.google.com/spreadsheets/d/1XL5vhW3sbDhbH9Cz0tuDiY8C3ctxq1tqvaCgkFb8cCA/edit?usp=sharing"",""สุรินทร์!J109"")"),1.0)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IFERROR(__xludf.DUMMYFUNCTION("IMPORTRANGE(""https://docs.google.com/spreadsheets/d/1XL5vhW3sbDhbH9Cz0tuDiY8C3ctxq1tqvaCgkFb8cCA/edit?usp=sharing"",""สุรินทร์!I110"")"),4.0)</f>
        <v>4</v>
      </c>
      <c r="J185" s="238">
        <f>IFERROR(__xludf.DUMMYFUNCTION("IMPORTRANGE(""https://docs.google.com/spreadsheets/d/1XL5vhW3sbDhbH9Cz0tuDiY8C3ctxq1tqvaCgkFb8cCA/edit?usp=sharing"",""สุรินทร์!J110"")"),0.0)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IFERROR(__xludf.DUMMYFUNCTION("IMPORTRANGE(""https://docs.google.com/spreadsheets/d/1XL5vhW3sbDhbH9Cz0tuDiY8C3ctxq1tqvaCgkFb8cCA/edit?usp=sharing"",""สุรินทร์!I111"")"),4.0)</f>
        <v>4</v>
      </c>
      <c r="J186" s="238">
        <f>IFERROR(__xludf.DUMMYFUNCTION("IMPORTRANGE(""https://docs.google.com/spreadsheets/d/1XL5vhW3sbDhbH9Cz0tuDiY8C3ctxq1tqvaCgkFb8cCA/edit?usp=sharing"",""สุรินทร์!J111"")"),4.0)</f>
        <v>4</v>
      </c>
      <c r="K186" s="258">
        <f t="shared" si="70"/>
        <v>100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IFERROR(__xludf.DUMMYFUNCTION("IMPORTRANGE(""https://docs.google.com/spreadsheets/d/1XL5vhW3sbDhbH9Cz0tuDiY8C3ctxq1tqvaCgkFb8cCA/edit?usp=sharing"",""สุรินทร์!J112"")"),0.0)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IFERROR(__xludf.DUMMYFUNCTION("IMPORTRANGE(""https://docs.google.com/spreadsheets/d/1XL5vhW3sbDhbH9Cz0tuDiY8C3ctxq1tqvaCgkFb8cCA/edit?usp=sharing"",""สุรินทร์!J113"")"),0.0)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IFERROR(__xludf.DUMMYFUNCTION("IMPORTRANGE(""https://docs.google.com/spreadsheets/d/1XL5vhW3sbDhbH9Cz0tuDiY8C3ctxq1tqvaCgkFb8cCA/edit?usp=sharing"",""สุรินทร์!I114"")"),15000.0)</f>
        <v>15000</v>
      </c>
      <c r="J189" s="317">
        <f>IFERROR(__xludf.DUMMYFUNCTION("IMPORTRANGE(""https://docs.google.com/spreadsheets/d/1XL5vhW3sbDhbH9Cz0tuDiY8C3ctxq1tqvaCgkFb8cCA/edit?usp=sharing"",""สุรินทร์!J114"")"),0.0)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IFERROR(__xludf.DUMMYFUNCTION("IMPORTRANGE(""https://docs.google.com/spreadsheets/d/1XL5vhW3sbDhbH9Cz0tuDiY8C3ctxq1tqvaCgkFb8cCA/edit?usp=sharing"",""สุรินทร์!J119"")"),0.0)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IFERROR(__xludf.DUMMYFUNCTION("IMPORTRANGE(""https://docs.google.com/spreadsheets/d/1XL5vhW3sbDhbH9Cz0tuDiY8C3ctxq1tqvaCgkFb8cCA/edit?usp=sharing"",""สุรินทร์!J120"")"),1.0)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IFERROR(__xludf.DUMMYFUNCTION("IMPORTRANGE(""https://docs.google.com/spreadsheets/d/1XL5vhW3sbDhbH9Cz0tuDiY8C3ctxq1tqvaCgkFb8cCA/edit?usp=sharing"",""สุรินทร์!J121"")"),0.0)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IFERROR(__xludf.DUMMYFUNCTION("IMPORTRANGE(""https://docs.google.com/spreadsheets/d/1XL5vhW3sbDhbH9Cz0tuDiY8C3ctxq1tqvaCgkFb8cCA/edit?usp=sharing"",""สุรินทร์!J122"")"),0.0)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IFERROR(__xludf.DUMMYFUNCTION("IMPORTRANGE(""https://docs.google.com/spreadsheets/d/1XL5vhW3sbDhbH9Cz0tuDiY8C3ctxq1tqvaCgkFb8cCA/edit?usp=sharing"",""สุรินทร์!I124"")"),15000.0)</f>
        <v>15000</v>
      </c>
      <c r="J199" s="223">
        <f>IFERROR(__xludf.DUMMYFUNCTION("IMPORTRANGE(""https://docs.google.com/spreadsheets/d/1XL5vhW3sbDhbH9Cz0tuDiY8C3ctxq1tqvaCgkFb8cCA/edit?usp=sharing"",""สุรินทร์!J124"")"),0.0)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IFERROR(__xludf.DUMMYFUNCTION("IMPORTRANGE(""https://docs.google.com/spreadsheets/d/1XL5vhW3sbDhbH9Cz0tuDiY8C3ctxq1tqvaCgkFb8cCA/edit?usp=sharing"",""สุรินทร์!I125"")"),15000.0)</f>
        <v>15000</v>
      </c>
      <c r="J200" s="223">
        <f>IFERROR(__xludf.DUMMYFUNCTION("IMPORTRANGE(""https://docs.google.com/spreadsheets/d/1XL5vhW3sbDhbH9Cz0tuDiY8C3ctxq1tqvaCgkFb8cCA/edit?usp=sharing"",""สุรินทร์!J125"")"),0.0)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IFERROR(__xludf.DUMMYFUNCTION("IMPORTRANGE(""https://docs.google.com/spreadsheets/d/1XL5vhW3sbDhbH9Cz0tuDiY8C3ctxq1tqvaCgkFb8cCA/edit?usp=sharing"",""สุรินทร์!I126"")"),0.0)</f>
        <v>0</v>
      </c>
      <c r="J201" s="223">
        <f>IFERROR(__xludf.DUMMYFUNCTION("IMPORTRANGE(""https://docs.google.com/spreadsheets/d/1XL5vhW3sbDhbH9Cz0tuDiY8C3ctxq1tqvaCgkFb8cCA/edit?usp=sharing"",""สุรินทร์!J126"")"),0.0)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IFERROR(__xludf.DUMMYFUNCTION("IMPORTRANGE(""https://docs.google.com/spreadsheets/d/1XL5vhW3sbDhbH9Cz0tuDiY8C3ctxq1tqvaCgkFb8cCA/edit?usp=sharing"",""สุรินทร์!J127"")"),0.0)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IFERROR(__xludf.DUMMYFUNCTION("IMPORTRANGE(""https://docs.google.com/spreadsheets/d/1XL5vhW3sbDhbH9Cz0tuDiY8C3ctxq1tqvaCgkFb8cCA/edit?usp=sharing"",""สุรินทร์!J128"")"),0.0)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IFERROR(__xludf.DUMMYFUNCTION("IMPORTRANGE(""https://docs.google.com/spreadsheets/d/1XL5vhW3sbDhbH9Cz0tuDiY8C3ctxq1tqvaCgkFb8cCA/edit?usp=sharing"",""สุรินทร์!I129"")"),0.0)</f>
        <v>0</v>
      </c>
      <c r="J204" s="317">
        <f>IFERROR(__xludf.DUMMYFUNCTION("IMPORTRANGE(""https://docs.google.com/spreadsheets/d/1XL5vhW3sbDhbH9Cz0tuDiY8C3ctxq1tqvaCgkFb8cCA/edit?usp=sharing"",""สุรินทร์!J129"")"),0.0)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IFERROR(__xludf.DUMMYFUNCTION("IMPORTRANGE(""https://docs.google.com/spreadsheets/d/1XL5vhW3sbDhbH9Cz0tuDiY8C3ctxq1tqvaCgkFb8cCA/edit?usp=sharing"",""สุรินทร์!J134"")"),0.0)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IFERROR(__xludf.DUMMYFUNCTION("IMPORTRANGE(""https://docs.google.com/spreadsheets/d/1XL5vhW3sbDhbH9Cz0tuDiY8C3ctxq1tqvaCgkFb8cCA/edit?usp=sharing"",""สุรินทร์!J135"")"),0.0)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IFERROR(__xludf.DUMMYFUNCTION("IMPORTRANGE(""https://docs.google.com/spreadsheets/d/1XL5vhW3sbDhbH9Cz0tuDiY8C3ctxq1tqvaCgkFb8cCA/edit?usp=sharing"",""สุรินทร์!J136"")"),0.0)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IFERROR(__xludf.DUMMYFUNCTION("IMPORTRANGE(""https://docs.google.com/spreadsheets/d/1XL5vhW3sbDhbH9Cz0tuDiY8C3ctxq1tqvaCgkFb8cCA/edit?usp=sharing"",""สุรินทร์!J137"")"),0.0)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IFERROR(__xludf.DUMMYFUNCTION("IMPORTRANGE(""https://docs.google.com/spreadsheets/d/1XL5vhW3sbDhbH9Cz0tuDiY8C3ctxq1tqvaCgkFb8cCA/edit?usp=sharing"",""สุรินทร์!I138"")"),0.0)</f>
        <v>0</v>
      </c>
      <c r="J213" s="238">
        <f>IFERROR(__xludf.DUMMYFUNCTION("IMPORTRANGE(""https://docs.google.com/spreadsheets/d/1XL5vhW3sbDhbH9Cz0tuDiY8C3ctxq1tqvaCgkFb8cCA/edit?usp=sharing"",""สุรินทร์!J138"")"),0.0)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IFERROR(__xludf.DUMMYFUNCTION("IMPORTRANGE(""https://docs.google.com/spreadsheets/d/1XL5vhW3sbDhbH9Cz0tuDiY8C3ctxq1tqvaCgkFb8cCA/edit?usp=sharing"",""สุรินทร์!I140"")"),0.0)</f>
        <v>0</v>
      </c>
      <c r="J215" s="238">
        <f>IFERROR(__xludf.DUMMYFUNCTION("IMPORTRANGE(""https://docs.google.com/spreadsheets/d/1XL5vhW3sbDhbH9Cz0tuDiY8C3ctxq1tqvaCgkFb8cCA/edit?usp=sharing"",""สุรินทร์!J140"")"),0.0)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IFERROR(__xludf.DUMMYFUNCTION("IMPORTRANGE(""https://docs.google.com/spreadsheets/d/1XL5vhW3sbDhbH9Cz0tuDiY8C3ctxq1tqvaCgkFb8cCA/edit?usp=sharing"",""สุรินทร์!I141"")"),0.0)</f>
        <v>0</v>
      </c>
      <c r="J216" s="238">
        <f>IFERROR(__xludf.DUMMYFUNCTION("IMPORTRANGE(""https://docs.google.com/spreadsheets/d/1XL5vhW3sbDhbH9Cz0tuDiY8C3ctxq1tqvaCgkFb8cCA/edit?usp=sharing"",""สุรินทร์!J141"")"),0.0)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IFERROR(__xludf.DUMMYFUNCTION("IMPORTRANGE(""https://docs.google.com/spreadsheets/d/1XL5vhW3sbDhbH9Cz0tuDiY8C3ctxq1tqvaCgkFb8cCA/edit?usp=sharing"",""สุรินทร์!J142"")"),0.0)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IFERROR(__xludf.DUMMYFUNCTION("IMPORTRANGE(""https://docs.google.com/spreadsheets/d/1XL5vhW3sbDhbH9Cz0tuDiY8C3ctxq1tqvaCgkFb8cCA/edit?usp=sharing"",""สุรินทร์!J143"")"),0.0)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IFERROR(__xludf.DUMMYFUNCTION("IMPORTRANGE(""https://docs.google.com/spreadsheets/d/1XL5vhW3sbDhbH9Cz0tuDiY8C3ctxq1tqvaCgkFb8cCA/edit?usp=sharing"",""สุรินทร์!I144"")"),14.0)</f>
        <v>14</v>
      </c>
      <c r="J219" s="301">
        <f>IFERROR(__xludf.DUMMYFUNCTION("IMPORTRANGE(""https://docs.google.com/spreadsheets/d/1XL5vhW3sbDhbH9Cz0tuDiY8C3ctxq1tqvaCgkFb8cCA/edit?usp=sharing"",""สุรินทร์!J144"")"),14.0)</f>
        <v>14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20210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20210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IFERROR(__xludf.DUMMYFUNCTION("IMPORTRANGE(""https://docs.google.com/spreadsheets/d/1Yj_ptqi66GCucihVvJfMjLAmec39IyEx_6qawtMGysU/edit?usp=sharing"",""สบก!BS52"")"),20210.0)</f>
        <v>20210</v>
      </c>
      <c r="N224" s="202">
        <f>IFERROR(__xludf.DUMMYFUNCTION("IMPORTRANGE(""https://docs.google.com/spreadsheets/d/1Yj_ptqi66GCucihVvJfMjLAmec39IyEx_6qawtMGysU/edit?usp=sharing"",""สบก!BT52"")"),20210.0)</f>
        <v>20210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IFERROR(__xludf.DUMMYFUNCTION("IMPORTRANGE(""https://docs.google.com/spreadsheets/d/1Yj_ptqi66GCucihVvJfMjLAmec39IyEx_6qawtMGysU/edit?usp=sharing"",""สบก!BO52"")"),0.0)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IFERROR(__xludf.DUMMYFUNCTION("IMPORTRANGE(""https://docs.google.com/spreadsheets/d/1Yj_ptqi66GCucihVvJfMjLAmec39IyEx_6qawtMGysU/edit?usp=sharing"",""สบก!BP52"")"),20210.0)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IFERROR(__xludf.DUMMYFUNCTION("IMPORTRANGE(""https://docs.google.com/spreadsheets/d/1Yj_ptqi66GCucihVvJfMjLAmec39IyEx_6qawtMGysU/edit?usp=sharing"",""สบก!BQ52"")"),0.0)</f>
        <v>0</v>
      </c>
      <c r="M228" s="125"/>
      <c r="N228" s="115">
        <f>IFERROR(__xludf.DUMMYFUNCTION("IMPORTRANGE(""https://docs.google.com/spreadsheets/d/1Yj_ptqi66GCucihVvJfMjLAmec39IyEx_6qawtMGysU/edit?usp=sharing"",""สบก!BU52"")"),0.0)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IFERROR(__xludf.DUMMYFUNCTION("IMPORTRANGE(""https://docs.google.com/spreadsheets/d/1XL5vhW3sbDhbH9Cz0tuDiY8C3ctxq1tqvaCgkFb8cCA/edit?usp=sharing"",""สุรินทร์!I149"")"),14.0)</f>
        <v>14</v>
      </c>
      <c r="J229" s="301">
        <f>IFERROR(__xludf.DUMMYFUNCTION("IMPORTRANGE(""https://docs.google.com/spreadsheets/d/1XL5vhW3sbDhbH9Cz0tuDiY8C3ctxq1tqvaCgkFb8cCA/edit?usp=sharing"",""สุรินทร์!J149"")"),14.0)</f>
        <v>14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IFERROR(__xludf.DUMMYFUNCTION("IMPORTRANGE(""https://docs.google.com/spreadsheets/d/1XL5vhW3sbDhbH9Cz0tuDiY8C3ctxq1tqvaCgkFb8cCA/edit?usp=sharing"",""สุรินทร์!J151"")"),0.0)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IFERROR(__xludf.DUMMYFUNCTION("IMPORTRANGE(""https://docs.google.com/spreadsheets/d/1XL5vhW3sbDhbH9Cz0tuDiY8C3ctxq1tqvaCgkFb8cCA/edit?usp=sharing"",""สุรินทร์!J152"")"),1.0)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IFERROR(__xludf.DUMMYFUNCTION("IMPORTRANGE(""https://docs.google.com/spreadsheets/d/1XL5vhW3sbDhbH9Cz0tuDiY8C3ctxq1tqvaCgkFb8cCA/edit?usp=sharing"",""สุรินทร์!J153"")"),1.0)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IFERROR(__xludf.DUMMYFUNCTION("IMPORTRANGE(""https://docs.google.com/spreadsheets/d/1XL5vhW3sbDhbH9Cz0tuDiY8C3ctxq1tqvaCgkFb8cCA/edit?usp=sharing"",""สุรินทร์!J154"")"),1.0)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IFERROR(__xludf.DUMMYFUNCTION("IMPORTRANGE(""https://docs.google.com/spreadsheets/d/1XL5vhW3sbDhbH9Cz0tuDiY8C3ctxq1tqvaCgkFb8cCA/edit?usp=sharing"",""สุรินทร์!I155"")"),14.0)</f>
        <v>14</v>
      </c>
      <c r="J235" s="223">
        <f>IFERROR(__xludf.DUMMYFUNCTION("IMPORTRANGE(""https://docs.google.com/spreadsheets/d/1XL5vhW3sbDhbH9Cz0tuDiY8C3ctxq1tqvaCgkFb8cCA/edit?usp=sharing"",""สุรินทร์!J155"")"),14.0)</f>
        <v>14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IFERROR(__xludf.DUMMYFUNCTION("IMPORTRANGE(""https://docs.google.com/spreadsheets/d/1XL5vhW3sbDhbH9Cz0tuDiY8C3ctxq1tqvaCgkFb8cCA/edit?usp=sharing"",""สุรินทร์!J156"")"),0.0)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IFERROR(__xludf.DUMMYFUNCTION("IMPORTRANGE(""https://docs.google.com/spreadsheets/d/1XL5vhW3sbDhbH9Cz0tuDiY8C3ctxq1tqvaCgkFb8cCA/edit?usp=sharing"",""สุรินทร์!J157"")"),0.0)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IFERROR(__xludf.DUMMYFUNCTION("IMPORTRANGE(""https://docs.google.com/spreadsheets/d/1XL5vhW3sbDhbH9Cz0tuDiY8C3ctxq1tqvaCgkFb8cCA/edit?usp=sharing"",""สุรินทร์!I158"")"),0.0)</f>
        <v>0</v>
      </c>
      <c r="J238" s="301">
        <f>IFERROR(__xludf.DUMMYFUNCTION("IMPORTRANGE(""https://docs.google.com/spreadsheets/d/1XL5vhW3sbDhbH9Cz0tuDiY8C3ctxq1tqvaCgkFb8cCA/edit?usp=sharing"",""สุรินทร์!J158"")"),0.0)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IFERROR(__xludf.DUMMYFUNCTION("IMPORTRANGE(""https://docs.google.com/spreadsheets/d/1XL5vhW3sbDhbH9Cz0tuDiY8C3ctxq1tqvaCgkFb8cCA/edit?usp=sharing"",""สุรินทร์!J159"")"),"")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IFERROR(__xludf.DUMMYFUNCTION("IMPORTRANGE(""https://docs.google.com/spreadsheets/d/1XL5vhW3sbDhbH9Cz0tuDiY8C3ctxq1tqvaCgkFb8cCA/edit?usp=sharing"",""สุรินทร์!J161"")"),0.0)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IFERROR(__xludf.DUMMYFUNCTION("IMPORTRANGE(""https://docs.google.com/spreadsheets/d/1XL5vhW3sbDhbH9Cz0tuDiY8C3ctxq1tqvaCgkFb8cCA/edit?usp=sharing"",""สุรินทร์!J162"")"),0.0)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IFERROR(__xludf.DUMMYFUNCTION("IMPORTRANGE(""https://docs.google.com/spreadsheets/d/1XL5vhW3sbDhbH9Cz0tuDiY8C3ctxq1tqvaCgkFb8cCA/edit?usp=sharing"",""สุรินทร์!J163"")"),0.0)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IFERROR(__xludf.DUMMYFUNCTION("IMPORTRANGE(""https://docs.google.com/spreadsheets/d/1XL5vhW3sbDhbH9Cz0tuDiY8C3ctxq1tqvaCgkFb8cCA/edit?usp=sharing"",""สุรินทร์!I164"")"),0.0)</f>
        <v>0</v>
      </c>
      <c r="J244" s="222">
        <f>IFERROR(__xludf.DUMMYFUNCTION("IMPORTRANGE(""https://docs.google.com/spreadsheets/d/1XL5vhW3sbDhbH9Cz0tuDiY8C3ctxq1tqvaCgkFb8cCA/edit?usp=sharing"",""สุรินทร์!J164"")"),0.0)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IFERROR(__xludf.DUMMYFUNCTION("IMPORTRANGE(""https://docs.google.com/spreadsheets/d/1XL5vhW3sbDhbH9Cz0tuDiY8C3ctxq1tqvaCgkFb8cCA/edit?usp=sharing"",""สุรินทร์!J165"")"),0.0)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IFERROR(__xludf.DUMMYFUNCTION("IMPORTRANGE(""https://docs.google.com/spreadsheets/d/1XL5vhW3sbDhbH9Cz0tuDiY8C3ctxq1tqvaCgkFb8cCA/edit?usp=sharing"",""สุรินทร์!J166"")"),0.0)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IFERROR(__xludf.DUMMYFUNCTION("IMPORTRANGE(""https://docs.google.com/spreadsheets/d/1XL5vhW3sbDhbH9Cz0tuDiY8C3ctxq1tqvaCgkFb8cCA/edit?usp=sharing"",""สุรินทร์!I169"")"),0.0)</f>
        <v>0</v>
      </c>
      <c r="J249" s="349">
        <f>IFERROR(__xludf.DUMMYFUNCTION("IMPORTRANGE(""https://docs.google.com/spreadsheets/d/1XL5vhW3sbDhbH9Cz0tuDiY8C3ctxq1tqvaCgkFb8cCA/edit?usp=sharing"",""สุรินทร์!J169"")"),0.0)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IFERROR(__xludf.DUMMYFUNCTION("IMPORTRANGE(""https://docs.google.com/spreadsheets/d/1Yj_ptqi66GCucihVvJfMjLAmec39IyEx_6qawtMGysU/edit?usp=sharing"",""สบก!CB52"")"),0.0)</f>
        <v>0</v>
      </c>
      <c r="N254" s="202">
        <f>IFERROR(__xludf.DUMMYFUNCTION("IMPORTRANGE(""https://docs.google.com/spreadsheets/d/1Yj_ptqi66GCucihVvJfMjLAmec39IyEx_6qawtMGysU/edit?usp=sharing"",""สบก!CC52"")"),0.0)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IFERROR(__xludf.DUMMYFUNCTION("IMPORTRANGE(""https://docs.google.com/spreadsheets/d/1Yj_ptqi66GCucihVvJfMjLAmec39IyEx_6qawtMGysU/edit?usp=sharing"",""สบก!BX52"")"),0.0)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IFERROR(__xludf.DUMMYFUNCTION("IMPORTRANGE(""https://docs.google.com/spreadsheets/d/1Yj_ptqi66GCucihVvJfMjLAmec39IyEx_6qawtMGysU/edit?usp=sharing"",""สบก!BY52"")"),0.0)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IFERROR(__xludf.DUMMYFUNCTION("IMPORTRANGE(""https://docs.google.com/spreadsheets/d/1Yj_ptqi66GCucihVvJfMjLAmec39IyEx_6qawtMGysU/edit?usp=sharing"",""สบก!BZ52"")"),0.0)</f>
        <v>0</v>
      </c>
      <c r="M258" s="125"/>
      <c r="N258" s="115">
        <f>IFERROR(__xludf.DUMMYFUNCTION("IMPORTRANGE(""https://docs.google.com/spreadsheets/d/1Yj_ptqi66GCucihVvJfMjLAmec39IyEx_6qawtMGysU/edit?usp=sharing"",""สบก!CD52"")"),0.0)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IFERROR(__xludf.DUMMYFUNCTION("IMPORTRANGE(""https://docs.google.com/spreadsheets/d/1XL5vhW3sbDhbH9Cz0tuDiY8C3ctxq1tqvaCgkFb8cCA/edit?usp=sharing"",""สุรินทร์!J175"")"),0.0)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IFERROR(__xludf.DUMMYFUNCTION("IMPORTRANGE(""https://docs.google.com/spreadsheets/d/1XL5vhW3sbDhbH9Cz0tuDiY8C3ctxq1tqvaCgkFb8cCA/edit?usp=sharing"",""สุรินทร์!J176"")"),0.0)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IFERROR(__xludf.DUMMYFUNCTION("IMPORTRANGE(""https://docs.google.com/spreadsheets/d/1XL5vhW3sbDhbH9Cz0tuDiY8C3ctxq1tqvaCgkFb8cCA/edit?usp=sharing"",""สุรินทร์!J177"")"),0.0)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IFERROR(__xludf.DUMMYFUNCTION("IMPORTRANGE(""https://docs.google.com/spreadsheets/d/1XL5vhW3sbDhbH9Cz0tuDiY8C3ctxq1tqvaCgkFb8cCA/edit?usp=sharing"",""สุรินทร์!J178"")"),0.0)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IFERROR(__xludf.DUMMYFUNCTION("IMPORTRANGE(""https://docs.google.com/spreadsheets/d/1XL5vhW3sbDhbH9Cz0tuDiY8C3ctxq1tqvaCgkFb8cCA/edit?usp=sharing"",""สุรินทร์!I179"")"),0.0)</f>
        <v>0</v>
      </c>
      <c r="J264" s="223">
        <f>IFERROR(__xludf.DUMMYFUNCTION("IMPORTRANGE(""https://docs.google.com/spreadsheets/d/1XL5vhW3sbDhbH9Cz0tuDiY8C3ctxq1tqvaCgkFb8cCA/edit?usp=sharing"",""สุรินทร์!J179"")"),0.0)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IFERROR(__xludf.DUMMYFUNCTION("IMPORTRANGE(""https://docs.google.com/spreadsheets/d/1XL5vhW3sbDhbH9Cz0tuDiY8C3ctxq1tqvaCgkFb8cCA/edit?usp=sharing"",""สุรินทร์!I180"")"),0.0)</f>
        <v>0</v>
      </c>
      <c r="J265" s="223">
        <f>IFERROR(__xludf.DUMMYFUNCTION("IMPORTRANGE(""https://docs.google.com/spreadsheets/d/1XL5vhW3sbDhbH9Cz0tuDiY8C3ctxq1tqvaCgkFb8cCA/edit?usp=sharing"",""สุรินทร์!J180"")"),0.0)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IFERROR(__xludf.DUMMYFUNCTION("IMPORTRANGE(""https://docs.google.com/spreadsheets/d/1XL5vhW3sbDhbH9Cz0tuDiY8C3ctxq1tqvaCgkFb8cCA/edit?usp=sharing"",""สุรินทร์!I181"")"),0.0)</f>
        <v>0</v>
      </c>
      <c r="J266" s="223">
        <f>IFERROR(__xludf.DUMMYFUNCTION("IMPORTRANGE(""https://docs.google.com/spreadsheets/d/1XL5vhW3sbDhbH9Cz0tuDiY8C3ctxq1tqvaCgkFb8cCA/edit?usp=sharing"",""สุรินทร์!J181"")"),0.0)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IFERROR(__xludf.DUMMYFUNCTION("IMPORTRANGE(""https://docs.google.com/spreadsheets/d/1XL5vhW3sbDhbH9Cz0tuDiY8C3ctxq1tqvaCgkFb8cCA/edit?usp=sharing"",""สุรินทร์!I182"")"),0.0)</f>
        <v>0</v>
      </c>
      <c r="J267" s="223">
        <f>IFERROR(__xludf.DUMMYFUNCTION("IMPORTRANGE(""https://docs.google.com/spreadsheets/d/1XL5vhW3sbDhbH9Cz0tuDiY8C3ctxq1tqvaCgkFb8cCA/edit?usp=sharing"",""สุรินทร์!J182"")"),0.0)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IFERROR(__xludf.DUMMYFUNCTION("IMPORTRANGE(""https://docs.google.com/spreadsheets/d/1XL5vhW3sbDhbH9Cz0tuDiY8C3ctxq1tqvaCgkFb8cCA/edit?usp=sharing"",""สุรินทร์!J183"")"),0.0)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IFERROR(__xludf.DUMMYFUNCTION("IMPORTRANGE(""https://docs.google.com/spreadsheets/d/1XL5vhW3sbDhbH9Cz0tuDiY8C3ctxq1tqvaCgkFb8cCA/edit?usp=sharing"",""สุรินทร์!J184"")"),0.0)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IFERROR(__xludf.DUMMYFUNCTION("IMPORTRANGE(""https://docs.google.com/spreadsheets/d/1XL5vhW3sbDhbH9Cz0tuDiY8C3ctxq1tqvaCgkFb8cCA/edit?usp=sharing"",""สุรินทร์!I185"")"),15.0)</f>
        <v>15</v>
      </c>
      <c r="J270" s="349">
        <f>IFERROR(__xludf.DUMMYFUNCTION("IMPORTRANGE(""https://docs.google.com/spreadsheets/d/1XL5vhW3sbDhbH9Cz0tuDiY8C3ctxq1tqvaCgkFb8cCA/edit?usp=sharing"",""สุรินทร์!J185"")"),15.0)</f>
        <v>15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32170</v>
      </c>
      <c r="O271" s="182">
        <f t="shared" ref="O271:O273" si="86">IF(L271&gt;0,N271*100/L271,0)</f>
        <v>58.27898551</v>
      </c>
      <c r="P271" s="182">
        <f t="shared" ref="P271:P273" si="87">IF(M271&gt;0,N271*100/M271,0)</f>
        <v>99.75193798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32170</v>
      </c>
      <c r="O273" s="187">
        <f t="shared" si="86"/>
        <v>58.27898551</v>
      </c>
      <c r="P273" s="187">
        <f t="shared" si="87"/>
        <v>99.75193798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IFERROR(__xludf.DUMMYFUNCTION("IMPORTRANGE(""https://docs.google.com/spreadsheets/d/1Yj_ptqi66GCucihVvJfMjLAmec39IyEx_6qawtMGysU/edit?usp=sharing"",""สบก!CK52"")"),32250.0)</f>
        <v>32250</v>
      </c>
      <c r="N275" s="202">
        <f>IFERROR(__xludf.DUMMYFUNCTION("IMPORTRANGE(""https://docs.google.com/spreadsheets/d/1Yj_ptqi66GCucihVvJfMjLAmec39IyEx_6qawtMGysU/edit?usp=sharing"",""สบก!CL52"")"),32170.0)</f>
        <v>32170</v>
      </c>
      <c r="O275" s="203">
        <f>IF(L275&gt;0,N275*100/L275,0)</f>
        <v>58.27898551</v>
      </c>
      <c r="P275" s="203">
        <f>IF(M275&gt;0,N275*100/M275,0)</f>
        <v>99.75193798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IFERROR(__xludf.DUMMYFUNCTION("IMPORTRANGE(""https://docs.google.com/spreadsheets/d/1Yj_ptqi66GCucihVvJfMjLAmec39IyEx_6qawtMGysU/edit?usp=sharing"",""สบก!CG52"")"),0.0)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IFERROR(__xludf.DUMMYFUNCTION("IMPORTRANGE(""https://docs.google.com/spreadsheets/d/1Yj_ptqi66GCucihVvJfMjLAmec39IyEx_6qawtMGysU/edit?usp=sharing"",""สบก!CH52"")"),55200.0)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IFERROR(__xludf.DUMMYFUNCTION("IMPORTRANGE(""https://docs.google.com/spreadsheets/d/1Yj_ptqi66GCucihVvJfMjLAmec39IyEx_6qawtMGysU/edit?usp=sharing"",""สบก!CI52"")"),0.0)</f>
        <v>0</v>
      </c>
      <c r="M279" s="125"/>
      <c r="N279" s="115">
        <f>IFERROR(__xludf.DUMMYFUNCTION("IMPORTRANGE(""https://docs.google.com/spreadsheets/d/1Yj_ptqi66GCucihVvJfMjLAmec39IyEx_6qawtMGysU/edit?usp=sharing"",""สบก!CM52"")"),0.0)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IFERROR(__xludf.DUMMYFUNCTION("IMPORTRANGE(""https://docs.google.com/spreadsheets/d/1XL5vhW3sbDhbH9Cz0tuDiY8C3ctxq1tqvaCgkFb8cCA/edit?usp=sharing"",""สุรินทร์!J191"")"),0.0)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IFERROR(__xludf.DUMMYFUNCTION("IMPORTRANGE(""https://docs.google.com/spreadsheets/d/1XL5vhW3sbDhbH9Cz0tuDiY8C3ctxq1tqvaCgkFb8cCA/edit?usp=sharing"",""สุรินทร์!J192"")"),1.0)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IFERROR(__xludf.DUMMYFUNCTION("IMPORTRANGE(""https://docs.google.com/spreadsheets/d/1XL5vhW3sbDhbH9Cz0tuDiY8C3ctxq1tqvaCgkFb8cCA/edit?usp=sharing"",""สุรินทร์!J193"")"),1.0)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IFERROR(__xludf.DUMMYFUNCTION("IMPORTRANGE(""https://docs.google.com/spreadsheets/d/1XL5vhW3sbDhbH9Cz0tuDiY8C3ctxq1tqvaCgkFb8cCA/edit?usp=sharing"",""สุรินทร์!J194"")"),1.0)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IFERROR(__xludf.DUMMYFUNCTION("IMPORTRANGE(""https://docs.google.com/spreadsheets/d/1XL5vhW3sbDhbH9Cz0tuDiY8C3ctxq1tqvaCgkFb8cCA/edit?usp=sharing"",""สุรินทร์!I195"")"),15.0)</f>
        <v>15</v>
      </c>
      <c r="J285" s="223">
        <f>IFERROR(__xludf.DUMMYFUNCTION("IMPORTRANGE(""https://docs.google.com/spreadsheets/d/1XL5vhW3sbDhbH9Cz0tuDiY8C3ctxq1tqvaCgkFb8cCA/edit?usp=sharing"",""สุรินทร์!J195"")"),15.0)</f>
        <v>15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IFERROR(__xludf.DUMMYFUNCTION("IMPORTRANGE(""https://docs.google.com/spreadsheets/d/1XL5vhW3sbDhbH9Cz0tuDiY8C3ctxq1tqvaCgkFb8cCA/edit?usp=sharing"",""สุรินทร์!J196"")"),0.0)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IFERROR(__xludf.DUMMYFUNCTION("IMPORTRANGE(""https://docs.google.com/spreadsheets/d/1XL5vhW3sbDhbH9Cz0tuDiY8C3ctxq1tqvaCgkFb8cCA/edit?usp=sharing"",""สุรินทร์!J197"")"),0.0)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IFERROR(__xludf.DUMMYFUNCTION("IMPORTRANGE(""https://docs.google.com/spreadsheets/d/1XL5vhW3sbDhbH9Cz0tuDiY8C3ctxq1tqvaCgkFb8cCA/edit?usp=sharing"",""สุรินทร์!I199"")"),0.0)</f>
        <v>0</v>
      </c>
      <c r="J289" s="349">
        <f>IFERROR(__xludf.DUMMYFUNCTION("IMPORTRANGE(""https://docs.google.com/spreadsheets/d/1XL5vhW3sbDhbH9Cz0tuDiY8C3ctxq1tqvaCgkFb8cCA/edit?usp=sharing"",""สุรินทร์!J199"")"),0.0)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IFERROR(__xludf.DUMMYFUNCTION("IMPORTRANGE(""https://docs.google.com/spreadsheets/d/1Yj_ptqi66GCucihVvJfMjLAmec39IyEx_6qawtMGysU/edit?usp=sharing"",""สบก!CT52"")"),0.0)</f>
        <v>0</v>
      </c>
      <c r="N294" s="202">
        <f>IFERROR(__xludf.DUMMYFUNCTION("IMPORTRANGE(""https://docs.google.com/spreadsheets/d/1Yj_ptqi66GCucihVvJfMjLAmec39IyEx_6qawtMGysU/edit?usp=sharing"",""สบก!CU52"")"),0.0)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IFERROR(__xludf.DUMMYFUNCTION("IMPORTRANGE(""https://docs.google.com/spreadsheets/d/1Yj_ptqi66GCucihVvJfMjLAmec39IyEx_6qawtMGysU/edit?usp=sharing"",""สบก!CP52"")"),0.0)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IFERROR(__xludf.DUMMYFUNCTION("IMPORTRANGE(""https://docs.google.com/spreadsheets/d/1Yj_ptqi66GCucihVvJfMjLAmec39IyEx_6qawtMGysU/edit?usp=sharing"",""สบก!CQ52"")"),0.0)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IFERROR(__xludf.DUMMYFUNCTION("IMPORTRANGE(""https://docs.google.com/spreadsheets/d/1Yj_ptqi66GCucihVvJfMjLAmec39IyEx_6qawtMGysU/edit?usp=sharing"",""สบก!CR52"")"),0.0)</f>
        <v>0</v>
      </c>
      <c r="M298" s="125"/>
      <c r="N298" s="115">
        <f>IFERROR(__xludf.DUMMYFUNCTION("IMPORTRANGE(""https://docs.google.com/spreadsheets/d/1Yj_ptqi66GCucihVvJfMjLAmec39IyEx_6qawtMGysU/edit?usp=sharing"",""สบก!CV52"")"),0.0)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IFERROR(__xludf.DUMMYFUNCTION("IMPORTRANGE(""https://docs.google.com/spreadsheets/d/1XL5vhW3sbDhbH9Cz0tuDiY8C3ctxq1tqvaCgkFb8cCA/edit?usp=sharing"",""สุรินทร์!J205"")"),0.0)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IFERROR(__xludf.DUMMYFUNCTION("IMPORTRANGE(""https://docs.google.com/spreadsheets/d/1XL5vhW3sbDhbH9Cz0tuDiY8C3ctxq1tqvaCgkFb8cCA/edit?usp=sharing"",""สุรินทร์!J206"")"),0.0)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IFERROR(__xludf.DUMMYFUNCTION("IMPORTRANGE(""https://docs.google.com/spreadsheets/d/1XL5vhW3sbDhbH9Cz0tuDiY8C3ctxq1tqvaCgkFb8cCA/edit?usp=sharing"",""สุรินทร์!J207"")"),0.0)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IFERROR(__xludf.DUMMYFUNCTION("IMPORTRANGE(""https://docs.google.com/spreadsheets/d/1XL5vhW3sbDhbH9Cz0tuDiY8C3ctxq1tqvaCgkFb8cCA/edit?usp=sharing"",""สุรินทร์!J208"")"),0.0)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IFERROR(__xludf.DUMMYFUNCTION("IMPORTRANGE(""https://docs.google.com/spreadsheets/d/1XL5vhW3sbDhbH9Cz0tuDiY8C3ctxq1tqvaCgkFb8cCA/edit?usp=sharing"",""สุรินทร์!I209"")"),0.0)</f>
        <v>0</v>
      </c>
      <c r="J304" s="238">
        <f>IFERROR(__xludf.DUMMYFUNCTION("IMPORTRANGE(""https://docs.google.com/spreadsheets/d/1XL5vhW3sbDhbH9Cz0tuDiY8C3ctxq1tqvaCgkFb8cCA/edit?usp=sharing"",""สุรินทร์!J209"")"),0.0)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IFERROR(__xludf.DUMMYFUNCTION("IMPORTRANGE(""https://docs.google.com/spreadsheets/d/1XL5vhW3sbDhbH9Cz0tuDiY8C3ctxq1tqvaCgkFb8cCA/edit?usp=sharing"",""สุรินทร์!I211"")"),0.0)</f>
        <v>0</v>
      </c>
      <c r="J306" s="238">
        <f>IFERROR(__xludf.DUMMYFUNCTION("IMPORTRANGE(""https://docs.google.com/spreadsheets/d/1XL5vhW3sbDhbH9Cz0tuDiY8C3ctxq1tqvaCgkFb8cCA/edit?usp=sharing"",""สุรินทร์!J211"")"),0.0)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IFERROR(__xludf.DUMMYFUNCTION("IMPORTRANGE(""https://docs.google.com/spreadsheets/d/1XL5vhW3sbDhbH9Cz0tuDiY8C3ctxq1tqvaCgkFb8cCA/edit?usp=sharing"",""สุรินทร์!J212"")"),0.0)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IFERROR(__xludf.DUMMYFUNCTION("IMPORTRANGE(""https://docs.google.com/spreadsheets/d/1XL5vhW3sbDhbH9Cz0tuDiY8C3ctxq1tqvaCgkFb8cCA/edit?usp=sharing"",""สุรินทร์!J213"")"),0.0)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IFERROR(__xludf.DUMMYFUNCTION("IMPORTRANGE(""https://docs.google.com/spreadsheets/d/1XL5vhW3sbDhbH9Cz0tuDiY8C3ctxq1tqvaCgkFb8cCA/edit?usp=sharing"",""สุรินทร์!I214"")"),0.0)</f>
        <v>0</v>
      </c>
      <c r="J309" s="366">
        <f>IFERROR(__xludf.DUMMYFUNCTION("IMPORTRANGE(""https://docs.google.com/spreadsheets/d/1XL5vhW3sbDhbH9Cz0tuDiY8C3ctxq1tqvaCgkFb8cCA/edit?usp=sharing"",""สุรินทร์!J214"")"),0.0)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IFERROR(__xludf.DUMMYFUNCTION("IMPORTRANGE(""https://docs.google.com/spreadsheets/d/1Yj_ptqi66GCucihVvJfMjLAmec39IyEx_6qawtMGysU/edit?usp=sharing"",""สบก!DC52"")"),0.0)</f>
        <v>0</v>
      </c>
      <c r="N314" s="202">
        <f>IFERROR(__xludf.DUMMYFUNCTION("IMPORTRANGE(""https://docs.google.com/spreadsheets/d/1Yj_ptqi66GCucihVvJfMjLAmec39IyEx_6qawtMGysU/edit?usp=sharing"",""สบก!DD52"")"),0.0)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IFERROR(__xludf.DUMMYFUNCTION("IMPORTRANGE(""https://docs.google.com/spreadsheets/d/1Yj_ptqi66GCucihVvJfMjLAmec39IyEx_6qawtMGysU/edit?usp=sharing"",""สบก!CY52"")"),0.0)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IFERROR(__xludf.DUMMYFUNCTION("IMPORTRANGE(""https://docs.google.com/spreadsheets/d/1Yj_ptqi66GCucihVvJfMjLAmec39IyEx_6qawtMGysU/edit?usp=sharing"",""สบก!CZ52"")"),0.0)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IFERROR(__xludf.DUMMYFUNCTION("IMPORTRANGE(""https://docs.google.com/spreadsheets/d/1Yj_ptqi66GCucihVvJfMjLAmec39IyEx_6qawtMGysU/edit?usp=sharing"",""สบก!DA52"")"),0.0)</f>
        <v>0</v>
      </c>
      <c r="M318" s="125"/>
      <c r="N318" s="115">
        <f>IFERROR(__xludf.DUMMYFUNCTION("IMPORTRANGE(""https://docs.google.com/spreadsheets/d/1Yj_ptqi66GCucihVvJfMjLAmec39IyEx_6qawtMGysU/edit?usp=sharing"",""สบก!DE52"")"),0.0)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IFERROR(__xludf.DUMMYFUNCTION("IMPORTRANGE(""https://docs.google.com/spreadsheets/d/1XL5vhW3sbDhbH9Cz0tuDiY8C3ctxq1tqvaCgkFb8cCA/edit?usp=sharing"",""สุรินทร์!J220"")"),0.0)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IFERROR(__xludf.DUMMYFUNCTION("IMPORTRANGE(""https://docs.google.com/spreadsheets/d/1XL5vhW3sbDhbH9Cz0tuDiY8C3ctxq1tqvaCgkFb8cCA/edit?usp=sharing"",""สุรินทร์!J221"")"),0.0)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IFERROR(__xludf.DUMMYFUNCTION("IMPORTRANGE(""https://docs.google.com/spreadsheets/d/1XL5vhW3sbDhbH9Cz0tuDiY8C3ctxq1tqvaCgkFb8cCA/edit?usp=sharing"",""สุรินทร์!J222"")"),0.0)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IFERROR(__xludf.DUMMYFUNCTION("IMPORTRANGE(""https://docs.google.com/spreadsheets/d/1XL5vhW3sbDhbH9Cz0tuDiY8C3ctxq1tqvaCgkFb8cCA/edit?usp=sharing"",""สุรินทร์!J223"")"),0.0)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IFERROR(__xludf.DUMMYFUNCTION("IMPORTRANGE(""https://docs.google.com/spreadsheets/d/1XL5vhW3sbDhbH9Cz0tuDiY8C3ctxq1tqvaCgkFb8cCA/edit?usp=sharing"",""สุรินทร์!I224"")"),0.0)</f>
        <v>0</v>
      </c>
      <c r="J324" s="238">
        <f>IFERROR(__xludf.DUMMYFUNCTION("IMPORTRANGE(""https://docs.google.com/spreadsheets/d/1XL5vhW3sbDhbH9Cz0tuDiY8C3ctxq1tqvaCgkFb8cCA/edit?usp=sharing"",""สุรินทร์!J224"")"),0.0)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IFERROR(__xludf.DUMMYFUNCTION("IMPORTRANGE(""https://docs.google.com/spreadsheets/d/1XL5vhW3sbDhbH9Cz0tuDiY8C3ctxq1tqvaCgkFb8cCA/edit?usp=sharing"",""สุรินทร์!J225"")"),0.0)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IFERROR(__xludf.DUMMYFUNCTION("IMPORTRANGE(""https://docs.google.com/spreadsheets/d/1XL5vhW3sbDhbH9Cz0tuDiY8C3ctxq1tqvaCgkFb8cCA/edit?usp=sharing"",""สุรินทร์!J226"")"),0.0)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IFERROR(__xludf.DUMMYFUNCTION("IMPORTRANGE(""https://docs.google.com/spreadsheets/d/1XL5vhW3sbDhbH9Cz0tuDiY8C3ctxq1tqvaCgkFb8cCA/edit?usp=sharing"",""สุรินทร์!I228"")"),740.0)</f>
        <v>740</v>
      </c>
      <c r="J328" s="372">
        <f>IFERROR(__xludf.DUMMYFUNCTION("IMPORTRANGE(""https://docs.google.com/spreadsheets/d/1XL5vhW3sbDhbH9Cz0tuDiY8C3ctxq1tqvaCgkFb8cCA/edit?usp=sharing"",""สุรินทร์!J228"")"),122.0)</f>
        <v>122</v>
      </c>
      <c r="K328" s="350">
        <f>IF(I328&gt;0,J328*100/I328,0)</f>
        <v>16.48648649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1940010</v>
      </c>
      <c r="M329" s="183">
        <f t="shared" si="99"/>
        <v>1047170</v>
      </c>
      <c r="N329" s="183">
        <f t="shared" si="99"/>
        <v>711114</v>
      </c>
      <c r="O329" s="182">
        <f t="shared" ref="O329:O331" si="101">IF(L329&gt;0,N329*100/L329,0)</f>
        <v>36.65517188</v>
      </c>
      <c r="P329" s="182">
        <f t="shared" ref="P329:P331" si="102">IF(M329&gt;0,N329*100/M329,0)</f>
        <v>67.90817155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1940010</v>
      </c>
      <c r="M331" s="188">
        <f t="shared" si="103"/>
        <v>1047170</v>
      </c>
      <c r="N331" s="188">
        <f t="shared" si="103"/>
        <v>711114</v>
      </c>
      <c r="O331" s="187">
        <f t="shared" si="101"/>
        <v>36.65517188</v>
      </c>
      <c r="P331" s="187">
        <f t="shared" si="102"/>
        <v>67.90817155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1902210</v>
      </c>
      <c r="M333" s="201">
        <f>IFERROR(__xludf.DUMMYFUNCTION("IMPORTRANGE(""https://docs.google.com/spreadsheets/d/1Yj_ptqi66GCucihVvJfMjLAmec39IyEx_6qawtMGysU/edit?usp=sharing"",""สบก!DL52"")"),1047170.0)</f>
        <v>1047170</v>
      </c>
      <c r="N333" s="202">
        <f>IFERROR(__xludf.DUMMYFUNCTION("IMPORTRANGE(""https://docs.google.com/spreadsheets/d/1Yj_ptqi66GCucihVvJfMjLAmec39IyEx_6qawtMGysU/edit?usp=sharing"",""สบก!DM52"")"),673824.0)</f>
        <v>673824</v>
      </c>
      <c r="O333" s="203">
        <f>IF(L333&gt;0,N333*100/L333,0)</f>
        <v>35.42321826</v>
      </c>
      <c r="P333" s="203">
        <f>IF(M333&gt;0,N333*100/M333,0)</f>
        <v>64.34714516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IFERROR(__xludf.DUMMYFUNCTION("IMPORTRANGE(""https://docs.google.com/spreadsheets/d/1Yj_ptqi66GCucihVvJfMjLAmec39IyEx_6qawtMGysU/edit?usp=sharing"",""สบก!DH52"")"),759500.0)</f>
        <v>759500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IFERROR(__xludf.DUMMYFUNCTION("IMPORTRANGE(""https://docs.google.com/spreadsheets/d/1Yj_ptqi66GCucihVvJfMjLAmec39IyEx_6qawtMGysU/edit?usp=sharing"",""สบก!DI52"")"),1142710.0)</f>
        <v>1142710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IFERROR(__xludf.DUMMYFUNCTION("IMPORTRANGE(""https://docs.google.com/spreadsheets/d/1Yj_ptqi66GCucihVvJfMjLAmec39IyEx_6qawtMGysU/edit?usp=sharing"",""สบก!DJ52"")"),37800.0)</f>
        <v>37800</v>
      </c>
      <c r="M337" s="125"/>
      <c r="N337" s="115">
        <f>IFERROR(__xludf.DUMMYFUNCTION("IMPORTRANGE(""https://docs.google.com/spreadsheets/d/1Yj_ptqi66GCucihVvJfMjLAmec39IyEx_6qawtMGysU/edit?usp=sharing"",""สบก!DN52"")"),37290.0)</f>
        <v>37290</v>
      </c>
      <c r="O337" s="125">
        <f>IF(L337&gt;0,N337*100/L337,0)</f>
        <v>98.65079365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IFERROR(__xludf.DUMMYFUNCTION("IMPORTRANGE(""https://docs.google.com/spreadsheets/d/1XL5vhW3sbDhbH9Cz0tuDiY8C3ctxq1tqvaCgkFb8cCA/edit?usp=sharing"",""สุรินทร์!I234"")"),0.0)</f>
        <v>0</v>
      </c>
      <c r="J339" s="222">
        <f>IFERROR(__xludf.DUMMYFUNCTION("IMPORTRANGE(""https://docs.google.com/spreadsheets/d/1XL5vhW3sbDhbH9Cz0tuDiY8C3ctxq1tqvaCgkFb8cCA/edit?usp=sharing"",""สุรินทร์!J234"")"),202.0)</f>
        <v>202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IFERROR(__xludf.DUMMYFUNCTION("IMPORTRANGE(""https://docs.google.com/spreadsheets/d/1XL5vhW3sbDhbH9Cz0tuDiY8C3ctxq1tqvaCgkFb8cCA/edit?usp=sharing"",""สุรินทร์!I235"")"),5800.0)</f>
        <v>5800</v>
      </c>
      <c r="J340" s="222">
        <f>IFERROR(__xludf.DUMMYFUNCTION("IMPORTRANGE(""https://docs.google.com/spreadsheets/d/1XL5vhW3sbDhbH9Cz0tuDiY8C3ctxq1tqvaCgkFb8cCA/edit?usp=sharing"",""สุรินทร์!J235"")"),1402.9)</f>
        <v>1402.9</v>
      </c>
      <c r="K340" s="375">
        <f t="shared" si="104"/>
        <v>24.18793103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IFERROR(__xludf.DUMMYFUNCTION("IMPORTRANGE(""https://docs.google.com/spreadsheets/d/1XL5vhW3sbDhbH9Cz0tuDiY8C3ctxq1tqvaCgkFb8cCA/edit?usp=sharing"",""สุรินทร์!I236"")"),740.0)</f>
        <v>740</v>
      </c>
      <c r="J341" s="222">
        <f>IFERROR(__xludf.DUMMYFUNCTION("IMPORTRANGE(""https://docs.google.com/spreadsheets/d/1XL5vhW3sbDhbH9Cz0tuDiY8C3ctxq1tqvaCgkFb8cCA/edit?usp=sharing"",""สุรินทร์!J236"")"),193.0)</f>
        <v>193</v>
      </c>
      <c r="K341" s="375">
        <f t="shared" si="104"/>
        <v>26.08108108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IFERROR(__xludf.DUMMYFUNCTION("IMPORTRANGE(""https://docs.google.com/spreadsheets/d/1XL5vhW3sbDhbH9Cz0tuDiY8C3ctxq1tqvaCgkFb8cCA/edit?usp=sharing"",""สุรินทร์!I237"")"),0.0)</f>
        <v>0</v>
      </c>
      <c r="J342" s="222">
        <f>IFERROR(__xludf.DUMMYFUNCTION("IMPORTRANGE(""https://docs.google.com/spreadsheets/d/1XL5vhW3sbDhbH9Cz0tuDiY8C3ctxq1tqvaCgkFb8cCA/edit?usp=sharing"",""สุรินทร์!J237"")"),1416.9099999999999)</f>
        <v>1416.91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IFERROR(__xludf.DUMMYFUNCTION("IMPORTRANGE(""https://docs.google.com/spreadsheets/d/1XL5vhW3sbDhbH9Cz0tuDiY8C3ctxq1tqvaCgkFb8cCA/edit?usp=sharing"",""สุรินทร์!I238"")"),740.0)</f>
        <v>740</v>
      </c>
      <c r="J343" s="222">
        <f>IFERROR(__xludf.DUMMYFUNCTION("IMPORTRANGE(""https://docs.google.com/spreadsheets/d/1XL5vhW3sbDhbH9Cz0tuDiY8C3ctxq1tqvaCgkFb8cCA/edit?usp=sharing"",""สุรินทร์!J238"")"),1.0)</f>
        <v>1</v>
      </c>
      <c r="K343" s="375">
        <f t="shared" si="104"/>
        <v>0.1351351351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IFERROR(__xludf.DUMMYFUNCTION("IMPORTRANGE(""https://docs.google.com/spreadsheets/d/1XL5vhW3sbDhbH9Cz0tuDiY8C3ctxq1tqvaCgkFb8cCA/edit?usp=sharing"",""สุรินทร์!I239"")"),0.0)</f>
        <v>0</v>
      </c>
      <c r="J344" s="222">
        <f>IFERROR(__xludf.DUMMYFUNCTION("IMPORTRANGE(""https://docs.google.com/spreadsheets/d/1XL5vhW3sbDhbH9Cz0tuDiY8C3ctxq1tqvaCgkFb8cCA/edit?usp=sharing"",""สุรินทร์!J239"")"),6.74)</f>
        <v>6.74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IFERROR(__xludf.DUMMYFUNCTION("IMPORTRANGE(""https://docs.google.com/spreadsheets/d/1XL5vhW3sbDhbH9Cz0tuDiY8C3ctxq1tqvaCgkFb8cCA/edit?usp=sharing"",""สุรินทร์!I240"")"),740.0)</f>
        <v>740</v>
      </c>
      <c r="J345" s="222">
        <f>IFERROR(__xludf.DUMMYFUNCTION("IMPORTRANGE(""https://docs.google.com/spreadsheets/d/1XL5vhW3sbDhbH9Cz0tuDiY8C3ctxq1tqvaCgkFb8cCA/edit?usp=sharing"",""สุรินทร์!J240"")"),122.0)</f>
        <v>122</v>
      </c>
      <c r="K345" s="375">
        <f t="shared" si="104"/>
        <v>16.48648649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IFERROR(__xludf.DUMMYFUNCTION("IMPORTRANGE(""https://docs.google.com/spreadsheets/d/1XL5vhW3sbDhbH9Cz0tuDiY8C3ctxq1tqvaCgkFb8cCA/edit?usp=sharing"",""สุรินทร์!I241"")"),0.0)</f>
        <v>0</v>
      </c>
      <c r="J346" s="222">
        <f>IFERROR(__xludf.DUMMYFUNCTION("IMPORTRANGE(""https://docs.google.com/spreadsheets/d/1XL5vhW3sbDhbH9Cz0tuDiY8C3ctxq1tqvaCgkFb8cCA/edit?usp=sharing"",""สุรินทร์!J241"")"),773.41)</f>
        <v>773.41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IFERROR(__xludf.DUMMYFUNCTION("IMPORTRANGE(""https://docs.google.com/spreadsheets/d/1XL5vhW3sbDhbH9Cz0tuDiY8C3ctxq1tqvaCgkFb8cCA/edit?usp=sharing"",""สุรินทร์!L242"")"),2841291.0)</f>
        <v>2841291</v>
      </c>
      <c r="M347" s="391"/>
      <c r="N347" s="391">
        <f>IFERROR(__xludf.DUMMYFUNCTION("IMPORTRANGE(""https://docs.google.com/spreadsheets/d/1XL5vhW3sbDhbH9Cz0tuDiY8C3ctxq1tqvaCgkFb8cCA/edit?usp=sharing"",""สุรินทร์!M242"")"),166777.0)</f>
        <v>166777</v>
      </c>
      <c r="O347" s="391">
        <f>+IF(L347&gt;0,N347*100/L347,0)</f>
        <v>5.869761316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IFERROR(__xludf.DUMMYFUNCTION("IMPORTRANGE(""https://docs.google.com/spreadsheets/d/1XL5vhW3sbDhbH9Cz0tuDiY8C3ctxq1tqvaCgkFb8cCA/edit?usp=sharing"",""สุรินทร์!I244"")"),150.0)</f>
        <v>150</v>
      </c>
      <c r="J349" s="404">
        <f>IFERROR(__xludf.DUMMYFUNCTION("IMPORTRANGE(""https://docs.google.com/spreadsheets/d/1XL5vhW3sbDhbH9Cz0tuDiY8C3ctxq1tqvaCgkFb8cCA/edit?usp=sharing"",""สุรินทร์!J244"")"),0.0)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IFERROR(__xludf.DUMMYFUNCTION("IMPORTRANGE(""https://docs.google.com/spreadsheets/d/1XL5vhW3sbDhbH9Cz0tuDiY8C3ctxq1tqvaCgkFb8cCA/edit?usp=sharing"",""สุรินทร์!L244"")"),195420.0)</f>
        <v>195420</v>
      </c>
      <c r="M349" s="406"/>
      <c r="N349" s="406">
        <f>IFERROR(__xludf.DUMMYFUNCTION("IMPORTRANGE(""https://docs.google.com/spreadsheets/d/1XL5vhW3sbDhbH9Cz0tuDiY8C3ctxq1tqvaCgkFb8cCA/edit?usp=sharing"",""สุรินทร์!M244"")"),20240.0)</f>
        <v>20240</v>
      </c>
      <c r="O349" s="406">
        <f>+IF(L349&gt;0,N349*100/L349,0)</f>
        <v>10.35717941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IFERROR(__xludf.DUMMYFUNCTION("IMPORTRANGE(""https://docs.google.com/spreadsheets/d/1XL5vhW3sbDhbH9Cz0tuDiY8C3ctxq1tqvaCgkFb8cCA/edit?usp=sharing"",""สุรินทร์!I245"")"),15.0)</f>
        <v>15</v>
      </c>
      <c r="J350" s="404">
        <f>IFERROR(__xludf.DUMMYFUNCTION("IMPORTRANGE(""https://docs.google.com/spreadsheets/d/1XL5vhW3sbDhbH9Cz0tuDiY8C3ctxq1tqvaCgkFb8cCA/edit?usp=sharing"",""สุรินทร์!J245"")"),0.0)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IFERROR(__xludf.DUMMYFUNCTION("IMPORTRANGE(""https://docs.google.com/spreadsheets/d/1XL5vhW3sbDhbH9Cz0tuDiY8C3ctxq1tqvaCgkFb8cCA/edit?usp=sharing"",""สุรินทร์!L246"")"),0.0)</f>
        <v>0</v>
      </c>
      <c r="M351" s="197"/>
      <c r="N351" s="197">
        <f>IFERROR(__xludf.DUMMYFUNCTION("IMPORTRANGE(""https://docs.google.com/spreadsheets/d/1XL5vhW3sbDhbH9Cz0tuDiY8C3ctxq1tqvaCgkFb8cCA/edit?usp=sharing"",""สุรินทร์!M246"")"),0.0)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IFERROR(__xludf.DUMMYFUNCTION("IMPORTRANGE(""https://docs.google.com/spreadsheets/d/1XL5vhW3sbDhbH9Cz0tuDiY8C3ctxq1tqvaCgkFb8cCA/edit?usp=sharing"",""สุรินทร์!L247"")"),195420.0)</f>
        <v>195420</v>
      </c>
      <c r="M352" s="198"/>
      <c r="N352" s="197">
        <f>IFERROR(__xludf.DUMMYFUNCTION("IMPORTRANGE(""https://docs.google.com/spreadsheets/d/1XL5vhW3sbDhbH9Cz0tuDiY8C3ctxq1tqvaCgkFb8cCA/edit?usp=sharing"",""สุรินทร์!M247"")"),20240.0)</f>
        <v>20240</v>
      </c>
      <c r="O352" s="198">
        <f t="shared" si="106"/>
        <v>10.35717941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IFERROR(__xludf.DUMMYFUNCTION("IMPORTRANGE(""https://docs.google.com/spreadsheets/d/1XL5vhW3sbDhbH9Cz0tuDiY8C3ctxq1tqvaCgkFb8cCA/edit?usp=sharing"",""สุรินทร์!L248"")"),0.0)</f>
        <v>0</v>
      </c>
      <c r="M353" s="203"/>
      <c r="N353" s="203">
        <f>IFERROR(__xludf.DUMMYFUNCTION("IMPORTRANGE(""https://docs.google.com/spreadsheets/d/1XL5vhW3sbDhbH9Cz0tuDiY8C3ctxq1tqvaCgkFb8cCA/edit?usp=sharing"",""สุรินทร์!M248"")"),0.0)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IFERROR(__xludf.DUMMYFUNCTION("IMPORTRANGE(""https://docs.google.com/spreadsheets/d/1XL5vhW3sbDhbH9Cz0tuDiY8C3ctxq1tqvaCgkFb8cCA/edit?usp=sharing"",""สุรินทร์!L249"")"),195420.0)</f>
        <v>195420</v>
      </c>
      <c r="M354" s="203"/>
      <c r="N354" s="200">
        <f>IFERROR(__xludf.DUMMYFUNCTION("IMPORTRANGE(""https://docs.google.com/spreadsheets/d/1XL5vhW3sbDhbH9Cz0tuDiY8C3ctxq1tqvaCgkFb8cCA/edit?usp=sharing"",""สุรินทร์!M249"")"),20240.0)</f>
        <v>20240</v>
      </c>
      <c r="O354" s="203">
        <f t="shared" si="106"/>
        <v>10.35717941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IFERROR(__xludf.DUMMYFUNCTION("IMPORTRANGE(""https://docs.google.com/spreadsheets/d/1XL5vhW3sbDhbH9Cz0tuDiY8C3ctxq1tqvaCgkFb8cCA/edit?usp=sharing"",""สุรินทร์!M250"")"),20240.0)</f>
        <v>20240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IFERROR(__xludf.DUMMYFUNCTION("IMPORTRANGE(""https://docs.google.com/spreadsheets/d/1XL5vhW3sbDhbH9Cz0tuDiY8C3ctxq1tqvaCgkFb8cCA/edit?usp=sharing"",""สุรินทร์!M251"")"),0.0)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IFERROR(__xludf.DUMMYFUNCTION("IMPORTRANGE(""https://docs.google.com/spreadsheets/d/1XL5vhW3sbDhbH9Cz0tuDiY8C3ctxq1tqvaCgkFb8cCA/edit?usp=sharing"",""สุรินทร์!M252"")"),0.0)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IFERROR(__xludf.DUMMYFUNCTION("IMPORTRANGE(""https://docs.google.com/spreadsheets/d/1XL5vhW3sbDhbH9Cz0tuDiY8C3ctxq1tqvaCgkFb8cCA/edit?usp=sharing"",""สุรินทร์!M253"")"),0.0)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IFERROR(__xludf.DUMMYFUNCTION("IMPORTRANGE(""https://docs.google.com/spreadsheets/d/1XL5vhW3sbDhbH9Cz0tuDiY8C3ctxq1tqvaCgkFb8cCA/edit?usp=sharing"",""สุรินทร์!J255"")"),0.0)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IFERROR(__xludf.DUMMYFUNCTION("IMPORTRANGE(""https://docs.google.com/spreadsheets/d/1XL5vhW3sbDhbH9Cz0tuDiY8C3ctxq1tqvaCgkFb8cCA/edit?usp=sharing"",""สุรินทร์!J256"")"),1.0)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IFERROR(__xludf.DUMMYFUNCTION("IMPORTRANGE(""https://docs.google.com/spreadsheets/d/1XL5vhW3sbDhbH9Cz0tuDiY8C3ctxq1tqvaCgkFb8cCA/edit?usp=sharing"",""สุรินทร์!J257"")"),1.0)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IFERROR(__xludf.DUMMYFUNCTION("IMPORTRANGE(""https://docs.google.com/spreadsheets/d/1XL5vhW3sbDhbH9Cz0tuDiY8C3ctxq1tqvaCgkFb8cCA/edit?usp=sharing"",""สุรินทร์!J258"")"),0.0)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IFERROR(__xludf.DUMMYFUNCTION("IMPORTRANGE(""https://docs.google.com/spreadsheets/d/1XL5vhW3sbDhbH9Cz0tuDiY8C3ctxq1tqvaCgkFb8cCA/edit?usp=sharing"",""สุรินทร์!J166"")"),0.0)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IFERROR(__xludf.DUMMYFUNCTION("IMPORTRANGE(""https://docs.google.com/spreadsheets/d/1XL5vhW3sbDhbH9Cz0tuDiY8C3ctxq1tqvaCgkFb8cCA/edit?usp=sharing"",""สุรินทร์!J166"")"),0.0)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IFERROR(__xludf.DUMMYFUNCTION("IMPORTRANGE(""https://docs.google.com/spreadsheets/d/1XL5vhW3sbDhbH9Cz0tuDiY8C3ctxq1tqvaCgkFb8cCA/edit?usp=sharing"",""สุรินทร์!J166"")"),0.0)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IFERROR(__xludf.DUMMYFUNCTION("IMPORTRANGE(""https://docs.google.com/spreadsheets/d/1XL5vhW3sbDhbH9Cz0tuDiY8C3ctxq1tqvaCgkFb8cCA/edit?usp=sharing"",""สุรินทร์!J166"")"),0.0)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IFERROR(__xludf.DUMMYFUNCTION("IMPORTRANGE(""https://docs.google.com/spreadsheets/d/1XL5vhW3sbDhbH9Cz0tuDiY8C3ctxq1tqvaCgkFb8cCA/edit?usp=sharing"",""สุรินทร์!I263"")"),15.0)</f>
        <v>15</v>
      </c>
      <c r="J368" s="222">
        <f>IFERROR(__xludf.DUMMYFUNCTION("IMPORTRANGE(""https://docs.google.com/spreadsheets/d/1XL5vhW3sbDhbH9Cz0tuDiY8C3ctxq1tqvaCgkFb8cCA/edit?usp=sharing"",""สุรินทร์!J263"")"),0.0)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IFERROR(__xludf.DUMMYFUNCTION("IMPORTRANGE(""https://docs.google.com/spreadsheets/d/1XL5vhW3sbDhbH9Cz0tuDiY8C3ctxq1tqvaCgkFb8cCA/edit?usp=sharing"",""สุรินทร์!I164"")"),0.0)</f>
        <v>0</v>
      </c>
      <c r="J369" s="238">
        <f>IFERROR(__xludf.DUMMYFUNCTION("IMPORTRANGE(""https://docs.google.com/spreadsheets/d/1XL5vhW3sbDhbH9Cz0tuDiY8C3ctxq1tqvaCgkFb8cCA/edit?usp=sharing"",""สุรินทร์!J164"")"),0.0)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IFERROR(__xludf.DUMMYFUNCTION("IMPORTRANGE(""https://docs.google.com/spreadsheets/d/1XL5vhW3sbDhbH9Cz0tuDiY8C3ctxq1tqvaCgkFb8cCA/edit?usp=sharing"",""สุรินทร์!I265"")"),15.0)</f>
        <v>15</v>
      </c>
      <c r="J370" s="238">
        <f>IFERROR(__xludf.DUMMYFUNCTION("IMPORTRANGE(""https://docs.google.com/spreadsheets/d/1XL5vhW3sbDhbH9Cz0tuDiY8C3ctxq1tqvaCgkFb8cCA/edit?usp=sharing"",""สุรินทร์!J265"")"),15.0)</f>
        <v>15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IFERROR(__xludf.DUMMYFUNCTION("IMPORTRANGE(""https://docs.google.com/spreadsheets/d/1XL5vhW3sbDhbH9Cz0tuDiY8C3ctxq1tqvaCgkFb8cCA/edit?usp=sharing"",""สุรินทร์!I164"")"),0.0)</f>
        <v>0</v>
      </c>
      <c r="J371" s="223">
        <f>IFERROR(__xludf.DUMMYFUNCTION("IMPORTRANGE(""https://docs.google.com/spreadsheets/d/1XL5vhW3sbDhbH9Cz0tuDiY8C3ctxq1tqvaCgkFb8cCA/edit?usp=sharing"",""สุรินทร์!J164"")"),0.0)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IFERROR(__xludf.DUMMYFUNCTION("IMPORTRANGE(""https://docs.google.com/spreadsheets/d/1XL5vhW3sbDhbH9Cz0tuDiY8C3ctxq1tqvaCgkFb8cCA/edit?usp=sharing"",""สุรินทร์!I267"")"),15.0)</f>
        <v>15</v>
      </c>
      <c r="J372" s="223">
        <f>IFERROR(__xludf.DUMMYFUNCTION("IMPORTRANGE(""https://docs.google.com/spreadsheets/d/1XL5vhW3sbDhbH9Cz0tuDiY8C3ctxq1tqvaCgkFb8cCA/edit?usp=sharing"",""สุรินทร์!J267"")"),0.0)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IFERROR(__xludf.DUMMYFUNCTION("IMPORTRANGE(""https://docs.google.com/spreadsheets/d/1XL5vhW3sbDhbH9Cz0tuDiY8C3ctxq1tqvaCgkFb8cCA/edit?usp=sharing"",""สุรินทร์!I164"")"),0.0)</f>
        <v>0</v>
      </c>
      <c r="J373" s="238">
        <f>IFERROR(__xludf.DUMMYFUNCTION("IMPORTRANGE(""https://docs.google.com/spreadsheets/d/1XL5vhW3sbDhbH9Cz0tuDiY8C3ctxq1tqvaCgkFb8cCA/edit?usp=sharing"",""สุรินทร์!J164"")"),0.0)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IFERROR(__xludf.DUMMYFUNCTION("IMPORTRANGE(""https://docs.google.com/spreadsheets/d/1XL5vhW3sbDhbH9Cz0tuDiY8C3ctxq1tqvaCgkFb8cCA/edit?usp=sharing"",""สุรินทร์!I164"")"),0.0)</f>
        <v>0</v>
      </c>
      <c r="J374" s="222">
        <f>IFERROR(__xludf.DUMMYFUNCTION("IMPORTRANGE(""https://docs.google.com/spreadsheets/d/1XL5vhW3sbDhbH9Cz0tuDiY8C3ctxq1tqvaCgkFb8cCA/edit?usp=sharing"",""สุรินทร์!J164"")"),0.0)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IFERROR(__xludf.DUMMYFUNCTION("IMPORTRANGE(""https://docs.google.com/spreadsheets/d/1XL5vhW3sbDhbH9Cz0tuDiY8C3ctxq1tqvaCgkFb8cCA/edit?usp=sharing"",""สุรินทร์!I270"")"),150.0)</f>
        <v>150</v>
      </c>
      <c r="J375" s="222">
        <f>IFERROR(__xludf.DUMMYFUNCTION("IMPORTRANGE(""https://docs.google.com/spreadsheets/d/1XL5vhW3sbDhbH9Cz0tuDiY8C3ctxq1tqvaCgkFb8cCA/edit?usp=sharing"",""สุรินทร์!J270"")"),0.0)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IFERROR(__xludf.DUMMYFUNCTION("IMPORTRANGE(""https://docs.google.com/spreadsheets/d/1XL5vhW3sbDhbH9Cz0tuDiY8C3ctxq1tqvaCgkFb8cCA/edit?usp=sharing"",""สุรินทร์!I271"")"),150.0)</f>
        <v>150</v>
      </c>
      <c r="J376" s="223">
        <f>IFERROR(__xludf.DUMMYFUNCTION("IMPORTRANGE(""https://docs.google.com/spreadsheets/d/1XL5vhW3sbDhbH9Cz0tuDiY8C3ctxq1tqvaCgkFb8cCA/edit?usp=sharing"",""สุรินทร์!J271"")"),0.0)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IFERROR(__xludf.DUMMYFUNCTION("IMPORTRANGE(""https://docs.google.com/spreadsheets/d/1XL5vhW3sbDhbH9Cz0tuDiY8C3ctxq1tqvaCgkFb8cCA/edit?usp=sharing"",""สุรินทร์!I272"")"),0.0)</f>
        <v>0</v>
      </c>
      <c r="J377" s="238">
        <f>IFERROR(__xludf.DUMMYFUNCTION("IMPORTRANGE(""https://docs.google.com/spreadsheets/d/1XL5vhW3sbDhbH9Cz0tuDiY8C3ctxq1tqvaCgkFb8cCA/edit?usp=sharing"",""สุรินทร์!J272"")"),0.0)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IFERROR(__xludf.DUMMYFUNCTION("IMPORTRANGE(""https://docs.google.com/spreadsheets/d/1XL5vhW3sbDhbH9Cz0tuDiY8C3ctxq1tqvaCgkFb8cCA/edit?usp=sharing"",""สุรินทร์!J273"")"),0.0)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IFERROR(__xludf.DUMMYFUNCTION("IMPORTRANGE(""https://docs.google.com/spreadsheets/d/1XL5vhW3sbDhbH9Cz0tuDiY8C3ctxq1tqvaCgkFb8cCA/edit?usp=sharing"",""สุรินทร์!J274"")"),0.0)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IFERROR(__xludf.DUMMYFUNCTION("IMPORTRANGE(""https://docs.google.com/spreadsheets/d/1XL5vhW3sbDhbH9Cz0tuDiY8C3ctxq1tqvaCgkFb8cCA/edit?usp=sharing"",""สุรินทร์!I275"")"),1000.0)</f>
        <v>1000</v>
      </c>
      <c r="J380" s="404">
        <f>IFERROR(__xludf.DUMMYFUNCTION("IMPORTRANGE(""https://docs.google.com/spreadsheets/d/1XL5vhW3sbDhbH9Cz0tuDiY8C3ctxq1tqvaCgkFb8cCA/edit?usp=sharing"",""สุรินทร์!J275"")"),0.0)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IFERROR(__xludf.DUMMYFUNCTION("IMPORTRANGE(""https://docs.google.com/spreadsheets/d/1XL5vhW3sbDhbH9Cz0tuDiY8C3ctxq1tqvaCgkFb8cCA/edit?usp=sharing"",""สุรินทร์!L275"")"),1028520.0)</f>
        <v>1028520</v>
      </c>
      <c r="M380" s="406"/>
      <c r="N380" s="406">
        <f>IFERROR(__xludf.DUMMYFUNCTION("IMPORTRANGE(""https://docs.google.com/spreadsheets/d/1XL5vhW3sbDhbH9Cz0tuDiY8C3ctxq1tqvaCgkFb8cCA/edit?usp=sharing"",""สุรินทร์!M275"")"),4400.0)</f>
        <v>4400</v>
      </c>
      <c r="O380" s="406">
        <f>+IF(L380&gt;0,N380*100/L380,0)</f>
        <v>0.4277991677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IFERROR(__xludf.DUMMYFUNCTION("IMPORTRANGE(""https://docs.google.com/spreadsheets/d/1XL5vhW3sbDhbH9Cz0tuDiY8C3ctxq1tqvaCgkFb8cCA/edit?usp=sharing"",""สุรินทร์!I276"")"),100.0)</f>
        <v>100</v>
      </c>
      <c r="J381" s="404">
        <f>IFERROR(__xludf.DUMMYFUNCTION("IMPORTRANGE(""https://docs.google.com/spreadsheets/d/1XL5vhW3sbDhbH9Cz0tuDiY8C3ctxq1tqvaCgkFb8cCA/edit?usp=sharing"",""สุรินทร์!J276"")"),0.0)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IFERROR(__xludf.DUMMYFUNCTION("IMPORTRANGE(""https://docs.google.com/spreadsheets/d/1XL5vhW3sbDhbH9Cz0tuDiY8C3ctxq1tqvaCgkFb8cCA/edit?usp=sharing"",""สุรินทร์!L277"")"),0.0)</f>
        <v>0</v>
      </c>
      <c r="M382" s="197"/>
      <c r="N382" s="197">
        <f>IFERROR(__xludf.DUMMYFUNCTION("IMPORTRANGE(""https://docs.google.com/spreadsheets/d/1XL5vhW3sbDhbH9Cz0tuDiY8C3ctxq1tqvaCgkFb8cCA/edit?usp=sharing"",""สุรินทร์!M277"")"),0.0)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IFERROR(__xludf.DUMMYFUNCTION("IMPORTRANGE(""https://docs.google.com/spreadsheets/d/1XL5vhW3sbDhbH9Cz0tuDiY8C3ctxq1tqvaCgkFb8cCA/edit?usp=sharing"",""สุรินทร์!L278"")"),1028520.0)</f>
        <v>1028520</v>
      </c>
      <c r="M383" s="198"/>
      <c r="N383" s="198">
        <f>IFERROR(__xludf.DUMMYFUNCTION("IMPORTRANGE(""https://docs.google.com/spreadsheets/d/1XL5vhW3sbDhbH9Cz0tuDiY8C3ctxq1tqvaCgkFb8cCA/edit?usp=sharing"",""สุรินทร์!M278"")"),4400.0)</f>
        <v>4400</v>
      </c>
      <c r="O383" s="198">
        <f t="shared" si="110"/>
        <v>0.4277991677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IFERROR(__xludf.DUMMYFUNCTION("IMPORTRANGE(""https://docs.google.com/spreadsheets/d/1XL5vhW3sbDhbH9Cz0tuDiY8C3ctxq1tqvaCgkFb8cCA/edit?usp=sharing"",""สุรินทร์!L279"")"),0.0)</f>
        <v>0</v>
      </c>
      <c r="M384" s="203"/>
      <c r="N384" s="203">
        <f>IFERROR(__xludf.DUMMYFUNCTION("IMPORTRANGE(""https://docs.google.com/spreadsheets/d/1XL5vhW3sbDhbH9Cz0tuDiY8C3ctxq1tqvaCgkFb8cCA/edit?usp=sharing"",""สุรินทร์!M279"")"),0.0)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IFERROR(__xludf.DUMMYFUNCTION("IMPORTRANGE(""https://docs.google.com/spreadsheets/d/1XL5vhW3sbDhbH9Cz0tuDiY8C3ctxq1tqvaCgkFb8cCA/edit?usp=sharing"",""สุรินทร์!L280"")"),1028520.0)</f>
        <v>1028520</v>
      </c>
      <c r="M385" s="203"/>
      <c r="N385" s="200">
        <f>IFERROR(__xludf.DUMMYFUNCTION("IMPORTRANGE(""https://docs.google.com/spreadsheets/d/1XL5vhW3sbDhbH9Cz0tuDiY8C3ctxq1tqvaCgkFb8cCA/edit?usp=sharing"",""สุรินทร์!M280"")"),4400.0)</f>
        <v>4400</v>
      </c>
      <c r="O385" s="203">
        <f t="shared" si="110"/>
        <v>0.4277991677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IFERROR(__xludf.DUMMYFUNCTION("IMPORTRANGE(""https://docs.google.com/spreadsheets/d/1XL5vhW3sbDhbH9Cz0tuDiY8C3ctxq1tqvaCgkFb8cCA/edit?usp=sharing"",""สุรินทร์!M281"")"),0.0)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IFERROR(__xludf.DUMMYFUNCTION("IMPORTRANGE(""https://docs.google.com/spreadsheets/d/1XL5vhW3sbDhbH9Cz0tuDiY8C3ctxq1tqvaCgkFb8cCA/edit?usp=sharing"",""สุรินทร์!M282"")"),0.0)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IFERROR(__xludf.DUMMYFUNCTION("IMPORTRANGE(""https://docs.google.com/spreadsheets/d/1XL5vhW3sbDhbH9Cz0tuDiY8C3ctxq1tqvaCgkFb8cCA/edit?usp=sharing"",""สุรินทร์!M283"")"),0.0)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IFERROR(__xludf.DUMMYFUNCTION("IMPORTRANGE(""https://docs.google.com/spreadsheets/d/1XL5vhW3sbDhbH9Cz0tuDiY8C3ctxq1tqvaCgkFb8cCA/edit?usp=sharing"",""สุรินทร์!M284"")"),4400.0)</f>
        <v>4400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IFERROR(__xludf.DUMMYFUNCTION("IMPORTRANGE(""https://docs.google.com/spreadsheets/d/1XL5vhW3sbDhbH9Cz0tuDiY8C3ctxq1tqvaCgkFb8cCA/edit?usp=sharing"",""สุรินทร์!J286"")"),0.0)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IFERROR(__xludf.DUMMYFUNCTION("IMPORTRANGE(""https://docs.google.com/spreadsheets/d/1XL5vhW3sbDhbH9Cz0tuDiY8C3ctxq1tqvaCgkFb8cCA/edit?usp=sharing"",""สุรินทร์!J287"")"),1.0)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IFERROR(__xludf.DUMMYFUNCTION("IMPORTRANGE(""https://docs.google.com/spreadsheets/d/1XL5vhW3sbDhbH9Cz0tuDiY8C3ctxq1tqvaCgkFb8cCA/edit?usp=sharing"",""สุรินทร์!J288"")"),1.0)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IFERROR(__xludf.DUMMYFUNCTION("IMPORTRANGE(""https://docs.google.com/spreadsheets/d/1XL5vhW3sbDhbH9Cz0tuDiY8C3ctxq1tqvaCgkFb8cCA/edit?usp=sharing"",""สุรินทร์!J289"")"),0.0)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IFERROR(__xludf.DUMMYFUNCTION("IMPORTRANGE(""https://docs.google.com/spreadsheets/d/1XL5vhW3sbDhbH9Cz0tuDiY8C3ctxq1tqvaCgkFb8cCA/edit?usp=sharing"",""สุรินทร์!I291"")"),100.0)</f>
        <v>100</v>
      </c>
      <c r="J396" s="232">
        <f>IFERROR(__xludf.DUMMYFUNCTION("IMPORTRANGE(""https://docs.google.com/spreadsheets/d/1XL5vhW3sbDhbH9Cz0tuDiY8C3ctxq1tqvaCgkFb8cCA/edit?usp=sharing"",""สุรินทร์!J291"")"),0.0)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IFERROR(__xludf.DUMMYFUNCTION("IMPORTRANGE(""https://docs.google.com/spreadsheets/d/1XL5vhW3sbDhbH9Cz0tuDiY8C3ctxq1tqvaCgkFb8cCA/edit?usp=sharing"",""สุรินทร์!I292"")"),1000.0)</f>
        <v>1000</v>
      </c>
      <c r="J397" s="232">
        <f>IFERROR(__xludf.DUMMYFUNCTION("IMPORTRANGE(""https://docs.google.com/spreadsheets/d/1XL5vhW3sbDhbH9Cz0tuDiY8C3ctxq1tqvaCgkFb8cCA/edit?usp=sharing"",""สุรินทร์!J292"")"),0.0)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IFERROR(__xludf.DUMMYFUNCTION("IMPORTRANGE(""https://docs.google.com/spreadsheets/d/1XL5vhW3sbDhbH9Cz0tuDiY8C3ctxq1tqvaCgkFb8cCA/edit?usp=sharing"",""สุรินทร์!I293"")"),100.0)</f>
        <v>100</v>
      </c>
      <c r="J398" s="232">
        <f>IFERROR(__xludf.DUMMYFUNCTION("IMPORTRANGE(""https://docs.google.com/spreadsheets/d/1XL5vhW3sbDhbH9Cz0tuDiY8C3ctxq1tqvaCgkFb8cCA/edit?usp=sharing"",""สุรินทร์!J293"")"),0.0)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IFERROR(__xludf.DUMMYFUNCTION("IMPORTRANGE(""https://docs.google.com/spreadsheets/d/1XL5vhW3sbDhbH9Cz0tuDiY8C3ctxq1tqvaCgkFb8cCA/edit?usp=sharing"",""สุรินทร์!J294"")"),0.0)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IFERROR(__xludf.DUMMYFUNCTION("IMPORTRANGE(""https://docs.google.com/spreadsheets/d/1XL5vhW3sbDhbH9Cz0tuDiY8C3ctxq1tqvaCgkFb8cCA/edit?usp=sharing"",""สุรินทร์!J295"")"),0.0)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IFERROR(__xludf.DUMMYFUNCTION("IMPORTRANGE(""https://docs.google.com/spreadsheets/d/1XL5vhW3sbDhbH9Cz0tuDiY8C3ctxq1tqvaCgkFb8cCA/edit?usp=sharing"",""สุรินทร์!I296"")"),135.0)</f>
        <v>135</v>
      </c>
      <c r="J401" s="404">
        <f>IFERROR(__xludf.DUMMYFUNCTION("IMPORTRANGE(""https://docs.google.com/spreadsheets/d/1XL5vhW3sbDhbH9Cz0tuDiY8C3ctxq1tqvaCgkFb8cCA/edit?usp=sharing"",""สุรินทร์!J296"")"),0.0)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IFERROR(__xludf.DUMMYFUNCTION("IMPORTRANGE(""https://docs.google.com/spreadsheets/d/1XL5vhW3sbDhbH9Cz0tuDiY8C3ctxq1tqvaCgkFb8cCA/edit?usp=sharing"",""สุรินทร์!L296"")"),159950.0)</f>
        <v>159950</v>
      </c>
      <c r="M401" s="406"/>
      <c r="N401" s="406">
        <f>IFERROR(__xludf.DUMMYFUNCTION("IMPORTRANGE(""https://docs.google.com/spreadsheets/d/1XL5vhW3sbDhbH9Cz0tuDiY8C3ctxq1tqvaCgkFb8cCA/edit?usp=sharing"",""สุรินทร์!M296"")"),0.0)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IFERROR(__xludf.DUMMYFUNCTION("IMPORTRANGE(""https://docs.google.com/spreadsheets/d/1XL5vhW3sbDhbH9Cz0tuDiY8C3ctxq1tqvaCgkFb8cCA/edit?usp=sharing"",""สุรินทร์!I297"")"),45.0)</f>
        <v>45</v>
      </c>
      <c r="J402" s="404">
        <f>IFERROR(__xludf.DUMMYFUNCTION("IMPORTRANGE(""https://docs.google.com/spreadsheets/d/1XL5vhW3sbDhbH9Cz0tuDiY8C3ctxq1tqvaCgkFb8cCA/edit?usp=sharing"",""สุรินทร์!J297"")"),0.0)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IFERROR(__xludf.DUMMYFUNCTION("IMPORTRANGE(""https://docs.google.com/spreadsheets/d/1XL5vhW3sbDhbH9Cz0tuDiY8C3ctxq1tqvaCgkFb8cCA/edit?usp=sharing"",""สุรินทร์!L298"")"),0.0)</f>
        <v>0</v>
      </c>
      <c r="M403" s="197"/>
      <c r="N403" s="203">
        <f>IFERROR(__xludf.DUMMYFUNCTION("IMPORTRANGE(""https://docs.google.com/spreadsheets/d/1XL5vhW3sbDhbH9Cz0tuDiY8C3ctxq1tqvaCgkFb8cCA/edit?usp=sharing"",""สุรินทร์!M298"")"),0.0)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IFERROR(__xludf.DUMMYFUNCTION("IMPORTRANGE(""https://docs.google.com/spreadsheets/d/1XL5vhW3sbDhbH9Cz0tuDiY8C3ctxq1tqvaCgkFb8cCA/edit?usp=sharing"",""สุรินทร์!L299"")"),159950.0)</f>
        <v>159950</v>
      </c>
      <c r="M404" s="198"/>
      <c r="N404" s="203">
        <f>IFERROR(__xludf.DUMMYFUNCTION("IMPORTRANGE(""https://docs.google.com/spreadsheets/d/1XL5vhW3sbDhbH9Cz0tuDiY8C3ctxq1tqvaCgkFb8cCA/edit?usp=sharing"",""สุรินทร์!M299"")"),0.0)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IFERROR(__xludf.DUMMYFUNCTION("IMPORTRANGE(""https://docs.google.com/spreadsheets/d/1XL5vhW3sbDhbH9Cz0tuDiY8C3ctxq1tqvaCgkFb8cCA/edit?usp=sharing"",""สุรินทร์!L300"")"),0.0)</f>
        <v>0</v>
      </c>
      <c r="M405" s="203"/>
      <c r="N405" s="203">
        <f>IFERROR(__xludf.DUMMYFUNCTION("IMPORTRANGE(""https://docs.google.com/spreadsheets/d/1XL5vhW3sbDhbH9Cz0tuDiY8C3ctxq1tqvaCgkFb8cCA/edit?usp=sharing"",""สุรินทร์!M300"")"),0.0)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IFERROR(__xludf.DUMMYFUNCTION("IMPORTRANGE(""https://docs.google.com/spreadsheets/d/1XL5vhW3sbDhbH9Cz0tuDiY8C3ctxq1tqvaCgkFb8cCA/edit?usp=sharing"",""สุรินทร์!L301"")"),159950.0)</f>
        <v>159950</v>
      </c>
      <c r="M406" s="203"/>
      <c r="N406" s="203">
        <f>IFERROR(__xludf.DUMMYFUNCTION("IMPORTRANGE(""https://docs.google.com/spreadsheets/d/1XL5vhW3sbDhbH9Cz0tuDiY8C3ctxq1tqvaCgkFb8cCA/edit?usp=sharing"",""สุรินทร์!M301"")"),0.0)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IFERROR(__xludf.DUMMYFUNCTION("IMPORTRANGE(""https://docs.google.com/spreadsheets/d/1XL5vhW3sbDhbH9Cz0tuDiY8C3ctxq1tqvaCgkFb8cCA/edit?usp=sharing"",""สุรินทร์!M302"")"),0.0)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IFERROR(__xludf.DUMMYFUNCTION("IMPORTRANGE(""https://docs.google.com/spreadsheets/d/1XL5vhW3sbDhbH9Cz0tuDiY8C3ctxq1tqvaCgkFb8cCA/edit?usp=sharing"",""สุรินทร์!M303"")"),0.0)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IFERROR(__xludf.DUMMYFUNCTION("IMPORTRANGE(""https://docs.google.com/spreadsheets/d/1XL5vhW3sbDhbH9Cz0tuDiY8C3ctxq1tqvaCgkFb8cCA/edit?usp=sharing"",""สุรินทร์!M304"")"),0.0)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IFERROR(__xludf.DUMMYFUNCTION("IMPORTRANGE(""https://docs.google.com/spreadsheets/d/1XL5vhW3sbDhbH9Cz0tuDiY8C3ctxq1tqvaCgkFb8cCA/edit?usp=sharing"",""สุรินทร์!M305"")"),0.0)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IFERROR(__xludf.DUMMYFUNCTION("IMPORTRANGE(""https://docs.google.com/spreadsheets/d/1XL5vhW3sbDhbH9Cz0tuDiY8C3ctxq1tqvaCgkFb8cCA/edit?usp=sharing"",""สุรินทร์!J307"")"),0.0)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IFERROR(__xludf.DUMMYFUNCTION("IMPORTRANGE(""https://docs.google.com/spreadsheets/d/1XL5vhW3sbDhbH9Cz0tuDiY8C3ctxq1tqvaCgkFb8cCA/edit?usp=sharing"",""สุรินทร์!J308"")"),1.0)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IFERROR(__xludf.DUMMYFUNCTION("IMPORTRANGE(""https://docs.google.com/spreadsheets/d/1XL5vhW3sbDhbH9Cz0tuDiY8C3ctxq1tqvaCgkFb8cCA/edit?usp=sharing"",""สุรินทร์!J309"")"),1.0)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IFERROR(__xludf.DUMMYFUNCTION("IMPORTRANGE(""https://docs.google.com/spreadsheets/d/1XL5vhW3sbDhbH9Cz0tuDiY8C3ctxq1tqvaCgkFb8cCA/edit?usp=sharing"",""สุรินทร์!J310"")"),0.0)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IFERROR(__xludf.DUMMYFUNCTION("IMPORTRANGE(""https://docs.google.com/spreadsheets/d/1XL5vhW3sbDhbH9Cz0tuDiY8C3ctxq1tqvaCgkFb8cCA/edit?usp=sharing"",""สุรินทร์!I311"")"),45.0)</f>
        <v>45</v>
      </c>
      <c r="J416" s="235">
        <f>IFERROR(__xludf.DUMMYFUNCTION("IMPORTRANGE(""https://docs.google.com/spreadsheets/d/1XL5vhW3sbDhbH9Cz0tuDiY8C3ctxq1tqvaCgkFb8cCA/edit?usp=sharing"",""สุรินทร์!J311"")"),0.0)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IFERROR(__xludf.DUMMYFUNCTION("IMPORTRANGE(""https://docs.google.com/spreadsheets/d/1XL5vhW3sbDhbH9Cz0tuDiY8C3ctxq1tqvaCgkFb8cCA/edit?usp=sharing"",""สุรินทร์!I312"")"),10.0)</f>
        <v>10</v>
      </c>
      <c r="J417" s="425">
        <f>IFERROR(__xludf.DUMMYFUNCTION("IMPORTRANGE(""https://docs.google.com/spreadsheets/d/1XL5vhW3sbDhbH9Cz0tuDiY8C3ctxq1tqvaCgkFb8cCA/edit?usp=sharing"",""สุรินทร์!J312"")"),0.0)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IFERROR(__xludf.DUMMYFUNCTION("IMPORTRANGE(""https://docs.google.com/spreadsheets/d/1XL5vhW3sbDhbH9Cz0tuDiY8C3ctxq1tqvaCgkFb8cCA/edit?usp=sharing"",""สุรินทร์!I313"")"),30.0)</f>
        <v>30</v>
      </c>
      <c r="J418" s="426">
        <f>IFERROR(__xludf.DUMMYFUNCTION("IMPORTRANGE(""https://docs.google.com/spreadsheets/d/1XL5vhW3sbDhbH9Cz0tuDiY8C3ctxq1tqvaCgkFb8cCA/edit?usp=sharing"",""สุรินทร์!J313"")"),0.0)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IFERROR(__xludf.DUMMYFUNCTION("IMPORTRANGE(""https://docs.google.com/spreadsheets/d/1XL5vhW3sbDhbH9Cz0tuDiY8C3ctxq1tqvaCgkFb8cCA/edit?usp=sharing"",""สุรินทร์!I314"")"),10.0)</f>
        <v>10</v>
      </c>
      <c r="J419" s="427">
        <f>IFERROR(__xludf.DUMMYFUNCTION("IMPORTRANGE(""https://docs.google.com/spreadsheets/d/1XL5vhW3sbDhbH9Cz0tuDiY8C3ctxq1tqvaCgkFb8cCA/edit?usp=sharing"",""สุรินทร์!J314"")"),0.0)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IFERROR(__xludf.DUMMYFUNCTION("IMPORTRANGE(""https://docs.google.com/spreadsheets/d/1XL5vhW3sbDhbH9Cz0tuDiY8C3ctxq1tqvaCgkFb8cCA/edit?usp=sharing"",""สุรินทร์!I315"")"),10.0)</f>
        <v>10</v>
      </c>
      <c r="J420" s="427">
        <f>IFERROR(__xludf.DUMMYFUNCTION("IMPORTRANGE(""https://docs.google.com/spreadsheets/d/1XL5vhW3sbDhbH9Cz0tuDiY8C3ctxq1tqvaCgkFb8cCA/edit?usp=sharing"",""สุรินทร์!J315"")"),0.0)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IFERROR(__xludf.DUMMYFUNCTION("IMPORTRANGE(""https://docs.google.com/spreadsheets/d/1XL5vhW3sbDhbH9Cz0tuDiY8C3ctxq1tqvaCgkFb8cCA/edit?usp=sharing"",""สุรินทร์!I316"")"),25.0)</f>
        <v>25</v>
      </c>
      <c r="J421" s="425">
        <f>IFERROR(__xludf.DUMMYFUNCTION("IMPORTRANGE(""https://docs.google.com/spreadsheets/d/1XL5vhW3sbDhbH9Cz0tuDiY8C3ctxq1tqvaCgkFb8cCA/edit?usp=sharing"",""สุรินทร์!J316"")"),0.0)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IFERROR(__xludf.DUMMYFUNCTION("IMPORTRANGE(""https://docs.google.com/spreadsheets/d/1XL5vhW3sbDhbH9Cz0tuDiY8C3ctxq1tqvaCgkFb8cCA/edit?usp=sharing"",""สุรินทร์!I317"")"),75.0)</f>
        <v>75</v>
      </c>
      <c r="J422" s="426">
        <f>IFERROR(__xludf.DUMMYFUNCTION("IMPORTRANGE(""https://docs.google.com/spreadsheets/d/1XL5vhW3sbDhbH9Cz0tuDiY8C3ctxq1tqvaCgkFb8cCA/edit?usp=sharing"",""สุรินทร์!J317"")"),0.0)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IFERROR(__xludf.DUMMYFUNCTION("IMPORTRANGE(""https://docs.google.com/spreadsheets/d/1XL5vhW3sbDhbH9Cz0tuDiY8C3ctxq1tqvaCgkFb8cCA/edit?usp=sharing"",""สุรินทร์!I318"")"),25.0)</f>
        <v>25</v>
      </c>
      <c r="J423" s="427">
        <f>IFERROR(__xludf.DUMMYFUNCTION("IMPORTRANGE(""https://docs.google.com/spreadsheets/d/1XL5vhW3sbDhbH9Cz0tuDiY8C3ctxq1tqvaCgkFb8cCA/edit?usp=sharing"",""สุรินทร์!J318"")"),0.0)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IFERROR(__xludf.DUMMYFUNCTION("IMPORTRANGE(""https://docs.google.com/spreadsheets/d/1XL5vhW3sbDhbH9Cz0tuDiY8C3ctxq1tqvaCgkFb8cCA/edit?usp=sharing"",""สุรินทร์!I319"")"),25.0)</f>
        <v>25</v>
      </c>
      <c r="J424" s="427">
        <f>IFERROR(__xludf.DUMMYFUNCTION("IMPORTRANGE(""https://docs.google.com/spreadsheets/d/1XL5vhW3sbDhbH9Cz0tuDiY8C3ctxq1tqvaCgkFb8cCA/edit?usp=sharing"",""สุรินทร์!J319"")"),0.0)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IFERROR(__xludf.DUMMYFUNCTION("IMPORTRANGE(""https://docs.google.com/spreadsheets/d/1XL5vhW3sbDhbH9Cz0tuDiY8C3ctxq1tqvaCgkFb8cCA/edit?usp=sharing"",""สุรินทร์!I320"")"),25.0)</f>
        <v>25</v>
      </c>
      <c r="J425" s="427">
        <f>IFERROR(__xludf.DUMMYFUNCTION("IMPORTRANGE(""https://docs.google.com/spreadsheets/d/1XL5vhW3sbDhbH9Cz0tuDiY8C3ctxq1tqvaCgkFb8cCA/edit?usp=sharing"",""สุรินทร์!J320"")"),0.0)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IFERROR(__xludf.DUMMYFUNCTION("IMPORTRANGE(""https://docs.google.com/spreadsheets/d/1XL5vhW3sbDhbH9Cz0tuDiY8C3ctxq1tqvaCgkFb8cCA/edit?usp=sharing"",""สุรินทร์!I321"")"),10.0)</f>
        <v>10</v>
      </c>
      <c r="J426" s="425">
        <f>IFERROR(__xludf.DUMMYFUNCTION("IMPORTRANGE(""https://docs.google.com/spreadsheets/d/1XL5vhW3sbDhbH9Cz0tuDiY8C3ctxq1tqvaCgkFb8cCA/edit?usp=sharing"",""สุรินทร์!J321"")"),0.0)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IFERROR(__xludf.DUMMYFUNCTION("IMPORTRANGE(""https://docs.google.com/spreadsheets/d/1XL5vhW3sbDhbH9Cz0tuDiY8C3ctxq1tqvaCgkFb8cCA/edit?usp=sharing"",""สุรินทร์!I322"")"),30.0)</f>
        <v>30</v>
      </c>
      <c r="J427" s="426">
        <f>IFERROR(__xludf.DUMMYFUNCTION("IMPORTRANGE(""https://docs.google.com/spreadsheets/d/1XL5vhW3sbDhbH9Cz0tuDiY8C3ctxq1tqvaCgkFb8cCA/edit?usp=sharing"",""สุรินทร์!J322"")"),0.0)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IFERROR(__xludf.DUMMYFUNCTION("IMPORTRANGE(""https://docs.google.com/spreadsheets/d/1XL5vhW3sbDhbH9Cz0tuDiY8C3ctxq1tqvaCgkFb8cCA/edit?usp=sharing"",""สุรินทร์!I323"")"),10.0)</f>
        <v>10</v>
      </c>
      <c r="J428" s="427">
        <f>IFERROR(__xludf.DUMMYFUNCTION("IMPORTRANGE(""https://docs.google.com/spreadsheets/d/1XL5vhW3sbDhbH9Cz0tuDiY8C3ctxq1tqvaCgkFb8cCA/edit?usp=sharing"",""สุรินทร์!J323"")"),0.0)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IFERROR(__xludf.DUMMYFUNCTION("IMPORTRANGE(""https://docs.google.com/spreadsheets/d/1XL5vhW3sbDhbH9Cz0tuDiY8C3ctxq1tqvaCgkFb8cCA/edit?usp=sharing"",""สุรินทร์!I324"")"),10.0)</f>
        <v>10</v>
      </c>
      <c r="J429" s="427">
        <f>IFERROR(__xludf.DUMMYFUNCTION("IMPORTRANGE(""https://docs.google.com/spreadsheets/d/1XL5vhW3sbDhbH9Cz0tuDiY8C3ctxq1tqvaCgkFb8cCA/edit?usp=sharing"",""สุรินทร์!J324"")"),0.0)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IFERROR(__xludf.DUMMYFUNCTION("IMPORTRANGE(""https://docs.google.com/spreadsheets/d/1XL5vhW3sbDhbH9Cz0tuDiY8C3ctxq1tqvaCgkFb8cCA/edit?usp=sharing"",""สุรินทร์!I325"")"),35.0)</f>
        <v>35</v>
      </c>
      <c r="J430" s="425">
        <f>IFERROR(__xludf.DUMMYFUNCTION("IMPORTRANGE(""https://docs.google.com/spreadsheets/d/1XL5vhW3sbDhbH9Cz0tuDiY8C3ctxq1tqvaCgkFb8cCA/edit?usp=sharing"",""สุรินทร์!J325"")"),0.0)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IFERROR(__xludf.DUMMYFUNCTION("IMPORTRANGE(""https://docs.google.com/spreadsheets/d/1XL5vhW3sbDhbH9Cz0tuDiY8C3ctxq1tqvaCgkFb8cCA/edit?usp=sharing"",""สุรินทร์!I326"")"),10.0)</f>
        <v>10</v>
      </c>
      <c r="J431" s="427">
        <f>IFERROR(__xludf.DUMMYFUNCTION("IMPORTRANGE(""https://docs.google.com/spreadsheets/d/1XL5vhW3sbDhbH9Cz0tuDiY8C3ctxq1tqvaCgkFb8cCA/edit?usp=sharing"",""สุรินทร์!J326"")"),0.0)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IFERROR(__xludf.DUMMYFUNCTION("IMPORTRANGE(""https://docs.google.com/spreadsheets/d/1XL5vhW3sbDhbH9Cz0tuDiY8C3ctxq1tqvaCgkFb8cCA/edit?usp=sharing"",""สุรินทร์!I327"")"),25.0)</f>
        <v>25</v>
      </c>
      <c r="J432" s="427">
        <f>IFERROR(__xludf.DUMMYFUNCTION("IMPORTRANGE(""https://docs.google.com/spreadsheets/d/1XL5vhW3sbDhbH9Cz0tuDiY8C3ctxq1tqvaCgkFb8cCA/edit?usp=sharing"",""สุรินทร์!J327"")"),0.0)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IFERROR(__xludf.DUMMYFUNCTION("IMPORTRANGE(""https://docs.google.com/spreadsheets/d/1XL5vhW3sbDhbH9Cz0tuDiY8C3ctxq1tqvaCgkFb8cCA/edit?usp=sharing"",""สุรินทร์!J328"")"),0.0)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IFERROR(__xludf.DUMMYFUNCTION("IMPORTRANGE(""https://docs.google.com/spreadsheets/d/1XL5vhW3sbDhbH9Cz0tuDiY8C3ctxq1tqvaCgkFb8cCA/edit?usp=sharing"",""สุรินทร์!J329"")"),0.0)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IFERROR(__xludf.DUMMYFUNCTION("IMPORTRANGE(""https://docs.google.com/spreadsheets/d/1XL5vhW3sbDhbH9Cz0tuDiY8C3ctxq1tqvaCgkFb8cCA/edit?usp=sharing"",""สุรินทร์!I330"")"),80.0)</f>
        <v>80</v>
      </c>
      <c r="J435" s="443">
        <f>IFERROR(__xludf.DUMMYFUNCTION("IMPORTRANGE(""https://docs.google.com/spreadsheets/d/1XL5vhW3sbDhbH9Cz0tuDiY8C3ctxq1tqvaCgkFb8cCA/edit?usp=sharing"",""สุรินทร์!J330"")"),80.0)</f>
        <v>80</v>
      </c>
      <c r="K435" s="444">
        <f>IF(I435&gt;0,J435*100/I435,0)</f>
        <v>100</v>
      </c>
      <c r="L435" s="445">
        <f>IFERROR(__xludf.DUMMYFUNCTION("IMPORTRANGE(""https://docs.google.com/spreadsheets/d/1XL5vhW3sbDhbH9Cz0tuDiY8C3ctxq1tqvaCgkFb8cCA/edit?usp=sharing"",""สุรินทร์!L330"")"),217000.0)</f>
        <v>217000</v>
      </c>
      <c r="M435" s="445"/>
      <c r="N435" s="445">
        <f>IFERROR(__xludf.DUMMYFUNCTION("IMPORTRANGE(""https://docs.google.com/spreadsheets/d/1XL5vhW3sbDhbH9Cz0tuDiY8C3ctxq1tqvaCgkFb8cCA/edit?usp=sharing"",""สุรินทร์!M330"")"),0.0)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IFERROR(__xludf.DUMMYFUNCTION("IMPORTRANGE(""https://docs.google.com/spreadsheets/d/1XL5vhW3sbDhbH9Cz0tuDiY8C3ctxq1tqvaCgkFb8cCA/edit?usp=sharing"",""สุรินทร์!L331"")"),0.0)</f>
        <v>0</v>
      </c>
      <c r="M436" s="197"/>
      <c r="N436" s="203">
        <f>IFERROR(__xludf.DUMMYFUNCTION("IMPORTRANGE(""https://docs.google.com/spreadsheets/d/1XL5vhW3sbDhbH9Cz0tuDiY8C3ctxq1tqvaCgkFb8cCA/edit?usp=sharing"",""สุรินทร์!M331"")"),0.0)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IFERROR(__xludf.DUMMYFUNCTION("IMPORTRANGE(""https://docs.google.com/spreadsheets/d/1XL5vhW3sbDhbH9Cz0tuDiY8C3ctxq1tqvaCgkFb8cCA/edit?usp=sharing"",""สุรินทร์!L332"")"),217000.0)</f>
        <v>217000</v>
      </c>
      <c r="M437" s="198"/>
      <c r="N437" s="203">
        <f>IFERROR(__xludf.DUMMYFUNCTION("IMPORTRANGE(""https://docs.google.com/spreadsheets/d/1XL5vhW3sbDhbH9Cz0tuDiY8C3ctxq1tqvaCgkFb8cCA/edit?usp=sharing"",""สุรินทร์!M332"")"),0.0)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IFERROR(__xludf.DUMMYFUNCTION("IMPORTRANGE(""https://docs.google.com/spreadsheets/d/1XL5vhW3sbDhbH9Cz0tuDiY8C3ctxq1tqvaCgkFb8cCA/edit?usp=sharing"",""สุรินทร์!L333"")"),0.0)</f>
        <v>0</v>
      </c>
      <c r="M438" s="203"/>
      <c r="N438" s="203">
        <f>IFERROR(__xludf.DUMMYFUNCTION("IMPORTRANGE(""https://docs.google.com/spreadsheets/d/1XL5vhW3sbDhbH9Cz0tuDiY8C3ctxq1tqvaCgkFb8cCA/edit?usp=sharing"",""สุรินทร์!M333"")"),0.0)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IFERROR(__xludf.DUMMYFUNCTION("IMPORTRANGE(""https://docs.google.com/spreadsheets/d/1XL5vhW3sbDhbH9Cz0tuDiY8C3ctxq1tqvaCgkFb8cCA/edit?usp=sharing"",""สุรินทร์!L334"")"),217000.0)</f>
        <v>217000</v>
      </c>
      <c r="M439" s="203"/>
      <c r="N439" s="203">
        <f>IFERROR(__xludf.DUMMYFUNCTION("IMPORTRANGE(""https://docs.google.com/spreadsheets/d/1XL5vhW3sbDhbH9Cz0tuDiY8C3ctxq1tqvaCgkFb8cCA/edit?usp=sharing"",""สุรินทร์!M334"")"),0.0)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IFERROR(__xludf.DUMMYFUNCTION("IMPORTRANGE(""https://docs.google.com/spreadsheets/d/1XL5vhW3sbDhbH9Cz0tuDiY8C3ctxq1tqvaCgkFb8cCA/edit?usp=sharing"",""สุรินทร์!M335"")"),0.0)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IFERROR(__xludf.DUMMYFUNCTION("IMPORTRANGE(""https://docs.google.com/spreadsheets/d/1XL5vhW3sbDhbH9Cz0tuDiY8C3ctxq1tqvaCgkFb8cCA/edit?usp=sharing"",""สุรินทร์!M336"")"),0.0)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IFERROR(__xludf.DUMMYFUNCTION("IMPORTRANGE(""https://docs.google.com/spreadsheets/d/1XL5vhW3sbDhbH9Cz0tuDiY8C3ctxq1tqvaCgkFb8cCA/edit?usp=sharing"",""สุรินทร์!M337"")"),0.0)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IFERROR(__xludf.DUMMYFUNCTION("IMPORTRANGE(""https://docs.google.com/spreadsheets/d/1XL5vhW3sbDhbH9Cz0tuDiY8C3ctxq1tqvaCgkFb8cCA/edit?usp=sharing"",""สุรินทร์!M338"")"),0.0)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IFERROR(__xludf.DUMMYFUNCTION("IMPORTRANGE(""https://docs.google.com/spreadsheets/d/1XL5vhW3sbDhbH9Cz0tuDiY8C3ctxq1tqvaCgkFb8cCA/edit?usp=sharing"",""สุรินทร์!J340"")"),0.0)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IFERROR(__xludf.DUMMYFUNCTION("IMPORTRANGE(""https://docs.google.com/spreadsheets/d/1XL5vhW3sbDhbH9Cz0tuDiY8C3ctxq1tqvaCgkFb8cCA/edit?usp=sharing"",""สุรินทร์!J341"")"),1.0)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IFERROR(__xludf.DUMMYFUNCTION("IMPORTRANGE(""https://docs.google.com/spreadsheets/d/1XL5vhW3sbDhbH9Cz0tuDiY8C3ctxq1tqvaCgkFb8cCA/edit?usp=sharing"",""สุรินทร์!J342"")"),1.0)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IFERROR(__xludf.DUMMYFUNCTION("IMPORTRANGE(""https://docs.google.com/spreadsheets/d/1XL5vhW3sbDhbH9Cz0tuDiY8C3ctxq1tqvaCgkFb8cCA/edit?usp=sharing"",""สุรินทร์!J343"")"),0.0)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IFERROR(__xludf.DUMMYFUNCTION("IMPORTRANGE(""https://docs.google.com/spreadsheets/d/1XL5vhW3sbDhbH9Cz0tuDiY8C3ctxq1tqvaCgkFb8cCA/edit?usp=sharing"",""สุรินทร์!I344"")"),80.0)</f>
        <v>80</v>
      </c>
      <c r="J449" s="235">
        <f>IFERROR(__xludf.DUMMYFUNCTION("IMPORTRANGE(""https://docs.google.com/spreadsheets/d/1XL5vhW3sbDhbH9Cz0tuDiY8C3ctxq1tqvaCgkFb8cCA/edit?usp=sharing"",""สุรินทร์!J344"")"),80.0)</f>
        <v>80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IFERROR(__xludf.DUMMYFUNCTION("IMPORTRANGE(""https://docs.google.com/spreadsheets/d/1XL5vhW3sbDhbH9Cz0tuDiY8C3ctxq1tqvaCgkFb8cCA/edit?usp=sharing"",""สุรินทร์!I345"")"),30.0)</f>
        <v>30</v>
      </c>
      <c r="J450" s="223">
        <f>IFERROR(__xludf.DUMMYFUNCTION("IMPORTRANGE(""https://docs.google.com/spreadsheets/d/1XL5vhW3sbDhbH9Cz0tuDiY8C3ctxq1tqvaCgkFb8cCA/edit?usp=sharing"",""สุรินทร์!J345"")"),30.0)</f>
        <v>30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IFERROR(__xludf.DUMMYFUNCTION("IMPORTRANGE(""https://docs.google.com/spreadsheets/d/1XL5vhW3sbDhbH9Cz0tuDiY8C3ctxq1tqvaCgkFb8cCA/edit?usp=sharing"",""สุรินทร์!I346"")"),50.0)</f>
        <v>50</v>
      </c>
      <c r="J451" s="222">
        <f>IFERROR(__xludf.DUMMYFUNCTION("IMPORTRANGE(""https://docs.google.com/spreadsheets/d/1XL5vhW3sbDhbH9Cz0tuDiY8C3ctxq1tqvaCgkFb8cCA/edit?usp=sharing"",""สุรินทร์!J346"")"),50.0)</f>
        <v>50</v>
      </c>
      <c r="K451" s="196">
        <f t="shared" si="116"/>
        <v>100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IFERROR(__xludf.DUMMYFUNCTION("IMPORTRANGE(""https://docs.google.com/spreadsheets/d/1XL5vhW3sbDhbH9Cz0tuDiY8C3ctxq1tqvaCgkFb8cCA/edit?usp=sharing"",""สุรินทร์!I347"")"),0.0)</f>
        <v>0</v>
      </c>
      <c r="J452" s="222">
        <f>IFERROR(__xludf.DUMMYFUNCTION("IMPORTRANGE(""https://docs.google.com/spreadsheets/d/1XL5vhW3sbDhbH9Cz0tuDiY8C3ctxq1tqvaCgkFb8cCA/edit?usp=sharing"",""สุรินทร์!J347"")"),0.0)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IFERROR(__xludf.DUMMYFUNCTION("IMPORTRANGE(""https://docs.google.com/spreadsheets/d/1XL5vhW3sbDhbH9Cz0tuDiY8C3ctxq1tqvaCgkFb8cCA/edit?usp=sharing"",""สุรินทร์!J348"")"),0.0)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IFERROR(__xludf.DUMMYFUNCTION("IMPORTRANGE(""https://docs.google.com/spreadsheets/d/1XL5vhW3sbDhbH9Cz0tuDiY8C3ctxq1tqvaCgkFb8cCA/edit?usp=sharing"",""สุรินทร์!J349"")"),0.0)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IFERROR(__xludf.DUMMYFUNCTION("IMPORTRANGE(""https://docs.google.com/spreadsheets/d/1XL5vhW3sbDhbH9Cz0tuDiY8C3ctxq1tqvaCgkFb8cCA/edit?usp=sharing"",""สุรินทร์!I350"")"),42284.0)</f>
        <v>42284</v>
      </c>
      <c r="J455" s="404">
        <f>IFERROR(__xludf.DUMMYFUNCTION("IMPORTRANGE(""https://docs.google.com/spreadsheets/d/1XL5vhW3sbDhbH9Cz0tuDiY8C3ctxq1tqvaCgkFb8cCA/edit?usp=sharing"",""สุรินทร์!J350"")"),0.0)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IFERROR(__xludf.DUMMYFUNCTION("IMPORTRANGE(""https://docs.google.com/spreadsheets/d/1XL5vhW3sbDhbH9Cz0tuDiY8C3ctxq1tqvaCgkFb8cCA/edit?usp=sharing"",""สุรินทร์!L350"")"),699661.0)</f>
        <v>699661</v>
      </c>
      <c r="M455" s="406"/>
      <c r="N455" s="406">
        <f>IFERROR(__xludf.DUMMYFUNCTION("IMPORTRANGE(""https://docs.google.com/spreadsheets/d/1XL5vhW3sbDhbH9Cz0tuDiY8C3ctxq1tqvaCgkFb8cCA/edit?usp=sharing"",""สุรินทร์!M350"")"),32771.0)</f>
        <v>32771</v>
      </c>
      <c r="O455" s="406">
        <f t="shared" ref="O455:O459" si="117">+IF(L455&gt;0,N455*100/L455,0)</f>
        <v>4.683839745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IFERROR(__xludf.DUMMYFUNCTION("IMPORTRANGE(""https://docs.google.com/spreadsheets/d/1XL5vhW3sbDhbH9Cz0tuDiY8C3ctxq1tqvaCgkFb8cCA/edit?usp=sharing"",""สุรินทร์!L351"")"),0.0)</f>
        <v>0</v>
      </c>
      <c r="M456" s="197"/>
      <c r="N456" s="203">
        <f>IFERROR(__xludf.DUMMYFUNCTION("IMPORTRANGE(""https://docs.google.com/spreadsheets/d/1XL5vhW3sbDhbH9Cz0tuDiY8C3ctxq1tqvaCgkFb8cCA/edit?usp=sharing"",""สุรินทร์!M351"")"),0.0)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IFERROR(__xludf.DUMMYFUNCTION("IMPORTRANGE(""https://docs.google.com/spreadsheets/d/1XL5vhW3sbDhbH9Cz0tuDiY8C3ctxq1tqvaCgkFb8cCA/edit?usp=sharing"",""สุรินทร์!L352"")"),699661.0)</f>
        <v>699661</v>
      </c>
      <c r="M457" s="198"/>
      <c r="N457" s="203">
        <f>IFERROR(__xludf.DUMMYFUNCTION("IMPORTRANGE(""https://docs.google.com/spreadsheets/d/1XL5vhW3sbDhbH9Cz0tuDiY8C3ctxq1tqvaCgkFb8cCA/edit?usp=sharing"",""สุรินทร์!M352"")"),32771.0)</f>
        <v>32771</v>
      </c>
      <c r="O457" s="203">
        <f t="shared" si="117"/>
        <v>4.683839745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IFERROR(__xludf.DUMMYFUNCTION("IMPORTRANGE(""https://docs.google.com/spreadsheets/d/1XL5vhW3sbDhbH9Cz0tuDiY8C3ctxq1tqvaCgkFb8cCA/edit?usp=sharing"",""สุรินทร์!L353"")"),0.0)</f>
        <v>0</v>
      </c>
      <c r="M458" s="203"/>
      <c r="N458" s="203">
        <f>IFERROR(__xludf.DUMMYFUNCTION("IMPORTRANGE(""https://docs.google.com/spreadsheets/d/1XL5vhW3sbDhbH9Cz0tuDiY8C3ctxq1tqvaCgkFb8cCA/edit?usp=sharing"",""สุรินทร์!M353"")"),0.0)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IFERROR(__xludf.DUMMYFUNCTION("IMPORTRANGE(""https://docs.google.com/spreadsheets/d/1XL5vhW3sbDhbH9Cz0tuDiY8C3ctxq1tqvaCgkFb8cCA/edit?usp=sharing"",""สุรินทร์!L354"")"),699661.0)</f>
        <v>699661</v>
      </c>
      <c r="M459" s="203"/>
      <c r="N459" s="203">
        <f>IFERROR(__xludf.DUMMYFUNCTION("IMPORTRANGE(""https://docs.google.com/spreadsheets/d/1XL5vhW3sbDhbH9Cz0tuDiY8C3ctxq1tqvaCgkFb8cCA/edit?usp=sharing"",""สุรินทร์!M354"")"),32771.0)</f>
        <v>32771</v>
      </c>
      <c r="O459" s="203">
        <f t="shared" si="117"/>
        <v>4.683839745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IFERROR(__xludf.DUMMYFUNCTION("IMPORTRANGE(""https://docs.google.com/spreadsheets/d/1XL5vhW3sbDhbH9Cz0tuDiY8C3ctxq1tqvaCgkFb8cCA/edit?usp=sharing"",""สุรินทร์!M355"")"),0.0)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IFERROR(__xludf.DUMMYFUNCTION("IMPORTRANGE(""https://docs.google.com/spreadsheets/d/1XL5vhW3sbDhbH9Cz0tuDiY8C3ctxq1tqvaCgkFb8cCA/edit?usp=sharing"",""สุรินทร์!M356"")"),0.0)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IFERROR(__xludf.DUMMYFUNCTION("IMPORTRANGE(""https://docs.google.com/spreadsheets/d/1XL5vhW3sbDhbH9Cz0tuDiY8C3ctxq1tqvaCgkFb8cCA/edit?usp=sharing"",""สุรินทร์!M357"")"),29451.0)</f>
        <v>29451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IFERROR(__xludf.DUMMYFUNCTION("IMPORTRANGE(""https://docs.google.com/spreadsheets/d/1XL5vhW3sbDhbH9Cz0tuDiY8C3ctxq1tqvaCgkFb8cCA/edit?usp=sharing"",""สุรินทร์!M358"")"),3320.0)</f>
        <v>3320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IFERROR(__xludf.DUMMYFUNCTION("IMPORTRANGE(""https://docs.google.com/spreadsheets/d/1XL5vhW3sbDhbH9Cz0tuDiY8C3ctxq1tqvaCgkFb8cCA/edit?usp=sharing"",""สุรินทร์!I359"")"),42284.0)</f>
        <v>42284</v>
      </c>
      <c r="J464" s="301">
        <f>IFERROR(__xludf.DUMMYFUNCTION("IMPORTRANGE(""https://docs.google.com/spreadsheets/d/1XL5vhW3sbDhbH9Cz0tuDiY8C3ctxq1tqvaCgkFb8cCA/edit?usp=sharing"",""สุรินทร์!J359"")"),0.0)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IFERROR(__xludf.DUMMYFUNCTION("IMPORTRANGE(""https://docs.google.com/spreadsheets/d/1XL5vhW3sbDhbH9Cz0tuDiY8C3ctxq1tqvaCgkFb8cCA/edit?usp=sharing"",""สุรินทร์!I360"")"),42284.0)</f>
        <v>42284</v>
      </c>
      <c r="J465" s="453">
        <f>IFERROR(__xludf.DUMMYFUNCTION("IMPORTRANGE(""https://docs.google.com/spreadsheets/d/1XL5vhW3sbDhbH9Cz0tuDiY8C3ctxq1tqvaCgkFb8cCA/edit?usp=sharing"",""สุรินทร์!J360"")"),44022.0)</f>
        <v>44022</v>
      </c>
      <c r="K465" s="236">
        <f t="shared" si="118"/>
        <v>104.1103018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IFERROR(__xludf.DUMMYFUNCTION("IMPORTRANGE(""https://docs.google.com/spreadsheets/d/1XL5vhW3sbDhbH9Cz0tuDiY8C3ctxq1tqvaCgkFb8cCA/edit?usp=sharing"",""สุรินทร์!I361"")"),6353.0)</f>
        <v>6353</v>
      </c>
      <c r="J466" s="453">
        <f>IFERROR(__xludf.DUMMYFUNCTION("IMPORTRANGE(""https://docs.google.com/spreadsheets/d/1XL5vhW3sbDhbH9Cz0tuDiY8C3ctxq1tqvaCgkFb8cCA/edit?usp=sharing"",""สุรินทร์!J361"")"),6211.0)</f>
        <v>6211</v>
      </c>
      <c r="K466" s="236">
        <f t="shared" si="118"/>
        <v>97.76483551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IFERROR(__xludf.DUMMYFUNCTION("IMPORTRANGE(""https://docs.google.com/spreadsheets/d/1XL5vhW3sbDhbH9Cz0tuDiY8C3ctxq1tqvaCgkFb8cCA/edit?usp=sharing"",""สุรินทร์!I362"")"),0.0)</f>
        <v>0</v>
      </c>
      <c r="J467" s="223">
        <f>IFERROR(__xludf.DUMMYFUNCTION("IMPORTRANGE(""https://docs.google.com/spreadsheets/d/1XL5vhW3sbDhbH9Cz0tuDiY8C3ctxq1tqvaCgkFb8cCA/edit?usp=sharing"",""สุรินทร์!J362"")"),32979.0)</f>
        <v>32979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IFERROR(__xludf.DUMMYFUNCTION("IMPORTRANGE(""https://docs.google.com/spreadsheets/d/1XL5vhW3sbDhbH9Cz0tuDiY8C3ctxq1tqvaCgkFb8cCA/edit?usp=sharing"",""สุรินทร์!I363"")"),0.0)</f>
        <v>0</v>
      </c>
      <c r="J468" s="223">
        <f>IFERROR(__xludf.DUMMYFUNCTION("IMPORTRANGE(""https://docs.google.com/spreadsheets/d/1XL5vhW3sbDhbH9Cz0tuDiY8C3ctxq1tqvaCgkFb8cCA/edit?usp=sharing"",""สุรินทร์!J363"")"),5102.0)</f>
        <v>5102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IFERROR(__xludf.DUMMYFUNCTION("IMPORTRANGE(""https://docs.google.com/spreadsheets/d/1XL5vhW3sbDhbH9Cz0tuDiY8C3ctxq1tqvaCgkFb8cCA/edit?usp=sharing"",""สุรินทร์!I364"")"),0.0)</f>
        <v>0</v>
      </c>
      <c r="J469" s="223">
        <f>IFERROR(__xludf.DUMMYFUNCTION("IMPORTRANGE(""https://docs.google.com/spreadsheets/d/1XL5vhW3sbDhbH9Cz0tuDiY8C3ctxq1tqvaCgkFb8cCA/edit?usp=sharing"",""สุรินทร์!J364"")"),9059.0)</f>
        <v>9059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IFERROR(__xludf.DUMMYFUNCTION("IMPORTRANGE(""https://docs.google.com/spreadsheets/d/1XL5vhW3sbDhbH9Cz0tuDiY8C3ctxq1tqvaCgkFb8cCA/edit?usp=sharing"",""สุรินทร์!I365"")"),0.0)</f>
        <v>0</v>
      </c>
      <c r="J470" s="223">
        <f>IFERROR(__xludf.DUMMYFUNCTION("IMPORTRANGE(""https://docs.google.com/spreadsheets/d/1XL5vhW3sbDhbH9Cz0tuDiY8C3ctxq1tqvaCgkFb8cCA/edit?usp=sharing"",""สุรินทร์!J365"")"),923.0)</f>
        <v>923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IFERROR(__xludf.DUMMYFUNCTION("IMPORTRANGE(""https://docs.google.com/spreadsheets/d/1XL5vhW3sbDhbH9Cz0tuDiY8C3ctxq1tqvaCgkFb8cCA/edit?usp=sharing"",""สุรินทร์!I366"")"),0.0)</f>
        <v>0</v>
      </c>
      <c r="J471" s="223">
        <f>IFERROR(__xludf.DUMMYFUNCTION("IMPORTRANGE(""https://docs.google.com/spreadsheets/d/1XL5vhW3sbDhbH9Cz0tuDiY8C3ctxq1tqvaCgkFb8cCA/edit?usp=sharing"",""สุรินทร์!J366"")"),1984.0)</f>
        <v>1984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IFERROR(__xludf.DUMMYFUNCTION("IMPORTRANGE(""https://docs.google.com/spreadsheets/d/1XL5vhW3sbDhbH9Cz0tuDiY8C3ctxq1tqvaCgkFb8cCA/edit?usp=sharing"",""สุรินทร์!I367"")"),0.0)</f>
        <v>0</v>
      </c>
      <c r="J472" s="223">
        <f>IFERROR(__xludf.DUMMYFUNCTION("IMPORTRANGE(""https://docs.google.com/spreadsheets/d/1XL5vhW3sbDhbH9Cz0tuDiY8C3ctxq1tqvaCgkFb8cCA/edit?usp=sharing"",""สุรินทร์!J367"")"),186.0)</f>
        <v>186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IFERROR(__xludf.DUMMYFUNCTION("IMPORTRANGE(""https://docs.google.com/spreadsheets/d/1XL5vhW3sbDhbH9Cz0tuDiY8C3ctxq1tqvaCgkFb8cCA/edit?usp=sharing"",""สุรินทร์!I368"")"),42284.0)</f>
        <v>42284</v>
      </c>
      <c r="J473" s="453">
        <f>IFERROR(__xludf.DUMMYFUNCTION("IMPORTRANGE(""https://docs.google.com/spreadsheets/d/1XL5vhW3sbDhbH9Cz0tuDiY8C3ctxq1tqvaCgkFb8cCA/edit?usp=sharing"",""สุรินทร์!J368"")"),0.0)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IFERROR(__xludf.DUMMYFUNCTION("IMPORTRANGE(""https://docs.google.com/spreadsheets/d/1XL5vhW3sbDhbH9Cz0tuDiY8C3ctxq1tqvaCgkFb8cCA/edit?usp=sharing"",""สุรินทร์!I369"")"),6353.0)</f>
        <v>6353</v>
      </c>
      <c r="J474" s="453">
        <f>IFERROR(__xludf.DUMMYFUNCTION("IMPORTRANGE(""https://docs.google.com/spreadsheets/d/1XL5vhW3sbDhbH9Cz0tuDiY8C3ctxq1tqvaCgkFb8cCA/edit?usp=sharing"",""สุรินทร์!J369"")"),0.0)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IFERROR(__xludf.DUMMYFUNCTION("IMPORTRANGE(""https://docs.google.com/spreadsheets/d/1XL5vhW3sbDhbH9Cz0tuDiY8C3ctxq1tqvaCgkFb8cCA/edit?usp=sharing"",""สุรินทร์!I370"")"),0.0)</f>
        <v>0</v>
      </c>
      <c r="J475" s="223">
        <f>IFERROR(__xludf.DUMMYFUNCTION("IMPORTRANGE(""https://docs.google.com/spreadsheets/d/1XL5vhW3sbDhbH9Cz0tuDiY8C3ctxq1tqvaCgkFb8cCA/edit?usp=sharing"",""สุรินทร์!J370"")"),0.0)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IFERROR(__xludf.DUMMYFUNCTION("IMPORTRANGE(""https://docs.google.com/spreadsheets/d/1XL5vhW3sbDhbH9Cz0tuDiY8C3ctxq1tqvaCgkFb8cCA/edit?usp=sharing"",""สุรินทร์!I371"")"),0.0)</f>
        <v>0</v>
      </c>
      <c r="J476" s="223">
        <f>IFERROR(__xludf.DUMMYFUNCTION("IMPORTRANGE(""https://docs.google.com/spreadsheets/d/1XL5vhW3sbDhbH9Cz0tuDiY8C3ctxq1tqvaCgkFb8cCA/edit?usp=sharing"",""สุรินทร์!J371"")"),0.0)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IFERROR(__xludf.DUMMYFUNCTION("IMPORTRANGE(""https://docs.google.com/spreadsheets/d/1XL5vhW3sbDhbH9Cz0tuDiY8C3ctxq1tqvaCgkFb8cCA/edit?usp=sharing"",""สุรินทร์!I372"")"),0.0)</f>
        <v>0</v>
      </c>
      <c r="J477" s="223">
        <f>IFERROR(__xludf.DUMMYFUNCTION("IMPORTRANGE(""https://docs.google.com/spreadsheets/d/1XL5vhW3sbDhbH9Cz0tuDiY8C3ctxq1tqvaCgkFb8cCA/edit?usp=sharing"",""สุรินทร์!J372"")"),0.0)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IFERROR(__xludf.DUMMYFUNCTION("IMPORTRANGE(""https://docs.google.com/spreadsheets/d/1XL5vhW3sbDhbH9Cz0tuDiY8C3ctxq1tqvaCgkFb8cCA/edit?usp=sharing"",""สุรินทร์!I373"")"),0.0)</f>
        <v>0</v>
      </c>
      <c r="J478" s="223">
        <f>IFERROR(__xludf.DUMMYFUNCTION("IMPORTRANGE(""https://docs.google.com/spreadsheets/d/1XL5vhW3sbDhbH9Cz0tuDiY8C3ctxq1tqvaCgkFb8cCA/edit?usp=sharing"",""สุรินทร์!J373"")"),0.0)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IFERROR(__xludf.DUMMYFUNCTION("IMPORTRANGE(""https://docs.google.com/spreadsheets/d/1XL5vhW3sbDhbH9Cz0tuDiY8C3ctxq1tqvaCgkFb8cCA/edit?usp=sharing"",""สุรินทร์!I374"")"),0.0)</f>
        <v>0</v>
      </c>
      <c r="J479" s="223">
        <f>IFERROR(__xludf.DUMMYFUNCTION("IMPORTRANGE(""https://docs.google.com/spreadsheets/d/1XL5vhW3sbDhbH9Cz0tuDiY8C3ctxq1tqvaCgkFb8cCA/edit?usp=sharing"",""สุรินทร์!J374"")"),0.0)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IFERROR(__xludf.DUMMYFUNCTION("IMPORTRANGE(""https://docs.google.com/spreadsheets/d/1XL5vhW3sbDhbH9Cz0tuDiY8C3ctxq1tqvaCgkFb8cCA/edit?usp=sharing"",""สุรินทร์!I375"")"),0.0)</f>
        <v>0</v>
      </c>
      <c r="J480" s="223">
        <f>IFERROR(__xludf.DUMMYFUNCTION("IMPORTRANGE(""https://docs.google.com/spreadsheets/d/1XL5vhW3sbDhbH9Cz0tuDiY8C3ctxq1tqvaCgkFb8cCA/edit?usp=sharing"",""สุรินทร์!J375"")"),0.0)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IFERROR(__xludf.DUMMYFUNCTION("IMPORTRANGE(""https://docs.google.com/spreadsheets/d/1XL5vhW3sbDhbH9Cz0tuDiY8C3ctxq1tqvaCgkFb8cCA/edit?usp=sharing"",""สุรินทร์!I376"")"),42284.0)</f>
        <v>42284</v>
      </c>
      <c r="J481" s="453">
        <f>IFERROR(__xludf.DUMMYFUNCTION("IMPORTRANGE(""https://docs.google.com/spreadsheets/d/1XL5vhW3sbDhbH9Cz0tuDiY8C3ctxq1tqvaCgkFb8cCA/edit?usp=sharing"",""สุรินทร์!J376"")"),0.0)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IFERROR(__xludf.DUMMYFUNCTION("IMPORTRANGE(""https://docs.google.com/spreadsheets/d/1XL5vhW3sbDhbH9Cz0tuDiY8C3ctxq1tqvaCgkFb8cCA/edit?usp=sharing"",""สุรินทร์!I377"")"),6353.0)</f>
        <v>6353</v>
      </c>
      <c r="J482" s="453">
        <f>IFERROR(__xludf.DUMMYFUNCTION("IMPORTRANGE(""https://docs.google.com/spreadsheets/d/1XL5vhW3sbDhbH9Cz0tuDiY8C3ctxq1tqvaCgkFb8cCA/edit?usp=sharing"",""สุรินทร์!J377"")"),0.0)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IFERROR(__xludf.DUMMYFUNCTION("IMPORTRANGE(""https://docs.google.com/spreadsheets/d/1XL5vhW3sbDhbH9Cz0tuDiY8C3ctxq1tqvaCgkFb8cCA/edit?usp=sharing"",""สุรินทร์!I378"")"),0.0)</f>
        <v>0</v>
      </c>
      <c r="J483" s="223">
        <f>IFERROR(__xludf.DUMMYFUNCTION("IMPORTRANGE(""https://docs.google.com/spreadsheets/d/1XL5vhW3sbDhbH9Cz0tuDiY8C3ctxq1tqvaCgkFb8cCA/edit?usp=sharing"",""สุรินทร์!J378"")"),0.0)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IFERROR(__xludf.DUMMYFUNCTION("IMPORTRANGE(""https://docs.google.com/spreadsheets/d/1XL5vhW3sbDhbH9Cz0tuDiY8C3ctxq1tqvaCgkFb8cCA/edit?usp=sharing"",""สุรินทร์!I379"")"),0.0)</f>
        <v>0</v>
      </c>
      <c r="J484" s="223">
        <f>IFERROR(__xludf.DUMMYFUNCTION("IMPORTRANGE(""https://docs.google.com/spreadsheets/d/1XL5vhW3sbDhbH9Cz0tuDiY8C3ctxq1tqvaCgkFb8cCA/edit?usp=sharing"",""สุรินทร์!J379"")"),0.0)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IFERROR(__xludf.DUMMYFUNCTION("IMPORTRANGE(""https://docs.google.com/spreadsheets/d/1XL5vhW3sbDhbH9Cz0tuDiY8C3ctxq1tqvaCgkFb8cCA/edit?usp=sharing"",""สุรินทร์!I380"")"),0.0)</f>
        <v>0</v>
      </c>
      <c r="J485" s="223">
        <f>IFERROR(__xludf.DUMMYFUNCTION("IMPORTRANGE(""https://docs.google.com/spreadsheets/d/1XL5vhW3sbDhbH9Cz0tuDiY8C3ctxq1tqvaCgkFb8cCA/edit?usp=sharing"",""สุรินทร์!J380"")"),0.0)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IFERROR(__xludf.DUMMYFUNCTION("IMPORTRANGE(""https://docs.google.com/spreadsheets/d/1XL5vhW3sbDhbH9Cz0tuDiY8C3ctxq1tqvaCgkFb8cCA/edit?usp=sharing"",""สุรินทร์!I381"")"),0.0)</f>
        <v>0</v>
      </c>
      <c r="J486" s="223">
        <f>IFERROR(__xludf.DUMMYFUNCTION("IMPORTRANGE(""https://docs.google.com/spreadsheets/d/1XL5vhW3sbDhbH9Cz0tuDiY8C3ctxq1tqvaCgkFb8cCA/edit?usp=sharing"",""สุรินทร์!J381"")"),0.0)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IFERROR(__xludf.DUMMYFUNCTION("IMPORTRANGE(""https://docs.google.com/spreadsheets/d/1XL5vhW3sbDhbH9Cz0tuDiY8C3ctxq1tqvaCgkFb8cCA/edit?usp=sharing"",""สุรินทร์!I382"")"),0.0)</f>
        <v>0</v>
      </c>
      <c r="J487" s="453">
        <f>IFERROR(__xludf.DUMMYFUNCTION("IMPORTRANGE(""https://docs.google.com/spreadsheets/d/1XL5vhW3sbDhbH9Cz0tuDiY8C3ctxq1tqvaCgkFb8cCA/edit?usp=sharing"",""สุรินทร์!J382"")"),0.0)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IFERROR(__xludf.DUMMYFUNCTION("IMPORTRANGE(""https://docs.google.com/spreadsheets/d/1XL5vhW3sbDhbH9Cz0tuDiY8C3ctxq1tqvaCgkFb8cCA/edit?usp=sharing"",""สุรินทร์!I383"")"),0.0)</f>
        <v>0</v>
      </c>
      <c r="J488" s="453">
        <f>IFERROR(__xludf.DUMMYFUNCTION("IMPORTRANGE(""https://docs.google.com/spreadsheets/d/1XL5vhW3sbDhbH9Cz0tuDiY8C3ctxq1tqvaCgkFb8cCA/edit?usp=sharing"",""สุรินทร์!J383"")"),0.0)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IFERROR(__xludf.DUMMYFUNCTION("IMPORTRANGE(""https://docs.google.com/spreadsheets/d/1XL5vhW3sbDhbH9Cz0tuDiY8C3ctxq1tqvaCgkFb8cCA/edit?usp=sharing"",""สุรินทร์!I384"")"),0.0)</f>
        <v>0</v>
      </c>
      <c r="J489" s="223">
        <f>IFERROR(__xludf.DUMMYFUNCTION("IMPORTRANGE(""https://docs.google.com/spreadsheets/d/1XL5vhW3sbDhbH9Cz0tuDiY8C3ctxq1tqvaCgkFb8cCA/edit?usp=sharing"",""สุรินทร์!J384"")"),0.0)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IFERROR(__xludf.DUMMYFUNCTION("IMPORTRANGE(""https://docs.google.com/spreadsheets/d/1XL5vhW3sbDhbH9Cz0tuDiY8C3ctxq1tqvaCgkFb8cCA/edit?usp=sharing"",""สุรินทร์!I385"")"),0.0)</f>
        <v>0</v>
      </c>
      <c r="J490" s="223">
        <f>IFERROR(__xludf.DUMMYFUNCTION("IMPORTRANGE(""https://docs.google.com/spreadsheets/d/1XL5vhW3sbDhbH9Cz0tuDiY8C3ctxq1tqvaCgkFb8cCA/edit?usp=sharing"",""สุรินทร์!J385"")"),0.0)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IFERROR(__xludf.DUMMYFUNCTION("IMPORTRANGE(""https://docs.google.com/spreadsheets/d/1XL5vhW3sbDhbH9Cz0tuDiY8C3ctxq1tqvaCgkFb8cCA/edit?usp=sharing"",""สุรินทร์!I386"")"),0.0)</f>
        <v>0</v>
      </c>
      <c r="J491" s="223">
        <f>IFERROR(__xludf.DUMMYFUNCTION("IMPORTRANGE(""https://docs.google.com/spreadsheets/d/1XL5vhW3sbDhbH9Cz0tuDiY8C3ctxq1tqvaCgkFb8cCA/edit?usp=sharing"",""สุรินทร์!J386"")"),0.0)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IFERROR(__xludf.DUMMYFUNCTION("IMPORTRANGE(""https://docs.google.com/spreadsheets/d/1XL5vhW3sbDhbH9Cz0tuDiY8C3ctxq1tqvaCgkFb8cCA/edit?usp=sharing"",""สุรินทร์!I387"")"),0.0)</f>
        <v>0</v>
      </c>
      <c r="J492" s="223">
        <f>IFERROR(__xludf.DUMMYFUNCTION("IMPORTRANGE(""https://docs.google.com/spreadsheets/d/1XL5vhW3sbDhbH9Cz0tuDiY8C3ctxq1tqvaCgkFb8cCA/edit?usp=sharing"",""สุรินทร์!J387"")"),0.0)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IFERROR(__xludf.DUMMYFUNCTION("IMPORTRANGE(""https://docs.google.com/spreadsheets/d/1XL5vhW3sbDhbH9Cz0tuDiY8C3ctxq1tqvaCgkFb8cCA/edit?usp=sharing"",""สุรินทร์!I388"")"),0.0)</f>
        <v>0</v>
      </c>
      <c r="J493" s="223">
        <f>IFERROR(__xludf.DUMMYFUNCTION("IMPORTRANGE(""https://docs.google.com/spreadsheets/d/1XL5vhW3sbDhbH9Cz0tuDiY8C3ctxq1tqvaCgkFb8cCA/edit?usp=sharing"",""สุรินทร์!J388"")"),0.0)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IFERROR(__xludf.DUMMYFUNCTION("IMPORTRANGE(""https://docs.google.com/spreadsheets/d/1XL5vhW3sbDhbH9Cz0tuDiY8C3ctxq1tqvaCgkFb8cCA/edit?usp=sharing"",""สุรินทร์!I389"")"),0.0)</f>
        <v>0</v>
      </c>
      <c r="J494" s="469">
        <f>IFERROR(__xludf.DUMMYFUNCTION("IMPORTRANGE(""https://docs.google.com/spreadsheets/d/1XL5vhW3sbDhbH9Cz0tuDiY8C3ctxq1tqvaCgkFb8cCA/edit?usp=sharing"",""สุรินทร์!J389"")"),0.0)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IFERROR(__xludf.DUMMYFUNCTION("IMPORTRANGE(""https://docs.google.com/spreadsheets/d/1XL5vhW3sbDhbH9Cz0tuDiY8C3ctxq1tqvaCgkFb8cCA/edit?usp=sharing"",""สุรินทร์!I390"")"),0.0)</f>
        <v>0</v>
      </c>
      <c r="J495" s="469">
        <f>IFERROR(__xludf.DUMMYFUNCTION("IMPORTRANGE(""https://docs.google.com/spreadsheets/d/1XL5vhW3sbDhbH9Cz0tuDiY8C3ctxq1tqvaCgkFb8cCA/edit?usp=sharing"",""สุรินทร์!J390"")"),0.0)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IFERROR(__xludf.DUMMYFUNCTION("IMPORTRANGE(""https://docs.google.com/spreadsheets/d/1XL5vhW3sbDhbH9Cz0tuDiY8C3ctxq1tqvaCgkFb8cCA/edit?usp=sharing"",""สุรินทร์!I391"")"),0.0)</f>
        <v>0</v>
      </c>
      <c r="J496" s="469">
        <f>IFERROR(__xludf.DUMMYFUNCTION("IMPORTRANGE(""https://docs.google.com/spreadsheets/d/1XL5vhW3sbDhbH9Cz0tuDiY8C3ctxq1tqvaCgkFb8cCA/edit?usp=sharing"",""สุรินทร์!J391"")"),0.0)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IFERROR(__xludf.DUMMYFUNCTION("IMPORTRANGE(""https://docs.google.com/spreadsheets/d/1XL5vhW3sbDhbH9Cz0tuDiY8C3ctxq1tqvaCgkFb8cCA/edit?usp=sharing"",""สุรินทร์!I392"")"),3206.0)</f>
        <v>3206</v>
      </c>
      <c r="J497" s="476">
        <f>IFERROR(__xludf.DUMMYFUNCTION("IMPORTRANGE(""https://docs.google.com/spreadsheets/d/1XL5vhW3sbDhbH9Cz0tuDiY8C3ctxq1tqvaCgkFb8cCA/edit?usp=sharing"",""สุรินทร์!J392"")"),413.0)</f>
        <v>413</v>
      </c>
      <c r="K497" s="477">
        <f t="shared" si="118"/>
        <v>12.88209607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IFERROR(__xludf.DUMMYFUNCTION("IMPORTRANGE(""https://docs.google.com/spreadsheets/d/1XL5vhW3sbDhbH9Cz0tuDiY8C3ctxq1tqvaCgkFb8cCA/edit?usp=sharing"",""สุรินทร์!I393"")"),3206.0)</f>
        <v>3206</v>
      </c>
      <c r="J498" s="453">
        <f>IFERROR(__xludf.DUMMYFUNCTION("IMPORTRANGE(""https://docs.google.com/spreadsheets/d/1XL5vhW3sbDhbH9Cz0tuDiY8C3ctxq1tqvaCgkFb8cCA/edit?usp=sharing"",""สุรินทร์!J393"")"),413.0)</f>
        <v>413</v>
      </c>
      <c r="K498" s="196">
        <f t="shared" si="118"/>
        <v>12.88209607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IFERROR(__xludf.DUMMYFUNCTION("IMPORTRANGE(""https://docs.google.com/spreadsheets/d/1XL5vhW3sbDhbH9Cz0tuDiY8C3ctxq1tqvaCgkFb8cCA/edit?usp=sharing"",""สุรินทร์!I394"")"),647.0)</f>
        <v>647</v>
      </c>
      <c r="J499" s="453">
        <f>IFERROR(__xludf.DUMMYFUNCTION("IMPORTRANGE(""https://docs.google.com/spreadsheets/d/1XL5vhW3sbDhbH9Cz0tuDiY8C3ctxq1tqvaCgkFb8cCA/edit?usp=sharing"",""สุรินทร์!J394"")"),123.0)</f>
        <v>123</v>
      </c>
      <c r="K499" s="236">
        <f t="shared" si="118"/>
        <v>19.01081917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IFERROR(__xludf.DUMMYFUNCTION("IMPORTRANGE(""https://docs.google.com/spreadsheets/d/1XL5vhW3sbDhbH9Cz0tuDiY8C3ctxq1tqvaCgkFb8cCA/edit?usp=sharing"",""สุรินทร์!I395"")"),0.0)</f>
        <v>0</v>
      </c>
      <c r="J500" s="195">
        <f>IFERROR(__xludf.DUMMYFUNCTION("IMPORTRANGE(""https://docs.google.com/spreadsheets/d/1XL5vhW3sbDhbH9Cz0tuDiY8C3ctxq1tqvaCgkFb8cCA/edit?usp=sharing"",""สุรินทร์!J395"")"),379.0)</f>
        <v>379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IFERROR(__xludf.DUMMYFUNCTION("IMPORTRANGE(""https://docs.google.com/spreadsheets/d/1XL5vhW3sbDhbH9Cz0tuDiY8C3ctxq1tqvaCgkFb8cCA/edit?usp=sharing"",""สุรินทร์!I396"")"),0.0)</f>
        <v>0</v>
      </c>
      <c r="J501" s="195">
        <f>IFERROR(__xludf.DUMMYFUNCTION("IMPORTRANGE(""https://docs.google.com/spreadsheets/d/1XL5vhW3sbDhbH9Cz0tuDiY8C3ctxq1tqvaCgkFb8cCA/edit?usp=sharing"",""สุรินทร์!J396"")"),111.0)</f>
        <v>111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IFERROR(__xludf.DUMMYFUNCTION("IMPORTRANGE(""https://docs.google.com/spreadsheets/d/1XL5vhW3sbDhbH9Cz0tuDiY8C3ctxq1tqvaCgkFb8cCA/edit?usp=sharing"",""สุรินทร์!I397"")"),0.0)</f>
        <v>0</v>
      </c>
      <c r="J502" s="223">
        <f>IFERROR(__xludf.DUMMYFUNCTION("IMPORTRANGE(""https://docs.google.com/spreadsheets/d/1XL5vhW3sbDhbH9Cz0tuDiY8C3ctxq1tqvaCgkFb8cCA/edit?usp=sharing"",""สุรินทร์!J397"")"),277.0)</f>
        <v>277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IFERROR(__xludf.DUMMYFUNCTION("IMPORTRANGE(""https://docs.google.com/spreadsheets/d/1XL5vhW3sbDhbH9Cz0tuDiY8C3ctxq1tqvaCgkFb8cCA/edit?usp=sharing"",""สุรินทร์!I398"")"),0.0)</f>
        <v>0</v>
      </c>
      <c r="J503" s="232">
        <f>IFERROR(__xludf.DUMMYFUNCTION("IMPORTRANGE(""https://docs.google.com/spreadsheets/d/1XL5vhW3sbDhbH9Cz0tuDiY8C3ctxq1tqvaCgkFb8cCA/edit?usp=sharing"",""สุรินทร์!J398"")"),77.0)</f>
        <v>77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IFERROR(__xludf.DUMMYFUNCTION("IMPORTRANGE(""https://docs.google.com/spreadsheets/d/1XL5vhW3sbDhbH9Cz0tuDiY8C3ctxq1tqvaCgkFb8cCA/edit?usp=sharing"",""สุรินทร์!I399"")"),0.0)</f>
        <v>0</v>
      </c>
      <c r="J504" s="223">
        <f>IFERROR(__xludf.DUMMYFUNCTION("IMPORTRANGE(""https://docs.google.com/spreadsheets/d/1XL5vhW3sbDhbH9Cz0tuDiY8C3ctxq1tqvaCgkFb8cCA/edit?usp=sharing"",""สุรินทร์!J399"")"),102.0)</f>
        <v>102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IFERROR(__xludf.DUMMYFUNCTION("IMPORTRANGE(""https://docs.google.com/spreadsheets/d/1XL5vhW3sbDhbH9Cz0tuDiY8C3ctxq1tqvaCgkFb8cCA/edit?usp=sharing"",""สุรินทร์!I400"")"),0.0)</f>
        <v>0</v>
      </c>
      <c r="J505" s="232">
        <f>IFERROR(__xludf.DUMMYFUNCTION("IMPORTRANGE(""https://docs.google.com/spreadsheets/d/1XL5vhW3sbDhbH9Cz0tuDiY8C3ctxq1tqvaCgkFb8cCA/edit?usp=sharing"",""สุรินทร์!J400"")"),34.0)</f>
        <v>34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IFERROR(__xludf.DUMMYFUNCTION("IMPORTRANGE(""https://docs.google.com/spreadsheets/d/1XL5vhW3sbDhbH9Cz0tuDiY8C3ctxq1tqvaCgkFb8cCA/edit?usp=sharing"",""สุรินทร์!I401"")"),0.0)</f>
        <v>0</v>
      </c>
      <c r="J506" s="223">
        <f>IFERROR(__xludf.DUMMYFUNCTION("IMPORTRANGE(""https://docs.google.com/spreadsheets/d/1XL5vhW3sbDhbH9Cz0tuDiY8C3ctxq1tqvaCgkFb8cCA/edit?usp=sharing"",""สุรินทร์!J401"")"),0.0)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IFERROR(__xludf.DUMMYFUNCTION("IMPORTRANGE(""https://docs.google.com/spreadsheets/d/1XL5vhW3sbDhbH9Cz0tuDiY8C3ctxq1tqvaCgkFb8cCA/edit?usp=sharing"",""สุรินทร์!I402"")"),0.0)</f>
        <v>0</v>
      </c>
      <c r="J507" s="232">
        <f>IFERROR(__xludf.DUMMYFUNCTION("IMPORTRANGE(""https://docs.google.com/spreadsheets/d/1XL5vhW3sbDhbH9Cz0tuDiY8C3ctxq1tqvaCgkFb8cCA/edit?usp=sharing"",""สุรินทร์!J402"")"),0.0)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IFERROR(__xludf.DUMMYFUNCTION("IMPORTRANGE(""https://docs.google.com/spreadsheets/d/1XL5vhW3sbDhbH9Cz0tuDiY8C3ctxq1tqvaCgkFb8cCA/edit?usp=sharing"",""สุรินทร์!I403"")"),0.0)</f>
        <v>0</v>
      </c>
      <c r="J508" s="195">
        <f>IFERROR(__xludf.DUMMYFUNCTION("IMPORTRANGE(""https://docs.google.com/spreadsheets/d/1XL5vhW3sbDhbH9Cz0tuDiY8C3ctxq1tqvaCgkFb8cCA/edit?usp=sharing"",""สุรินทร์!J403"")"),34.0)</f>
        <v>34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IFERROR(__xludf.DUMMYFUNCTION("IMPORTRANGE(""https://docs.google.com/spreadsheets/d/1XL5vhW3sbDhbH9Cz0tuDiY8C3ctxq1tqvaCgkFb8cCA/edit?usp=sharing"",""สุรินทร์!I404"")"),0.0)</f>
        <v>0</v>
      </c>
      <c r="J509" s="195">
        <f>IFERROR(__xludf.DUMMYFUNCTION("IMPORTRANGE(""https://docs.google.com/spreadsheets/d/1XL5vhW3sbDhbH9Cz0tuDiY8C3ctxq1tqvaCgkFb8cCA/edit?usp=sharing"",""สุรินทร์!J404"")"),12.0)</f>
        <v>12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IFERROR(__xludf.DUMMYFUNCTION("IMPORTRANGE(""https://docs.google.com/spreadsheets/d/1XL5vhW3sbDhbH9Cz0tuDiY8C3ctxq1tqvaCgkFb8cCA/edit?usp=sharing"",""สุรินทร์!I405"")"),0.0)</f>
        <v>0</v>
      </c>
      <c r="J510" s="232">
        <f>IFERROR(__xludf.DUMMYFUNCTION("IMPORTRANGE(""https://docs.google.com/spreadsheets/d/1XL5vhW3sbDhbH9Cz0tuDiY8C3ctxq1tqvaCgkFb8cCA/edit?usp=sharing"",""สุรินทร์!J405"")"),0.0)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IFERROR(__xludf.DUMMYFUNCTION("IMPORTRANGE(""https://docs.google.com/spreadsheets/d/1XL5vhW3sbDhbH9Cz0tuDiY8C3ctxq1tqvaCgkFb8cCA/edit?usp=sharing"",""สุรินทร์!I406"")"),0.0)</f>
        <v>0</v>
      </c>
      <c r="J511" s="232">
        <f>IFERROR(__xludf.DUMMYFUNCTION("IMPORTRANGE(""https://docs.google.com/spreadsheets/d/1XL5vhW3sbDhbH9Cz0tuDiY8C3ctxq1tqvaCgkFb8cCA/edit?usp=sharing"",""สุรินทร์!J406"")"),12.0)</f>
        <v>12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IFERROR(__xludf.DUMMYFUNCTION("IMPORTRANGE(""https://docs.google.com/spreadsheets/d/1XL5vhW3sbDhbH9Cz0tuDiY8C3ctxq1tqvaCgkFb8cCA/edit?usp=sharing"",""สุรินทร์!I407"")"),0.0)</f>
        <v>0</v>
      </c>
      <c r="J512" s="232">
        <f>IFERROR(__xludf.DUMMYFUNCTION("IMPORTRANGE(""https://docs.google.com/spreadsheets/d/1XL5vhW3sbDhbH9Cz0tuDiY8C3ctxq1tqvaCgkFb8cCA/edit?usp=sharing"",""สุรินทร์!J407"")"),34.0)</f>
        <v>34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IFERROR(__xludf.DUMMYFUNCTION("IMPORTRANGE(""https://docs.google.com/spreadsheets/d/1XL5vhW3sbDhbH9Cz0tuDiY8C3ctxq1tqvaCgkFb8cCA/edit?usp=sharing"",""สุรินทร์!I408"")"),0.0)</f>
        <v>0</v>
      </c>
      <c r="J513" s="232">
        <f>IFERROR(__xludf.DUMMYFUNCTION("IMPORTRANGE(""https://docs.google.com/spreadsheets/d/1XL5vhW3sbDhbH9Cz0tuDiY8C3ctxq1tqvaCgkFb8cCA/edit?usp=sharing"",""สุรินทร์!J408"")"),0.0)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IFERROR(__xludf.DUMMYFUNCTION("IMPORTRANGE(""https://docs.google.com/spreadsheets/d/1XL5vhW3sbDhbH9Cz0tuDiY8C3ctxq1tqvaCgkFb8cCA/edit?usp=sharing"",""สุรินทร์!I409"")"),0.0)</f>
        <v>0</v>
      </c>
      <c r="J514" s="232">
        <f>IFERROR(__xludf.DUMMYFUNCTION("IMPORTRANGE(""https://docs.google.com/spreadsheets/d/1XL5vhW3sbDhbH9Cz0tuDiY8C3ctxq1tqvaCgkFb8cCA/edit?usp=sharing"",""สุรินทร์!J409"")"),0.0)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IFERROR(__xludf.DUMMYFUNCTION("IMPORTRANGE(""https://docs.google.com/spreadsheets/d/1XL5vhW3sbDhbH9Cz0tuDiY8C3ctxq1tqvaCgkFb8cCA/edit?usp=sharing"",""สุรินทร์!I410"")"),0.0)</f>
        <v>0</v>
      </c>
      <c r="J515" s="232">
        <f>IFERROR(__xludf.DUMMYFUNCTION("IMPORTRANGE(""https://docs.google.com/spreadsheets/d/1XL5vhW3sbDhbH9Cz0tuDiY8C3ctxq1tqvaCgkFb8cCA/edit?usp=sharing"",""สุรินทร์!J410"")"),0.0)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IFERROR(__xludf.DUMMYFUNCTION("IMPORTRANGE(""https://docs.google.com/spreadsheets/d/1XL5vhW3sbDhbH9Cz0tuDiY8C3ctxq1tqvaCgkFb8cCA/edit?usp=sharing"",""สุรินทร์!I411"")"),0.0)</f>
        <v>0</v>
      </c>
      <c r="J516" s="301">
        <f>IFERROR(__xludf.DUMMYFUNCTION("IMPORTRANGE(""https://docs.google.com/spreadsheets/d/1XL5vhW3sbDhbH9Cz0tuDiY8C3ctxq1tqvaCgkFb8cCA/edit?usp=sharing"",""สุรินทร์!J411"")"),0.0)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IFERROR(__xludf.DUMMYFUNCTION("IMPORTRANGE(""https://docs.google.com/spreadsheets/d/1XL5vhW3sbDhbH9Cz0tuDiY8C3ctxq1tqvaCgkFb8cCA/edit?usp=sharing"",""สุรินทร์!I412"")"),0.0)</f>
        <v>0</v>
      </c>
      <c r="J517" s="317">
        <f>IFERROR(__xludf.DUMMYFUNCTION("IMPORTRANGE(""https://docs.google.com/spreadsheets/d/1XL5vhW3sbDhbH9Cz0tuDiY8C3ctxq1tqvaCgkFb8cCA/edit?usp=sharing"",""สุรินทร์!J412"")"),0.0)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IFERROR(__xludf.DUMMYFUNCTION("IMPORTRANGE(""https://docs.google.com/spreadsheets/d/1XL5vhW3sbDhbH9Cz0tuDiY8C3ctxq1tqvaCgkFb8cCA/edit?usp=sharing"",""สุรินทร์!I413"")"),0.0)</f>
        <v>0</v>
      </c>
      <c r="J518" s="317">
        <f>IFERROR(__xludf.DUMMYFUNCTION("IMPORTRANGE(""https://docs.google.com/spreadsheets/d/1XL5vhW3sbDhbH9Cz0tuDiY8C3ctxq1tqvaCgkFb8cCA/edit?usp=sharing"",""สุรินทร์!J413"")"),0.0)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IFERROR(__xludf.DUMMYFUNCTION("IMPORTRANGE(""https://docs.google.com/spreadsheets/d/1XL5vhW3sbDhbH9Cz0tuDiY8C3ctxq1tqvaCgkFb8cCA/edit?usp=sharing"",""สุรินทร์!I414"")"),0.0)</f>
        <v>0</v>
      </c>
      <c r="J519" s="222">
        <f>IFERROR(__xludf.DUMMYFUNCTION("IMPORTRANGE(""https://docs.google.com/spreadsheets/d/1XL5vhW3sbDhbH9Cz0tuDiY8C3ctxq1tqvaCgkFb8cCA/edit?usp=sharing"",""สุรินทร์!J414"")"),0.0)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IFERROR(__xludf.DUMMYFUNCTION("IMPORTRANGE(""https://docs.google.com/spreadsheets/d/1XL5vhW3sbDhbH9Cz0tuDiY8C3ctxq1tqvaCgkFb8cCA/edit?usp=sharing"",""สุรินทร์!I415"")"),0.0)</f>
        <v>0</v>
      </c>
      <c r="J520" s="222">
        <f>IFERROR(__xludf.DUMMYFUNCTION("IMPORTRANGE(""https://docs.google.com/spreadsheets/d/1XL5vhW3sbDhbH9Cz0tuDiY8C3ctxq1tqvaCgkFb8cCA/edit?usp=sharing"",""สุรินทร์!J415"")"),0.0)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IFERROR(__xludf.DUMMYFUNCTION("IMPORTRANGE(""https://docs.google.com/spreadsheets/d/1XL5vhW3sbDhbH9Cz0tuDiY8C3ctxq1tqvaCgkFb8cCA/edit?usp=sharing"",""สุรินทร์!I416"")"),0.0)</f>
        <v>0</v>
      </c>
      <c r="J521" s="222">
        <f>IFERROR(__xludf.DUMMYFUNCTION("IMPORTRANGE(""https://docs.google.com/spreadsheets/d/1XL5vhW3sbDhbH9Cz0tuDiY8C3ctxq1tqvaCgkFb8cCA/edit?usp=sharing"",""สุรินทร์!J416"")"),0.0)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IFERROR(__xludf.DUMMYFUNCTION("IMPORTRANGE(""https://docs.google.com/spreadsheets/d/1XL5vhW3sbDhbH9Cz0tuDiY8C3ctxq1tqvaCgkFb8cCA/edit?usp=sharing"",""สุรินทร์!I417"")"),0.0)</f>
        <v>0</v>
      </c>
      <c r="J522" s="222">
        <f>IFERROR(__xludf.DUMMYFUNCTION("IMPORTRANGE(""https://docs.google.com/spreadsheets/d/1XL5vhW3sbDhbH9Cz0tuDiY8C3ctxq1tqvaCgkFb8cCA/edit?usp=sharing"",""สุรินทร์!J417"")"),0.0)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IFERROR(__xludf.DUMMYFUNCTION("IMPORTRANGE(""https://docs.google.com/spreadsheets/d/1XL5vhW3sbDhbH9Cz0tuDiY8C3ctxq1tqvaCgkFb8cCA/edit?usp=sharing"",""สุรินทร์!I418"")"),0.0)</f>
        <v>0</v>
      </c>
      <c r="J523" s="222">
        <f>IFERROR(__xludf.DUMMYFUNCTION("IMPORTRANGE(""https://docs.google.com/spreadsheets/d/1XL5vhW3sbDhbH9Cz0tuDiY8C3ctxq1tqvaCgkFb8cCA/edit?usp=sharing"",""สุรินทร์!J418"")"),0.0)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IFERROR(__xludf.DUMMYFUNCTION("IMPORTRANGE(""https://docs.google.com/spreadsheets/d/1XL5vhW3sbDhbH9Cz0tuDiY8C3ctxq1tqvaCgkFb8cCA/edit?usp=sharing"",""สุรินทร์!I419"")"),0.0)</f>
        <v>0</v>
      </c>
      <c r="J524" s="222">
        <f>IFERROR(__xludf.DUMMYFUNCTION("IMPORTRANGE(""https://docs.google.com/spreadsheets/d/1XL5vhW3sbDhbH9Cz0tuDiY8C3ctxq1tqvaCgkFb8cCA/edit?usp=sharing"",""สุรินทร์!J419"")"),0.0)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IFERROR(__xludf.DUMMYFUNCTION("IMPORTRANGE(""https://docs.google.com/spreadsheets/d/1XL5vhW3sbDhbH9Cz0tuDiY8C3ctxq1tqvaCgkFb8cCA/edit?usp=sharing"",""สุรินทร์!I420"")"),0.0)</f>
        <v>0</v>
      </c>
      <c r="J525" s="317">
        <f>IFERROR(__xludf.DUMMYFUNCTION("IMPORTRANGE(""https://docs.google.com/spreadsheets/d/1XL5vhW3sbDhbH9Cz0tuDiY8C3ctxq1tqvaCgkFb8cCA/edit?usp=sharing"",""สุรินทร์!J420"")"),0.0)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IFERROR(__xludf.DUMMYFUNCTION("IMPORTRANGE(""https://docs.google.com/spreadsheets/d/1XL5vhW3sbDhbH9Cz0tuDiY8C3ctxq1tqvaCgkFb8cCA/edit?usp=sharing"",""สุรินทร์!I421"")"),0.0)</f>
        <v>0</v>
      </c>
      <c r="J526" s="317">
        <f>IFERROR(__xludf.DUMMYFUNCTION("IMPORTRANGE(""https://docs.google.com/spreadsheets/d/1XL5vhW3sbDhbH9Cz0tuDiY8C3ctxq1tqvaCgkFb8cCA/edit?usp=sharing"",""สุรินทร์!J421"")"),0.0)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IFERROR(__xludf.DUMMYFUNCTION("IMPORTRANGE(""https://docs.google.com/spreadsheets/d/1XL5vhW3sbDhbH9Cz0tuDiY8C3ctxq1tqvaCgkFb8cCA/edit?usp=sharing"",""สุรินทร์!I422"")"),0.0)</f>
        <v>0</v>
      </c>
      <c r="J527" s="232">
        <f>IFERROR(__xludf.DUMMYFUNCTION("IMPORTRANGE(""https://docs.google.com/spreadsheets/d/1XL5vhW3sbDhbH9Cz0tuDiY8C3ctxq1tqvaCgkFb8cCA/edit?usp=sharing"",""สุรินทร์!J422"")"),0.0)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IFERROR(__xludf.DUMMYFUNCTION("IMPORTRANGE(""https://docs.google.com/spreadsheets/d/1XL5vhW3sbDhbH9Cz0tuDiY8C3ctxq1tqvaCgkFb8cCA/edit?usp=sharing"",""สุรินทร์!I423"")"),0.0)</f>
        <v>0</v>
      </c>
      <c r="J528" s="232">
        <f>IFERROR(__xludf.DUMMYFUNCTION("IMPORTRANGE(""https://docs.google.com/spreadsheets/d/1XL5vhW3sbDhbH9Cz0tuDiY8C3ctxq1tqvaCgkFb8cCA/edit?usp=sharing"",""สุรินทร์!J423"")"),0.0)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IFERROR(__xludf.DUMMYFUNCTION("IMPORTRANGE(""https://docs.google.com/spreadsheets/d/1XL5vhW3sbDhbH9Cz0tuDiY8C3ctxq1tqvaCgkFb8cCA/edit?usp=sharing"",""สุรินทร์!I424"")"),0.0)</f>
        <v>0</v>
      </c>
      <c r="J529" s="232">
        <f>IFERROR(__xludf.DUMMYFUNCTION("IMPORTRANGE(""https://docs.google.com/spreadsheets/d/1XL5vhW3sbDhbH9Cz0tuDiY8C3ctxq1tqvaCgkFb8cCA/edit?usp=sharing"",""สุรินทร์!J424"")"),0.0)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IFERROR(__xludf.DUMMYFUNCTION("IMPORTRANGE(""https://docs.google.com/spreadsheets/d/1XL5vhW3sbDhbH9Cz0tuDiY8C3ctxq1tqvaCgkFb8cCA/edit?usp=sharing"",""สุรินทร์!I425"")"),0.0)</f>
        <v>0</v>
      </c>
      <c r="J530" s="232">
        <f>IFERROR(__xludf.DUMMYFUNCTION("IMPORTRANGE(""https://docs.google.com/spreadsheets/d/1XL5vhW3sbDhbH9Cz0tuDiY8C3ctxq1tqvaCgkFb8cCA/edit?usp=sharing"",""สุรินทร์!J425"")"),0.0)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IFERROR(__xludf.DUMMYFUNCTION("IMPORTRANGE(""https://docs.google.com/spreadsheets/d/1XL5vhW3sbDhbH9Cz0tuDiY8C3ctxq1tqvaCgkFb8cCA/edit?usp=sharing"",""สุรินทร์!I426"")"),0.0)</f>
        <v>0</v>
      </c>
      <c r="J531" s="232">
        <f>IFERROR(__xludf.DUMMYFUNCTION("IMPORTRANGE(""https://docs.google.com/spreadsheets/d/1XL5vhW3sbDhbH9Cz0tuDiY8C3ctxq1tqvaCgkFb8cCA/edit?usp=sharing"",""สุรินทร์!J426"")"),0.0)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IFERROR(__xludf.DUMMYFUNCTION("IMPORTRANGE(""https://docs.google.com/spreadsheets/d/1XL5vhW3sbDhbH9Cz0tuDiY8C3ctxq1tqvaCgkFb8cCA/edit?usp=sharing"",""สุรินทร์!I427"")"),0.0)</f>
        <v>0</v>
      </c>
      <c r="J532" s="499">
        <f>IFERROR(__xludf.DUMMYFUNCTION("IMPORTRANGE(""https://docs.google.com/spreadsheets/d/1XL5vhW3sbDhbH9Cz0tuDiY8C3ctxq1tqvaCgkFb8cCA/edit?usp=sharing"",""สุรินทร์!J427"")"),0.0)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IFERROR(__xludf.DUMMYFUNCTION("IMPORTRANGE(""https://docs.google.com/spreadsheets/d/1XL5vhW3sbDhbH9Cz0tuDiY8C3ctxq1tqvaCgkFb8cCA/edit?usp=sharing"",""สุรินทร์!I428"")"),22.0)</f>
        <v>22</v>
      </c>
      <c r="J533" s="443">
        <f>IFERROR(__xludf.DUMMYFUNCTION("IMPORTRANGE(""https://docs.google.com/spreadsheets/d/1XL5vhW3sbDhbH9Cz0tuDiY8C3ctxq1tqvaCgkFb8cCA/edit?usp=sharing"",""สุรินทร์!J428"")"),22.0)</f>
        <v>22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IFERROR(__xludf.DUMMYFUNCTION("IMPORTRANGE(""https://docs.google.com/spreadsheets/d/1XL5vhW3sbDhbH9Cz0tuDiY8C3ctxq1tqvaCgkFb8cCA/edit?usp=sharing"",""สุรินทร์!L428"")"),34340.0)</f>
        <v>34340</v>
      </c>
      <c r="M533" s="445"/>
      <c r="N533" s="445">
        <f>IFERROR(__xludf.DUMMYFUNCTION("IMPORTRANGE(""https://docs.google.com/spreadsheets/d/1XL5vhW3sbDhbH9Cz0tuDiY8C3ctxq1tqvaCgkFb8cCA/edit?usp=sharing"",""สุรินทร์!M428"")"),31720.0)</f>
        <v>31720</v>
      </c>
      <c r="O533" s="445">
        <f t="shared" ref="O533:O537" si="119">+IF(L533&gt;0,N533*100/L533,0)</f>
        <v>92.37041351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IFERROR(__xludf.DUMMYFUNCTION("IMPORTRANGE(""https://docs.google.com/spreadsheets/d/1XL5vhW3sbDhbH9Cz0tuDiY8C3ctxq1tqvaCgkFb8cCA/edit?usp=sharing"",""สุรินทร์!L429"")"),0.0)</f>
        <v>0</v>
      </c>
      <c r="M534" s="197"/>
      <c r="N534" s="203">
        <f>IFERROR(__xludf.DUMMYFUNCTION("IMPORTRANGE(""https://docs.google.com/spreadsheets/d/1XL5vhW3sbDhbH9Cz0tuDiY8C3ctxq1tqvaCgkFb8cCA/edit?usp=sharing"",""สุรินทร์!M429"")"),0.0)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IFERROR(__xludf.DUMMYFUNCTION("IMPORTRANGE(""https://docs.google.com/spreadsheets/d/1XL5vhW3sbDhbH9Cz0tuDiY8C3ctxq1tqvaCgkFb8cCA/edit?usp=sharing"",""สุรินทร์!L430"")"),34340.0)</f>
        <v>34340</v>
      </c>
      <c r="M535" s="198"/>
      <c r="N535" s="203">
        <f>IFERROR(__xludf.DUMMYFUNCTION("IMPORTRANGE(""https://docs.google.com/spreadsheets/d/1XL5vhW3sbDhbH9Cz0tuDiY8C3ctxq1tqvaCgkFb8cCA/edit?usp=sharing"",""สุรินทร์!M430"")"),31720.0)</f>
        <v>31720</v>
      </c>
      <c r="O535" s="203">
        <f t="shared" si="119"/>
        <v>92.37041351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IFERROR(__xludf.DUMMYFUNCTION("IMPORTRANGE(""https://docs.google.com/spreadsheets/d/1XL5vhW3sbDhbH9Cz0tuDiY8C3ctxq1tqvaCgkFb8cCA/edit?usp=sharing"",""สุรินทร์!L431"")"),0.0)</f>
        <v>0</v>
      </c>
      <c r="M536" s="203"/>
      <c r="N536" s="203">
        <f>IFERROR(__xludf.DUMMYFUNCTION("IMPORTRANGE(""https://docs.google.com/spreadsheets/d/1XL5vhW3sbDhbH9Cz0tuDiY8C3ctxq1tqvaCgkFb8cCA/edit?usp=sharing"",""สุรินทร์!M431"")"),0.0)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IFERROR(__xludf.DUMMYFUNCTION("IMPORTRANGE(""https://docs.google.com/spreadsheets/d/1XL5vhW3sbDhbH9Cz0tuDiY8C3ctxq1tqvaCgkFb8cCA/edit?usp=sharing"",""สุรินทร์!L432"")"),34340.0)</f>
        <v>34340</v>
      </c>
      <c r="M537" s="203"/>
      <c r="N537" s="203">
        <f>IFERROR(__xludf.DUMMYFUNCTION("IMPORTRANGE(""https://docs.google.com/spreadsheets/d/1XL5vhW3sbDhbH9Cz0tuDiY8C3ctxq1tqvaCgkFb8cCA/edit?usp=sharing"",""สุรินทร์!M432"")"),31720.0)</f>
        <v>31720</v>
      </c>
      <c r="O537" s="203">
        <f t="shared" si="119"/>
        <v>92.37041351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IFERROR(__xludf.DUMMYFUNCTION("IMPORTRANGE(""https://docs.google.com/spreadsheets/d/1XL5vhW3sbDhbH9Cz0tuDiY8C3ctxq1tqvaCgkFb8cCA/edit?usp=sharing"",""สุรินทร์!M433"")"),18740.0)</f>
        <v>18740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IFERROR(__xludf.DUMMYFUNCTION("IMPORTRANGE(""https://docs.google.com/spreadsheets/d/1XL5vhW3sbDhbH9Cz0tuDiY8C3ctxq1tqvaCgkFb8cCA/edit?usp=sharing"",""สุรินทร์!M434"")"),0.0)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IFERROR(__xludf.DUMMYFUNCTION("IMPORTRANGE(""https://docs.google.com/spreadsheets/d/1XL5vhW3sbDhbH9Cz0tuDiY8C3ctxq1tqvaCgkFb8cCA/edit?usp=sharing"",""สุรินทร์!M435"")"),0.0)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IFERROR(__xludf.DUMMYFUNCTION("IMPORTRANGE(""https://docs.google.com/spreadsheets/d/1XL5vhW3sbDhbH9Cz0tuDiY8C3ctxq1tqvaCgkFb8cCA/edit?usp=sharing"",""สุรินทร์!M436"")"),12980.0)</f>
        <v>12980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IFERROR(__xludf.DUMMYFUNCTION("IMPORTRANGE(""https://docs.google.com/spreadsheets/d/1XL5vhW3sbDhbH9Cz0tuDiY8C3ctxq1tqvaCgkFb8cCA/edit?usp=sharing"",""สุรินทร์!J438"")"),0.0)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IFERROR(__xludf.DUMMYFUNCTION("IMPORTRANGE(""https://docs.google.com/spreadsheets/d/1XL5vhW3sbDhbH9Cz0tuDiY8C3ctxq1tqvaCgkFb8cCA/edit?usp=sharing"",""สุรินทร์!J439"")"),1.0)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IFERROR(__xludf.DUMMYFUNCTION("IMPORTRANGE(""https://docs.google.com/spreadsheets/d/1XL5vhW3sbDhbH9Cz0tuDiY8C3ctxq1tqvaCgkFb8cCA/edit?usp=sharing"",""สุรินทร์!J440"")"),0.0)</f>
        <v>0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IFERROR(__xludf.DUMMYFUNCTION("IMPORTRANGE(""https://docs.google.com/spreadsheets/d/1XL5vhW3sbDhbH9Cz0tuDiY8C3ctxq1tqvaCgkFb8cCA/edit?usp=sharing"",""สุรินทร์!J441"")"),1.0)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IFERROR(__xludf.DUMMYFUNCTION("IMPORTRANGE(""https://docs.google.com/spreadsheets/d/1XL5vhW3sbDhbH9Cz0tuDiY8C3ctxq1tqvaCgkFb8cCA/edit?usp=sharing"",""สุรินทร์!I442"")"),22.0)</f>
        <v>22</v>
      </c>
      <c r="J547" s="223">
        <f>IFERROR(__xludf.DUMMYFUNCTION("IMPORTRANGE(""https://docs.google.com/spreadsheets/d/1XL5vhW3sbDhbH9Cz0tuDiY8C3ctxq1tqvaCgkFb8cCA/edit?usp=sharing"",""สุรินทร์!J442"")"),22.0)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IFERROR(__xludf.DUMMYFUNCTION("IMPORTRANGE(""https://docs.google.com/spreadsheets/d/1XL5vhW3sbDhbH9Cz0tuDiY8C3ctxq1tqvaCgkFb8cCA/edit?usp=sharing"",""สุรินทร์!J166"")"),0.0)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IFERROR(__xludf.DUMMYFUNCTION("IMPORTRANGE(""https://docs.google.com/spreadsheets/d/1XL5vhW3sbDhbH9Cz0tuDiY8C3ctxq1tqvaCgkFb8cCA/edit?usp=sharing"",""สุรินทร์!J444"")"),0.0)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IFERROR(__xludf.DUMMYFUNCTION("IMPORTRANGE(""https://docs.google.com/spreadsheets/d/1XL5vhW3sbDhbH9Cz0tuDiY8C3ctxq1tqvaCgkFb8cCA/edit?usp=sharing"",""สุรินทร์!J445"")"),0.0)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IFERROR(__xludf.DUMMYFUNCTION("IMPORTRANGE(""https://docs.google.com/spreadsheets/d/1XL5vhW3sbDhbH9Cz0tuDiY8C3ctxq1tqvaCgkFb8cCA/edit?usp=sharing"",""สุรินทร์!I446"")"),0.0)</f>
        <v>0</v>
      </c>
      <c r="J551" s="443">
        <f>IFERROR(__xludf.DUMMYFUNCTION("IMPORTRANGE(""https://docs.google.com/spreadsheets/d/1XL5vhW3sbDhbH9Cz0tuDiY8C3ctxq1tqvaCgkFb8cCA/edit?usp=sharing"",""สุรินทร์!J446"")"),0.0)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IFERROR(__xludf.DUMMYFUNCTION("IMPORTRANGE(""https://docs.google.com/spreadsheets/d/1XL5vhW3sbDhbH9Cz0tuDiY8C3ctxq1tqvaCgkFb8cCA/edit?usp=sharing"",""สุรินทร์!L446"")"),0.0)</f>
        <v>0</v>
      </c>
      <c r="M551" s="445"/>
      <c r="N551" s="445">
        <f>IFERROR(__xludf.DUMMYFUNCTION("IMPORTRANGE(""https://docs.google.com/spreadsheets/d/1XL5vhW3sbDhbH9Cz0tuDiY8C3ctxq1tqvaCgkFb8cCA/edit?usp=sharing"",""สุรินทร์!M446"")"),0.0)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IFERROR(__xludf.DUMMYFUNCTION("IMPORTRANGE(""https://docs.google.com/spreadsheets/d/1XL5vhW3sbDhbH9Cz0tuDiY8C3ctxq1tqvaCgkFb8cCA/edit?usp=sharing"",""สุรินทร์!L447"")"),0.0)</f>
        <v>0</v>
      </c>
      <c r="M552" s="197"/>
      <c r="N552" s="203">
        <f>IFERROR(__xludf.DUMMYFUNCTION("IMPORTRANGE(""https://docs.google.com/spreadsheets/d/1XL5vhW3sbDhbH9Cz0tuDiY8C3ctxq1tqvaCgkFb8cCA/edit?usp=sharing"",""สุรินทร์!M447"")"),0.0)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IFERROR(__xludf.DUMMYFUNCTION("IMPORTRANGE(""https://docs.google.com/spreadsheets/d/1XL5vhW3sbDhbH9Cz0tuDiY8C3ctxq1tqvaCgkFb8cCA/edit?usp=sharing"",""สุรินทร์!L448"")"),0.0)</f>
        <v>0</v>
      </c>
      <c r="M553" s="198"/>
      <c r="N553" s="203">
        <f>IFERROR(__xludf.DUMMYFUNCTION("IMPORTRANGE(""https://docs.google.com/spreadsheets/d/1XL5vhW3sbDhbH9Cz0tuDiY8C3ctxq1tqvaCgkFb8cCA/edit?usp=sharing"",""สุรินทร์!M448"")"),0.0)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IFERROR(__xludf.DUMMYFUNCTION("IMPORTRANGE(""https://docs.google.com/spreadsheets/d/1XL5vhW3sbDhbH9Cz0tuDiY8C3ctxq1tqvaCgkFb8cCA/edit?usp=sharing"",""สุรินทร์!L449"")"),0.0)</f>
        <v>0</v>
      </c>
      <c r="M554" s="203"/>
      <c r="N554" s="203">
        <f>IFERROR(__xludf.DUMMYFUNCTION("IMPORTRANGE(""https://docs.google.com/spreadsheets/d/1XL5vhW3sbDhbH9Cz0tuDiY8C3ctxq1tqvaCgkFb8cCA/edit?usp=sharing"",""สุรินทร์!M449"")"),0.0)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IFERROR(__xludf.DUMMYFUNCTION("IMPORTRANGE(""https://docs.google.com/spreadsheets/d/1XL5vhW3sbDhbH9Cz0tuDiY8C3ctxq1tqvaCgkFb8cCA/edit?usp=sharing"",""สุรินทร์!L450"")"),0.0)</f>
        <v>0</v>
      </c>
      <c r="M555" s="203"/>
      <c r="N555" s="203">
        <f>IFERROR(__xludf.DUMMYFUNCTION("IMPORTRANGE(""https://docs.google.com/spreadsheets/d/1XL5vhW3sbDhbH9Cz0tuDiY8C3ctxq1tqvaCgkFb8cCA/edit?usp=sharing"",""สุรินทร์!M450"")"),0.0)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IFERROR(__xludf.DUMMYFUNCTION("IMPORTRANGE(""https://docs.google.com/spreadsheets/d/1XL5vhW3sbDhbH9Cz0tuDiY8C3ctxq1tqvaCgkFb8cCA/edit?usp=sharing"",""สุรินทร์!M451"")"),0.0)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IFERROR(__xludf.DUMMYFUNCTION("IMPORTRANGE(""https://docs.google.com/spreadsheets/d/1XL5vhW3sbDhbH9Cz0tuDiY8C3ctxq1tqvaCgkFb8cCA/edit?usp=sharing"",""สุรินทร์!M452"")"),0.0)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IFERROR(__xludf.DUMMYFUNCTION("IMPORTRANGE(""https://docs.google.com/spreadsheets/d/1XL5vhW3sbDhbH9Cz0tuDiY8C3ctxq1tqvaCgkFb8cCA/edit?usp=sharing"",""สุรินทร์!M453"")"),0.0)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IFERROR(__xludf.DUMMYFUNCTION("IMPORTRANGE(""https://docs.google.com/spreadsheets/d/1XL5vhW3sbDhbH9Cz0tuDiY8C3ctxq1tqvaCgkFb8cCA/edit?usp=sharing"",""สุรินทร์!M454"")"),0.0)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IFERROR(__xludf.DUMMYFUNCTION("IMPORTRANGE(""https://docs.google.com/spreadsheets/d/1XL5vhW3sbDhbH9Cz0tuDiY8C3ctxq1tqvaCgkFb8cCA/edit?usp=sharing"",""สุรินทร์!I455"")"),0.0)</f>
        <v>0</v>
      </c>
      <c r="J560" s="195">
        <f>IFERROR(__xludf.DUMMYFUNCTION("IMPORTRANGE(""https://docs.google.com/spreadsheets/d/1XL5vhW3sbDhbH9Cz0tuDiY8C3ctxq1tqvaCgkFb8cCA/edit?usp=sharing"",""สุรินทร์!J455"")"),0.0)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IFERROR(__xludf.DUMMYFUNCTION("IMPORTRANGE(""https://docs.google.com/spreadsheets/d/1XL5vhW3sbDhbH9Cz0tuDiY8C3ctxq1tqvaCgkFb8cCA/edit?usp=sharing"",""สุรินทร์!I456"")"),0.0)</f>
        <v>0</v>
      </c>
      <c r="J561" s="238">
        <f>IFERROR(__xludf.DUMMYFUNCTION("IMPORTRANGE(""https://docs.google.com/spreadsheets/d/1XL5vhW3sbDhbH9Cz0tuDiY8C3ctxq1tqvaCgkFb8cCA/edit?usp=sharing"",""สุรินทร์!J456"")"),0.0)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IFERROR(__xludf.DUMMYFUNCTION("IMPORTRANGE(""https://docs.google.com/spreadsheets/d/1XL5vhW3sbDhbH9Cz0tuDiY8C3ctxq1tqvaCgkFb8cCA/edit?usp=sharing"",""สุรินทร์!I457"")"),"")</f>
        <v/>
      </c>
      <c r="J562" s="238" t="str">
        <f>IFERROR(__xludf.DUMMYFUNCTION("IMPORTRANGE(""https://docs.google.com/spreadsheets/d/1XL5vhW3sbDhbH9Cz0tuDiY8C3ctxq1tqvaCgkFb8cCA/edit?usp=sharing"",""สุรินทร์!J457"")"),"")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IFERROR(__xludf.DUMMYFUNCTION("IMPORTRANGE(""https://docs.google.com/spreadsheets/d/1XL5vhW3sbDhbH9Cz0tuDiY8C3ctxq1tqvaCgkFb8cCA/edit?usp=sharing"",""สุรินทร์!I458"")"),"")</f>
        <v/>
      </c>
      <c r="J563" s="222" t="str">
        <f>IFERROR(__xludf.DUMMYFUNCTION("IMPORTRANGE(""https://docs.google.com/spreadsheets/d/1XL5vhW3sbDhbH9Cz0tuDiY8C3ctxq1tqvaCgkFb8cCA/edit?usp=sharing"",""สุรินทร์!J458"")"),"")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IFERROR(__xludf.DUMMYFUNCTION("IMPORTRANGE(""https://docs.google.com/spreadsheets/d/1XL5vhW3sbDhbH9Cz0tuDiY8C3ctxq1tqvaCgkFb8cCA/edit?usp=sharing"",""สุรินทร์!I459"")"),5500.0)</f>
        <v>5500</v>
      </c>
      <c r="J564" s="404">
        <f>IFERROR(__xludf.DUMMYFUNCTION("IMPORTRANGE(""https://docs.google.com/spreadsheets/d/1XL5vhW3sbDhbH9Cz0tuDiY8C3ctxq1tqvaCgkFb8cCA/edit?usp=sharing"",""สุรินทร์!J459"")"),3762.0)</f>
        <v>3762</v>
      </c>
      <c r="K564" s="405">
        <f t="shared" si="122"/>
        <v>68.4</v>
      </c>
      <c r="L564" s="406">
        <f>IFERROR(__xludf.DUMMYFUNCTION("IMPORTRANGE(""https://docs.google.com/spreadsheets/d/1XL5vhW3sbDhbH9Cz0tuDiY8C3ctxq1tqvaCgkFb8cCA/edit?usp=sharing"",""สุรินทร์!L459"")"),163200.0)</f>
        <v>163200</v>
      </c>
      <c r="M564" s="406"/>
      <c r="N564" s="406">
        <f>IFERROR(__xludf.DUMMYFUNCTION("IMPORTRANGE(""https://docs.google.com/spreadsheets/d/1XL5vhW3sbDhbH9Cz0tuDiY8C3ctxq1tqvaCgkFb8cCA/edit?usp=sharing"",""สุรินทร์!M459"")"),38231.0)</f>
        <v>38231</v>
      </c>
      <c r="O564" s="406">
        <f t="shared" ref="O564:O568" si="123">+IF(L564&gt;0,N564*100/L564,0)</f>
        <v>23.42585784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IFERROR(__xludf.DUMMYFUNCTION("IMPORTRANGE(""https://docs.google.com/spreadsheets/d/1XL5vhW3sbDhbH9Cz0tuDiY8C3ctxq1tqvaCgkFb8cCA/edit?usp=sharing"",""สุรินทร์!L460"")"),0.0)</f>
        <v>0</v>
      </c>
      <c r="M565" s="197"/>
      <c r="N565" s="203">
        <f>IFERROR(__xludf.DUMMYFUNCTION("IMPORTRANGE(""https://docs.google.com/spreadsheets/d/1XL5vhW3sbDhbH9Cz0tuDiY8C3ctxq1tqvaCgkFb8cCA/edit?usp=sharing"",""สุรินทร์!M460"")"),0.0)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IFERROR(__xludf.DUMMYFUNCTION("IMPORTRANGE(""https://docs.google.com/spreadsheets/d/1XL5vhW3sbDhbH9Cz0tuDiY8C3ctxq1tqvaCgkFb8cCA/edit?usp=sharing"",""สุรินทร์!L461"")"),163200.0)</f>
        <v>163200</v>
      </c>
      <c r="M566" s="198"/>
      <c r="N566" s="203">
        <f>IFERROR(__xludf.DUMMYFUNCTION("IMPORTRANGE(""https://docs.google.com/spreadsheets/d/1XL5vhW3sbDhbH9Cz0tuDiY8C3ctxq1tqvaCgkFb8cCA/edit?usp=sharing"",""สุรินทร์!M461"")"),38231.0)</f>
        <v>38231</v>
      </c>
      <c r="O566" s="203">
        <f t="shared" si="123"/>
        <v>23.42585784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IFERROR(__xludf.DUMMYFUNCTION("IMPORTRANGE(""https://docs.google.com/spreadsheets/d/1XL5vhW3sbDhbH9Cz0tuDiY8C3ctxq1tqvaCgkFb8cCA/edit?usp=sharing"",""สุรินทร์!L462"")"),0.0)</f>
        <v>0</v>
      </c>
      <c r="M567" s="203"/>
      <c r="N567" s="203">
        <f>IFERROR(__xludf.DUMMYFUNCTION("IMPORTRANGE(""https://docs.google.com/spreadsheets/d/1XL5vhW3sbDhbH9Cz0tuDiY8C3ctxq1tqvaCgkFb8cCA/edit?usp=sharing"",""สุรินทร์!M462"")"),0.0)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IFERROR(__xludf.DUMMYFUNCTION("IMPORTRANGE(""https://docs.google.com/spreadsheets/d/1XL5vhW3sbDhbH9Cz0tuDiY8C3ctxq1tqvaCgkFb8cCA/edit?usp=sharing"",""สุรินทร์!L463"")"),163200.0)</f>
        <v>163200</v>
      </c>
      <c r="M568" s="203"/>
      <c r="N568" s="203">
        <f>IFERROR(__xludf.DUMMYFUNCTION("IMPORTRANGE(""https://docs.google.com/spreadsheets/d/1XL5vhW3sbDhbH9Cz0tuDiY8C3ctxq1tqvaCgkFb8cCA/edit?usp=sharing"",""สุรินทร์!M463"")"),38231.0)</f>
        <v>38231</v>
      </c>
      <c r="O568" s="203">
        <f t="shared" si="123"/>
        <v>23.42585784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IFERROR(__xludf.DUMMYFUNCTION("IMPORTRANGE(""https://docs.google.com/spreadsheets/d/1XL5vhW3sbDhbH9Cz0tuDiY8C3ctxq1tqvaCgkFb8cCA/edit?usp=sharing"",""สุรินทร์!M464"")"),0.0)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IFERROR(__xludf.DUMMYFUNCTION("IMPORTRANGE(""https://docs.google.com/spreadsheets/d/1XL5vhW3sbDhbH9Cz0tuDiY8C3ctxq1tqvaCgkFb8cCA/edit?usp=sharing"",""สุรินทร์!M465"")"),0.0)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IFERROR(__xludf.DUMMYFUNCTION("IMPORTRANGE(""https://docs.google.com/spreadsheets/d/1XL5vhW3sbDhbH9Cz0tuDiY8C3ctxq1tqvaCgkFb8cCA/edit?usp=sharing"",""สุรินทร์!M466"")"),29451.0)</f>
        <v>29451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IFERROR(__xludf.DUMMYFUNCTION("IMPORTRANGE(""https://docs.google.com/spreadsheets/d/1XL5vhW3sbDhbH9Cz0tuDiY8C3ctxq1tqvaCgkFb8cCA/edit?usp=sharing"",""สุรินทร์!M467"")"),8780.0)</f>
        <v>8780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IFERROR(__xludf.DUMMYFUNCTION("IMPORTRANGE(""https://docs.google.com/spreadsheets/d/1XL5vhW3sbDhbH9Cz0tuDiY8C3ctxq1tqvaCgkFb8cCA/edit?usp=sharing"",""สุรินทร์!I468"")"),5500.0)</f>
        <v>5500</v>
      </c>
      <c r="J573" s="453">
        <f>IFERROR(__xludf.DUMMYFUNCTION("IMPORTRANGE(""https://docs.google.com/spreadsheets/d/1XL5vhW3sbDhbH9Cz0tuDiY8C3ctxq1tqvaCgkFb8cCA/edit?usp=sharing"",""สุรินทร์!J468"")"),3762.0)</f>
        <v>3762</v>
      </c>
      <c r="K573" s="236">
        <f>IF(I573&gt;0,J573*100/I573,0)</f>
        <v>68.4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IFERROR(__xludf.DUMMYFUNCTION("IMPORTRANGE(""https://docs.google.com/spreadsheets/d/1XL5vhW3sbDhbH9Cz0tuDiY8C3ctxq1tqvaCgkFb8cCA/edit?usp=sharing"",""สุรินทร์!I470"")"),0.0)</f>
        <v>0</v>
      </c>
      <c r="J575" s="232">
        <f>IFERROR(__xludf.DUMMYFUNCTION("IMPORTRANGE(""https://docs.google.com/spreadsheets/d/1XL5vhW3sbDhbH9Cz0tuDiY8C3ctxq1tqvaCgkFb8cCA/edit?usp=sharing"",""สุรินทร์!J470"")"),2.0)</f>
        <v>2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IFERROR(__xludf.DUMMYFUNCTION("IMPORTRANGE(""https://docs.google.com/spreadsheets/d/1XL5vhW3sbDhbH9Cz0tuDiY8C3ctxq1tqvaCgkFb8cCA/edit?usp=sharing"",""สุรินทร์!I471"")"),0.0)</f>
        <v>0</v>
      </c>
      <c r="J576" s="232">
        <f>IFERROR(__xludf.DUMMYFUNCTION("IMPORTRANGE(""https://docs.google.com/spreadsheets/d/1XL5vhW3sbDhbH9Cz0tuDiY8C3ctxq1tqvaCgkFb8cCA/edit?usp=sharing"",""สุรินทร์!J471"")"),515.0)</f>
        <v>515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IFERROR(__xludf.DUMMYFUNCTION("IMPORTRANGE(""https://docs.google.com/spreadsheets/d/1XL5vhW3sbDhbH9Cz0tuDiY8C3ctxq1tqvaCgkFb8cCA/edit?usp=sharing"",""สุรินทร์!I472"")"),0.0)</f>
        <v>0</v>
      </c>
      <c r="J577" s="223">
        <f>IFERROR(__xludf.DUMMYFUNCTION("IMPORTRANGE(""https://docs.google.com/spreadsheets/d/1XL5vhW3sbDhbH9Cz0tuDiY8C3ctxq1tqvaCgkFb8cCA/edit?usp=sharing"",""สุรินทร์!J472"")"),3247.0)</f>
        <v>3247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IFERROR(__xludf.DUMMYFUNCTION("IMPORTRANGE(""https://docs.google.com/spreadsheets/d/1XL5vhW3sbDhbH9Cz0tuDiY8C3ctxq1tqvaCgkFb8cCA/edit?usp=sharing"",""สุรินทร์!I473"")"),0.0)</f>
        <v>0</v>
      </c>
      <c r="J578" s="232">
        <f>IFERROR(__xludf.DUMMYFUNCTION("IMPORTRANGE(""https://docs.google.com/spreadsheets/d/1XL5vhW3sbDhbH9Cz0tuDiY8C3ctxq1tqvaCgkFb8cCA/edit?usp=sharing"",""สุรินทร์!J473"")"),0.0)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IFERROR(__xludf.DUMMYFUNCTION("IMPORTRANGE(""https://docs.google.com/spreadsheets/d/1XL5vhW3sbDhbH9Cz0tuDiY8C3ctxq1tqvaCgkFb8cCA/edit?usp=sharing"",""สุรินทร์!I474"")"),0.0)</f>
        <v>0</v>
      </c>
      <c r="J579" s="232">
        <f>IFERROR(__xludf.DUMMYFUNCTION("IMPORTRANGE(""https://docs.google.com/spreadsheets/d/1XL5vhW3sbDhbH9Cz0tuDiY8C3ctxq1tqvaCgkFb8cCA/edit?usp=sharing"",""สุรินทร์!J474"")"),0.0)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IFERROR(__xludf.DUMMYFUNCTION("IMPORTRANGE(""https://docs.google.com/spreadsheets/d/1XL5vhW3sbDhbH9Cz0tuDiY8C3ctxq1tqvaCgkFb8cCA/edit?usp=sharing"",""สุรินทร์!I475"")"),100.0)</f>
        <v>100</v>
      </c>
      <c r="J580" s="404">
        <f>IFERROR(__xludf.DUMMYFUNCTION("IMPORTRANGE(""https://docs.google.com/spreadsheets/d/1XL5vhW3sbDhbH9Cz0tuDiY8C3ctxq1tqvaCgkFb8cCA/edit?usp=sharing"",""สุรินทร์!J475"")"),3.0)</f>
        <v>3</v>
      </c>
      <c r="K580" s="405">
        <f>IF(I580&gt;0,J580*100/I580,0)</f>
        <v>3</v>
      </c>
      <c r="L580" s="406">
        <f>IFERROR(__xludf.DUMMYFUNCTION("IMPORTRANGE(""https://docs.google.com/spreadsheets/d/1XL5vhW3sbDhbH9Cz0tuDiY8C3ctxq1tqvaCgkFb8cCA/edit?usp=sharing"",""สุรินทร์!L475"")"),321600.0)</f>
        <v>321600</v>
      </c>
      <c r="M580" s="406"/>
      <c r="N580" s="406">
        <f>IFERROR(__xludf.DUMMYFUNCTION("IMPORTRANGE(""https://docs.google.com/spreadsheets/d/1XL5vhW3sbDhbH9Cz0tuDiY8C3ctxq1tqvaCgkFb8cCA/edit?usp=sharing"",""สุรินทร์!M475"")"),34615.0)</f>
        <v>34615</v>
      </c>
      <c r="O580" s="406">
        <f t="shared" ref="O580:O584" si="125">+IF(L580&gt;0,N580*100/L580,0)</f>
        <v>10.76337065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IFERROR(__xludf.DUMMYFUNCTION("IMPORTRANGE(""https://docs.google.com/spreadsheets/d/1XL5vhW3sbDhbH9Cz0tuDiY8C3ctxq1tqvaCgkFb8cCA/edit?usp=sharing"",""สุรินทร์!L476"")"),0.0)</f>
        <v>0</v>
      </c>
      <c r="M581" s="197"/>
      <c r="N581" s="203">
        <f>IFERROR(__xludf.DUMMYFUNCTION("IMPORTRANGE(""https://docs.google.com/spreadsheets/d/1XL5vhW3sbDhbH9Cz0tuDiY8C3ctxq1tqvaCgkFb8cCA/edit?usp=sharing"",""สุรินทร์!M476"")"),0.0)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IFERROR(__xludf.DUMMYFUNCTION("IMPORTRANGE(""https://docs.google.com/spreadsheets/d/1XL5vhW3sbDhbH9Cz0tuDiY8C3ctxq1tqvaCgkFb8cCA/edit?usp=sharing"",""สุรินทร์!L477"")"),321600.0)</f>
        <v>321600</v>
      </c>
      <c r="M582" s="198"/>
      <c r="N582" s="203">
        <f>IFERROR(__xludf.DUMMYFUNCTION("IMPORTRANGE(""https://docs.google.com/spreadsheets/d/1XL5vhW3sbDhbH9Cz0tuDiY8C3ctxq1tqvaCgkFb8cCA/edit?usp=sharing"",""สุรินทร์!M477"")"),34615.0)</f>
        <v>34615</v>
      </c>
      <c r="O582" s="203">
        <f t="shared" si="125"/>
        <v>10.76337065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IFERROR(__xludf.DUMMYFUNCTION("IMPORTRANGE(""https://docs.google.com/spreadsheets/d/1XL5vhW3sbDhbH9Cz0tuDiY8C3ctxq1tqvaCgkFb8cCA/edit?usp=sharing"",""สุรินทร์!L478"")"),0.0)</f>
        <v>0</v>
      </c>
      <c r="M583" s="203"/>
      <c r="N583" s="203">
        <f>IFERROR(__xludf.DUMMYFUNCTION("IMPORTRANGE(""https://docs.google.com/spreadsheets/d/1XL5vhW3sbDhbH9Cz0tuDiY8C3ctxq1tqvaCgkFb8cCA/edit?usp=sharing"",""สุรินทร์!M478"")"),0.0)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IFERROR(__xludf.DUMMYFUNCTION("IMPORTRANGE(""https://docs.google.com/spreadsheets/d/1XL5vhW3sbDhbH9Cz0tuDiY8C3ctxq1tqvaCgkFb8cCA/edit?usp=sharing"",""สุรินทร์!L479"")"),321600.0)</f>
        <v>321600</v>
      </c>
      <c r="M584" s="203"/>
      <c r="N584" s="203">
        <f>IFERROR(__xludf.DUMMYFUNCTION("IMPORTRANGE(""https://docs.google.com/spreadsheets/d/1XL5vhW3sbDhbH9Cz0tuDiY8C3ctxq1tqvaCgkFb8cCA/edit?usp=sharing"",""สุรินทร์!M479"")"),34615.0)</f>
        <v>34615</v>
      </c>
      <c r="O584" s="203">
        <f t="shared" si="125"/>
        <v>10.76337065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IFERROR(__xludf.DUMMYFUNCTION("IMPORTRANGE(""https://docs.google.com/spreadsheets/d/1XL5vhW3sbDhbH9Cz0tuDiY8C3ctxq1tqvaCgkFb8cCA/edit?usp=sharing"",""สุรินทร์!M480"")"),0.0)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IFERROR(__xludf.DUMMYFUNCTION("IMPORTRANGE(""https://docs.google.com/spreadsheets/d/1XL5vhW3sbDhbH9Cz0tuDiY8C3ctxq1tqvaCgkFb8cCA/edit?usp=sharing"",""สุรินทร์!M481"")"),0.0)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IFERROR(__xludf.DUMMYFUNCTION("IMPORTRANGE(""https://docs.google.com/spreadsheets/d/1XL5vhW3sbDhbH9Cz0tuDiY8C3ctxq1tqvaCgkFb8cCA/edit?usp=sharing"",""สุรินทร์!M482"")"),31935.0)</f>
        <v>31935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IFERROR(__xludf.DUMMYFUNCTION("IMPORTRANGE(""https://docs.google.com/spreadsheets/d/1XL5vhW3sbDhbH9Cz0tuDiY8C3ctxq1tqvaCgkFb8cCA/edit?usp=sharing"",""สุรินทร์!M483"")"),2680.0)</f>
        <v>2680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IFERROR(__xludf.DUMMYFUNCTION("IMPORTRANGE(""https://docs.google.com/spreadsheets/d/1XL5vhW3sbDhbH9Cz0tuDiY8C3ctxq1tqvaCgkFb8cCA/edit?usp=sharing"",""สุรินทร์!I484"")"),100.0)</f>
        <v>100</v>
      </c>
      <c r="J589" s="222">
        <f>IFERROR(__xludf.DUMMYFUNCTION("IMPORTRANGE(""https://docs.google.com/spreadsheets/d/1XL5vhW3sbDhbH9Cz0tuDiY8C3ctxq1tqvaCgkFb8cCA/edit?usp=sharing"",""สุรินทร์!J484"")"),0.0)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IFERROR(__xludf.DUMMYFUNCTION("IMPORTRANGE(""https://docs.google.com/spreadsheets/d/1XL5vhW3sbDhbH9Cz0tuDiY8C3ctxq1tqvaCgkFb8cCA/edit?usp=sharing"",""สุรินทร์!I485"")"),0.0)</f>
        <v>0</v>
      </c>
      <c r="J590" s="222">
        <f>IFERROR(__xludf.DUMMYFUNCTION("IMPORTRANGE(""https://docs.google.com/spreadsheets/d/1XL5vhW3sbDhbH9Cz0tuDiY8C3ctxq1tqvaCgkFb8cCA/edit?usp=sharing"",""สุรินทร์!J485"")"),0.0)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IFERROR(__xludf.DUMMYFUNCTION("IMPORTRANGE(""https://docs.google.com/spreadsheets/d/1XL5vhW3sbDhbH9Cz0tuDiY8C3ctxq1tqvaCgkFb8cCA/edit?usp=sharing"",""สุรินทร์!I486"")"),100.0)</f>
        <v>100</v>
      </c>
      <c r="J591" s="222">
        <f>IFERROR(__xludf.DUMMYFUNCTION("IMPORTRANGE(""https://docs.google.com/spreadsheets/d/1XL5vhW3sbDhbH9Cz0tuDiY8C3ctxq1tqvaCgkFb8cCA/edit?usp=sharing"",""สุรินทร์!J486"")"),0.0)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IFERROR(__xludf.DUMMYFUNCTION("IMPORTRANGE(""https://docs.google.com/spreadsheets/d/1XL5vhW3sbDhbH9Cz0tuDiY8C3ctxq1tqvaCgkFb8cCA/edit?usp=sharing"",""สุรินทร์!I487"")"),0.0)</f>
        <v>0</v>
      </c>
      <c r="J592" s="222">
        <f>IFERROR(__xludf.DUMMYFUNCTION("IMPORTRANGE(""https://docs.google.com/spreadsheets/d/1XL5vhW3sbDhbH9Cz0tuDiY8C3ctxq1tqvaCgkFb8cCA/edit?usp=sharing"",""สุรินทร์!J487"")"),0.0)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IFERROR(__xludf.DUMMYFUNCTION("IMPORTRANGE(""https://docs.google.com/spreadsheets/d/1XL5vhW3sbDhbH9Cz0tuDiY8C3ctxq1tqvaCgkFb8cCA/edit?usp=sharing"",""สุรินทร์!I488"")"),100.0)</f>
        <v>100</v>
      </c>
      <c r="J593" s="222">
        <f>IFERROR(__xludf.DUMMYFUNCTION("IMPORTRANGE(""https://docs.google.com/spreadsheets/d/1XL5vhW3sbDhbH9Cz0tuDiY8C3ctxq1tqvaCgkFb8cCA/edit?usp=sharing"",""สุรินทร์!J488"")"),0.0)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IFERROR(__xludf.DUMMYFUNCTION("IMPORTRANGE(""https://docs.google.com/spreadsheets/d/1XL5vhW3sbDhbH9Cz0tuDiY8C3ctxq1tqvaCgkFb8cCA/edit?usp=sharing"",""สุรินทร์!I489"")"),0.0)</f>
        <v>0</v>
      </c>
      <c r="J594" s="222">
        <f>IFERROR(__xludf.DUMMYFUNCTION("IMPORTRANGE(""https://docs.google.com/spreadsheets/d/1XL5vhW3sbDhbH9Cz0tuDiY8C3ctxq1tqvaCgkFb8cCA/edit?usp=sharing"",""สุรินทร์!J489"")"),0.0)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IFERROR(__xludf.DUMMYFUNCTION("IMPORTRANGE(""https://docs.google.com/spreadsheets/d/1XL5vhW3sbDhbH9Cz0tuDiY8C3ctxq1tqvaCgkFb8cCA/edit?usp=sharing"",""สุรินทร์!I490"")"),100.0)</f>
        <v>100</v>
      </c>
      <c r="J595" s="222">
        <f>IFERROR(__xludf.DUMMYFUNCTION("IMPORTRANGE(""https://docs.google.com/spreadsheets/d/1XL5vhW3sbDhbH9Cz0tuDiY8C3ctxq1tqvaCgkFb8cCA/edit?usp=sharing"",""สุรินทร์!J490"")"),3.0)</f>
        <v>3</v>
      </c>
      <c r="K595" s="196">
        <f t="shared" si="126"/>
        <v>3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IFERROR(__xludf.DUMMYFUNCTION("IMPORTRANGE(""https://docs.google.com/spreadsheets/d/1XL5vhW3sbDhbH9Cz0tuDiY8C3ctxq1tqvaCgkFb8cCA/edit?usp=sharing"",""สุรินทร์!I491"")"),0.0)</f>
        <v>0</v>
      </c>
      <c r="J596" s="275">
        <f>IFERROR(__xludf.DUMMYFUNCTION("IMPORTRANGE(""https://docs.google.com/spreadsheets/d/1XL5vhW3sbDhbH9Cz0tuDiY8C3ctxq1tqvaCgkFb8cCA/edit?usp=sharing"",""สุรินทร์!J491"")"),6.12)</f>
        <v>6.12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IFERROR(__xludf.DUMMYFUNCTION("IMPORTRANGE(""https://docs.google.com/spreadsheets/d/1XL5vhW3sbDhbH9Cz0tuDiY8C3ctxq1tqvaCgkFb8cCA/edit?usp=sharing"",""สุรินทร์!I492"")"),200.0)</f>
        <v>200</v>
      </c>
      <c r="J597" s="520">
        <f>IFERROR(__xludf.DUMMYFUNCTION("IMPORTRANGE(""https://docs.google.com/spreadsheets/d/1XL5vhW3sbDhbH9Cz0tuDiY8C3ctxq1tqvaCgkFb8cCA/edit?usp=sharing"",""สุรินทร์!J492"")"),0.0)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IFERROR(__xludf.DUMMYFUNCTION("IMPORTRANGE(""https://docs.google.com/spreadsheets/d/1XL5vhW3sbDhbH9Cz0tuDiY8C3ctxq1tqvaCgkFb8cCA/edit?usp=sharing"",""สุรินทร์!L492"")"),21600.0)</f>
        <v>21600</v>
      </c>
      <c r="M597" s="445"/>
      <c r="N597" s="445">
        <f>IFERROR(__xludf.DUMMYFUNCTION("IMPORTRANGE(""https://docs.google.com/spreadsheets/d/1XL5vhW3sbDhbH9Cz0tuDiY8C3ctxq1tqvaCgkFb8cCA/edit?usp=sharing"",""สุรินทร์!M492"")"),4800.0)</f>
        <v>4800</v>
      </c>
      <c r="O597" s="445">
        <f t="shared" ref="O597:O601" si="127">+IF(L597&gt;0,N597*100/L597,0)</f>
        <v>22.22222222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IFERROR(__xludf.DUMMYFUNCTION("IMPORTRANGE(""https://docs.google.com/spreadsheets/d/1XL5vhW3sbDhbH9Cz0tuDiY8C3ctxq1tqvaCgkFb8cCA/edit?usp=sharing"",""สุรินทร์!L493"")"),0.0)</f>
        <v>0</v>
      </c>
      <c r="M598" s="197"/>
      <c r="N598" s="203">
        <f>IFERROR(__xludf.DUMMYFUNCTION("IMPORTRANGE(""https://docs.google.com/spreadsheets/d/1XL5vhW3sbDhbH9Cz0tuDiY8C3ctxq1tqvaCgkFb8cCA/edit?usp=sharing"",""สุรินทร์!M493"")"),0.0)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IFERROR(__xludf.DUMMYFUNCTION("IMPORTRANGE(""https://docs.google.com/spreadsheets/d/1XL5vhW3sbDhbH9Cz0tuDiY8C3ctxq1tqvaCgkFb8cCA/edit?usp=sharing"",""สุรินทร์!L494"")"),21600.0)</f>
        <v>21600</v>
      </c>
      <c r="M599" s="198"/>
      <c r="N599" s="203">
        <f>IFERROR(__xludf.DUMMYFUNCTION("IMPORTRANGE(""https://docs.google.com/spreadsheets/d/1XL5vhW3sbDhbH9Cz0tuDiY8C3ctxq1tqvaCgkFb8cCA/edit?usp=sharing"",""สุรินทร์!M494"")"),4800.0)</f>
        <v>4800</v>
      </c>
      <c r="O599" s="203">
        <f t="shared" si="127"/>
        <v>22.22222222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IFERROR(__xludf.DUMMYFUNCTION("IMPORTRANGE(""https://docs.google.com/spreadsheets/d/1XL5vhW3sbDhbH9Cz0tuDiY8C3ctxq1tqvaCgkFb8cCA/edit?usp=sharing"",""สุรินทร์!L495"")"),0.0)</f>
        <v>0</v>
      </c>
      <c r="M600" s="203"/>
      <c r="N600" s="203">
        <f>IFERROR(__xludf.DUMMYFUNCTION("IMPORTRANGE(""https://docs.google.com/spreadsheets/d/1XL5vhW3sbDhbH9Cz0tuDiY8C3ctxq1tqvaCgkFb8cCA/edit?usp=sharing"",""สุรินทร์!M495"")"),0.0)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IFERROR(__xludf.DUMMYFUNCTION("IMPORTRANGE(""https://docs.google.com/spreadsheets/d/1XL5vhW3sbDhbH9Cz0tuDiY8C3ctxq1tqvaCgkFb8cCA/edit?usp=sharing"",""สุรินทร์!L496"")"),21600.0)</f>
        <v>21600</v>
      </c>
      <c r="M601" s="203"/>
      <c r="N601" s="203">
        <f>IFERROR(__xludf.DUMMYFUNCTION("IMPORTRANGE(""https://docs.google.com/spreadsheets/d/1XL5vhW3sbDhbH9Cz0tuDiY8C3ctxq1tqvaCgkFb8cCA/edit?usp=sharing"",""สุรินทร์!M496"")"),4800.0)</f>
        <v>4800</v>
      </c>
      <c r="O601" s="203">
        <f t="shared" si="127"/>
        <v>22.22222222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IFERROR(__xludf.DUMMYFUNCTION("IMPORTRANGE(""https://docs.google.com/spreadsheets/d/1XL5vhW3sbDhbH9Cz0tuDiY8C3ctxq1tqvaCgkFb8cCA/edit?usp=sharing"",""สุรินทร์!M497"")"),0.0)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IFERROR(__xludf.DUMMYFUNCTION("IMPORTRANGE(""https://docs.google.com/spreadsheets/d/1XL5vhW3sbDhbH9Cz0tuDiY8C3ctxq1tqvaCgkFb8cCA/edit?usp=sharing"",""สุรินทร์!M498"")"),0.0)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IFERROR(__xludf.DUMMYFUNCTION("IMPORTRANGE(""https://docs.google.com/spreadsheets/d/1XL5vhW3sbDhbH9Cz0tuDiY8C3ctxq1tqvaCgkFb8cCA/edit?usp=sharing"",""สุรินทร์!M499"")"),0.0)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IFERROR(__xludf.DUMMYFUNCTION("IMPORTRANGE(""https://docs.google.com/spreadsheets/d/1XL5vhW3sbDhbH9Cz0tuDiY8C3ctxq1tqvaCgkFb8cCA/edit?usp=sharing"",""สุรินทร์!M500"")"),4800.0)</f>
        <v>4800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IFERROR(__xludf.DUMMYFUNCTION("IMPORTRANGE(""https://docs.google.com/spreadsheets/d/1XL5vhW3sbDhbH9Cz0tuDiY8C3ctxq1tqvaCgkFb8cCA/edit?usp=sharing"",""สุรินทร์!J502"")"),0.0)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IFERROR(__xludf.DUMMYFUNCTION("IMPORTRANGE(""https://docs.google.com/spreadsheets/d/1XL5vhW3sbDhbH9Cz0tuDiY8C3ctxq1tqvaCgkFb8cCA/edit?usp=sharing"",""สุรินทร์!J503"")"),1.0)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IFERROR(__xludf.DUMMYFUNCTION("IMPORTRANGE(""https://docs.google.com/spreadsheets/d/1XL5vhW3sbDhbH9Cz0tuDiY8C3ctxq1tqvaCgkFb8cCA/edit?usp=sharing"",""สุรินทร์!J166"")"),0.0)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IFERROR(__xludf.DUMMYFUNCTION("IMPORTRANGE(""https://docs.google.com/spreadsheets/d/1XL5vhW3sbDhbH9Cz0tuDiY8C3ctxq1tqvaCgkFb8cCA/edit?usp=sharing"",""สุรินทร์!J166"")"),0.0)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IFERROR(__xludf.DUMMYFUNCTION("IMPORTRANGE(""https://docs.google.com/spreadsheets/d/1XL5vhW3sbDhbH9Cz0tuDiY8C3ctxq1tqvaCgkFb8cCA/edit?usp=sharing"",""สุรินทร์!I506"")"),200.0)</f>
        <v>200</v>
      </c>
      <c r="J611" s="195">
        <f>IFERROR(__xludf.DUMMYFUNCTION("IMPORTRANGE(""https://docs.google.com/spreadsheets/d/1XL5vhW3sbDhbH9Cz0tuDiY8C3ctxq1tqvaCgkFb8cCA/edit?usp=sharing"",""สุรินทร์!J506"")"),0.0)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IFERROR(__xludf.DUMMYFUNCTION("IMPORTRANGE(""https://docs.google.com/spreadsheets/d/1XL5vhW3sbDhbH9Cz0tuDiY8C3ctxq1tqvaCgkFb8cCA/edit?usp=sharing"",""สุรินทร์!I507"")"),0.0)</f>
        <v>0</v>
      </c>
      <c r="J612" s="232">
        <f>IFERROR(__xludf.DUMMYFUNCTION("IMPORTRANGE(""https://docs.google.com/spreadsheets/d/1XL5vhW3sbDhbH9Cz0tuDiY8C3ctxq1tqvaCgkFb8cCA/edit?usp=sharing"",""สุรินทร์!J507"")"),129.0)</f>
        <v>129</v>
      </c>
      <c r="K612" s="196">
        <f t="shared" si="128"/>
        <v>64.5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IFERROR(__xludf.DUMMYFUNCTION("IMPORTRANGE(""https://docs.google.com/spreadsheets/d/1XL5vhW3sbDhbH9Cz0tuDiY8C3ctxq1tqvaCgkFb8cCA/edit?usp=sharing"",""สุรินทร์!I508"")"),0.0)</f>
        <v>0</v>
      </c>
      <c r="J613" s="232">
        <f>IFERROR(__xludf.DUMMYFUNCTION("IMPORTRANGE(""https://docs.google.com/spreadsheets/d/1XL5vhW3sbDhbH9Cz0tuDiY8C3ctxq1tqvaCgkFb8cCA/edit?usp=sharing"",""สุรินทร์!J508"")"),0.0)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IFERROR(__xludf.DUMMYFUNCTION("IMPORTRANGE(""https://docs.google.com/spreadsheets/d/1XL5vhW3sbDhbH9Cz0tuDiY8C3ctxq1tqvaCgkFb8cCA/edit?usp=sharing"",""สุรินทร์!I509"")"),0.0)</f>
        <v>0</v>
      </c>
      <c r="J614" s="232">
        <f>IFERROR(__xludf.DUMMYFUNCTION("IMPORTRANGE(""https://docs.google.com/spreadsheets/d/1XL5vhW3sbDhbH9Cz0tuDiY8C3ctxq1tqvaCgkFb8cCA/edit?usp=sharing"",""สุรินทร์!J509"")"),0.0)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IFERROR(__xludf.DUMMYFUNCTION("IMPORTRANGE(""https://docs.google.com/spreadsheets/d/1XL5vhW3sbDhbH9Cz0tuDiY8C3ctxq1tqvaCgkFb8cCA/edit?usp=sharing"",""สุรินทร์!I510"")"),0.0)</f>
        <v>0</v>
      </c>
      <c r="J615" s="232">
        <f>IFERROR(__xludf.DUMMYFUNCTION("IMPORTRANGE(""https://docs.google.com/spreadsheets/d/1XL5vhW3sbDhbH9Cz0tuDiY8C3ctxq1tqvaCgkFb8cCA/edit?usp=sharing"",""สุรินทร์!J510"")"),0.0)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IFERROR(__xludf.DUMMYFUNCTION("IMPORTRANGE(""https://docs.google.com/spreadsheets/d/1XL5vhW3sbDhbH9Cz0tuDiY8C3ctxq1tqvaCgkFb8cCA/edit?usp=sharing"",""สุรินทร์!I511"")"),0.0)</f>
        <v>0</v>
      </c>
      <c r="J616" s="232">
        <f>IFERROR(__xludf.DUMMYFUNCTION("IMPORTRANGE(""https://docs.google.com/spreadsheets/d/1XL5vhW3sbDhbH9Cz0tuDiY8C3ctxq1tqvaCgkFb8cCA/edit?usp=sharing"",""สุรินทร์!J511"")"),0.0)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IFERROR(__xludf.DUMMYFUNCTION("IMPORTRANGE(""https://docs.google.com/spreadsheets/d/1XL5vhW3sbDhbH9Cz0tuDiY8C3ctxq1tqvaCgkFb8cCA/edit?usp=sharing"",""สุรินทร์!I512"")"),0.0)</f>
        <v>0</v>
      </c>
      <c r="J617" s="222">
        <f>IFERROR(__xludf.DUMMYFUNCTION("IMPORTRANGE(""https://docs.google.com/spreadsheets/d/1XL5vhW3sbDhbH9Cz0tuDiY8C3ctxq1tqvaCgkFb8cCA/edit?usp=sharing"",""สุรินทร์!J512"")"),0.0)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IFERROR(__xludf.DUMMYFUNCTION("IMPORTRANGE(""https://docs.google.com/spreadsheets/d/1XL5vhW3sbDhbH9Cz0tuDiY8C3ctxq1tqvaCgkFb8cCA/edit?usp=sharing"",""สุรินทร์!I513"")"),0.0)</f>
        <v>0</v>
      </c>
      <c r="J618" s="223">
        <f>IFERROR(__xludf.DUMMYFUNCTION("IMPORTRANGE(""https://docs.google.com/spreadsheets/d/1XL5vhW3sbDhbH9Cz0tuDiY8C3ctxq1tqvaCgkFb8cCA/edit?usp=sharing"",""สุรินทร์!J513"")"),0.0)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IFERROR(__xludf.DUMMYFUNCTION("IMPORTRANGE(""https://docs.google.com/spreadsheets/d/1XL5vhW3sbDhbH9Cz0tuDiY8C3ctxq1tqvaCgkFb8cCA/edit?usp=sharing"",""สุรินทร์!I514"")"),0.0)</f>
        <v>0</v>
      </c>
      <c r="J619" s="223">
        <f>IFERROR(__xludf.DUMMYFUNCTION("IMPORTRANGE(""https://docs.google.com/spreadsheets/d/1XL5vhW3sbDhbH9Cz0tuDiY8C3ctxq1tqvaCgkFb8cCA/edit?usp=sharing"",""สุรินทร์!J514"")"),0.0)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IFERROR(__xludf.DUMMYFUNCTION("IMPORTRANGE(""https://docs.google.com/spreadsheets/d/1XL5vhW3sbDhbH9Cz0tuDiY8C3ctxq1tqvaCgkFb8cCA/edit?usp=sharing"",""สุรินทร์!I515"")"),48.0)</f>
        <v>48</v>
      </c>
      <c r="J620" s="237">
        <f>IFERROR(__xludf.DUMMYFUNCTION("IMPORTRANGE(""https://docs.google.com/spreadsheets/d/1XL5vhW3sbDhbH9Cz0tuDiY8C3ctxq1tqvaCgkFb8cCA/edit?usp=sharing"",""สุรินทร์!J515"")"),0.0)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IFERROR(__xludf.DUMMYFUNCTION("IMPORTRANGE(""https://docs.google.com/spreadsheets/d/1XL5vhW3sbDhbH9Cz0tuDiY8C3ctxq1tqvaCgkFb8cCA/edit?usp=sharing"",""สุรินทร์!I516"")"),0.0)</f>
        <v>0</v>
      </c>
      <c r="J621" s="237">
        <f>IFERROR(__xludf.DUMMYFUNCTION("IMPORTRANGE(""https://docs.google.com/spreadsheets/d/1XL5vhW3sbDhbH9Cz0tuDiY8C3ctxq1tqvaCgkFb8cCA/edit?usp=sharing"",""สุรินทร์!J516"")"),0.0)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IFERROR(__xludf.DUMMYFUNCTION("IMPORTRANGE(""https://docs.google.com/spreadsheets/d/1XL5vhW3sbDhbH9Cz0tuDiY8C3ctxq1tqvaCgkFb8cCA/edit?usp=sharing"",""สุรินทร์!I517"")"),0.0)</f>
        <v>0</v>
      </c>
      <c r="J622" s="223">
        <f>IFERROR(__xludf.DUMMYFUNCTION("IMPORTRANGE(""https://docs.google.com/spreadsheets/d/1XL5vhW3sbDhbH9Cz0tuDiY8C3ctxq1tqvaCgkFb8cCA/edit?usp=sharing"",""สุรินทร์!J517"")"),0.0)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IFERROR(__xludf.DUMMYFUNCTION("IMPORTRANGE(""https://docs.google.com/spreadsheets/d/1XL5vhW3sbDhbH9Cz0tuDiY8C3ctxq1tqvaCgkFb8cCA/edit?usp=sharing"",""สุรินทร์!I518"")"),0.0)</f>
        <v>0</v>
      </c>
      <c r="J623" s="223">
        <f>IFERROR(__xludf.DUMMYFUNCTION("IMPORTRANGE(""https://docs.google.com/spreadsheets/d/1XL5vhW3sbDhbH9Cz0tuDiY8C3ctxq1tqvaCgkFb8cCA/edit?usp=sharing"",""สุรินทร์!J518"")"),0.0)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IFERROR(__xludf.DUMMYFUNCTION("IMPORTRANGE(""https://docs.google.com/spreadsheets/d/1XL5vhW3sbDhbH9Cz0tuDiY8C3ctxq1tqvaCgkFb8cCA/edit?usp=sharing"",""สุรินทร์!I519"")"),0.0)</f>
        <v>0</v>
      </c>
      <c r="J624" s="222">
        <f>IFERROR(__xludf.DUMMYFUNCTION("IMPORTRANGE(""https://docs.google.com/spreadsheets/d/1XL5vhW3sbDhbH9Cz0tuDiY8C3ctxq1tqvaCgkFb8cCA/edit?usp=sharing"",""สุรินทร์!J519"")"),0.0)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IFERROR(__xludf.DUMMYFUNCTION("IMPORTRANGE(""https://docs.google.com/spreadsheets/d/1XL5vhW3sbDhbH9Cz0tuDiY8C3ctxq1tqvaCgkFb8cCA/edit?usp=sharing"",""สุรินทร์!I520"")"),0.0)</f>
        <v>0</v>
      </c>
      <c r="J625" s="223">
        <f>IFERROR(__xludf.DUMMYFUNCTION("IMPORTRANGE(""https://docs.google.com/spreadsheets/d/1XL5vhW3sbDhbH9Cz0tuDiY8C3ctxq1tqvaCgkFb8cCA/edit?usp=sharing"",""สุรินทร์!J520"")"),0.0)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IFERROR(__xludf.DUMMYFUNCTION("IMPORTRANGE(""https://docs.google.com/spreadsheets/d/1XL5vhW3sbDhbH9Cz0tuDiY8C3ctxq1tqvaCgkFb8cCA/edit?usp=sharing"",""สุรินทร์!I521"")"),0.0)</f>
        <v>0</v>
      </c>
      <c r="J626" s="223">
        <f>IFERROR(__xludf.DUMMYFUNCTION("IMPORTRANGE(""https://docs.google.com/spreadsheets/d/1XL5vhW3sbDhbH9Cz0tuDiY8C3ctxq1tqvaCgkFb8cCA/edit?usp=sharing"",""สุรินทร์!J521"")"),0.0)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IFERROR(__xludf.DUMMYFUNCTION("IMPORTRANGE(""https://docs.google.com/spreadsheets/d/1XL5vhW3sbDhbH9Cz0tuDiY8C3ctxq1tqvaCgkFb8cCA/edit?usp=sharing"",""สุรินทร์!I523"")"),5644536.7)</f>
        <v>5644536.7</v>
      </c>
      <c r="J628" s="374">
        <f>IFERROR(__xludf.DUMMYFUNCTION("IMPORTRANGE(""https://docs.google.com/spreadsheets/d/1XL5vhW3sbDhbH9Cz0tuDiY8C3ctxq1tqvaCgkFb8cCA/edit?usp=sharing"",""สุรินทร์!J523"")"),0.0)</f>
        <v>0</v>
      </c>
      <c r="K628" s="375">
        <f t="shared" ref="K628:K635" si="130">IF(I628&gt;0,J628*100/I628,0)</f>
        <v>0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IFERROR(__xludf.DUMMYFUNCTION("IMPORTRANGE(""https://docs.google.com/spreadsheets/d/1XL5vhW3sbDhbH9Cz0tuDiY8C3ctxq1tqvaCgkFb8cCA/edit?usp=sharing"",""สุรินทร์!I524"")"),315.0)</f>
        <v>315</v>
      </c>
      <c r="J629" s="374">
        <f>IFERROR(__xludf.DUMMYFUNCTION("IMPORTRANGE(""https://docs.google.com/spreadsheets/d/1XL5vhW3sbDhbH9Cz0tuDiY8C3ctxq1tqvaCgkFb8cCA/edit?usp=sharing"",""สุรินทร์!J524"")"),0.0)</f>
        <v>0</v>
      </c>
      <c r="K629" s="375">
        <f t="shared" si="130"/>
        <v>0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IFERROR(__xludf.DUMMYFUNCTION("IMPORTRANGE(""https://docs.google.com/spreadsheets/d/1XL5vhW3sbDhbH9Cz0tuDiY8C3ctxq1tqvaCgkFb8cCA/edit?usp=sharing"",""สุรินทร์!I525"")"),6686075.64)</f>
        <v>6686075.64</v>
      </c>
      <c r="J630" s="374">
        <f>IFERROR(__xludf.DUMMYFUNCTION("IMPORTRANGE(""https://docs.google.com/spreadsheets/d/1XL5vhW3sbDhbH9Cz0tuDiY8C3ctxq1tqvaCgkFb8cCA/edit?usp=sharing"",""สุรินทร์!J525"")"),109865.13)</f>
        <v>109865.13</v>
      </c>
      <c r="K630" s="375">
        <f t="shared" si="130"/>
        <v>1.643193046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IFERROR(__xludf.DUMMYFUNCTION("IMPORTRANGE(""https://docs.google.com/spreadsheets/d/1XL5vhW3sbDhbH9Cz0tuDiY8C3ctxq1tqvaCgkFb8cCA/edit?usp=sharing"",""สุรินทร์!I526"")"),420.0)</f>
        <v>420</v>
      </c>
      <c r="J631" s="374">
        <f>IFERROR(__xludf.DUMMYFUNCTION("IMPORTRANGE(""https://docs.google.com/spreadsheets/d/1XL5vhW3sbDhbH9Cz0tuDiY8C3ctxq1tqvaCgkFb8cCA/edit?usp=sharing"",""สุรินทร์!J526"")"),14.0)</f>
        <v>14</v>
      </c>
      <c r="K631" s="375">
        <f t="shared" si="130"/>
        <v>3.333333333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IFERROR(__xludf.DUMMYFUNCTION("IMPORTRANGE(""https://docs.google.com/spreadsheets/d/1XL5vhW3sbDhbH9Cz0tuDiY8C3ctxq1tqvaCgkFb8cCA/edit?usp=sharing"",""สุรินทร์!I527"")"),0.0)</f>
        <v>0</v>
      </c>
      <c r="J632" s="374">
        <f>IFERROR(__xludf.DUMMYFUNCTION("IMPORTRANGE(""https://docs.google.com/spreadsheets/d/1XL5vhW3sbDhbH9Cz0tuDiY8C3ctxq1tqvaCgkFb8cCA/edit?usp=sharing"",""สุรินทร์!J527"")"),107774.21)</f>
        <v>107774.21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IFERROR(__xludf.DUMMYFUNCTION("IMPORTRANGE(""https://docs.google.com/spreadsheets/d/1XL5vhW3sbDhbH9Cz0tuDiY8C3ctxq1tqvaCgkFb8cCA/edit?usp=sharing"",""สุรินทร์!I528"")"),0.0)</f>
        <v>0</v>
      </c>
      <c r="J633" s="374">
        <f>IFERROR(__xludf.DUMMYFUNCTION("IMPORTRANGE(""https://docs.google.com/spreadsheets/d/1XL5vhW3sbDhbH9Cz0tuDiY8C3ctxq1tqvaCgkFb8cCA/edit?usp=sharing"",""สุรินทร์!J528"")"),10.0)</f>
        <v>10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IFERROR(__xludf.DUMMYFUNCTION("IMPORTRANGE(""https://docs.google.com/spreadsheets/d/1XL5vhW3sbDhbH9Cz0tuDiY8C3ctxq1tqvaCgkFb8cCA/edit?usp=sharing"",""สุรินทร์!I529"")"),5000000.0)</f>
        <v>5000000</v>
      </c>
      <c r="J634" s="374">
        <f>IFERROR(__xludf.DUMMYFUNCTION("IMPORTRANGE(""https://docs.google.com/spreadsheets/d/1XL5vhW3sbDhbH9Cz0tuDiY8C3ctxq1tqvaCgkFb8cCA/edit?usp=sharing"",""สุรินทร์!J529"")"),0.0)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IFERROR(__xludf.DUMMYFUNCTION("IMPORTRANGE(""https://docs.google.com/spreadsheets/d/1XL5vhW3sbDhbH9Cz0tuDiY8C3ctxq1tqvaCgkFb8cCA/edit?usp=sharing"",""สุรินทร์!I530"")"),250.0)</f>
        <v>250</v>
      </c>
      <c r="J635" s="544">
        <f>IFERROR(__xludf.DUMMYFUNCTION("IMPORTRANGE(""https://docs.google.com/spreadsheets/d/1XL5vhW3sbDhbH9Cz0tuDiY8C3ctxq1tqvaCgkFb8cCA/edit?usp=sharing"",""สุรินทร์!J530"")"),0.0)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269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6814951</v>
      </c>
      <c r="M8" s="41">
        <f t="shared" si="1"/>
        <v>2082995</v>
      </c>
      <c r="N8" s="41">
        <f t="shared" si="1"/>
        <v>2095096.89</v>
      </c>
      <c r="O8" s="40">
        <f t="shared" ref="O8:O16" si="3">IF(L8&gt;0,N8*100/L8,0)</f>
        <v>30.74265523</v>
      </c>
      <c r="P8" s="40">
        <f t="shared" ref="P8:P16" si="4">IF(M8&gt;0,N8*100/M8,0)</f>
        <v>100.5809851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6814951</v>
      </c>
      <c r="M10" s="48">
        <f t="shared" si="5"/>
        <v>2082995</v>
      </c>
      <c r="N10" s="48">
        <f t="shared" si="5"/>
        <v>2095096.89</v>
      </c>
      <c r="O10" s="47">
        <f t="shared" si="3"/>
        <v>30.74265523</v>
      </c>
      <c r="P10" s="47">
        <f t="shared" si="4"/>
        <v>100.5809851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6348151</v>
      </c>
      <c r="M12" s="58">
        <f t="shared" si="7"/>
        <v>2082995</v>
      </c>
      <c r="N12" s="58">
        <f t="shared" si="7"/>
        <v>1628296.89</v>
      </c>
      <c r="O12" s="58">
        <f t="shared" si="3"/>
        <v>25.64993949</v>
      </c>
      <c r="P12" s="58">
        <f t="shared" si="4"/>
        <v>78.17094568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2251400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4096751</v>
      </c>
      <c r="M14" s="58">
        <f t="shared" si="9"/>
        <v>0</v>
      </c>
      <c r="N14" s="58">
        <f t="shared" si="9"/>
        <v>386018.89</v>
      </c>
      <c r="O14" s="61">
        <f t="shared" si="3"/>
        <v>9.422561684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466800</v>
      </c>
      <c r="M16" s="58">
        <f t="shared" si="11"/>
        <v>0</v>
      </c>
      <c r="N16" s="58">
        <f t="shared" si="11"/>
        <v>466800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4277095</v>
      </c>
      <c r="M18" s="41">
        <f t="shared" si="12"/>
        <v>2082995</v>
      </c>
      <c r="N18" s="41">
        <f t="shared" si="12"/>
        <v>1709078</v>
      </c>
      <c r="O18" s="40">
        <f t="shared" ref="O18:O20" si="14">IF(L18&gt;0,N18*100/L18,0)</f>
        <v>39.95885057</v>
      </c>
      <c r="P18" s="40">
        <f t="shared" ref="P18:P26" si="15">IF(M18&gt;0,N18*100/M18,0)</f>
        <v>82.04906877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4277095</v>
      </c>
      <c r="M20" s="48">
        <f t="shared" si="16"/>
        <v>2082995</v>
      </c>
      <c r="N20" s="48">
        <f t="shared" si="16"/>
        <v>1709078</v>
      </c>
      <c r="O20" s="47">
        <f t="shared" si="14"/>
        <v>39.95885057</v>
      </c>
      <c r="P20" s="47">
        <f t="shared" si="15"/>
        <v>82.04906877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3810295</v>
      </c>
      <c r="M22" s="62">
        <f t="shared" si="18"/>
        <v>2082995</v>
      </c>
      <c r="N22" s="61">
        <f t="shared" si="18"/>
        <v>1242278</v>
      </c>
      <c r="O22" s="61">
        <f t="shared" si="19"/>
        <v>32.60319739</v>
      </c>
      <c r="P22" s="61">
        <f t="shared" si="15"/>
        <v>59.63902938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2251400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1558895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466800</v>
      </c>
      <c r="M26" s="70">
        <f t="shared" si="23"/>
        <v>0</v>
      </c>
      <c r="N26" s="70">
        <f t="shared" si="23"/>
        <v>466800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2537856</v>
      </c>
      <c r="M28" s="41">
        <f t="shared" si="24"/>
        <v>0</v>
      </c>
      <c r="N28" s="41">
        <f t="shared" si="24"/>
        <v>386018.89</v>
      </c>
      <c r="O28" s="40">
        <f t="shared" ref="O28:O30" si="26">IF(L28&gt;0,N28*100/L28,0)</f>
        <v>15.21043314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2537856</v>
      </c>
      <c r="M30" s="48">
        <f t="shared" si="28"/>
        <v>0</v>
      </c>
      <c r="N30" s="48">
        <f t="shared" si="28"/>
        <v>386018.89</v>
      </c>
      <c r="O30" s="47">
        <f t="shared" si="26"/>
        <v>15.21043314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2537856</v>
      </c>
      <c r="M32" s="61">
        <f t="shared" si="30"/>
        <v>0</v>
      </c>
      <c r="N32" s="61">
        <f t="shared" si="30"/>
        <v>386018.89</v>
      </c>
      <c r="O32" s="61">
        <f t="shared" si="31"/>
        <v>15.21043314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2537856</v>
      </c>
      <c r="M34" s="61">
        <f t="shared" si="33"/>
        <v>0</v>
      </c>
      <c r="N34" s="61">
        <f t="shared" si="33"/>
        <v>386018.89</v>
      </c>
      <c r="O34" s="61">
        <f t="shared" si="31"/>
        <v>15.21043314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4277095</v>
      </c>
      <c r="M37" s="75">
        <f t="shared" si="34"/>
        <v>2082995</v>
      </c>
      <c r="N37" s="75">
        <f t="shared" si="34"/>
        <v>1709078</v>
      </c>
      <c r="O37" s="76">
        <f t="shared" si="31"/>
        <v>39.95885057</v>
      </c>
      <c r="P37" s="76">
        <f t="shared" si="27"/>
        <v>82.04906877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937100</v>
      </c>
      <c r="M41" s="102">
        <f t="shared" si="35"/>
        <v>420500</v>
      </c>
      <c r="N41" s="102">
        <f t="shared" si="35"/>
        <v>393099</v>
      </c>
      <c r="O41" s="101">
        <f t="shared" ref="O41:O43" si="37">IF(L41&gt;0,N41*100/L41,0)</f>
        <v>41.94845801</v>
      </c>
      <c r="P41" s="101">
        <f t="shared" ref="P41:P43" si="38">IF(M41&gt;0,N41*100/M41,0)</f>
        <v>93.48370987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937100</v>
      </c>
      <c r="M43" s="102">
        <f t="shared" si="39"/>
        <v>420500</v>
      </c>
      <c r="N43" s="102">
        <f t="shared" si="39"/>
        <v>393099</v>
      </c>
      <c r="O43" s="101">
        <f t="shared" si="37"/>
        <v>41.94845801</v>
      </c>
      <c r="P43" s="101">
        <f t="shared" si="38"/>
        <v>93.48370987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841100</v>
      </c>
      <c r="M45" s="115">
        <f>IFERROR(__xludf.DUMMYFUNCTION("IMPORTRANGE(""https://docs.google.com/spreadsheets/d/1Yj_ptqi66GCucihVvJfMjLAmec39IyEx_6qawtMGysU/edit?usp=sharing"",""สบก!Q53"")"),420500.0)</f>
        <v>420500</v>
      </c>
      <c r="N45" s="115">
        <f>IFERROR(__xludf.DUMMYFUNCTION("IMPORTRANGE(""https://docs.google.com/spreadsheets/d/1Yj_ptqi66GCucihVvJfMjLAmec39IyEx_6qawtMGysU/edit?usp=sharing"",""สบก!R53"")"),297099.0)</f>
        <v>297099</v>
      </c>
      <c r="O45" s="116">
        <f>IF(L45&gt;0,N45*100/L45,0)</f>
        <v>35.32267269</v>
      </c>
      <c r="P45" s="116">
        <f>IF(M45&gt;0,N45*100/M45,0)</f>
        <v>70.65374554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IFERROR(__xludf.DUMMYFUNCTION("IMPORTRANGE(""https://docs.google.com/spreadsheets/d/1Yj_ptqi66GCucihVvJfMjLAmec39IyEx_6qawtMGysU/edit?usp=sharing"",""สบก!M53"")"),841100.0)</f>
        <v>841100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IFERROR(__xludf.DUMMYFUNCTION("IMPORTRANGE(""https://docs.google.com/spreadsheets/d/1Yj_ptqi66GCucihVvJfMjLAmec39IyEx_6qawtMGysU/edit?usp=sharing"",""สบก!N53"")"),0.0)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IFERROR(__xludf.DUMMYFUNCTION("IMPORTRANGE(""https://docs.google.com/spreadsheets/d/1Yj_ptqi66GCucihVvJfMjLAmec39IyEx_6qawtMGysU/edit?usp=sharing"",""สบก!O53"")"),96000.0)</f>
        <v>96000</v>
      </c>
      <c r="M49" s="125"/>
      <c r="N49" s="115">
        <f>IFERROR(__xludf.DUMMYFUNCTION("IMPORTRANGE(""https://docs.google.com/spreadsheets/d/1Yj_ptqi66GCucihVvJfMjLAmec39IyEx_6qawtMGysU/edit?usp=sharing"",""สบก!S53"")"),96000.0)</f>
        <v>96000</v>
      </c>
      <c r="O49" s="125">
        <f>IF(L49&gt;0,N49*100/L49,0)</f>
        <v>100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676800</v>
      </c>
      <c r="M53" s="151">
        <f t="shared" si="40"/>
        <v>356040</v>
      </c>
      <c r="N53" s="151">
        <f t="shared" si="40"/>
        <v>248302</v>
      </c>
      <c r="O53" s="150">
        <f t="shared" ref="O53:O55" si="42">IF(L53&gt;0,N53*100/L53,0)</f>
        <v>36.68764775</v>
      </c>
      <c r="P53" s="150">
        <f t="shared" ref="P53:P55" si="43">IF(M53&gt;0,N53*100/M53,0)</f>
        <v>69.73991686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676800</v>
      </c>
      <c r="M55" s="151">
        <f t="shared" si="44"/>
        <v>356040</v>
      </c>
      <c r="N55" s="151">
        <f t="shared" si="44"/>
        <v>248302</v>
      </c>
      <c r="O55" s="150">
        <f t="shared" si="42"/>
        <v>36.68764775</v>
      </c>
      <c r="P55" s="150">
        <f t="shared" si="43"/>
        <v>69.73991686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676800</v>
      </c>
      <c r="M57" s="115">
        <f>IFERROR(__xludf.DUMMYFUNCTION("IMPORTRANGE(""https://docs.google.com/spreadsheets/d/1Yj_ptqi66GCucihVvJfMjLAmec39IyEx_6qawtMGysU/edit?usp=sharing"",""สบก!Z53"")"),356040.0)</f>
        <v>356040</v>
      </c>
      <c r="N57" s="115">
        <f>IFERROR(__xludf.DUMMYFUNCTION("IMPORTRANGE(""https://docs.google.com/spreadsheets/d/1Yj_ptqi66GCucihVvJfMjLAmec39IyEx_6qawtMGysU/edit?usp=sharing"",""สบก!AA53"")"),248302.0)</f>
        <v>248302</v>
      </c>
      <c r="O57" s="116">
        <f>IF(L57&gt;0,N57*100/L57,0)</f>
        <v>36.68764775</v>
      </c>
      <c r="P57" s="116">
        <f>IF(M57&gt;0,N57*100/M57,0)</f>
        <v>69.73991686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IFERROR(__xludf.DUMMYFUNCTION("IMPORTRANGE(""https://docs.google.com/spreadsheets/d/1Yj_ptqi66GCucihVvJfMjLAmec39IyEx_6qawtMGysU/edit?usp=sharing"",""สบก!V53"")"),676800.0)</f>
        <v>676800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IFERROR(__xludf.DUMMYFUNCTION("IMPORTRANGE(""https://docs.google.com/spreadsheets/d/1Yj_ptqi66GCucihVvJfMjLAmec39IyEx_6qawtMGysU/edit?usp=sharing"",""สบก!W53"")"),0.0)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IFERROR(__xludf.DUMMYFUNCTION("IMPORTRANGE(""https://docs.google.com/spreadsheets/d/1Yj_ptqi66GCucihVvJfMjLAmec39IyEx_6qawtMGysU/edit?usp=sharing"",""สบก!X53"")"),0.0)</f>
        <v>0</v>
      </c>
      <c r="M61" s="125"/>
      <c r="N61" s="115">
        <f>IFERROR(__xludf.DUMMYFUNCTION("IMPORTRANGE(""https://docs.google.com/spreadsheets/d/1Yj_ptqi66GCucihVvJfMjLAmec39IyEx_6qawtMGysU/edit?usp=sharing"",""สบก!AB53"")"),0.0)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IFERROR(__xludf.DUMMYFUNCTION("IMPORTRANGE(""https://docs.google.com/spreadsheets/d/1XL5vhW3sbDhbH9Cz0tuDiY8C3ctxq1tqvaCgkFb8cCA/edit?usp=sharing"",""หนองคาย!I9"")"),1.0)</f>
        <v>1</v>
      </c>
      <c r="J64" s="172">
        <f>IFERROR(__xludf.DUMMYFUNCTION("IMPORTRANGE(""https://docs.google.com/spreadsheets/d/1XL5vhW3sbDhbH9Cz0tuDiY8C3ctxq1tqvaCgkFb8cCA/edit?usp=sharing"",""หนองคาย!J9"")"),1.0)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IFERROR(__xludf.DUMMYFUNCTION("IMPORTRANGE(""https://docs.google.com/spreadsheets/d/1XL5vhW3sbDhbH9Cz0tuDiY8C3ctxq1tqvaCgkFb8cCA/edit?usp=sharing"",""หนองคาย!I10"")"),64.0)</f>
        <v>64</v>
      </c>
      <c r="J65" s="172">
        <f>IFERROR(__xludf.DUMMYFUNCTION("IMPORTRANGE(""https://docs.google.com/spreadsheets/d/1XL5vhW3sbDhbH9Cz0tuDiY8C3ctxq1tqvaCgkFb8cCA/edit?usp=sharing"",""หนองคาย!J10"")"),64.0)</f>
        <v>64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874700</v>
      </c>
      <c r="M66" s="183">
        <f t="shared" si="46"/>
        <v>474020</v>
      </c>
      <c r="N66" s="183">
        <f t="shared" si="46"/>
        <v>253258</v>
      </c>
      <c r="O66" s="182">
        <f t="shared" ref="O66:O68" si="48">IF(L66&gt;0,N66*100/L66,0)</f>
        <v>28.95369841</v>
      </c>
      <c r="P66" s="182">
        <f t="shared" ref="P66:P68" si="49">IF(M66&gt;0,N66*100/M66,0)</f>
        <v>53.42770347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874700</v>
      </c>
      <c r="M68" s="188">
        <f t="shared" si="50"/>
        <v>474020</v>
      </c>
      <c r="N68" s="188">
        <f t="shared" si="50"/>
        <v>253258</v>
      </c>
      <c r="O68" s="187">
        <f t="shared" si="48"/>
        <v>28.95369841</v>
      </c>
      <c r="P68" s="187">
        <f t="shared" si="49"/>
        <v>53.42770347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874700</v>
      </c>
      <c r="M70" s="201">
        <f>IFERROR(__xludf.DUMMYFUNCTION("IMPORTRANGE(""https://docs.google.com/spreadsheets/d/1Yj_ptqi66GCucihVvJfMjLAmec39IyEx_6qawtMGysU/edit?usp=sharing"",""สบก!AI53"")"),474020.0)</f>
        <v>474020</v>
      </c>
      <c r="N70" s="202">
        <f>IFERROR(__xludf.DUMMYFUNCTION("IMPORTRANGE(""https://docs.google.com/spreadsheets/d/1Yj_ptqi66GCucihVvJfMjLAmec39IyEx_6qawtMGysU/edit?usp=sharing"",""สบก!AJ53"")"),253258.0)</f>
        <v>253258</v>
      </c>
      <c r="O70" s="203">
        <f>IF(L70&gt;0,N70*100/L70,0)</f>
        <v>28.95369841</v>
      </c>
      <c r="P70" s="203">
        <f>IF(M70&gt;0,N70*100/M70,0)</f>
        <v>53.42770347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IFERROR(__xludf.DUMMYFUNCTION("IMPORTRANGE(""https://docs.google.com/spreadsheets/d/1Yj_ptqi66GCucihVvJfMjLAmec39IyEx_6qawtMGysU/edit?usp=sharing"",""สบก!AE53"")"),315900.0)</f>
        <v>315900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IFERROR(__xludf.DUMMYFUNCTION("IMPORTRANGE(""https://docs.google.com/spreadsheets/d/1Yj_ptqi66GCucihVvJfMjLAmec39IyEx_6qawtMGysU/edit?usp=sharing"",""สบก!AF53"")"),558800.0)</f>
        <v>558800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IFERROR(__xludf.DUMMYFUNCTION("IMPORTRANGE(""https://docs.google.com/spreadsheets/d/1Yj_ptqi66GCucihVvJfMjLAmec39IyEx_6qawtMGysU/edit?usp=sharing"",""สบก!AG53"")"),0.0)</f>
        <v>0</v>
      </c>
      <c r="M74" s="125"/>
      <c r="N74" s="115">
        <f>IFERROR(__xludf.DUMMYFUNCTION("IMPORTRANGE(""https://docs.google.com/spreadsheets/d/1Yj_ptqi66GCucihVvJfMjLAmec39IyEx_6qawtMGysU/edit?usp=sharing"",""สบก!AK53"")"),0.0)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IFERROR(__xludf.DUMMYFUNCTION("IMPORTRANGE(""https://docs.google.com/spreadsheets/d/1XL5vhW3sbDhbH9Cz0tuDiY8C3ctxq1tqvaCgkFb8cCA/edit?usp=sharing"",""หนองคาย!J16"")"),0.0)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IFERROR(__xludf.DUMMYFUNCTION("IMPORTRANGE(""https://docs.google.com/spreadsheets/d/1XL5vhW3sbDhbH9Cz0tuDiY8C3ctxq1tqvaCgkFb8cCA/edit?usp=sharing"",""หนองคาย!J17"")"),1.0)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IFERROR(__xludf.DUMMYFUNCTION("IMPORTRANGE(""https://docs.google.com/spreadsheets/d/1XL5vhW3sbDhbH9Cz0tuDiY8C3ctxq1tqvaCgkFb8cCA/edit?usp=sharing"",""หนองคาย!J18"")"),1.0)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IFERROR(__xludf.DUMMYFUNCTION("IMPORTRANGE(""https://docs.google.com/spreadsheets/d/1XL5vhW3sbDhbH9Cz0tuDiY8C3ctxq1tqvaCgkFb8cCA/edit?usp=sharing"",""หนองคาย!J19"")"),1.0)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IFERROR(__xludf.DUMMYFUNCTION("IMPORTRANGE(""https://docs.google.com/spreadsheets/d/1XL5vhW3sbDhbH9Cz0tuDiY8C3ctxq1tqvaCgkFb8cCA/edit?usp=sharing"",""หนองคาย!I20"")"),1.0)</f>
        <v>1</v>
      </c>
      <c r="J80" s="235">
        <f>IFERROR(__xludf.DUMMYFUNCTION("IMPORTRANGE(""https://docs.google.com/spreadsheets/d/1XL5vhW3sbDhbH9Cz0tuDiY8C3ctxq1tqvaCgkFb8cCA/edit?usp=sharing"",""หนองคาย!J20"")"),1.0)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IFERROR(__xludf.DUMMYFUNCTION("IMPORTRANGE(""https://docs.google.com/spreadsheets/d/1XL5vhW3sbDhbH9Cz0tuDiY8C3ctxq1tqvaCgkFb8cCA/edit?usp=sharing"",""หนองคาย!I21"")"),64.0)</f>
        <v>64</v>
      </c>
      <c r="J81" s="235">
        <f>IFERROR(__xludf.DUMMYFUNCTION("IMPORTRANGE(""https://docs.google.com/spreadsheets/d/1XL5vhW3sbDhbH9Cz0tuDiY8C3ctxq1tqvaCgkFb8cCA/edit?usp=sharing"",""หนองคาย!J21"")"),64.0)</f>
        <v>64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IFERROR(__xludf.DUMMYFUNCTION("IMPORTRANGE(""https://docs.google.com/spreadsheets/d/1XL5vhW3sbDhbH9Cz0tuDiY8C3ctxq1tqvaCgkFb8cCA/edit?usp=sharing"",""หนองคาย!I22"")"),0.0)</f>
        <v>0</v>
      </c>
      <c r="J82" s="238">
        <f>IFERROR(__xludf.DUMMYFUNCTION("IMPORTRANGE(""https://docs.google.com/spreadsheets/d/1XL5vhW3sbDhbH9Cz0tuDiY8C3ctxq1tqvaCgkFb8cCA/edit?usp=sharing"",""หนองคาย!J22"")"),0.0)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IFERROR(__xludf.DUMMYFUNCTION("IMPORTRANGE(""https://docs.google.com/spreadsheets/d/1XL5vhW3sbDhbH9Cz0tuDiY8C3ctxq1tqvaCgkFb8cCA/edit?usp=sharing"",""หนองคาย!I23"")"),0.0)</f>
        <v>0</v>
      </c>
      <c r="J83" s="238">
        <f>IFERROR(__xludf.DUMMYFUNCTION("IMPORTRANGE(""https://docs.google.com/spreadsheets/d/1XL5vhW3sbDhbH9Cz0tuDiY8C3ctxq1tqvaCgkFb8cCA/edit?usp=sharing"",""หนองคาย!J23"")"),0.0)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IFERROR(__xludf.DUMMYFUNCTION("IMPORTRANGE(""https://docs.google.com/spreadsheets/d/1XL5vhW3sbDhbH9Cz0tuDiY8C3ctxq1tqvaCgkFb8cCA/edit?usp=sharing"",""หนองคาย!I24"")"),1.0)</f>
        <v>1</v>
      </c>
      <c r="J84" s="223">
        <f>IFERROR(__xludf.DUMMYFUNCTION("IMPORTRANGE(""https://docs.google.com/spreadsheets/d/1XL5vhW3sbDhbH9Cz0tuDiY8C3ctxq1tqvaCgkFb8cCA/edit?usp=sharing"",""หนองคาย!J24"")"),1.0)</f>
        <v>1</v>
      </c>
      <c r="K84" s="196">
        <f t="shared" si="51"/>
        <v>100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IFERROR(__xludf.DUMMYFUNCTION("IMPORTRANGE(""https://docs.google.com/spreadsheets/d/1XL5vhW3sbDhbH9Cz0tuDiY8C3ctxq1tqvaCgkFb8cCA/edit?usp=sharing"",""หนองคาย!I25"")"),64.0)</f>
        <v>64</v>
      </c>
      <c r="J85" s="223">
        <f>IFERROR(__xludf.DUMMYFUNCTION("IMPORTRANGE(""https://docs.google.com/spreadsheets/d/1XL5vhW3sbDhbH9Cz0tuDiY8C3ctxq1tqvaCgkFb8cCA/edit?usp=sharing"",""หนองคาย!J25"")"),64.0)</f>
        <v>64</v>
      </c>
      <c r="K85" s="196">
        <f t="shared" si="51"/>
        <v>100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IFERROR(__xludf.DUMMYFUNCTION("IMPORTRANGE(""https://docs.google.com/spreadsheets/d/1XL5vhW3sbDhbH9Cz0tuDiY8C3ctxq1tqvaCgkFb8cCA/edit?usp=sharing"",""หนองคาย!I26"")"),0.0)</f>
        <v>0</v>
      </c>
      <c r="J86" s="238">
        <f>IFERROR(__xludf.DUMMYFUNCTION("IMPORTRANGE(""https://docs.google.com/spreadsheets/d/1XL5vhW3sbDhbH9Cz0tuDiY8C3ctxq1tqvaCgkFb8cCA/edit?usp=sharing"",""หนองคาย!J26"")"),0.0)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IFERROR(__xludf.DUMMYFUNCTION("IMPORTRANGE(""https://docs.google.com/spreadsheets/d/1XL5vhW3sbDhbH9Cz0tuDiY8C3ctxq1tqvaCgkFb8cCA/edit?usp=sharing"",""หนองคาย!I27"")"),0.0)</f>
        <v>0</v>
      </c>
      <c r="J87" s="238">
        <f>IFERROR(__xludf.DUMMYFUNCTION("IMPORTRANGE(""https://docs.google.com/spreadsheets/d/1XL5vhW3sbDhbH9Cz0tuDiY8C3ctxq1tqvaCgkFb8cCA/edit?usp=sharing"",""หนองคาย!J27"")"),0.0)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IFERROR(__xludf.DUMMYFUNCTION("IMPORTRANGE(""https://docs.google.com/spreadsheets/d/1XL5vhW3sbDhbH9Cz0tuDiY8C3ctxq1tqvaCgkFb8cCA/edit?usp=sharing"",""หนองคาย!I28"")"),0.0)</f>
        <v>0</v>
      </c>
      <c r="J88" s="238">
        <f>IFERROR(__xludf.DUMMYFUNCTION("IMPORTRANGE(""https://docs.google.com/spreadsheets/d/1XL5vhW3sbDhbH9Cz0tuDiY8C3ctxq1tqvaCgkFb8cCA/edit?usp=sharing"",""หนองคาย!J28"")"),0.0)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IFERROR(__xludf.DUMMYFUNCTION("IMPORTRANGE(""https://docs.google.com/spreadsheets/d/1XL5vhW3sbDhbH9Cz0tuDiY8C3ctxq1tqvaCgkFb8cCA/edit?usp=sharing"",""หนองคาย!J29"")"),0.0)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IFERROR(__xludf.DUMMYFUNCTION("IMPORTRANGE(""https://docs.google.com/spreadsheets/d/1XL5vhW3sbDhbH9Cz0tuDiY8C3ctxq1tqvaCgkFb8cCA/edit?usp=sharing"",""หนองคาย!J30"")"),0.0)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IFERROR(__xludf.DUMMYFUNCTION("IMPORTRANGE(""https://docs.google.com/spreadsheets/d/1XL5vhW3sbDhbH9Cz0tuDiY8C3ctxq1tqvaCgkFb8cCA/edit?usp=sharing"",""หนองคาย!I32"")"),7.0)</f>
        <v>7</v>
      </c>
      <c r="J92" s="172">
        <f>IFERROR(__xludf.DUMMYFUNCTION("IMPORTRANGE(""https://docs.google.com/spreadsheets/d/1XL5vhW3sbDhbH9Cz0tuDiY8C3ctxq1tqvaCgkFb8cCA/edit?usp=sharing"",""หนองคาย!J32"")"),0.0)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IFERROR(__xludf.DUMMYFUNCTION("IMPORTRANGE(""https://docs.google.com/spreadsheets/d/1XL5vhW3sbDhbH9Cz0tuDiY8C3ctxq1tqvaCgkFb8cCA/edit?usp=sharing"",""หนองคาย!I33"")"),2.0)</f>
        <v>2</v>
      </c>
      <c r="J93" s="172">
        <f>IFERROR(__xludf.DUMMYFUNCTION("IMPORTRANGE(""https://docs.google.com/spreadsheets/d/1XL5vhW3sbDhbH9Cz0tuDiY8C3ctxq1tqvaCgkFb8cCA/edit?usp=sharing"",""หนองคาย!J33"")"),1.0)</f>
        <v>1</v>
      </c>
      <c r="K93" s="173">
        <f t="shared" si="52"/>
        <v>50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319800</v>
      </c>
      <c r="M94" s="183">
        <f t="shared" si="53"/>
        <v>80790</v>
      </c>
      <c r="N94" s="183">
        <f t="shared" si="53"/>
        <v>199860</v>
      </c>
      <c r="O94" s="182">
        <f t="shared" ref="O94:O96" si="55">IF(L94&gt;0,N94*100/L94,0)</f>
        <v>62.49530957</v>
      </c>
      <c r="P94" s="182">
        <f t="shared" ref="P94:P96" si="56">IF(M94&gt;0,N94*100/M94,0)</f>
        <v>247.3821017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319800</v>
      </c>
      <c r="M96" s="188">
        <f t="shared" si="57"/>
        <v>80790</v>
      </c>
      <c r="N96" s="188">
        <f t="shared" si="57"/>
        <v>199860</v>
      </c>
      <c r="O96" s="187">
        <f t="shared" si="55"/>
        <v>62.49530957</v>
      </c>
      <c r="P96" s="187">
        <f t="shared" si="56"/>
        <v>247.3821017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135000</v>
      </c>
      <c r="M98" s="201">
        <f>IFERROR(__xludf.DUMMYFUNCTION("IMPORTRANGE(""https://docs.google.com/spreadsheets/d/1Yj_ptqi66GCucihVvJfMjLAmec39IyEx_6qawtMGysU/edit?usp=sharing"",""สบก!AR53"")"),80790.0)</f>
        <v>80790</v>
      </c>
      <c r="N98" s="202">
        <f>IFERROR(__xludf.DUMMYFUNCTION("IMPORTRANGE(""https://docs.google.com/spreadsheets/d/1Yj_ptqi66GCucihVvJfMjLAmec39IyEx_6qawtMGysU/edit?usp=sharing"",""สบก!AS53"")"),15060.0)</f>
        <v>15060</v>
      </c>
      <c r="O98" s="203">
        <f>IF(L98&gt;0,N98*100/L98,0)</f>
        <v>11.15555556</v>
      </c>
      <c r="P98" s="203">
        <f>IF(M98&gt;0,N98*100/M98,0)</f>
        <v>18.64092091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IFERROR(__xludf.DUMMYFUNCTION("IMPORTRANGE(""https://docs.google.com/spreadsheets/d/1Yj_ptqi66GCucihVvJfMjLAmec39IyEx_6qawtMGysU/edit?usp=sharing"",""สบก!AN53"")"),0.0)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IFERROR(__xludf.DUMMYFUNCTION("IMPORTRANGE(""https://docs.google.com/spreadsheets/d/1Yj_ptqi66GCucihVvJfMjLAmec39IyEx_6qawtMGysU/edit?usp=sharing"",""สบก!AO53"")"),135000.0)</f>
        <v>135000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IFERROR(__xludf.DUMMYFUNCTION("IMPORTRANGE(""https://docs.google.com/spreadsheets/d/1Yj_ptqi66GCucihVvJfMjLAmec39IyEx_6qawtMGysU/edit?usp=sharing"",""สบก!AP53"")"),184800.0)</f>
        <v>184800</v>
      </c>
      <c r="M102" s="125"/>
      <c r="N102" s="115">
        <f>IFERROR(__xludf.DUMMYFUNCTION("IMPORTRANGE(""https://docs.google.com/spreadsheets/d/1Yj_ptqi66GCucihVvJfMjLAmec39IyEx_6qawtMGysU/edit?usp=sharing"",""สบก!AT53"")"),184800.0)</f>
        <v>184800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IFERROR(__xludf.DUMMYFUNCTION("IMPORTRANGE(""https://docs.google.com/spreadsheets/d/1XL5vhW3sbDhbH9Cz0tuDiY8C3ctxq1tqvaCgkFb8cCA/edit?usp=sharing"",""หนองคาย!J39"")"),0.0)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IFERROR(__xludf.DUMMYFUNCTION("IMPORTRANGE(""https://docs.google.com/spreadsheets/d/1XL5vhW3sbDhbH9Cz0tuDiY8C3ctxq1tqvaCgkFb8cCA/edit?usp=sharing"",""หนองคาย!J40"")"),1.0)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IFERROR(__xludf.DUMMYFUNCTION("IMPORTRANGE(""https://docs.google.com/spreadsheets/d/1XL5vhW3sbDhbH9Cz0tuDiY8C3ctxq1tqvaCgkFb8cCA/edit?usp=sharing"",""หนองคาย!J41"")"),1.0)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IFERROR(__xludf.DUMMYFUNCTION("IMPORTRANGE(""https://docs.google.com/spreadsheets/d/1XL5vhW3sbDhbH9Cz0tuDiY8C3ctxq1tqvaCgkFb8cCA/edit?usp=sharing"",""หนองคาย!J42"")"),1.0)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IFERROR(__xludf.DUMMYFUNCTION("IMPORTRANGE(""https://docs.google.com/spreadsheets/d/1XL5vhW3sbDhbH9Cz0tuDiY8C3ctxq1tqvaCgkFb8cCA/edit?usp=sharing"",""หนองคาย!I43"")"),1.0)</f>
        <v>1</v>
      </c>
      <c r="J108" s="238">
        <f>IFERROR(__xludf.DUMMYFUNCTION("IMPORTRANGE(""https://docs.google.com/spreadsheets/d/1XL5vhW3sbDhbH9Cz0tuDiY8C3ctxq1tqvaCgkFb8cCA/edit?usp=sharing"",""หนองคาย!J43"")"),0.0)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IFERROR(__xludf.DUMMYFUNCTION("IMPORTRANGE(""https://docs.google.com/spreadsheets/d/1XL5vhW3sbDhbH9Cz0tuDiY8C3ctxq1tqvaCgkFb8cCA/edit?usp=sharing"",""หนองคาย!I44"")"),7.0)</f>
        <v>7</v>
      </c>
      <c r="J109" s="238">
        <f>IFERROR(__xludf.DUMMYFUNCTION("IMPORTRANGE(""https://docs.google.com/spreadsheets/d/1XL5vhW3sbDhbH9Cz0tuDiY8C3ctxq1tqvaCgkFb8cCA/edit?usp=sharing"",""หนองคาย!J44"")"),0.0)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IFERROR(__xludf.DUMMYFUNCTION("IMPORTRANGE(""https://docs.google.com/spreadsheets/d/1XL5vhW3sbDhbH9Cz0tuDiY8C3ctxq1tqvaCgkFb8cCA/edit?usp=sharing"",""หนองคาย!I45"")"),7.0)</f>
        <v>7</v>
      </c>
      <c r="J110" s="238">
        <f>IFERROR(__xludf.DUMMYFUNCTION("IMPORTRANGE(""https://docs.google.com/spreadsheets/d/1XL5vhW3sbDhbH9Cz0tuDiY8C3ctxq1tqvaCgkFb8cCA/edit?usp=sharing"",""หนองคาย!J45"")"),8.0)</f>
        <v>8</v>
      </c>
      <c r="K110" s="258">
        <f t="shared" si="58"/>
        <v>114.2857143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IFERROR(__xludf.DUMMYFUNCTION("IMPORTRANGE(""https://docs.google.com/spreadsheets/d/1XL5vhW3sbDhbH9Cz0tuDiY8C3ctxq1tqvaCgkFb8cCA/edit?usp=sharing"",""หนองคาย!I46"")"),7.0)</f>
        <v>7</v>
      </c>
      <c r="J111" s="238">
        <f>IFERROR(__xludf.DUMMYFUNCTION("IMPORTRANGE(""https://docs.google.com/spreadsheets/d/1XL5vhW3sbDhbH9Cz0tuDiY8C3ctxq1tqvaCgkFb8cCA/edit?usp=sharing"",""หนองคาย!J46"")"),0.0)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IFERROR(__xludf.DUMMYFUNCTION("IMPORTRANGE(""https://docs.google.com/spreadsheets/d/1XL5vhW3sbDhbH9Cz0tuDiY8C3ctxq1tqvaCgkFb8cCA/edit?usp=sharing"",""หนองคาย!I47"")"),7.0)</f>
        <v>7</v>
      </c>
      <c r="J112" s="238">
        <f>IFERROR(__xludf.DUMMYFUNCTION("IMPORTRANGE(""https://docs.google.com/spreadsheets/d/1XL5vhW3sbDhbH9Cz0tuDiY8C3ctxq1tqvaCgkFb8cCA/edit?usp=sharing"",""หนองคาย!J47"")"),0.0)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IFERROR(__xludf.DUMMYFUNCTION("IMPORTRANGE(""https://docs.google.com/spreadsheets/d/1XL5vhW3sbDhbH9Cz0tuDiY8C3ctxq1tqvaCgkFb8cCA/edit?usp=sharing"",""หนองคาย!I48"")"),2.0)</f>
        <v>2</v>
      </c>
      <c r="J113" s="238">
        <f>IFERROR(__xludf.DUMMYFUNCTION("IMPORTRANGE(""https://docs.google.com/spreadsheets/d/1XL5vhW3sbDhbH9Cz0tuDiY8C3ctxq1tqvaCgkFb8cCA/edit?usp=sharing"",""หนองคาย!J48"")"),1.0)</f>
        <v>1</v>
      </c>
      <c r="K113" s="258">
        <f t="shared" si="58"/>
        <v>50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IFERROR(__xludf.DUMMYFUNCTION("IMPORTRANGE(""https://docs.google.com/spreadsheets/d/1XL5vhW3sbDhbH9Cz0tuDiY8C3ctxq1tqvaCgkFb8cCA/edit?usp=sharing"",""หนองคาย!J49"")"),0.0)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IFERROR(__xludf.DUMMYFUNCTION("IMPORTRANGE(""https://docs.google.com/spreadsheets/d/1XL5vhW3sbDhbH9Cz0tuDiY8C3ctxq1tqvaCgkFb8cCA/edit?usp=sharing"",""หนองคาย!J50"")"),0.0)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IFERROR(__xludf.DUMMYFUNCTION("IMPORTRANGE(""https://docs.google.com/spreadsheets/d/1XL5vhW3sbDhbH9Cz0tuDiY8C3ctxq1tqvaCgkFb8cCA/edit?usp=sharing"",""หนองคาย!I52"")"),20.0)</f>
        <v>20</v>
      </c>
      <c r="J117" s="172">
        <f>IFERROR(__xludf.DUMMYFUNCTION("IMPORTRANGE(""https://docs.google.com/spreadsheets/d/1XL5vhW3sbDhbH9Cz0tuDiY8C3ctxq1tqvaCgkFb8cCA/edit?usp=sharing"",""หนองคาย!J52"")"),20.0)</f>
        <v>20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82440</v>
      </c>
      <c r="M118" s="183">
        <f t="shared" si="59"/>
        <v>66440</v>
      </c>
      <c r="N118" s="183">
        <f t="shared" si="59"/>
        <v>20040</v>
      </c>
      <c r="O118" s="182">
        <f t="shared" ref="O118:O120" si="61">IF(L118&gt;0,N118*100/L118,0)</f>
        <v>24.30858806</v>
      </c>
      <c r="P118" s="182">
        <f t="shared" ref="P118:P120" si="62">IF(M118&gt;0,N118*100/M118,0)</f>
        <v>30.16255268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82440</v>
      </c>
      <c r="M120" s="188">
        <f t="shared" si="63"/>
        <v>66440</v>
      </c>
      <c r="N120" s="188">
        <f t="shared" si="63"/>
        <v>20040</v>
      </c>
      <c r="O120" s="187">
        <f t="shared" si="61"/>
        <v>24.30858806</v>
      </c>
      <c r="P120" s="187">
        <f t="shared" si="62"/>
        <v>30.16255268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82440</v>
      </c>
      <c r="M122" s="201">
        <f>IFERROR(__xludf.DUMMYFUNCTION("IMPORTRANGE(""https://docs.google.com/spreadsheets/d/1Yj_ptqi66GCucihVvJfMjLAmec39IyEx_6qawtMGysU/edit?usp=sharing"",""สบก!BA53"")"),66440.0)</f>
        <v>66440</v>
      </c>
      <c r="N122" s="202">
        <f>IFERROR(__xludf.DUMMYFUNCTION("IMPORTRANGE(""https://docs.google.com/spreadsheets/d/1Yj_ptqi66GCucihVvJfMjLAmec39IyEx_6qawtMGysU/edit?usp=sharing"",""สบก!BB53"")"),20040.0)</f>
        <v>20040</v>
      </c>
      <c r="O122" s="203">
        <f>IF(L122&gt;0,N122*100/L122,0)</f>
        <v>24.30858806</v>
      </c>
      <c r="P122" s="203">
        <f>IF(M122&gt;0,N122*100/M122,0)</f>
        <v>30.16255268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IFERROR(__xludf.DUMMYFUNCTION("IMPORTRANGE(""https://docs.google.com/spreadsheets/d/1Yj_ptqi66GCucihVvJfMjLAmec39IyEx_6qawtMGysU/edit?usp=sharing"",""สบก!AW53"")"),0.0)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IFERROR(__xludf.DUMMYFUNCTION("IMPORTRANGE(""https://docs.google.com/spreadsheets/d/1Yj_ptqi66GCucihVvJfMjLAmec39IyEx_6qawtMGysU/edit?usp=sharing"",""สบก!AX53"")"),82440.0)</f>
        <v>82440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IFERROR(__xludf.DUMMYFUNCTION("IMPORTRANGE(""https://docs.google.com/spreadsheets/d/1Yj_ptqi66GCucihVvJfMjLAmec39IyEx_6qawtMGysU/edit?usp=sharing"",""สบก!AY53"")"),0.0)</f>
        <v>0</v>
      </c>
      <c r="M126" s="125"/>
      <c r="N126" s="115">
        <f>IFERROR(__xludf.DUMMYFUNCTION("IMPORTRANGE(""https://docs.google.com/spreadsheets/d/1Yj_ptqi66GCucihVvJfMjLAmec39IyEx_6qawtMGysU/edit?usp=sharing"",""สบก!BC53"")"),0.0)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IFERROR(__xludf.DUMMYFUNCTION("IMPORTRANGE(""https://docs.google.com/spreadsheets/d/1XL5vhW3sbDhbH9Cz0tuDiY8C3ctxq1tqvaCgkFb8cCA/edit?usp=sharing"",""หนองคาย!J58"")"),0.0)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IFERROR(__xludf.DUMMYFUNCTION("IMPORTRANGE(""https://docs.google.com/spreadsheets/d/1XL5vhW3sbDhbH9Cz0tuDiY8C3ctxq1tqvaCgkFb8cCA/edit?usp=sharing"",""หนองคาย!J59"")"),1.0)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IFERROR(__xludf.DUMMYFUNCTION("IMPORTRANGE(""https://docs.google.com/spreadsheets/d/1XL5vhW3sbDhbH9Cz0tuDiY8C3ctxq1tqvaCgkFb8cCA/edit?usp=sharing"",""หนองคาย!J60"")"),1.0)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IFERROR(__xludf.DUMMYFUNCTION("IMPORTRANGE(""https://docs.google.com/spreadsheets/d/1XL5vhW3sbDhbH9Cz0tuDiY8C3ctxq1tqvaCgkFb8cCA/edit?usp=sharing"",""หนองคาย!J61"")"),1.0)</f>
        <v>1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IFERROR(__xludf.DUMMYFUNCTION("IMPORTRANGE(""https://docs.google.com/spreadsheets/d/1XL5vhW3sbDhbH9Cz0tuDiY8C3ctxq1tqvaCgkFb8cCA/edit?usp=sharing"",""หนองคาย!I62"")"),20.0)</f>
        <v>20</v>
      </c>
      <c r="J132" s="238">
        <f>IFERROR(__xludf.DUMMYFUNCTION("IMPORTRANGE(""https://docs.google.com/spreadsheets/d/1XL5vhW3sbDhbH9Cz0tuDiY8C3ctxq1tqvaCgkFb8cCA/edit?usp=sharing"",""หนองคาย!J62"")"),20.0)</f>
        <v>20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IFERROR(__xludf.DUMMYFUNCTION("IMPORTRANGE(""https://docs.google.com/spreadsheets/d/1XL5vhW3sbDhbH9Cz0tuDiY8C3ctxq1tqvaCgkFb8cCA/edit?usp=sharing"",""หนองคาย!I63"")"),20.0)</f>
        <v>20</v>
      </c>
      <c r="J133" s="238">
        <f>IFERROR(__xludf.DUMMYFUNCTION("IMPORTRANGE(""https://docs.google.com/spreadsheets/d/1XL5vhW3sbDhbH9Cz0tuDiY8C3ctxq1tqvaCgkFb8cCA/edit?usp=sharing"",""หนองคาย!J63"")"),0.0)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IFERROR(__xludf.DUMMYFUNCTION("IMPORTRANGE(""https://docs.google.com/spreadsheets/d/1XL5vhW3sbDhbH9Cz0tuDiY8C3ctxq1tqvaCgkFb8cCA/edit?usp=sharing"",""หนองคาย!J64"")"),0.0)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IFERROR(__xludf.DUMMYFUNCTION("IMPORTRANGE(""https://docs.google.com/spreadsheets/d/1XL5vhW3sbDhbH9Cz0tuDiY8C3ctxq1tqvaCgkFb8cCA/edit?usp=sharing"",""หนองคาย!J65"")"),0.0)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IFERROR(__xludf.DUMMYFUNCTION("IMPORTRANGE(""https://docs.google.com/spreadsheets/d/1XL5vhW3sbDhbH9Cz0tuDiY8C3ctxq1tqvaCgkFb8cCA/edit?usp=sharing"",""หนองคาย!I68"")"),0.0)</f>
        <v>0</v>
      </c>
      <c r="J138" s="301">
        <f>IFERROR(__xludf.DUMMYFUNCTION("IMPORTRANGE(""https://docs.google.com/spreadsheets/d/1XL5vhW3sbDhbH9Cz0tuDiY8C3ctxq1tqvaCgkFb8cCA/edit?usp=sharing"",""หนองคาย!J68"")"),0.0)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79000</v>
      </c>
      <c r="M140" s="183">
        <f t="shared" si="65"/>
        <v>55750</v>
      </c>
      <c r="N140" s="183">
        <f t="shared" si="65"/>
        <v>52290</v>
      </c>
      <c r="O140" s="182">
        <f t="shared" ref="O140:O142" si="67">IF(L140&gt;0,N140*100/L140,0)</f>
        <v>66.18987342</v>
      </c>
      <c r="P140" s="182">
        <f t="shared" ref="P140:P142" si="68">IF(M140&gt;0,N140*100/M140,0)</f>
        <v>93.79372197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79000</v>
      </c>
      <c r="M142" s="188">
        <f t="shared" si="69"/>
        <v>55750</v>
      </c>
      <c r="N142" s="188">
        <f t="shared" si="69"/>
        <v>52290</v>
      </c>
      <c r="O142" s="187">
        <f t="shared" si="67"/>
        <v>66.18987342</v>
      </c>
      <c r="P142" s="187">
        <f t="shared" si="68"/>
        <v>93.79372197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79000</v>
      </c>
      <c r="M144" s="201">
        <f>IFERROR(__xludf.DUMMYFUNCTION("IMPORTRANGE(""https://docs.google.com/spreadsheets/d/1Yj_ptqi66GCucihVvJfMjLAmec39IyEx_6qawtMGysU/edit?usp=sharing"",""สบก!BJ53"")"),55750.0)</f>
        <v>55750</v>
      </c>
      <c r="N144" s="202">
        <f>IFERROR(__xludf.DUMMYFUNCTION("IMPORTRANGE(""https://docs.google.com/spreadsheets/d/1Yj_ptqi66GCucihVvJfMjLAmec39IyEx_6qawtMGysU/edit?usp=sharing"",""สบก!BK53"")"),52290.0)</f>
        <v>52290</v>
      </c>
      <c r="O144" s="203">
        <f>IF(L144&gt;0,N144*100/L144,0)</f>
        <v>66.18987342</v>
      </c>
      <c r="P144" s="203">
        <f>IF(M144&gt;0,N144*100/M144,0)</f>
        <v>93.79372197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IFERROR(__xludf.DUMMYFUNCTION("IMPORTRANGE(""https://docs.google.com/spreadsheets/d/1Yj_ptqi66GCucihVvJfMjLAmec39IyEx_6qawtMGysU/edit?usp=sharing"",""สบก!BF53"")"),0.0)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IFERROR(__xludf.DUMMYFUNCTION("IMPORTRANGE(""https://docs.google.com/spreadsheets/d/1Yj_ptqi66GCucihVvJfMjLAmec39IyEx_6qawtMGysU/edit?usp=sharing"",""สบก!BG53"")"),79000.0)</f>
        <v>79000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IFERROR(__xludf.DUMMYFUNCTION("IMPORTRANGE(""https://docs.google.com/spreadsheets/d/1Yj_ptqi66GCucihVvJfMjLAmec39IyEx_6qawtMGysU/edit?usp=sharing"",""สบก!BH53"")"),0.0)</f>
        <v>0</v>
      </c>
      <c r="M148" s="125"/>
      <c r="N148" s="115">
        <f>IFERROR(__xludf.DUMMYFUNCTION("IMPORTRANGE(""https://docs.google.com/spreadsheets/d/1Yj_ptqi66GCucihVvJfMjLAmec39IyEx_6qawtMGysU/edit?usp=sharing"",""สบก!BL53"")"),0.0)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IFERROR(__xludf.DUMMYFUNCTION("IMPORTRANGE(""https://docs.google.com/spreadsheets/d/1XL5vhW3sbDhbH9Cz0tuDiY8C3ctxq1tqvaCgkFb8cCA/edit?usp=sharing"",""หนองคาย!I74"")"),4.0)</f>
        <v>4</v>
      </c>
      <c r="J149" s="309">
        <f>IFERROR(__xludf.DUMMYFUNCTION("IMPORTRANGE(""https://docs.google.com/spreadsheets/d/1XL5vhW3sbDhbH9Cz0tuDiY8C3ctxq1tqvaCgkFb8cCA/edit?usp=sharing"",""หนองคาย!J74"")"),0.0)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IFERROR(__xludf.DUMMYFUNCTION("IMPORTRANGE(""https://docs.google.com/spreadsheets/d/1XL5vhW3sbDhbH9Cz0tuDiY8C3ctxq1tqvaCgkFb8cCA/edit?usp=sharing"",""หนองคาย!J79"")"),0.0)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IFERROR(__xludf.DUMMYFUNCTION("IMPORTRANGE(""https://docs.google.com/spreadsheets/d/1XL5vhW3sbDhbH9Cz0tuDiY8C3ctxq1tqvaCgkFb8cCA/edit?usp=sharing"",""หนองคาย!J80"")"),1.0)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IFERROR(__xludf.DUMMYFUNCTION("IMPORTRANGE(""https://docs.google.com/spreadsheets/d/1XL5vhW3sbDhbH9Cz0tuDiY8C3ctxq1tqvaCgkFb8cCA/edit?usp=sharing"",""หนองคาย!J81"")"),1.0)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IFERROR(__xludf.DUMMYFUNCTION("IMPORTRANGE(""https://docs.google.com/spreadsheets/d/1XL5vhW3sbDhbH9Cz0tuDiY8C3ctxq1tqvaCgkFb8cCA/edit?usp=sharing"",""หนองคาย!J82"")"),0.0)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IFERROR(__xludf.DUMMYFUNCTION("IMPORTRANGE(""https://docs.google.com/spreadsheets/d/1XL5vhW3sbDhbH9Cz0tuDiY8C3ctxq1tqvaCgkFb8cCA/edit?usp=sharing"",""หนองคาย!I83"")"),4.0)</f>
        <v>4</v>
      </c>
      <c r="J158" s="223">
        <f>IFERROR(__xludf.DUMMYFUNCTION("IMPORTRANGE(""https://docs.google.com/spreadsheets/d/1XL5vhW3sbDhbH9Cz0tuDiY8C3ctxq1tqvaCgkFb8cCA/edit?usp=sharing"",""หนองคาย!J83"")"),0.0)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IFERROR(__xludf.DUMMYFUNCTION("IMPORTRANGE(""https://docs.google.com/spreadsheets/d/1XL5vhW3sbDhbH9Cz0tuDiY8C3ctxq1tqvaCgkFb8cCA/edit?usp=sharing"",""หนองคาย!J84"")"),0.0)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IFERROR(__xludf.DUMMYFUNCTION("IMPORTRANGE(""https://docs.google.com/spreadsheets/d/1XL5vhW3sbDhbH9Cz0tuDiY8C3ctxq1tqvaCgkFb8cCA/edit?usp=sharing"",""หนองคาย!J85"")"),0.0)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IFERROR(__xludf.DUMMYFUNCTION("IMPORTRANGE(""https://docs.google.com/spreadsheets/d/1XL5vhW3sbDhbH9Cz0tuDiY8C3ctxq1tqvaCgkFb8cCA/edit?usp=sharing"",""หนองคาย!J86"")"),0.0)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IFERROR(__xludf.DUMMYFUNCTION("IMPORTRANGE(""https://docs.google.com/spreadsheets/d/1XL5vhW3sbDhbH9Cz0tuDiY8C3ctxq1tqvaCgkFb8cCA/edit?usp=sharing"",""หนองคาย!J87"")"),0.0)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IFERROR(__xludf.DUMMYFUNCTION("IMPORTRANGE(""https://docs.google.com/spreadsheets/d/1XL5vhW3sbDhbH9Cz0tuDiY8C3ctxq1tqvaCgkFb8cCA/edit?usp=sharing"",""หนองคาย!J88"")"),0.0)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IFERROR(__xludf.DUMMYFUNCTION("IMPORTRANGE(""https://docs.google.com/spreadsheets/d/1XL5vhW3sbDhbH9Cz0tuDiY8C3ctxq1tqvaCgkFb8cCA/edit?usp=sharing"",""หนองคาย!I89"")"),3.0)</f>
        <v>3</v>
      </c>
      <c r="J164" s="317">
        <f>IFERROR(__xludf.DUMMYFUNCTION("IMPORTRANGE(""https://docs.google.com/spreadsheets/d/1XL5vhW3sbDhbH9Cz0tuDiY8C3ctxq1tqvaCgkFb8cCA/edit?usp=sharing"",""หนองคาย!J89"")"),3.0)</f>
        <v>3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IFERROR(__xludf.DUMMYFUNCTION("IMPORTRANGE(""https://docs.google.com/spreadsheets/d/1XL5vhW3sbDhbH9Cz0tuDiY8C3ctxq1tqvaCgkFb8cCA/edit?usp=sharing"",""หนองคาย!J94"")"),0.0)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IFERROR(__xludf.DUMMYFUNCTION("IMPORTRANGE(""https://docs.google.com/spreadsheets/d/1XL5vhW3sbDhbH9Cz0tuDiY8C3ctxq1tqvaCgkFb8cCA/edit?usp=sharing"",""หนองคาย!J95"")"),1.0)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IFERROR(__xludf.DUMMYFUNCTION("IMPORTRANGE(""https://docs.google.com/spreadsheets/d/1XL5vhW3sbDhbH9Cz0tuDiY8C3ctxq1tqvaCgkFb8cCA/edit?usp=sharing"",""หนองคาย!J96"")"),1.0)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IFERROR(__xludf.DUMMYFUNCTION("IMPORTRANGE(""https://docs.google.com/spreadsheets/d/1XL5vhW3sbDhbH9Cz0tuDiY8C3ctxq1tqvaCgkFb8cCA/edit?usp=sharing"",""หนองคาย!J97"")"),1.0)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IFERROR(__xludf.DUMMYFUNCTION("IMPORTRANGE(""https://docs.google.com/spreadsheets/d/1XL5vhW3sbDhbH9Cz0tuDiY8C3ctxq1tqvaCgkFb8cCA/edit?usp=sharing"",""หนองคาย!I98"")"),3.0)</f>
        <v>3</v>
      </c>
      <c r="J173" s="223">
        <f>IFERROR(__xludf.DUMMYFUNCTION("IMPORTRANGE(""https://docs.google.com/spreadsheets/d/1XL5vhW3sbDhbH9Cz0tuDiY8C3ctxq1tqvaCgkFb8cCA/edit?usp=sharing"",""หนองคาย!J98"")"),3.0)</f>
        <v>3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IFERROR(__xludf.DUMMYFUNCTION("IMPORTRANGE(""https://docs.google.com/spreadsheets/d/1XL5vhW3sbDhbH9Cz0tuDiY8C3ctxq1tqvaCgkFb8cCA/edit?usp=sharing"",""หนองคาย!J99"")"),0.0)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IFERROR(__xludf.DUMMYFUNCTION("IMPORTRANGE(""https://docs.google.com/spreadsheets/d/1XL5vhW3sbDhbH9Cz0tuDiY8C3ctxq1tqvaCgkFb8cCA/edit?usp=sharing"",""หนองคาย!J100"")"),0.0)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IFERROR(__xludf.DUMMYFUNCTION("IMPORTRANGE(""https://docs.google.com/spreadsheets/d/1XL5vhW3sbDhbH9Cz0tuDiY8C3ctxq1tqvaCgkFb8cCA/edit?usp=sharing"",""หนองคาย!I101"")"),1.0)</f>
        <v>1</v>
      </c>
      <c r="J176" s="317">
        <f>IFERROR(__xludf.DUMMYFUNCTION("IMPORTRANGE(""https://docs.google.com/spreadsheets/d/1XL5vhW3sbDhbH9Cz0tuDiY8C3ctxq1tqvaCgkFb8cCA/edit?usp=sharing"",""หนองคาย!J101"")"),1.0)</f>
        <v>1</v>
      </c>
      <c r="K176" s="318">
        <f>IF(I176&gt;0,J176*100/I176,0)</f>
        <v>100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IFERROR(__xludf.DUMMYFUNCTION("IMPORTRANGE(""https://docs.google.com/spreadsheets/d/1XL5vhW3sbDhbH9Cz0tuDiY8C3ctxq1tqvaCgkFb8cCA/edit?usp=sharing"",""หนองคาย!J106"")"),0.0)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IFERROR(__xludf.DUMMYFUNCTION("IMPORTRANGE(""https://docs.google.com/spreadsheets/d/1XL5vhW3sbDhbH9Cz0tuDiY8C3ctxq1tqvaCgkFb8cCA/edit?usp=sharing"",""หนองคาย!J107"")"),1.0)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IFERROR(__xludf.DUMMYFUNCTION("IMPORTRANGE(""https://docs.google.com/spreadsheets/d/1XL5vhW3sbDhbH9Cz0tuDiY8C3ctxq1tqvaCgkFb8cCA/edit?usp=sharing"",""หนองคาย!J108"")"),1.0)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IFERROR(__xludf.DUMMYFUNCTION("IMPORTRANGE(""https://docs.google.com/spreadsheets/d/1XL5vhW3sbDhbH9Cz0tuDiY8C3ctxq1tqvaCgkFb8cCA/edit?usp=sharing"",""หนองคาย!J109"")"),1.0)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IFERROR(__xludf.DUMMYFUNCTION("IMPORTRANGE(""https://docs.google.com/spreadsheets/d/1XL5vhW3sbDhbH9Cz0tuDiY8C3ctxq1tqvaCgkFb8cCA/edit?usp=sharing"",""หนองคาย!I110"")"),1.0)</f>
        <v>1</v>
      </c>
      <c r="J185" s="238">
        <f>IFERROR(__xludf.DUMMYFUNCTION("IMPORTRANGE(""https://docs.google.com/spreadsheets/d/1XL5vhW3sbDhbH9Cz0tuDiY8C3ctxq1tqvaCgkFb8cCA/edit?usp=sharing"",""หนองคาย!J110"")"),0.0)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IFERROR(__xludf.DUMMYFUNCTION("IMPORTRANGE(""https://docs.google.com/spreadsheets/d/1XL5vhW3sbDhbH9Cz0tuDiY8C3ctxq1tqvaCgkFb8cCA/edit?usp=sharing"",""หนองคาย!I111"")"),1.0)</f>
        <v>1</v>
      </c>
      <c r="J186" s="238">
        <f>IFERROR(__xludf.DUMMYFUNCTION("IMPORTRANGE(""https://docs.google.com/spreadsheets/d/1XL5vhW3sbDhbH9Cz0tuDiY8C3ctxq1tqvaCgkFb8cCA/edit?usp=sharing"",""หนองคาย!J111"")"),1.0)</f>
        <v>1</v>
      </c>
      <c r="K186" s="258">
        <f t="shared" si="70"/>
        <v>100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IFERROR(__xludf.DUMMYFUNCTION("IMPORTRANGE(""https://docs.google.com/spreadsheets/d/1XL5vhW3sbDhbH9Cz0tuDiY8C3ctxq1tqvaCgkFb8cCA/edit?usp=sharing"",""หนองคาย!J112"")"),1.0)</f>
        <v>1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IFERROR(__xludf.DUMMYFUNCTION("IMPORTRANGE(""https://docs.google.com/spreadsheets/d/1XL5vhW3sbDhbH9Cz0tuDiY8C3ctxq1tqvaCgkFb8cCA/edit?usp=sharing"",""หนองคาย!J113"")"),0.0)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IFERROR(__xludf.DUMMYFUNCTION("IMPORTRANGE(""https://docs.google.com/spreadsheets/d/1XL5vhW3sbDhbH9Cz0tuDiY8C3ctxq1tqvaCgkFb8cCA/edit?usp=sharing"",""หนองคาย!I114"")"),30000.0)</f>
        <v>30000</v>
      </c>
      <c r="J189" s="317">
        <f>IFERROR(__xludf.DUMMYFUNCTION("IMPORTRANGE(""https://docs.google.com/spreadsheets/d/1XL5vhW3sbDhbH9Cz0tuDiY8C3ctxq1tqvaCgkFb8cCA/edit?usp=sharing"",""หนองคาย!J114"")"),0.0)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IFERROR(__xludf.DUMMYFUNCTION("IMPORTRANGE(""https://docs.google.com/spreadsheets/d/1XL5vhW3sbDhbH9Cz0tuDiY8C3ctxq1tqvaCgkFb8cCA/edit?usp=sharing"",""หนองคาย!J119"")"),0.0)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IFERROR(__xludf.DUMMYFUNCTION("IMPORTRANGE(""https://docs.google.com/spreadsheets/d/1XL5vhW3sbDhbH9Cz0tuDiY8C3ctxq1tqvaCgkFb8cCA/edit?usp=sharing"",""หนองคาย!J120"")"),1.0)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IFERROR(__xludf.DUMMYFUNCTION("IMPORTRANGE(""https://docs.google.com/spreadsheets/d/1XL5vhW3sbDhbH9Cz0tuDiY8C3ctxq1tqvaCgkFb8cCA/edit?usp=sharing"",""หนองคาย!J121"")"),1.0)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IFERROR(__xludf.DUMMYFUNCTION("IMPORTRANGE(""https://docs.google.com/spreadsheets/d/1XL5vhW3sbDhbH9Cz0tuDiY8C3ctxq1tqvaCgkFb8cCA/edit?usp=sharing"",""หนองคาย!J122"")"),0.0)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IFERROR(__xludf.DUMMYFUNCTION("IMPORTRANGE(""https://docs.google.com/spreadsheets/d/1XL5vhW3sbDhbH9Cz0tuDiY8C3ctxq1tqvaCgkFb8cCA/edit?usp=sharing"",""หนองคาย!I124"")"),30000.0)</f>
        <v>30000</v>
      </c>
      <c r="J199" s="223">
        <f>IFERROR(__xludf.DUMMYFUNCTION("IMPORTRANGE(""https://docs.google.com/spreadsheets/d/1XL5vhW3sbDhbH9Cz0tuDiY8C3ctxq1tqvaCgkFb8cCA/edit?usp=sharing"",""หนองคาย!J124"")"),0.0)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IFERROR(__xludf.DUMMYFUNCTION("IMPORTRANGE(""https://docs.google.com/spreadsheets/d/1XL5vhW3sbDhbH9Cz0tuDiY8C3ctxq1tqvaCgkFb8cCA/edit?usp=sharing"",""หนองคาย!I125"")"),30000.0)</f>
        <v>30000</v>
      </c>
      <c r="J200" s="223">
        <f>IFERROR(__xludf.DUMMYFUNCTION("IMPORTRANGE(""https://docs.google.com/spreadsheets/d/1XL5vhW3sbDhbH9Cz0tuDiY8C3ctxq1tqvaCgkFb8cCA/edit?usp=sharing"",""หนองคาย!J125"")"),0.0)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IFERROR(__xludf.DUMMYFUNCTION("IMPORTRANGE(""https://docs.google.com/spreadsheets/d/1XL5vhW3sbDhbH9Cz0tuDiY8C3ctxq1tqvaCgkFb8cCA/edit?usp=sharing"",""หนองคาย!I126"")"),0.0)</f>
        <v>0</v>
      </c>
      <c r="J201" s="223">
        <f>IFERROR(__xludf.DUMMYFUNCTION("IMPORTRANGE(""https://docs.google.com/spreadsheets/d/1XL5vhW3sbDhbH9Cz0tuDiY8C3ctxq1tqvaCgkFb8cCA/edit?usp=sharing"",""หนองคาย!J126"")"),0.0)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IFERROR(__xludf.DUMMYFUNCTION("IMPORTRANGE(""https://docs.google.com/spreadsheets/d/1XL5vhW3sbDhbH9Cz0tuDiY8C3ctxq1tqvaCgkFb8cCA/edit?usp=sharing"",""หนองคาย!J127"")"),0.0)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IFERROR(__xludf.DUMMYFUNCTION("IMPORTRANGE(""https://docs.google.com/spreadsheets/d/1XL5vhW3sbDhbH9Cz0tuDiY8C3ctxq1tqvaCgkFb8cCA/edit?usp=sharing"",""หนองคาย!J128"")"),0.0)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IFERROR(__xludf.DUMMYFUNCTION("IMPORTRANGE(""https://docs.google.com/spreadsheets/d/1XL5vhW3sbDhbH9Cz0tuDiY8C3ctxq1tqvaCgkFb8cCA/edit?usp=sharing"",""หนองคาย!I129"")"),0.0)</f>
        <v>0</v>
      </c>
      <c r="J204" s="317">
        <f>IFERROR(__xludf.DUMMYFUNCTION("IMPORTRANGE(""https://docs.google.com/spreadsheets/d/1XL5vhW3sbDhbH9Cz0tuDiY8C3ctxq1tqvaCgkFb8cCA/edit?usp=sharing"",""หนองคาย!J129"")"),0.0)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IFERROR(__xludf.DUMMYFUNCTION("IMPORTRANGE(""https://docs.google.com/spreadsheets/d/1XL5vhW3sbDhbH9Cz0tuDiY8C3ctxq1tqvaCgkFb8cCA/edit?usp=sharing"",""หนองคาย!J134"")"),0.0)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IFERROR(__xludf.DUMMYFUNCTION("IMPORTRANGE(""https://docs.google.com/spreadsheets/d/1XL5vhW3sbDhbH9Cz0tuDiY8C3ctxq1tqvaCgkFb8cCA/edit?usp=sharing"",""หนองคาย!J135"")"),0.0)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IFERROR(__xludf.DUMMYFUNCTION("IMPORTRANGE(""https://docs.google.com/spreadsheets/d/1XL5vhW3sbDhbH9Cz0tuDiY8C3ctxq1tqvaCgkFb8cCA/edit?usp=sharing"",""หนองคาย!J136"")"),0.0)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IFERROR(__xludf.DUMMYFUNCTION("IMPORTRANGE(""https://docs.google.com/spreadsheets/d/1XL5vhW3sbDhbH9Cz0tuDiY8C3ctxq1tqvaCgkFb8cCA/edit?usp=sharing"",""หนองคาย!J137"")"),0.0)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IFERROR(__xludf.DUMMYFUNCTION("IMPORTRANGE(""https://docs.google.com/spreadsheets/d/1XL5vhW3sbDhbH9Cz0tuDiY8C3ctxq1tqvaCgkFb8cCA/edit?usp=sharing"",""หนองคาย!I138"")"),0.0)</f>
        <v>0</v>
      </c>
      <c r="J213" s="238">
        <f>IFERROR(__xludf.DUMMYFUNCTION("IMPORTRANGE(""https://docs.google.com/spreadsheets/d/1XL5vhW3sbDhbH9Cz0tuDiY8C3ctxq1tqvaCgkFb8cCA/edit?usp=sharing"",""หนองคาย!J138"")"),0.0)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IFERROR(__xludf.DUMMYFUNCTION("IMPORTRANGE(""https://docs.google.com/spreadsheets/d/1XL5vhW3sbDhbH9Cz0tuDiY8C3ctxq1tqvaCgkFb8cCA/edit?usp=sharing"",""หนองคาย!I140"")"),0.0)</f>
        <v>0</v>
      </c>
      <c r="J215" s="238">
        <f>IFERROR(__xludf.DUMMYFUNCTION("IMPORTRANGE(""https://docs.google.com/spreadsheets/d/1XL5vhW3sbDhbH9Cz0tuDiY8C3ctxq1tqvaCgkFb8cCA/edit?usp=sharing"",""หนองคาย!J140"")"),0.0)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IFERROR(__xludf.DUMMYFUNCTION("IMPORTRANGE(""https://docs.google.com/spreadsheets/d/1XL5vhW3sbDhbH9Cz0tuDiY8C3ctxq1tqvaCgkFb8cCA/edit?usp=sharing"",""หนองคาย!I141"")"),0.0)</f>
        <v>0</v>
      </c>
      <c r="J216" s="238">
        <f>IFERROR(__xludf.DUMMYFUNCTION("IMPORTRANGE(""https://docs.google.com/spreadsheets/d/1XL5vhW3sbDhbH9Cz0tuDiY8C3ctxq1tqvaCgkFb8cCA/edit?usp=sharing"",""หนองคาย!J141"")"),0.0)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IFERROR(__xludf.DUMMYFUNCTION("IMPORTRANGE(""https://docs.google.com/spreadsheets/d/1XL5vhW3sbDhbH9Cz0tuDiY8C3ctxq1tqvaCgkFb8cCA/edit?usp=sharing"",""หนองคาย!J142"")"),0.0)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IFERROR(__xludf.DUMMYFUNCTION("IMPORTRANGE(""https://docs.google.com/spreadsheets/d/1XL5vhW3sbDhbH9Cz0tuDiY8C3ctxq1tqvaCgkFb8cCA/edit?usp=sharing"",""หนองคาย!J143"")"),0.0)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IFERROR(__xludf.DUMMYFUNCTION("IMPORTRANGE(""https://docs.google.com/spreadsheets/d/1XL5vhW3sbDhbH9Cz0tuDiY8C3ctxq1tqvaCgkFb8cCA/edit?usp=sharing"",""หนองคาย!I144"")"),15.0)</f>
        <v>15</v>
      </c>
      <c r="J219" s="301">
        <f>IFERROR(__xludf.DUMMYFUNCTION("IMPORTRANGE(""https://docs.google.com/spreadsheets/d/1XL5vhW3sbDhbH9Cz0tuDiY8C3ctxq1tqvaCgkFb8cCA/edit?usp=sharing"",""หนองคาย!J144"")"),15.0)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IFERROR(__xludf.DUMMYFUNCTION("IMPORTRANGE(""https://docs.google.com/spreadsheets/d/1Yj_ptqi66GCucihVvJfMjLAmec39IyEx_6qawtMGysU/edit?usp=sharing"",""สบก!BS53"")"),21125.0)</f>
        <v>21125</v>
      </c>
      <c r="N224" s="202">
        <f>IFERROR(__xludf.DUMMYFUNCTION("IMPORTRANGE(""https://docs.google.com/spreadsheets/d/1Yj_ptqi66GCucihVvJfMjLAmec39IyEx_6qawtMGysU/edit?usp=sharing"",""สบก!BT53"")"),21125.0)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IFERROR(__xludf.DUMMYFUNCTION("IMPORTRANGE(""https://docs.google.com/spreadsheets/d/1Yj_ptqi66GCucihVvJfMjLAmec39IyEx_6qawtMGysU/edit?usp=sharing"",""สบก!BO53"")"),0.0)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IFERROR(__xludf.DUMMYFUNCTION("IMPORTRANGE(""https://docs.google.com/spreadsheets/d/1Yj_ptqi66GCucihVvJfMjLAmec39IyEx_6qawtMGysU/edit?usp=sharing"",""สบก!BP53"")"),21125.0)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IFERROR(__xludf.DUMMYFUNCTION("IMPORTRANGE(""https://docs.google.com/spreadsheets/d/1Yj_ptqi66GCucihVvJfMjLAmec39IyEx_6qawtMGysU/edit?usp=sharing"",""สบก!BQ53"")"),0.0)</f>
        <v>0</v>
      </c>
      <c r="M228" s="125"/>
      <c r="N228" s="115">
        <f>IFERROR(__xludf.DUMMYFUNCTION("IMPORTRANGE(""https://docs.google.com/spreadsheets/d/1Yj_ptqi66GCucihVvJfMjLAmec39IyEx_6qawtMGysU/edit?usp=sharing"",""สบก!BU53"")"),0.0)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IFERROR(__xludf.DUMMYFUNCTION("IMPORTRANGE(""https://docs.google.com/spreadsheets/d/1XL5vhW3sbDhbH9Cz0tuDiY8C3ctxq1tqvaCgkFb8cCA/edit?usp=sharing"",""หนองคาย!I149"")"),15.0)</f>
        <v>15</v>
      </c>
      <c r="J229" s="301">
        <f>IFERROR(__xludf.DUMMYFUNCTION("IMPORTRANGE(""https://docs.google.com/spreadsheets/d/1XL5vhW3sbDhbH9Cz0tuDiY8C3ctxq1tqvaCgkFb8cCA/edit?usp=sharing"",""หนองคาย!J149"")"),15.0)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IFERROR(__xludf.DUMMYFUNCTION("IMPORTRANGE(""https://docs.google.com/spreadsheets/d/1XL5vhW3sbDhbH9Cz0tuDiY8C3ctxq1tqvaCgkFb8cCA/edit?usp=sharing"",""หนองคาย!J151"")"),0.0)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IFERROR(__xludf.DUMMYFUNCTION("IMPORTRANGE(""https://docs.google.com/spreadsheets/d/1XL5vhW3sbDhbH9Cz0tuDiY8C3ctxq1tqvaCgkFb8cCA/edit?usp=sharing"",""หนองคาย!J152"")"),1.0)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IFERROR(__xludf.DUMMYFUNCTION("IMPORTRANGE(""https://docs.google.com/spreadsheets/d/1XL5vhW3sbDhbH9Cz0tuDiY8C3ctxq1tqvaCgkFb8cCA/edit?usp=sharing"",""หนองคาย!J153"")"),1.0)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IFERROR(__xludf.DUMMYFUNCTION("IMPORTRANGE(""https://docs.google.com/spreadsheets/d/1XL5vhW3sbDhbH9Cz0tuDiY8C3ctxq1tqvaCgkFb8cCA/edit?usp=sharing"",""หนองคาย!J154"")"),1.0)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IFERROR(__xludf.DUMMYFUNCTION("IMPORTRANGE(""https://docs.google.com/spreadsheets/d/1XL5vhW3sbDhbH9Cz0tuDiY8C3ctxq1tqvaCgkFb8cCA/edit?usp=sharing"",""หนองคาย!I155"")"),15.0)</f>
        <v>15</v>
      </c>
      <c r="J235" s="223">
        <f>IFERROR(__xludf.DUMMYFUNCTION("IMPORTRANGE(""https://docs.google.com/spreadsheets/d/1XL5vhW3sbDhbH9Cz0tuDiY8C3ctxq1tqvaCgkFb8cCA/edit?usp=sharing"",""หนองคาย!J155"")"),15.0)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IFERROR(__xludf.DUMMYFUNCTION("IMPORTRANGE(""https://docs.google.com/spreadsheets/d/1XL5vhW3sbDhbH9Cz0tuDiY8C3ctxq1tqvaCgkFb8cCA/edit?usp=sharing"",""หนองคาย!J156"")"),1.0)</f>
        <v>1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IFERROR(__xludf.DUMMYFUNCTION("IMPORTRANGE(""https://docs.google.com/spreadsheets/d/1XL5vhW3sbDhbH9Cz0tuDiY8C3ctxq1tqvaCgkFb8cCA/edit?usp=sharing"",""หนองคาย!J157"")"),0.0)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IFERROR(__xludf.DUMMYFUNCTION("IMPORTRANGE(""https://docs.google.com/spreadsheets/d/1XL5vhW3sbDhbH9Cz0tuDiY8C3ctxq1tqvaCgkFb8cCA/edit?usp=sharing"",""หนองคาย!I158"")"),0.0)</f>
        <v>0</v>
      </c>
      <c r="J238" s="301">
        <f>IFERROR(__xludf.DUMMYFUNCTION("IMPORTRANGE(""https://docs.google.com/spreadsheets/d/1XL5vhW3sbDhbH9Cz0tuDiY8C3ctxq1tqvaCgkFb8cCA/edit?usp=sharing"",""หนองคาย!J158"")"),0.0)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IFERROR(__xludf.DUMMYFUNCTION("IMPORTRANGE(""https://docs.google.com/spreadsheets/d/1XL5vhW3sbDhbH9Cz0tuDiY8C3ctxq1tqvaCgkFb8cCA/edit?usp=sharing"",""หนองคาย!J159"")"),"")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IFERROR(__xludf.DUMMYFUNCTION("IMPORTRANGE(""https://docs.google.com/spreadsheets/d/1XL5vhW3sbDhbH9Cz0tuDiY8C3ctxq1tqvaCgkFb8cCA/edit?usp=sharing"",""หนองคาย!J161"")"),0.0)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IFERROR(__xludf.DUMMYFUNCTION("IMPORTRANGE(""https://docs.google.com/spreadsheets/d/1XL5vhW3sbDhbH9Cz0tuDiY8C3ctxq1tqvaCgkFb8cCA/edit?usp=sharing"",""หนองคาย!J162"")"),0.0)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IFERROR(__xludf.DUMMYFUNCTION("IMPORTRANGE(""https://docs.google.com/spreadsheets/d/1XL5vhW3sbDhbH9Cz0tuDiY8C3ctxq1tqvaCgkFb8cCA/edit?usp=sharing"",""หนองคาย!J163"")"),0.0)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IFERROR(__xludf.DUMMYFUNCTION("IMPORTRANGE(""https://docs.google.com/spreadsheets/d/1XL5vhW3sbDhbH9Cz0tuDiY8C3ctxq1tqvaCgkFb8cCA/edit?usp=sharing"",""หนองคาย!I164"")"),0.0)</f>
        <v>0</v>
      </c>
      <c r="J244" s="222">
        <f>IFERROR(__xludf.DUMMYFUNCTION("IMPORTRANGE(""https://docs.google.com/spreadsheets/d/1XL5vhW3sbDhbH9Cz0tuDiY8C3ctxq1tqvaCgkFb8cCA/edit?usp=sharing"",""หนองคาย!J164"")"),0.0)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IFERROR(__xludf.DUMMYFUNCTION("IMPORTRANGE(""https://docs.google.com/spreadsheets/d/1XL5vhW3sbDhbH9Cz0tuDiY8C3ctxq1tqvaCgkFb8cCA/edit?usp=sharing"",""หนองคาย!J165"")"),0.0)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IFERROR(__xludf.DUMMYFUNCTION("IMPORTRANGE(""https://docs.google.com/spreadsheets/d/1XL5vhW3sbDhbH9Cz0tuDiY8C3ctxq1tqvaCgkFb8cCA/edit?usp=sharing"",""หนองคาย!J166"")"),0.0)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IFERROR(__xludf.DUMMYFUNCTION("IMPORTRANGE(""https://docs.google.com/spreadsheets/d/1XL5vhW3sbDhbH9Cz0tuDiY8C3ctxq1tqvaCgkFb8cCA/edit?usp=sharing"",""หนองคาย!I169"")"),25.0)</f>
        <v>25</v>
      </c>
      <c r="J249" s="349">
        <f>IFERROR(__xludf.DUMMYFUNCTION("IMPORTRANGE(""https://docs.google.com/spreadsheets/d/1XL5vhW3sbDhbH9Cz0tuDiY8C3ctxq1tqvaCgkFb8cCA/edit?usp=sharing"",""หนองคาย!J169"")"),0.0)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89000</v>
      </c>
      <c r="M250" s="183">
        <f t="shared" si="78"/>
        <v>42500</v>
      </c>
      <c r="N250" s="183">
        <f t="shared" si="78"/>
        <v>16169</v>
      </c>
      <c r="O250" s="182">
        <f t="shared" ref="O250:O252" si="80">IF(L250&gt;0,N250*100/L250,0)</f>
        <v>18.16741573</v>
      </c>
      <c r="P250" s="182">
        <f t="shared" ref="P250:P252" si="81">IF(M250&gt;0,N250*100/M250,0)</f>
        <v>38.04470588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89000</v>
      </c>
      <c r="M252" s="188">
        <f t="shared" si="82"/>
        <v>42500</v>
      </c>
      <c r="N252" s="188">
        <f t="shared" si="82"/>
        <v>16169</v>
      </c>
      <c r="O252" s="187">
        <f t="shared" si="80"/>
        <v>18.16741573</v>
      </c>
      <c r="P252" s="187">
        <f t="shared" si="81"/>
        <v>38.04470588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89000</v>
      </c>
      <c r="M254" s="201">
        <f>IFERROR(__xludf.DUMMYFUNCTION("IMPORTRANGE(""https://docs.google.com/spreadsheets/d/1Yj_ptqi66GCucihVvJfMjLAmec39IyEx_6qawtMGysU/edit?usp=sharing"",""สบก!CB53"")"),42500.0)</f>
        <v>42500</v>
      </c>
      <c r="N254" s="202">
        <f>IFERROR(__xludf.DUMMYFUNCTION("IMPORTRANGE(""https://docs.google.com/spreadsheets/d/1Yj_ptqi66GCucihVvJfMjLAmec39IyEx_6qawtMGysU/edit?usp=sharing"",""สบก!CC53"")"),16169.0)</f>
        <v>16169</v>
      </c>
      <c r="O254" s="203">
        <f>IF(L254&gt;0,N254*100/L254,0)</f>
        <v>18.16741573</v>
      </c>
      <c r="P254" s="203">
        <f>IF(M254&gt;0,N254*100/M254,0)</f>
        <v>38.04470588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IFERROR(__xludf.DUMMYFUNCTION("IMPORTRANGE(""https://docs.google.com/spreadsheets/d/1Yj_ptqi66GCucihVvJfMjLAmec39IyEx_6qawtMGysU/edit?usp=sharing"",""สบก!BX53"")"),0.0)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IFERROR(__xludf.DUMMYFUNCTION("IMPORTRANGE(""https://docs.google.com/spreadsheets/d/1Yj_ptqi66GCucihVvJfMjLAmec39IyEx_6qawtMGysU/edit?usp=sharing"",""สบก!BY53"")"),89000.0)</f>
        <v>89000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IFERROR(__xludf.DUMMYFUNCTION("IMPORTRANGE(""https://docs.google.com/spreadsheets/d/1Yj_ptqi66GCucihVvJfMjLAmec39IyEx_6qawtMGysU/edit?usp=sharing"",""สบก!BZ53"")"),0.0)</f>
        <v>0</v>
      </c>
      <c r="M258" s="125"/>
      <c r="N258" s="115">
        <f>IFERROR(__xludf.DUMMYFUNCTION("IMPORTRANGE(""https://docs.google.com/spreadsheets/d/1Yj_ptqi66GCucihVvJfMjLAmec39IyEx_6qawtMGysU/edit?usp=sharing"",""สบก!CD53"")"),0.0)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IFERROR(__xludf.DUMMYFUNCTION("IMPORTRANGE(""https://docs.google.com/spreadsheets/d/1XL5vhW3sbDhbH9Cz0tuDiY8C3ctxq1tqvaCgkFb8cCA/edit?usp=sharing"",""หนองคาย!J175"")"),0.0)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IFERROR(__xludf.DUMMYFUNCTION("IMPORTRANGE(""https://docs.google.com/spreadsheets/d/1XL5vhW3sbDhbH9Cz0tuDiY8C3ctxq1tqvaCgkFb8cCA/edit?usp=sharing"",""หนองคาย!J176"")"),1.0)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IFERROR(__xludf.DUMMYFUNCTION("IMPORTRANGE(""https://docs.google.com/spreadsheets/d/1XL5vhW3sbDhbH9Cz0tuDiY8C3ctxq1tqvaCgkFb8cCA/edit?usp=sharing"",""หนองคาย!J177"")"),1.0)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IFERROR(__xludf.DUMMYFUNCTION("IMPORTRANGE(""https://docs.google.com/spreadsheets/d/1XL5vhW3sbDhbH9Cz0tuDiY8C3ctxq1tqvaCgkFb8cCA/edit?usp=sharing"",""หนองคาย!J178"")"),1.0)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IFERROR(__xludf.DUMMYFUNCTION("IMPORTRANGE(""https://docs.google.com/spreadsheets/d/1XL5vhW3sbDhbH9Cz0tuDiY8C3ctxq1tqvaCgkFb8cCA/edit?usp=sharing"",""หนองคาย!I179"")"),1.0)</f>
        <v>1</v>
      </c>
      <c r="J264" s="223">
        <f>IFERROR(__xludf.DUMMYFUNCTION("IMPORTRANGE(""https://docs.google.com/spreadsheets/d/1XL5vhW3sbDhbH9Cz0tuDiY8C3ctxq1tqvaCgkFb8cCA/edit?usp=sharing"",""หนองคาย!J179"")"),0.0)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IFERROR(__xludf.DUMMYFUNCTION("IMPORTRANGE(""https://docs.google.com/spreadsheets/d/1XL5vhW3sbDhbH9Cz0tuDiY8C3ctxq1tqvaCgkFb8cCA/edit?usp=sharing"",""หนองคาย!I180"")"),25.0)</f>
        <v>25</v>
      </c>
      <c r="J265" s="223">
        <f>IFERROR(__xludf.DUMMYFUNCTION("IMPORTRANGE(""https://docs.google.com/spreadsheets/d/1XL5vhW3sbDhbH9Cz0tuDiY8C3ctxq1tqvaCgkFb8cCA/edit?usp=sharing"",""หนองคาย!J180"")"),0.0)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IFERROR(__xludf.DUMMYFUNCTION("IMPORTRANGE(""https://docs.google.com/spreadsheets/d/1XL5vhW3sbDhbH9Cz0tuDiY8C3ctxq1tqvaCgkFb8cCA/edit?usp=sharing"",""หนองคาย!I181"")"),25.0)</f>
        <v>25</v>
      </c>
      <c r="J266" s="223">
        <f>IFERROR(__xludf.DUMMYFUNCTION("IMPORTRANGE(""https://docs.google.com/spreadsheets/d/1XL5vhW3sbDhbH9Cz0tuDiY8C3ctxq1tqvaCgkFb8cCA/edit?usp=sharing"",""หนองคาย!J181"")"),0.0)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IFERROR(__xludf.DUMMYFUNCTION("IMPORTRANGE(""https://docs.google.com/spreadsheets/d/1XL5vhW3sbDhbH9Cz0tuDiY8C3ctxq1tqvaCgkFb8cCA/edit?usp=sharing"",""หนองคาย!I182"")"),1.0)</f>
        <v>1</v>
      </c>
      <c r="J267" s="223">
        <f>IFERROR(__xludf.DUMMYFUNCTION("IMPORTRANGE(""https://docs.google.com/spreadsheets/d/1XL5vhW3sbDhbH9Cz0tuDiY8C3ctxq1tqvaCgkFb8cCA/edit?usp=sharing"",""หนองคาย!J182"")"),0.0)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IFERROR(__xludf.DUMMYFUNCTION("IMPORTRANGE(""https://docs.google.com/spreadsheets/d/1XL5vhW3sbDhbH9Cz0tuDiY8C3ctxq1tqvaCgkFb8cCA/edit?usp=sharing"",""หนองคาย!J183"")"),0.0)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IFERROR(__xludf.DUMMYFUNCTION("IMPORTRANGE(""https://docs.google.com/spreadsheets/d/1XL5vhW3sbDhbH9Cz0tuDiY8C3ctxq1tqvaCgkFb8cCA/edit?usp=sharing"",""หนองคาย!J184"")"),0.0)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IFERROR(__xludf.DUMMYFUNCTION("IMPORTRANGE(""https://docs.google.com/spreadsheets/d/1XL5vhW3sbDhbH9Cz0tuDiY8C3ctxq1tqvaCgkFb8cCA/edit?usp=sharing"",""หนองคาย!I185"")"),0.0)</f>
        <v>0</v>
      </c>
      <c r="J270" s="349">
        <f>IFERROR(__xludf.DUMMYFUNCTION("IMPORTRANGE(""https://docs.google.com/spreadsheets/d/1XL5vhW3sbDhbH9Cz0tuDiY8C3ctxq1tqvaCgkFb8cCA/edit?usp=sharing"",""หนองคาย!J185"")"),0.0)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IFERROR(__xludf.DUMMYFUNCTION("IMPORTRANGE(""https://docs.google.com/spreadsheets/d/1Yj_ptqi66GCucihVvJfMjLAmec39IyEx_6qawtMGysU/edit?usp=sharing"",""สบก!CK53"")"),0.0)</f>
        <v>0</v>
      </c>
      <c r="N275" s="202">
        <f>IFERROR(__xludf.DUMMYFUNCTION("IMPORTRANGE(""https://docs.google.com/spreadsheets/d/1Yj_ptqi66GCucihVvJfMjLAmec39IyEx_6qawtMGysU/edit?usp=sharing"",""สบก!CL53"")"),0.0)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IFERROR(__xludf.DUMMYFUNCTION("IMPORTRANGE(""https://docs.google.com/spreadsheets/d/1Yj_ptqi66GCucihVvJfMjLAmec39IyEx_6qawtMGysU/edit?usp=sharing"",""สบก!CG53"")"),0.0)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IFERROR(__xludf.DUMMYFUNCTION("IMPORTRANGE(""https://docs.google.com/spreadsheets/d/1Yj_ptqi66GCucihVvJfMjLAmec39IyEx_6qawtMGysU/edit?usp=sharing"",""สบก!CH53"")"),0.0)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IFERROR(__xludf.DUMMYFUNCTION("IMPORTRANGE(""https://docs.google.com/spreadsheets/d/1Yj_ptqi66GCucihVvJfMjLAmec39IyEx_6qawtMGysU/edit?usp=sharing"",""สบก!CI53"")"),0.0)</f>
        <v>0</v>
      </c>
      <c r="M279" s="125"/>
      <c r="N279" s="115">
        <f>IFERROR(__xludf.DUMMYFUNCTION("IMPORTRANGE(""https://docs.google.com/spreadsheets/d/1Yj_ptqi66GCucihVvJfMjLAmec39IyEx_6qawtMGysU/edit?usp=sharing"",""สบก!CM53"")"),0.0)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IFERROR(__xludf.DUMMYFUNCTION("IMPORTRANGE(""https://docs.google.com/spreadsheets/d/1XL5vhW3sbDhbH9Cz0tuDiY8C3ctxq1tqvaCgkFb8cCA/edit?usp=sharing"",""หนองคาย!J191"")"),0.0)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IFERROR(__xludf.DUMMYFUNCTION("IMPORTRANGE(""https://docs.google.com/spreadsheets/d/1XL5vhW3sbDhbH9Cz0tuDiY8C3ctxq1tqvaCgkFb8cCA/edit?usp=sharing"",""หนองคาย!J192"")"),0.0)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IFERROR(__xludf.DUMMYFUNCTION("IMPORTRANGE(""https://docs.google.com/spreadsheets/d/1XL5vhW3sbDhbH9Cz0tuDiY8C3ctxq1tqvaCgkFb8cCA/edit?usp=sharing"",""หนองคาย!J193"")"),0.0)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IFERROR(__xludf.DUMMYFUNCTION("IMPORTRANGE(""https://docs.google.com/spreadsheets/d/1XL5vhW3sbDhbH9Cz0tuDiY8C3ctxq1tqvaCgkFb8cCA/edit?usp=sharing"",""หนองคาย!J194"")"),0.0)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IFERROR(__xludf.DUMMYFUNCTION("IMPORTRANGE(""https://docs.google.com/spreadsheets/d/1XL5vhW3sbDhbH9Cz0tuDiY8C3ctxq1tqvaCgkFb8cCA/edit?usp=sharing"",""หนองคาย!I195"")"),0.0)</f>
        <v>0</v>
      </c>
      <c r="J285" s="223">
        <f>IFERROR(__xludf.DUMMYFUNCTION("IMPORTRANGE(""https://docs.google.com/spreadsheets/d/1XL5vhW3sbDhbH9Cz0tuDiY8C3ctxq1tqvaCgkFb8cCA/edit?usp=sharing"",""หนองคาย!J195"")"),0.0)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IFERROR(__xludf.DUMMYFUNCTION("IMPORTRANGE(""https://docs.google.com/spreadsheets/d/1XL5vhW3sbDhbH9Cz0tuDiY8C3ctxq1tqvaCgkFb8cCA/edit?usp=sharing"",""หนองคาย!J196"")"),0.0)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IFERROR(__xludf.DUMMYFUNCTION("IMPORTRANGE(""https://docs.google.com/spreadsheets/d/1XL5vhW3sbDhbH9Cz0tuDiY8C3ctxq1tqvaCgkFb8cCA/edit?usp=sharing"",""หนองคาย!J197"")"),0.0)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IFERROR(__xludf.DUMMYFUNCTION("IMPORTRANGE(""https://docs.google.com/spreadsheets/d/1XL5vhW3sbDhbH9Cz0tuDiY8C3ctxq1tqvaCgkFb8cCA/edit?usp=sharing"",""หนองคาย!I199"")"),0.0)</f>
        <v>0</v>
      </c>
      <c r="J289" s="349">
        <f>IFERROR(__xludf.DUMMYFUNCTION("IMPORTRANGE(""https://docs.google.com/spreadsheets/d/1XL5vhW3sbDhbH9Cz0tuDiY8C3ctxq1tqvaCgkFb8cCA/edit?usp=sharing"",""หนองคาย!J199"")"),0.0)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IFERROR(__xludf.DUMMYFUNCTION("IMPORTRANGE(""https://docs.google.com/spreadsheets/d/1Yj_ptqi66GCucihVvJfMjLAmec39IyEx_6qawtMGysU/edit?usp=sharing"",""สบก!CT53"")"),0.0)</f>
        <v>0</v>
      </c>
      <c r="N294" s="202">
        <f>IFERROR(__xludf.DUMMYFUNCTION("IMPORTRANGE(""https://docs.google.com/spreadsheets/d/1Yj_ptqi66GCucihVvJfMjLAmec39IyEx_6qawtMGysU/edit?usp=sharing"",""สบก!CU53"")"),0.0)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IFERROR(__xludf.DUMMYFUNCTION("IMPORTRANGE(""https://docs.google.com/spreadsheets/d/1Yj_ptqi66GCucihVvJfMjLAmec39IyEx_6qawtMGysU/edit?usp=sharing"",""สบก!CP53"")"),0.0)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IFERROR(__xludf.DUMMYFUNCTION("IMPORTRANGE(""https://docs.google.com/spreadsheets/d/1Yj_ptqi66GCucihVvJfMjLAmec39IyEx_6qawtMGysU/edit?usp=sharing"",""สบก!CQ53"")"),0.0)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IFERROR(__xludf.DUMMYFUNCTION("IMPORTRANGE(""https://docs.google.com/spreadsheets/d/1Yj_ptqi66GCucihVvJfMjLAmec39IyEx_6qawtMGysU/edit?usp=sharing"",""สบก!CR53"")"),0.0)</f>
        <v>0</v>
      </c>
      <c r="M298" s="125"/>
      <c r="N298" s="115">
        <f>IFERROR(__xludf.DUMMYFUNCTION("IMPORTRANGE(""https://docs.google.com/spreadsheets/d/1Yj_ptqi66GCucihVvJfMjLAmec39IyEx_6qawtMGysU/edit?usp=sharing"",""สบก!CV53"")"),0.0)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IFERROR(__xludf.DUMMYFUNCTION("IMPORTRANGE(""https://docs.google.com/spreadsheets/d/1XL5vhW3sbDhbH9Cz0tuDiY8C3ctxq1tqvaCgkFb8cCA/edit?usp=sharing"",""หนองคาย!J205"")"),0.0)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IFERROR(__xludf.DUMMYFUNCTION("IMPORTRANGE(""https://docs.google.com/spreadsheets/d/1XL5vhW3sbDhbH9Cz0tuDiY8C3ctxq1tqvaCgkFb8cCA/edit?usp=sharing"",""หนองคาย!J206"")"),0.0)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IFERROR(__xludf.DUMMYFUNCTION("IMPORTRANGE(""https://docs.google.com/spreadsheets/d/1XL5vhW3sbDhbH9Cz0tuDiY8C3ctxq1tqvaCgkFb8cCA/edit?usp=sharing"",""หนองคาย!J207"")"),0.0)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IFERROR(__xludf.DUMMYFUNCTION("IMPORTRANGE(""https://docs.google.com/spreadsheets/d/1XL5vhW3sbDhbH9Cz0tuDiY8C3ctxq1tqvaCgkFb8cCA/edit?usp=sharing"",""หนองคาย!J208"")"),0.0)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IFERROR(__xludf.DUMMYFUNCTION("IMPORTRANGE(""https://docs.google.com/spreadsheets/d/1XL5vhW3sbDhbH9Cz0tuDiY8C3ctxq1tqvaCgkFb8cCA/edit?usp=sharing"",""หนองคาย!I209"")"),0.0)</f>
        <v>0</v>
      </c>
      <c r="J304" s="238">
        <f>IFERROR(__xludf.DUMMYFUNCTION("IMPORTRANGE(""https://docs.google.com/spreadsheets/d/1XL5vhW3sbDhbH9Cz0tuDiY8C3ctxq1tqvaCgkFb8cCA/edit?usp=sharing"",""หนองคาย!J209"")"),0.0)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IFERROR(__xludf.DUMMYFUNCTION("IMPORTRANGE(""https://docs.google.com/spreadsheets/d/1XL5vhW3sbDhbH9Cz0tuDiY8C3ctxq1tqvaCgkFb8cCA/edit?usp=sharing"",""หนองคาย!I211"")"),0.0)</f>
        <v>0</v>
      </c>
      <c r="J306" s="238">
        <f>IFERROR(__xludf.DUMMYFUNCTION("IMPORTRANGE(""https://docs.google.com/spreadsheets/d/1XL5vhW3sbDhbH9Cz0tuDiY8C3ctxq1tqvaCgkFb8cCA/edit?usp=sharing"",""หนองคาย!J211"")"),0.0)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IFERROR(__xludf.DUMMYFUNCTION("IMPORTRANGE(""https://docs.google.com/spreadsheets/d/1XL5vhW3sbDhbH9Cz0tuDiY8C3ctxq1tqvaCgkFb8cCA/edit?usp=sharing"",""หนองคาย!J212"")"),0.0)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IFERROR(__xludf.DUMMYFUNCTION("IMPORTRANGE(""https://docs.google.com/spreadsheets/d/1XL5vhW3sbDhbH9Cz0tuDiY8C3ctxq1tqvaCgkFb8cCA/edit?usp=sharing"",""หนองคาย!J213"")"),0.0)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IFERROR(__xludf.DUMMYFUNCTION("IMPORTRANGE(""https://docs.google.com/spreadsheets/d/1XL5vhW3sbDhbH9Cz0tuDiY8C3ctxq1tqvaCgkFb8cCA/edit?usp=sharing"",""หนองคาย!I214"")"),0.0)</f>
        <v>0</v>
      </c>
      <c r="J309" s="366">
        <f>IFERROR(__xludf.DUMMYFUNCTION("IMPORTRANGE(""https://docs.google.com/spreadsheets/d/1XL5vhW3sbDhbH9Cz0tuDiY8C3ctxq1tqvaCgkFb8cCA/edit?usp=sharing"",""หนองคาย!J214"")"),0.0)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IFERROR(__xludf.DUMMYFUNCTION("IMPORTRANGE(""https://docs.google.com/spreadsheets/d/1Yj_ptqi66GCucihVvJfMjLAmec39IyEx_6qawtMGysU/edit?usp=sharing"",""สบก!DC53"")"),0.0)</f>
        <v>0</v>
      </c>
      <c r="N314" s="202">
        <f>IFERROR(__xludf.DUMMYFUNCTION("IMPORTRANGE(""https://docs.google.com/spreadsheets/d/1Yj_ptqi66GCucihVvJfMjLAmec39IyEx_6qawtMGysU/edit?usp=sharing"",""สบก!DD53"")"),0.0)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IFERROR(__xludf.DUMMYFUNCTION("IMPORTRANGE(""https://docs.google.com/spreadsheets/d/1Yj_ptqi66GCucihVvJfMjLAmec39IyEx_6qawtMGysU/edit?usp=sharing"",""สบก!CY53"")"),0.0)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IFERROR(__xludf.DUMMYFUNCTION("IMPORTRANGE(""https://docs.google.com/spreadsheets/d/1Yj_ptqi66GCucihVvJfMjLAmec39IyEx_6qawtMGysU/edit?usp=sharing"",""สบก!CZ53"")"),0.0)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IFERROR(__xludf.DUMMYFUNCTION("IMPORTRANGE(""https://docs.google.com/spreadsheets/d/1Yj_ptqi66GCucihVvJfMjLAmec39IyEx_6qawtMGysU/edit?usp=sharing"",""สบก!DA53"")"),0.0)</f>
        <v>0</v>
      </c>
      <c r="M318" s="125"/>
      <c r="N318" s="115">
        <f>IFERROR(__xludf.DUMMYFUNCTION("IMPORTRANGE(""https://docs.google.com/spreadsheets/d/1Yj_ptqi66GCucihVvJfMjLAmec39IyEx_6qawtMGysU/edit?usp=sharing"",""สบก!DE53"")"),0.0)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IFERROR(__xludf.DUMMYFUNCTION("IMPORTRANGE(""https://docs.google.com/spreadsheets/d/1XL5vhW3sbDhbH9Cz0tuDiY8C3ctxq1tqvaCgkFb8cCA/edit?usp=sharing"",""หนองคาย!J220"")"),0.0)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IFERROR(__xludf.DUMMYFUNCTION("IMPORTRANGE(""https://docs.google.com/spreadsheets/d/1XL5vhW3sbDhbH9Cz0tuDiY8C3ctxq1tqvaCgkFb8cCA/edit?usp=sharing"",""หนองคาย!J221"")"),0.0)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IFERROR(__xludf.DUMMYFUNCTION("IMPORTRANGE(""https://docs.google.com/spreadsheets/d/1XL5vhW3sbDhbH9Cz0tuDiY8C3ctxq1tqvaCgkFb8cCA/edit?usp=sharing"",""หนองคาย!J222"")"),0.0)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IFERROR(__xludf.DUMMYFUNCTION("IMPORTRANGE(""https://docs.google.com/spreadsheets/d/1XL5vhW3sbDhbH9Cz0tuDiY8C3ctxq1tqvaCgkFb8cCA/edit?usp=sharing"",""หนองคาย!J223"")"),0.0)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IFERROR(__xludf.DUMMYFUNCTION("IMPORTRANGE(""https://docs.google.com/spreadsheets/d/1XL5vhW3sbDhbH9Cz0tuDiY8C3ctxq1tqvaCgkFb8cCA/edit?usp=sharing"",""หนองคาย!I224"")"),0.0)</f>
        <v>0</v>
      </c>
      <c r="J324" s="238">
        <f>IFERROR(__xludf.DUMMYFUNCTION("IMPORTRANGE(""https://docs.google.com/spreadsheets/d/1XL5vhW3sbDhbH9Cz0tuDiY8C3ctxq1tqvaCgkFb8cCA/edit?usp=sharing"",""หนองคาย!J224"")"),0.0)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IFERROR(__xludf.DUMMYFUNCTION("IMPORTRANGE(""https://docs.google.com/spreadsheets/d/1XL5vhW3sbDhbH9Cz0tuDiY8C3ctxq1tqvaCgkFb8cCA/edit?usp=sharing"",""หนองคาย!J225"")"),0.0)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IFERROR(__xludf.DUMMYFUNCTION("IMPORTRANGE(""https://docs.google.com/spreadsheets/d/1XL5vhW3sbDhbH9Cz0tuDiY8C3ctxq1tqvaCgkFb8cCA/edit?usp=sharing"",""หนองคาย!J226"")"),0.0)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IFERROR(__xludf.DUMMYFUNCTION("IMPORTRANGE(""https://docs.google.com/spreadsheets/d/1XL5vhW3sbDhbH9Cz0tuDiY8C3ctxq1tqvaCgkFb8cCA/edit?usp=sharing"",""หนองคาย!I228"")"),650.0)</f>
        <v>650</v>
      </c>
      <c r="J328" s="372">
        <f>IFERROR(__xludf.DUMMYFUNCTION("IMPORTRANGE(""https://docs.google.com/spreadsheets/d/1XL5vhW3sbDhbH9Cz0tuDiY8C3ctxq1tqvaCgkFb8cCA/edit?usp=sharing"",""หนองคาย!J228"")"),0.0)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1197130</v>
      </c>
      <c r="M329" s="183">
        <f t="shared" si="99"/>
        <v>565830</v>
      </c>
      <c r="N329" s="183">
        <f t="shared" si="99"/>
        <v>504935</v>
      </c>
      <c r="O329" s="182">
        <f t="shared" ref="O329:O331" si="101">IF(L329&gt;0,N329*100/L329,0)</f>
        <v>42.17879428</v>
      </c>
      <c r="P329" s="182">
        <f t="shared" ref="P329:P331" si="102">IF(M329&gt;0,N329*100/M329,0)</f>
        <v>89.23793365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1197130</v>
      </c>
      <c r="M331" s="188">
        <f t="shared" si="103"/>
        <v>565830</v>
      </c>
      <c r="N331" s="188">
        <f t="shared" si="103"/>
        <v>504935</v>
      </c>
      <c r="O331" s="187">
        <f t="shared" si="101"/>
        <v>42.17879428</v>
      </c>
      <c r="P331" s="187">
        <f t="shared" si="102"/>
        <v>89.23793365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1011130</v>
      </c>
      <c r="M333" s="201">
        <f>IFERROR(__xludf.DUMMYFUNCTION("IMPORTRANGE(""https://docs.google.com/spreadsheets/d/1Yj_ptqi66GCucihVvJfMjLAmec39IyEx_6qawtMGysU/edit?usp=sharing"",""สบก!DL53"")"),565830.0)</f>
        <v>565830</v>
      </c>
      <c r="N333" s="202">
        <f>IFERROR(__xludf.DUMMYFUNCTION("IMPORTRANGE(""https://docs.google.com/spreadsheets/d/1Yj_ptqi66GCucihVvJfMjLAmec39IyEx_6qawtMGysU/edit?usp=sharing"",""สบก!DM53"")"),318935.0)</f>
        <v>318935</v>
      </c>
      <c r="O333" s="203">
        <f>IF(L333&gt;0,N333*100/L333,0)</f>
        <v>31.54243272</v>
      </c>
      <c r="P333" s="203">
        <f>IF(M333&gt;0,N333*100/M333,0)</f>
        <v>56.36586961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IFERROR(__xludf.DUMMYFUNCTION("IMPORTRANGE(""https://docs.google.com/spreadsheets/d/1Yj_ptqi66GCucihVvJfMjLAmec39IyEx_6qawtMGysU/edit?usp=sharing"",""สบก!DH53"")"),417600.0)</f>
        <v>417600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IFERROR(__xludf.DUMMYFUNCTION("IMPORTRANGE(""https://docs.google.com/spreadsheets/d/1Yj_ptqi66GCucihVvJfMjLAmec39IyEx_6qawtMGysU/edit?usp=sharing"",""สบก!DI53"")"),593530.0)</f>
        <v>593530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IFERROR(__xludf.DUMMYFUNCTION("IMPORTRANGE(""https://docs.google.com/spreadsheets/d/1Yj_ptqi66GCucihVvJfMjLAmec39IyEx_6qawtMGysU/edit?usp=sharing"",""สบก!DJ53"")"),186000.0)</f>
        <v>186000</v>
      </c>
      <c r="M337" s="125"/>
      <c r="N337" s="115">
        <f>IFERROR(__xludf.DUMMYFUNCTION("IMPORTRANGE(""https://docs.google.com/spreadsheets/d/1Yj_ptqi66GCucihVvJfMjLAmec39IyEx_6qawtMGysU/edit?usp=sharing"",""สบก!DN53"")"),186000.0)</f>
        <v>186000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IFERROR(__xludf.DUMMYFUNCTION("IMPORTRANGE(""https://docs.google.com/spreadsheets/d/1XL5vhW3sbDhbH9Cz0tuDiY8C3ctxq1tqvaCgkFb8cCA/edit?usp=sharing"",""หนองคาย!I234"")"),0.0)</f>
        <v>0</v>
      </c>
      <c r="J339" s="222">
        <f>IFERROR(__xludf.DUMMYFUNCTION("IMPORTRANGE(""https://docs.google.com/spreadsheets/d/1XL5vhW3sbDhbH9Cz0tuDiY8C3ctxq1tqvaCgkFb8cCA/edit?usp=sharing"",""หนองคาย!J234"")"),51.0)</f>
        <v>51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IFERROR(__xludf.DUMMYFUNCTION("IMPORTRANGE(""https://docs.google.com/spreadsheets/d/1XL5vhW3sbDhbH9Cz0tuDiY8C3ctxq1tqvaCgkFb8cCA/edit?usp=sharing"",""หนองคาย!I235"")"),3376.0)</f>
        <v>3376</v>
      </c>
      <c r="J340" s="222">
        <f>IFERROR(__xludf.DUMMYFUNCTION("IMPORTRANGE(""https://docs.google.com/spreadsheets/d/1XL5vhW3sbDhbH9Cz0tuDiY8C3ctxq1tqvaCgkFb8cCA/edit?usp=sharing"",""หนองคาย!J235"")"),430.85)</f>
        <v>430.85</v>
      </c>
      <c r="K340" s="375">
        <f t="shared" si="104"/>
        <v>12.76214455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IFERROR(__xludf.DUMMYFUNCTION("IMPORTRANGE(""https://docs.google.com/spreadsheets/d/1XL5vhW3sbDhbH9Cz0tuDiY8C3ctxq1tqvaCgkFb8cCA/edit?usp=sharing"",""หนองคาย!I236"")"),650.0)</f>
        <v>650</v>
      </c>
      <c r="J341" s="222">
        <f>IFERROR(__xludf.DUMMYFUNCTION("IMPORTRANGE(""https://docs.google.com/spreadsheets/d/1XL5vhW3sbDhbH9Cz0tuDiY8C3ctxq1tqvaCgkFb8cCA/edit?usp=sharing"",""หนองคาย!J236"")"),132.0)</f>
        <v>132</v>
      </c>
      <c r="K341" s="375">
        <f t="shared" si="104"/>
        <v>20.30769231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IFERROR(__xludf.DUMMYFUNCTION("IMPORTRANGE(""https://docs.google.com/spreadsheets/d/1XL5vhW3sbDhbH9Cz0tuDiY8C3ctxq1tqvaCgkFb8cCA/edit?usp=sharing"",""หนองคาย!I237"")"),0.0)</f>
        <v>0</v>
      </c>
      <c r="J342" s="222">
        <f>IFERROR(__xludf.DUMMYFUNCTION("IMPORTRANGE(""https://docs.google.com/spreadsheets/d/1XL5vhW3sbDhbH9Cz0tuDiY8C3ctxq1tqvaCgkFb8cCA/edit?usp=sharing"",""หนองคาย!J237"")"),1718.72)</f>
        <v>1718.72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IFERROR(__xludf.DUMMYFUNCTION("IMPORTRANGE(""https://docs.google.com/spreadsheets/d/1XL5vhW3sbDhbH9Cz0tuDiY8C3ctxq1tqvaCgkFb8cCA/edit?usp=sharing"",""หนองคาย!I238"")"),650.0)</f>
        <v>650</v>
      </c>
      <c r="J343" s="222">
        <f>IFERROR(__xludf.DUMMYFUNCTION("IMPORTRANGE(""https://docs.google.com/spreadsheets/d/1XL5vhW3sbDhbH9Cz0tuDiY8C3ctxq1tqvaCgkFb8cCA/edit?usp=sharing"",""หนองคาย!J238"")"),0.0)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IFERROR(__xludf.DUMMYFUNCTION("IMPORTRANGE(""https://docs.google.com/spreadsheets/d/1XL5vhW3sbDhbH9Cz0tuDiY8C3ctxq1tqvaCgkFb8cCA/edit?usp=sharing"",""หนองคาย!I239"")"),0.0)</f>
        <v>0</v>
      </c>
      <c r="J344" s="222">
        <f>IFERROR(__xludf.DUMMYFUNCTION("IMPORTRANGE(""https://docs.google.com/spreadsheets/d/1XL5vhW3sbDhbH9Cz0tuDiY8C3ctxq1tqvaCgkFb8cCA/edit?usp=sharing"",""หนองคาย!J239"")"),0.0)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IFERROR(__xludf.DUMMYFUNCTION("IMPORTRANGE(""https://docs.google.com/spreadsheets/d/1XL5vhW3sbDhbH9Cz0tuDiY8C3ctxq1tqvaCgkFb8cCA/edit?usp=sharing"",""หนองคาย!I240"")"),650.0)</f>
        <v>650</v>
      </c>
      <c r="J345" s="222">
        <f>IFERROR(__xludf.DUMMYFUNCTION("IMPORTRANGE(""https://docs.google.com/spreadsheets/d/1XL5vhW3sbDhbH9Cz0tuDiY8C3ctxq1tqvaCgkFb8cCA/edit?usp=sharing"",""หนองคาย!J240"")"),0.0)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IFERROR(__xludf.DUMMYFUNCTION("IMPORTRANGE(""https://docs.google.com/spreadsheets/d/1XL5vhW3sbDhbH9Cz0tuDiY8C3ctxq1tqvaCgkFb8cCA/edit?usp=sharing"",""หนองคาย!I241"")"),0.0)</f>
        <v>0</v>
      </c>
      <c r="J346" s="222">
        <f>IFERROR(__xludf.DUMMYFUNCTION("IMPORTRANGE(""https://docs.google.com/spreadsheets/d/1XL5vhW3sbDhbH9Cz0tuDiY8C3ctxq1tqvaCgkFb8cCA/edit?usp=sharing"",""หนองคาย!J241"")"),0.0)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IFERROR(__xludf.DUMMYFUNCTION("IMPORTRANGE(""https://docs.google.com/spreadsheets/d/1XL5vhW3sbDhbH9Cz0tuDiY8C3ctxq1tqvaCgkFb8cCA/edit?usp=sharing"",""หนองคาย!L242"")"),2537856.0)</f>
        <v>2537856</v>
      </c>
      <c r="M347" s="391"/>
      <c r="N347" s="391">
        <f>IFERROR(__xludf.DUMMYFUNCTION("IMPORTRANGE(""https://docs.google.com/spreadsheets/d/1XL5vhW3sbDhbH9Cz0tuDiY8C3ctxq1tqvaCgkFb8cCA/edit?usp=sharing"",""หนองคาย!M242"")"),386018.89)</f>
        <v>386018.89</v>
      </c>
      <c r="O347" s="391">
        <f>+IF(L347&gt;0,N347*100/L347,0)</f>
        <v>15.21043314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IFERROR(__xludf.DUMMYFUNCTION("IMPORTRANGE(""https://docs.google.com/spreadsheets/d/1XL5vhW3sbDhbH9Cz0tuDiY8C3ctxq1tqvaCgkFb8cCA/edit?usp=sharing"",""หนองคาย!I244"")"),400.0)</f>
        <v>400</v>
      </c>
      <c r="J349" s="404">
        <f>IFERROR(__xludf.DUMMYFUNCTION("IMPORTRANGE(""https://docs.google.com/spreadsheets/d/1XL5vhW3sbDhbH9Cz0tuDiY8C3ctxq1tqvaCgkFb8cCA/edit?usp=sharing"",""หนองคาย!J244"")"),0.0)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IFERROR(__xludf.DUMMYFUNCTION("IMPORTRANGE(""https://docs.google.com/spreadsheets/d/1XL5vhW3sbDhbH9Cz0tuDiY8C3ctxq1tqvaCgkFb8cCA/edit?usp=sharing"",""หนองคาย!L244"")"),635180.0)</f>
        <v>635180</v>
      </c>
      <c r="M349" s="406"/>
      <c r="N349" s="406">
        <f>IFERROR(__xludf.DUMMYFUNCTION("IMPORTRANGE(""https://docs.google.com/spreadsheets/d/1XL5vhW3sbDhbH9Cz0tuDiY8C3ctxq1tqvaCgkFb8cCA/edit?usp=sharing"",""หนองคาย!M244"")"),147496.54)</f>
        <v>147496.54</v>
      </c>
      <c r="O349" s="406">
        <f>+IF(L349&gt;0,N349*100/L349,0)</f>
        <v>23.22121918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IFERROR(__xludf.DUMMYFUNCTION("IMPORTRANGE(""https://docs.google.com/spreadsheets/d/1XL5vhW3sbDhbH9Cz0tuDiY8C3ctxq1tqvaCgkFb8cCA/edit?usp=sharing"",""หนองคาย!I245"")"),90.0)</f>
        <v>90</v>
      </c>
      <c r="J350" s="404">
        <f>IFERROR(__xludf.DUMMYFUNCTION("IMPORTRANGE(""https://docs.google.com/spreadsheets/d/1XL5vhW3sbDhbH9Cz0tuDiY8C3ctxq1tqvaCgkFb8cCA/edit?usp=sharing"",""หนองคาย!J245"")"),0.0)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IFERROR(__xludf.DUMMYFUNCTION("IMPORTRANGE(""https://docs.google.com/spreadsheets/d/1XL5vhW3sbDhbH9Cz0tuDiY8C3ctxq1tqvaCgkFb8cCA/edit?usp=sharing"",""หนองคาย!L246"")"),0.0)</f>
        <v>0</v>
      </c>
      <c r="M351" s="197"/>
      <c r="N351" s="197">
        <f>IFERROR(__xludf.DUMMYFUNCTION("IMPORTRANGE(""https://docs.google.com/spreadsheets/d/1XL5vhW3sbDhbH9Cz0tuDiY8C3ctxq1tqvaCgkFb8cCA/edit?usp=sharing"",""หนองคาย!M246"")"),0.0)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IFERROR(__xludf.DUMMYFUNCTION("IMPORTRANGE(""https://docs.google.com/spreadsheets/d/1XL5vhW3sbDhbH9Cz0tuDiY8C3ctxq1tqvaCgkFb8cCA/edit?usp=sharing"",""หนองคาย!L247"")"),635180.0)</f>
        <v>635180</v>
      </c>
      <c r="M352" s="198"/>
      <c r="N352" s="197">
        <f>IFERROR(__xludf.DUMMYFUNCTION("IMPORTRANGE(""https://docs.google.com/spreadsheets/d/1XL5vhW3sbDhbH9Cz0tuDiY8C3ctxq1tqvaCgkFb8cCA/edit?usp=sharing"",""หนองคาย!M247"")"),147496.54)</f>
        <v>147496.54</v>
      </c>
      <c r="O352" s="198">
        <f t="shared" si="106"/>
        <v>23.22121918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IFERROR(__xludf.DUMMYFUNCTION("IMPORTRANGE(""https://docs.google.com/spreadsheets/d/1XL5vhW3sbDhbH9Cz0tuDiY8C3ctxq1tqvaCgkFb8cCA/edit?usp=sharing"",""หนองคาย!L248"")"),0.0)</f>
        <v>0</v>
      </c>
      <c r="M353" s="203"/>
      <c r="N353" s="203">
        <f>IFERROR(__xludf.DUMMYFUNCTION("IMPORTRANGE(""https://docs.google.com/spreadsheets/d/1XL5vhW3sbDhbH9Cz0tuDiY8C3ctxq1tqvaCgkFb8cCA/edit?usp=sharing"",""หนองคาย!M248"")"),0.0)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IFERROR(__xludf.DUMMYFUNCTION("IMPORTRANGE(""https://docs.google.com/spreadsheets/d/1XL5vhW3sbDhbH9Cz0tuDiY8C3ctxq1tqvaCgkFb8cCA/edit?usp=sharing"",""หนองคาย!L249"")"),635180.0)</f>
        <v>635180</v>
      </c>
      <c r="M354" s="203"/>
      <c r="N354" s="200">
        <f>IFERROR(__xludf.DUMMYFUNCTION("IMPORTRANGE(""https://docs.google.com/spreadsheets/d/1XL5vhW3sbDhbH9Cz0tuDiY8C3ctxq1tqvaCgkFb8cCA/edit?usp=sharing"",""หนองคาย!M249"")"),147496.54)</f>
        <v>147496.54</v>
      </c>
      <c r="O354" s="203">
        <f t="shared" si="106"/>
        <v>23.22121918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IFERROR(__xludf.DUMMYFUNCTION("IMPORTRANGE(""https://docs.google.com/spreadsheets/d/1XL5vhW3sbDhbH9Cz0tuDiY8C3ctxq1tqvaCgkFb8cCA/edit?usp=sharing"",""หนองคาย!M250"")"),105581.21)</f>
        <v>105581.21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IFERROR(__xludf.DUMMYFUNCTION("IMPORTRANGE(""https://docs.google.com/spreadsheets/d/1XL5vhW3sbDhbH9Cz0tuDiY8C3ctxq1tqvaCgkFb8cCA/edit?usp=sharing"",""หนองคาย!M251"")"),0.0)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IFERROR(__xludf.DUMMYFUNCTION("IMPORTRANGE(""https://docs.google.com/spreadsheets/d/1XL5vhW3sbDhbH9Cz0tuDiY8C3ctxq1tqvaCgkFb8cCA/edit?usp=sharing"",""หนองคาย!M252"")"),39375.33)</f>
        <v>39375.33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IFERROR(__xludf.DUMMYFUNCTION("IMPORTRANGE(""https://docs.google.com/spreadsheets/d/1XL5vhW3sbDhbH9Cz0tuDiY8C3ctxq1tqvaCgkFb8cCA/edit?usp=sharing"",""หนองคาย!M253"")"),2540.0)</f>
        <v>2540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IFERROR(__xludf.DUMMYFUNCTION("IMPORTRANGE(""https://docs.google.com/spreadsheets/d/1XL5vhW3sbDhbH9Cz0tuDiY8C3ctxq1tqvaCgkFb8cCA/edit?usp=sharing"",""หนองคาย!J255"")"),0.0)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IFERROR(__xludf.DUMMYFUNCTION("IMPORTRANGE(""https://docs.google.com/spreadsheets/d/1XL5vhW3sbDhbH9Cz0tuDiY8C3ctxq1tqvaCgkFb8cCA/edit?usp=sharing"",""หนองคาย!J256"")"),1.0)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IFERROR(__xludf.DUMMYFUNCTION("IMPORTRANGE(""https://docs.google.com/spreadsheets/d/1XL5vhW3sbDhbH9Cz0tuDiY8C3ctxq1tqvaCgkFb8cCA/edit?usp=sharing"",""หนองคาย!J257"")"),1.0)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IFERROR(__xludf.DUMMYFUNCTION("IMPORTRANGE(""https://docs.google.com/spreadsheets/d/1XL5vhW3sbDhbH9Cz0tuDiY8C3ctxq1tqvaCgkFb8cCA/edit?usp=sharing"",""หนองคาย!J258"")"),1.0)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IFERROR(__xludf.DUMMYFUNCTION("IMPORTRANGE(""https://docs.google.com/spreadsheets/d/1XL5vhW3sbDhbH9Cz0tuDiY8C3ctxq1tqvaCgkFb8cCA/edit?usp=sharing"",""หนองคาย!J166"")"),0.0)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IFERROR(__xludf.DUMMYFUNCTION("IMPORTRANGE(""https://docs.google.com/spreadsheets/d/1XL5vhW3sbDhbH9Cz0tuDiY8C3ctxq1tqvaCgkFb8cCA/edit?usp=sharing"",""หนองคาย!J166"")"),0.0)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IFERROR(__xludf.DUMMYFUNCTION("IMPORTRANGE(""https://docs.google.com/spreadsheets/d/1XL5vhW3sbDhbH9Cz0tuDiY8C3ctxq1tqvaCgkFb8cCA/edit?usp=sharing"",""หนองคาย!J166"")"),0.0)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IFERROR(__xludf.DUMMYFUNCTION("IMPORTRANGE(""https://docs.google.com/spreadsheets/d/1XL5vhW3sbDhbH9Cz0tuDiY8C3ctxq1tqvaCgkFb8cCA/edit?usp=sharing"",""หนองคาย!J166"")"),0.0)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IFERROR(__xludf.DUMMYFUNCTION("IMPORTRANGE(""https://docs.google.com/spreadsheets/d/1XL5vhW3sbDhbH9Cz0tuDiY8C3ctxq1tqvaCgkFb8cCA/edit?usp=sharing"",""หนองคาย!I263"")"),90.0)</f>
        <v>90</v>
      </c>
      <c r="J368" s="222">
        <f>IFERROR(__xludf.DUMMYFUNCTION("IMPORTRANGE(""https://docs.google.com/spreadsheets/d/1XL5vhW3sbDhbH9Cz0tuDiY8C3ctxq1tqvaCgkFb8cCA/edit?usp=sharing"",""หนองคาย!J263"")"),0.0)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IFERROR(__xludf.DUMMYFUNCTION("IMPORTRANGE(""https://docs.google.com/spreadsheets/d/1XL5vhW3sbDhbH9Cz0tuDiY8C3ctxq1tqvaCgkFb8cCA/edit?usp=sharing"",""หนองคาย!I164"")"),0.0)</f>
        <v>0</v>
      </c>
      <c r="J369" s="238">
        <f>IFERROR(__xludf.DUMMYFUNCTION("IMPORTRANGE(""https://docs.google.com/spreadsheets/d/1XL5vhW3sbDhbH9Cz0tuDiY8C3ctxq1tqvaCgkFb8cCA/edit?usp=sharing"",""หนองคาย!J164"")"),0.0)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IFERROR(__xludf.DUMMYFUNCTION("IMPORTRANGE(""https://docs.google.com/spreadsheets/d/1XL5vhW3sbDhbH9Cz0tuDiY8C3ctxq1tqvaCgkFb8cCA/edit?usp=sharing"",""หนองคาย!I265"")"),90.0)</f>
        <v>90</v>
      </c>
      <c r="J370" s="238">
        <f>IFERROR(__xludf.DUMMYFUNCTION("IMPORTRANGE(""https://docs.google.com/spreadsheets/d/1XL5vhW3sbDhbH9Cz0tuDiY8C3ctxq1tqvaCgkFb8cCA/edit?usp=sharing"",""หนองคาย!J265"")"),90.0)</f>
        <v>90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IFERROR(__xludf.DUMMYFUNCTION("IMPORTRANGE(""https://docs.google.com/spreadsheets/d/1XL5vhW3sbDhbH9Cz0tuDiY8C3ctxq1tqvaCgkFb8cCA/edit?usp=sharing"",""หนองคาย!I164"")"),0.0)</f>
        <v>0</v>
      </c>
      <c r="J371" s="223">
        <f>IFERROR(__xludf.DUMMYFUNCTION("IMPORTRANGE(""https://docs.google.com/spreadsheets/d/1XL5vhW3sbDhbH9Cz0tuDiY8C3ctxq1tqvaCgkFb8cCA/edit?usp=sharing"",""หนองคาย!J164"")"),0.0)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IFERROR(__xludf.DUMMYFUNCTION("IMPORTRANGE(""https://docs.google.com/spreadsheets/d/1XL5vhW3sbDhbH9Cz0tuDiY8C3ctxq1tqvaCgkFb8cCA/edit?usp=sharing"",""หนองคาย!I267"")"),90.0)</f>
        <v>90</v>
      </c>
      <c r="J372" s="223">
        <f>IFERROR(__xludf.DUMMYFUNCTION("IMPORTRANGE(""https://docs.google.com/spreadsheets/d/1XL5vhW3sbDhbH9Cz0tuDiY8C3ctxq1tqvaCgkFb8cCA/edit?usp=sharing"",""หนองคาย!J267"")"),0.0)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IFERROR(__xludf.DUMMYFUNCTION("IMPORTRANGE(""https://docs.google.com/spreadsheets/d/1XL5vhW3sbDhbH9Cz0tuDiY8C3ctxq1tqvaCgkFb8cCA/edit?usp=sharing"",""หนองคาย!I164"")"),0.0)</f>
        <v>0</v>
      </c>
      <c r="J373" s="238">
        <f>IFERROR(__xludf.DUMMYFUNCTION("IMPORTRANGE(""https://docs.google.com/spreadsheets/d/1XL5vhW3sbDhbH9Cz0tuDiY8C3ctxq1tqvaCgkFb8cCA/edit?usp=sharing"",""หนองคาย!J164"")"),0.0)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IFERROR(__xludf.DUMMYFUNCTION("IMPORTRANGE(""https://docs.google.com/spreadsheets/d/1XL5vhW3sbDhbH9Cz0tuDiY8C3ctxq1tqvaCgkFb8cCA/edit?usp=sharing"",""หนองคาย!I164"")"),0.0)</f>
        <v>0</v>
      </c>
      <c r="J374" s="222">
        <f>IFERROR(__xludf.DUMMYFUNCTION("IMPORTRANGE(""https://docs.google.com/spreadsheets/d/1XL5vhW3sbDhbH9Cz0tuDiY8C3ctxq1tqvaCgkFb8cCA/edit?usp=sharing"",""หนองคาย!J164"")"),0.0)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IFERROR(__xludf.DUMMYFUNCTION("IMPORTRANGE(""https://docs.google.com/spreadsheets/d/1XL5vhW3sbDhbH9Cz0tuDiY8C3ctxq1tqvaCgkFb8cCA/edit?usp=sharing"",""หนองคาย!I270"")"),400.0)</f>
        <v>400</v>
      </c>
      <c r="J375" s="222">
        <f>IFERROR(__xludf.DUMMYFUNCTION("IMPORTRANGE(""https://docs.google.com/spreadsheets/d/1XL5vhW3sbDhbH9Cz0tuDiY8C3ctxq1tqvaCgkFb8cCA/edit?usp=sharing"",""หนองคาย!J270"")"),0.0)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IFERROR(__xludf.DUMMYFUNCTION("IMPORTRANGE(""https://docs.google.com/spreadsheets/d/1XL5vhW3sbDhbH9Cz0tuDiY8C3ctxq1tqvaCgkFb8cCA/edit?usp=sharing"",""หนองคาย!I271"")"),100.0)</f>
        <v>100</v>
      </c>
      <c r="J376" s="223">
        <f>IFERROR(__xludf.DUMMYFUNCTION("IMPORTRANGE(""https://docs.google.com/spreadsheets/d/1XL5vhW3sbDhbH9Cz0tuDiY8C3ctxq1tqvaCgkFb8cCA/edit?usp=sharing"",""หนองคาย!J271"")"),0.0)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IFERROR(__xludf.DUMMYFUNCTION("IMPORTRANGE(""https://docs.google.com/spreadsheets/d/1XL5vhW3sbDhbH9Cz0tuDiY8C3ctxq1tqvaCgkFb8cCA/edit?usp=sharing"",""หนองคาย!I272"")"),300.0)</f>
        <v>300</v>
      </c>
      <c r="J377" s="238">
        <f>IFERROR(__xludf.DUMMYFUNCTION("IMPORTRANGE(""https://docs.google.com/spreadsheets/d/1XL5vhW3sbDhbH9Cz0tuDiY8C3ctxq1tqvaCgkFb8cCA/edit?usp=sharing"",""หนองคาย!J272"")"),0.0)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IFERROR(__xludf.DUMMYFUNCTION("IMPORTRANGE(""https://docs.google.com/spreadsheets/d/1XL5vhW3sbDhbH9Cz0tuDiY8C3ctxq1tqvaCgkFb8cCA/edit?usp=sharing"",""หนองคาย!J273"")"),0.0)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IFERROR(__xludf.DUMMYFUNCTION("IMPORTRANGE(""https://docs.google.com/spreadsheets/d/1XL5vhW3sbDhbH9Cz0tuDiY8C3ctxq1tqvaCgkFb8cCA/edit?usp=sharing"",""หนองคาย!J274"")"),0.0)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IFERROR(__xludf.DUMMYFUNCTION("IMPORTRANGE(""https://docs.google.com/spreadsheets/d/1XL5vhW3sbDhbH9Cz0tuDiY8C3ctxq1tqvaCgkFb8cCA/edit?usp=sharing"",""หนองคาย!I275"")"),500.0)</f>
        <v>500</v>
      </c>
      <c r="J380" s="404">
        <f>IFERROR(__xludf.DUMMYFUNCTION("IMPORTRANGE(""https://docs.google.com/spreadsheets/d/1XL5vhW3sbDhbH9Cz0tuDiY8C3ctxq1tqvaCgkFb8cCA/edit?usp=sharing"",""หนองคาย!J275"")"),0.0)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IFERROR(__xludf.DUMMYFUNCTION("IMPORTRANGE(""https://docs.google.com/spreadsheets/d/1XL5vhW3sbDhbH9Cz0tuDiY8C3ctxq1tqvaCgkFb8cCA/edit?usp=sharing"",""หนองคาย!L275"")"),460140.0)</f>
        <v>460140</v>
      </c>
      <c r="M380" s="406"/>
      <c r="N380" s="406">
        <f>IFERROR(__xludf.DUMMYFUNCTION("IMPORTRANGE(""https://docs.google.com/spreadsheets/d/1XL5vhW3sbDhbH9Cz0tuDiY8C3ctxq1tqvaCgkFb8cCA/edit?usp=sharing"",""หนองคาย!M275"")"),27295.0)</f>
        <v>27295</v>
      </c>
      <c r="O380" s="406">
        <f>+IF(L380&gt;0,N380*100/L380,0)</f>
        <v>5.931890294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IFERROR(__xludf.DUMMYFUNCTION("IMPORTRANGE(""https://docs.google.com/spreadsheets/d/1XL5vhW3sbDhbH9Cz0tuDiY8C3ctxq1tqvaCgkFb8cCA/edit?usp=sharing"",""หนองคาย!I276"")"),50.0)</f>
        <v>50</v>
      </c>
      <c r="J381" s="404">
        <f>IFERROR(__xludf.DUMMYFUNCTION("IMPORTRANGE(""https://docs.google.com/spreadsheets/d/1XL5vhW3sbDhbH9Cz0tuDiY8C3ctxq1tqvaCgkFb8cCA/edit?usp=sharing"",""หนองคาย!J276"")"),0.0)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IFERROR(__xludf.DUMMYFUNCTION("IMPORTRANGE(""https://docs.google.com/spreadsheets/d/1XL5vhW3sbDhbH9Cz0tuDiY8C3ctxq1tqvaCgkFb8cCA/edit?usp=sharing"",""หนองคาย!L277"")"),0.0)</f>
        <v>0</v>
      </c>
      <c r="M382" s="197"/>
      <c r="N382" s="197">
        <f>IFERROR(__xludf.DUMMYFUNCTION("IMPORTRANGE(""https://docs.google.com/spreadsheets/d/1XL5vhW3sbDhbH9Cz0tuDiY8C3ctxq1tqvaCgkFb8cCA/edit?usp=sharing"",""หนองคาย!M277"")"),0.0)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IFERROR(__xludf.DUMMYFUNCTION("IMPORTRANGE(""https://docs.google.com/spreadsheets/d/1XL5vhW3sbDhbH9Cz0tuDiY8C3ctxq1tqvaCgkFb8cCA/edit?usp=sharing"",""หนองคาย!L278"")"),460140.0)</f>
        <v>460140</v>
      </c>
      <c r="M383" s="198"/>
      <c r="N383" s="198">
        <f>IFERROR(__xludf.DUMMYFUNCTION("IMPORTRANGE(""https://docs.google.com/spreadsheets/d/1XL5vhW3sbDhbH9Cz0tuDiY8C3ctxq1tqvaCgkFb8cCA/edit?usp=sharing"",""หนองคาย!M278"")"),27295.0)</f>
        <v>27295</v>
      </c>
      <c r="O383" s="198">
        <f t="shared" si="110"/>
        <v>5.931890294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IFERROR(__xludf.DUMMYFUNCTION("IMPORTRANGE(""https://docs.google.com/spreadsheets/d/1XL5vhW3sbDhbH9Cz0tuDiY8C3ctxq1tqvaCgkFb8cCA/edit?usp=sharing"",""หนองคาย!L279"")"),0.0)</f>
        <v>0</v>
      </c>
      <c r="M384" s="203"/>
      <c r="N384" s="203">
        <f>IFERROR(__xludf.DUMMYFUNCTION("IMPORTRANGE(""https://docs.google.com/spreadsheets/d/1XL5vhW3sbDhbH9Cz0tuDiY8C3ctxq1tqvaCgkFb8cCA/edit?usp=sharing"",""หนองคาย!M279"")"),0.0)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IFERROR(__xludf.DUMMYFUNCTION("IMPORTRANGE(""https://docs.google.com/spreadsheets/d/1XL5vhW3sbDhbH9Cz0tuDiY8C3ctxq1tqvaCgkFb8cCA/edit?usp=sharing"",""หนองคาย!L280"")"),460140.0)</f>
        <v>460140</v>
      </c>
      <c r="M385" s="203"/>
      <c r="N385" s="200">
        <f>IFERROR(__xludf.DUMMYFUNCTION("IMPORTRANGE(""https://docs.google.com/spreadsheets/d/1XL5vhW3sbDhbH9Cz0tuDiY8C3ctxq1tqvaCgkFb8cCA/edit?usp=sharing"",""หนองคาย!M280"")"),27295.0)</f>
        <v>27295</v>
      </c>
      <c r="O385" s="203">
        <f t="shared" si="110"/>
        <v>5.931890294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IFERROR(__xludf.DUMMYFUNCTION("IMPORTRANGE(""https://docs.google.com/spreadsheets/d/1XL5vhW3sbDhbH9Cz0tuDiY8C3ctxq1tqvaCgkFb8cCA/edit?usp=sharing"",""หนองคาย!M281"")"),22055.0)</f>
        <v>22055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IFERROR(__xludf.DUMMYFUNCTION("IMPORTRANGE(""https://docs.google.com/spreadsheets/d/1XL5vhW3sbDhbH9Cz0tuDiY8C3ctxq1tqvaCgkFb8cCA/edit?usp=sharing"",""หนองคาย!M282"")"),0.0)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IFERROR(__xludf.DUMMYFUNCTION("IMPORTRANGE(""https://docs.google.com/spreadsheets/d/1XL5vhW3sbDhbH9Cz0tuDiY8C3ctxq1tqvaCgkFb8cCA/edit?usp=sharing"",""หนองคาย!M283"")"),0.0)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IFERROR(__xludf.DUMMYFUNCTION("IMPORTRANGE(""https://docs.google.com/spreadsheets/d/1XL5vhW3sbDhbH9Cz0tuDiY8C3ctxq1tqvaCgkFb8cCA/edit?usp=sharing"",""หนองคาย!M284"")"),5240.0)</f>
        <v>5240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IFERROR(__xludf.DUMMYFUNCTION("IMPORTRANGE(""https://docs.google.com/spreadsheets/d/1XL5vhW3sbDhbH9Cz0tuDiY8C3ctxq1tqvaCgkFb8cCA/edit?usp=sharing"",""หนองคาย!J286"")"),0.0)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IFERROR(__xludf.DUMMYFUNCTION("IMPORTRANGE(""https://docs.google.com/spreadsheets/d/1XL5vhW3sbDhbH9Cz0tuDiY8C3ctxq1tqvaCgkFb8cCA/edit?usp=sharing"",""หนองคาย!J287"")"),1.0)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IFERROR(__xludf.DUMMYFUNCTION("IMPORTRANGE(""https://docs.google.com/spreadsheets/d/1XL5vhW3sbDhbH9Cz0tuDiY8C3ctxq1tqvaCgkFb8cCA/edit?usp=sharing"",""หนองคาย!J288"")"),1.0)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IFERROR(__xludf.DUMMYFUNCTION("IMPORTRANGE(""https://docs.google.com/spreadsheets/d/1XL5vhW3sbDhbH9Cz0tuDiY8C3ctxq1tqvaCgkFb8cCA/edit?usp=sharing"",""หนองคาย!J289"")"),1.0)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IFERROR(__xludf.DUMMYFUNCTION("IMPORTRANGE(""https://docs.google.com/spreadsheets/d/1XL5vhW3sbDhbH9Cz0tuDiY8C3ctxq1tqvaCgkFb8cCA/edit?usp=sharing"",""หนองคาย!I291"")"),50.0)</f>
        <v>50</v>
      </c>
      <c r="J396" s="232">
        <f>IFERROR(__xludf.DUMMYFUNCTION("IMPORTRANGE(""https://docs.google.com/spreadsheets/d/1XL5vhW3sbDhbH9Cz0tuDiY8C3ctxq1tqvaCgkFb8cCA/edit?usp=sharing"",""หนองคาย!J291"")"),0.0)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IFERROR(__xludf.DUMMYFUNCTION("IMPORTRANGE(""https://docs.google.com/spreadsheets/d/1XL5vhW3sbDhbH9Cz0tuDiY8C3ctxq1tqvaCgkFb8cCA/edit?usp=sharing"",""หนองคาย!I292"")"),500.0)</f>
        <v>500</v>
      </c>
      <c r="J397" s="232">
        <f>IFERROR(__xludf.DUMMYFUNCTION("IMPORTRANGE(""https://docs.google.com/spreadsheets/d/1XL5vhW3sbDhbH9Cz0tuDiY8C3ctxq1tqvaCgkFb8cCA/edit?usp=sharing"",""หนองคาย!J292"")"),0.0)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IFERROR(__xludf.DUMMYFUNCTION("IMPORTRANGE(""https://docs.google.com/spreadsheets/d/1XL5vhW3sbDhbH9Cz0tuDiY8C3ctxq1tqvaCgkFb8cCA/edit?usp=sharing"",""หนองคาย!I293"")"),50.0)</f>
        <v>50</v>
      </c>
      <c r="J398" s="232">
        <f>IFERROR(__xludf.DUMMYFUNCTION("IMPORTRANGE(""https://docs.google.com/spreadsheets/d/1XL5vhW3sbDhbH9Cz0tuDiY8C3ctxq1tqvaCgkFb8cCA/edit?usp=sharing"",""หนองคาย!J293"")"),0.0)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IFERROR(__xludf.DUMMYFUNCTION("IMPORTRANGE(""https://docs.google.com/spreadsheets/d/1XL5vhW3sbDhbH9Cz0tuDiY8C3ctxq1tqvaCgkFb8cCA/edit?usp=sharing"",""หนองคาย!J294"")"),0.0)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IFERROR(__xludf.DUMMYFUNCTION("IMPORTRANGE(""https://docs.google.com/spreadsheets/d/1XL5vhW3sbDhbH9Cz0tuDiY8C3ctxq1tqvaCgkFb8cCA/edit?usp=sharing"",""หนองคาย!J295"")"),0.0)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IFERROR(__xludf.DUMMYFUNCTION("IMPORTRANGE(""https://docs.google.com/spreadsheets/d/1XL5vhW3sbDhbH9Cz0tuDiY8C3ctxq1tqvaCgkFb8cCA/edit?usp=sharing"",""หนองคาย!I296"")"),165.0)</f>
        <v>165</v>
      </c>
      <c r="J401" s="404">
        <f>IFERROR(__xludf.DUMMYFUNCTION("IMPORTRANGE(""https://docs.google.com/spreadsheets/d/1XL5vhW3sbDhbH9Cz0tuDiY8C3ctxq1tqvaCgkFb8cCA/edit?usp=sharing"",""หนองคาย!J296"")"),0.0)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IFERROR(__xludf.DUMMYFUNCTION("IMPORTRANGE(""https://docs.google.com/spreadsheets/d/1XL5vhW3sbDhbH9Cz0tuDiY8C3ctxq1tqvaCgkFb8cCA/edit?usp=sharing"",""หนองคาย!L296"")"),193290.0)</f>
        <v>193290</v>
      </c>
      <c r="M401" s="406"/>
      <c r="N401" s="406">
        <f>IFERROR(__xludf.DUMMYFUNCTION("IMPORTRANGE(""https://docs.google.com/spreadsheets/d/1XL5vhW3sbDhbH9Cz0tuDiY8C3ctxq1tqvaCgkFb8cCA/edit?usp=sharing"",""หนองคาย!M296"")"),62313.0)</f>
        <v>62313</v>
      </c>
      <c r="O401" s="406">
        <f>+IF(L401&gt;0,N401*100/L401,0)</f>
        <v>32.23808785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IFERROR(__xludf.DUMMYFUNCTION("IMPORTRANGE(""https://docs.google.com/spreadsheets/d/1XL5vhW3sbDhbH9Cz0tuDiY8C3ctxq1tqvaCgkFb8cCA/edit?usp=sharing"",""หนองคาย!I297"")"),55.0)</f>
        <v>55</v>
      </c>
      <c r="J402" s="404">
        <f>IFERROR(__xludf.DUMMYFUNCTION("IMPORTRANGE(""https://docs.google.com/spreadsheets/d/1XL5vhW3sbDhbH9Cz0tuDiY8C3ctxq1tqvaCgkFb8cCA/edit?usp=sharing"",""หนองคาย!J297"")"),20.0)</f>
        <v>20</v>
      </c>
      <c r="K402" s="405">
        <f t="shared" si="112"/>
        <v>36.36363636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IFERROR(__xludf.DUMMYFUNCTION("IMPORTRANGE(""https://docs.google.com/spreadsheets/d/1XL5vhW3sbDhbH9Cz0tuDiY8C3ctxq1tqvaCgkFb8cCA/edit?usp=sharing"",""หนองคาย!L298"")"),0.0)</f>
        <v>0</v>
      </c>
      <c r="M403" s="197"/>
      <c r="N403" s="203">
        <f>IFERROR(__xludf.DUMMYFUNCTION("IMPORTRANGE(""https://docs.google.com/spreadsheets/d/1XL5vhW3sbDhbH9Cz0tuDiY8C3ctxq1tqvaCgkFb8cCA/edit?usp=sharing"",""หนองคาย!M298"")"),0.0)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IFERROR(__xludf.DUMMYFUNCTION("IMPORTRANGE(""https://docs.google.com/spreadsheets/d/1XL5vhW3sbDhbH9Cz0tuDiY8C3ctxq1tqvaCgkFb8cCA/edit?usp=sharing"",""หนองคาย!L299"")"),193290.0)</f>
        <v>193290</v>
      </c>
      <c r="M404" s="198"/>
      <c r="N404" s="203">
        <f>IFERROR(__xludf.DUMMYFUNCTION("IMPORTRANGE(""https://docs.google.com/spreadsheets/d/1XL5vhW3sbDhbH9Cz0tuDiY8C3ctxq1tqvaCgkFb8cCA/edit?usp=sharing"",""หนองคาย!M299"")"),62313.0)</f>
        <v>62313</v>
      </c>
      <c r="O404" s="203">
        <f t="shared" si="113"/>
        <v>32.23808785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IFERROR(__xludf.DUMMYFUNCTION("IMPORTRANGE(""https://docs.google.com/spreadsheets/d/1XL5vhW3sbDhbH9Cz0tuDiY8C3ctxq1tqvaCgkFb8cCA/edit?usp=sharing"",""หนองคาย!L300"")"),0.0)</f>
        <v>0</v>
      </c>
      <c r="M405" s="203"/>
      <c r="N405" s="203">
        <f>IFERROR(__xludf.DUMMYFUNCTION("IMPORTRANGE(""https://docs.google.com/spreadsheets/d/1XL5vhW3sbDhbH9Cz0tuDiY8C3ctxq1tqvaCgkFb8cCA/edit?usp=sharing"",""หนองคาย!M300"")"),0.0)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IFERROR(__xludf.DUMMYFUNCTION("IMPORTRANGE(""https://docs.google.com/spreadsheets/d/1XL5vhW3sbDhbH9Cz0tuDiY8C3ctxq1tqvaCgkFb8cCA/edit?usp=sharing"",""หนองคาย!L301"")"),193290.0)</f>
        <v>193290</v>
      </c>
      <c r="M406" s="203"/>
      <c r="N406" s="203">
        <f>IFERROR(__xludf.DUMMYFUNCTION("IMPORTRANGE(""https://docs.google.com/spreadsheets/d/1XL5vhW3sbDhbH9Cz0tuDiY8C3ctxq1tqvaCgkFb8cCA/edit?usp=sharing"",""หนองคาย!M301"")"),62313.0)</f>
        <v>62313</v>
      </c>
      <c r="O406" s="203">
        <f t="shared" si="113"/>
        <v>32.23808785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IFERROR(__xludf.DUMMYFUNCTION("IMPORTRANGE(""https://docs.google.com/spreadsheets/d/1XL5vhW3sbDhbH9Cz0tuDiY8C3ctxq1tqvaCgkFb8cCA/edit?usp=sharing"",""หนองคาย!M302"")"),58373.0)</f>
        <v>58373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IFERROR(__xludf.DUMMYFUNCTION("IMPORTRANGE(""https://docs.google.com/spreadsheets/d/1XL5vhW3sbDhbH9Cz0tuDiY8C3ctxq1tqvaCgkFb8cCA/edit?usp=sharing"",""หนองคาย!M303"")"),0.0)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IFERROR(__xludf.DUMMYFUNCTION("IMPORTRANGE(""https://docs.google.com/spreadsheets/d/1XL5vhW3sbDhbH9Cz0tuDiY8C3ctxq1tqvaCgkFb8cCA/edit?usp=sharing"",""หนองคาย!M304"")"),0.0)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IFERROR(__xludf.DUMMYFUNCTION("IMPORTRANGE(""https://docs.google.com/spreadsheets/d/1XL5vhW3sbDhbH9Cz0tuDiY8C3ctxq1tqvaCgkFb8cCA/edit?usp=sharing"",""หนองคาย!M305"")"),3940.0)</f>
        <v>3940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IFERROR(__xludf.DUMMYFUNCTION("IMPORTRANGE(""https://docs.google.com/spreadsheets/d/1XL5vhW3sbDhbH9Cz0tuDiY8C3ctxq1tqvaCgkFb8cCA/edit?usp=sharing"",""หนองคาย!J307"")"),0.0)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IFERROR(__xludf.DUMMYFUNCTION("IMPORTRANGE(""https://docs.google.com/spreadsheets/d/1XL5vhW3sbDhbH9Cz0tuDiY8C3ctxq1tqvaCgkFb8cCA/edit?usp=sharing"",""หนองคาย!J308"")"),1.0)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IFERROR(__xludf.DUMMYFUNCTION("IMPORTRANGE(""https://docs.google.com/spreadsheets/d/1XL5vhW3sbDhbH9Cz0tuDiY8C3ctxq1tqvaCgkFb8cCA/edit?usp=sharing"",""หนองคาย!J309"")"),1.0)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IFERROR(__xludf.DUMMYFUNCTION("IMPORTRANGE(""https://docs.google.com/spreadsheets/d/1XL5vhW3sbDhbH9Cz0tuDiY8C3ctxq1tqvaCgkFb8cCA/edit?usp=sharing"",""หนองคาย!J310"")"),1.0)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IFERROR(__xludf.DUMMYFUNCTION("IMPORTRANGE(""https://docs.google.com/spreadsheets/d/1XL5vhW3sbDhbH9Cz0tuDiY8C3ctxq1tqvaCgkFb8cCA/edit?usp=sharing"",""หนองคาย!I311"")"),55.0)</f>
        <v>55</v>
      </c>
      <c r="J416" s="235">
        <f>IFERROR(__xludf.DUMMYFUNCTION("IMPORTRANGE(""https://docs.google.com/spreadsheets/d/1XL5vhW3sbDhbH9Cz0tuDiY8C3ctxq1tqvaCgkFb8cCA/edit?usp=sharing"",""หนองคาย!J311"")"),20.0)</f>
        <v>20</v>
      </c>
      <c r="K416" s="236">
        <f t="shared" ref="K416:K432" si="114">IF(I416&gt;0,J416*100/I416,0)</f>
        <v>36.36363636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IFERROR(__xludf.DUMMYFUNCTION("IMPORTRANGE(""https://docs.google.com/spreadsheets/d/1XL5vhW3sbDhbH9Cz0tuDiY8C3ctxq1tqvaCgkFb8cCA/edit?usp=sharing"",""หนองคาย!I312"")"),20.0)</f>
        <v>20</v>
      </c>
      <c r="J417" s="425">
        <f>IFERROR(__xludf.DUMMYFUNCTION("IMPORTRANGE(""https://docs.google.com/spreadsheets/d/1XL5vhW3sbDhbH9Cz0tuDiY8C3ctxq1tqvaCgkFb8cCA/edit?usp=sharing"",""หนองคาย!J312"")"),20.0)</f>
        <v>20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IFERROR(__xludf.DUMMYFUNCTION("IMPORTRANGE(""https://docs.google.com/spreadsheets/d/1XL5vhW3sbDhbH9Cz0tuDiY8C3ctxq1tqvaCgkFb8cCA/edit?usp=sharing"",""หนองคาย!I313"")"),60.0)</f>
        <v>60</v>
      </c>
      <c r="J418" s="426">
        <f>IFERROR(__xludf.DUMMYFUNCTION("IMPORTRANGE(""https://docs.google.com/spreadsheets/d/1XL5vhW3sbDhbH9Cz0tuDiY8C3ctxq1tqvaCgkFb8cCA/edit?usp=sharing"",""หนองคาย!J313"")"),0.0)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IFERROR(__xludf.DUMMYFUNCTION("IMPORTRANGE(""https://docs.google.com/spreadsheets/d/1XL5vhW3sbDhbH9Cz0tuDiY8C3ctxq1tqvaCgkFb8cCA/edit?usp=sharing"",""หนองคาย!I314"")"),20.0)</f>
        <v>20</v>
      </c>
      <c r="J419" s="427">
        <f>IFERROR(__xludf.DUMMYFUNCTION("IMPORTRANGE(""https://docs.google.com/spreadsheets/d/1XL5vhW3sbDhbH9Cz0tuDiY8C3ctxq1tqvaCgkFb8cCA/edit?usp=sharing"",""หนองคาย!J314"")"),20.0)</f>
        <v>20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IFERROR(__xludf.DUMMYFUNCTION("IMPORTRANGE(""https://docs.google.com/spreadsheets/d/1XL5vhW3sbDhbH9Cz0tuDiY8C3ctxq1tqvaCgkFb8cCA/edit?usp=sharing"",""หนองคาย!I315"")"),20.0)</f>
        <v>20</v>
      </c>
      <c r="J420" s="427">
        <f>IFERROR(__xludf.DUMMYFUNCTION("IMPORTRANGE(""https://docs.google.com/spreadsheets/d/1XL5vhW3sbDhbH9Cz0tuDiY8C3ctxq1tqvaCgkFb8cCA/edit?usp=sharing"",""หนองคาย!J315"")"),20.0)</f>
        <v>20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IFERROR(__xludf.DUMMYFUNCTION("IMPORTRANGE(""https://docs.google.com/spreadsheets/d/1XL5vhW3sbDhbH9Cz0tuDiY8C3ctxq1tqvaCgkFb8cCA/edit?usp=sharing"",""หนองคาย!I316"")"),25.0)</f>
        <v>25</v>
      </c>
      <c r="J421" s="425">
        <f>IFERROR(__xludf.DUMMYFUNCTION("IMPORTRANGE(""https://docs.google.com/spreadsheets/d/1XL5vhW3sbDhbH9Cz0tuDiY8C3ctxq1tqvaCgkFb8cCA/edit?usp=sharing"",""หนองคาย!J316"")"),0.0)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IFERROR(__xludf.DUMMYFUNCTION("IMPORTRANGE(""https://docs.google.com/spreadsheets/d/1XL5vhW3sbDhbH9Cz0tuDiY8C3ctxq1tqvaCgkFb8cCA/edit?usp=sharing"",""หนองคาย!I317"")"),75.0)</f>
        <v>75</v>
      </c>
      <c r="J422" s="426">
        <f>IFERROR(__xludf.DUMMYFUNCTION("IMPORTRANGE(""https://docs.google.com/spreadsheets/d/1XL5vhW3sbDhbH9Cz0tuDiY8C3ctxq1tqvaCgkFb8cCA/edit?usp=sharing"",""หนองคาย!J317"")"),0.0)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IFERROR(__xludf.DUMMYFUNCTION("IMPORTRANGE(""https://docs.google.com/spreadsheets/d/1XL5vhW3sbDhbH9Cz0tuDiY8C3ctxq1tqvaCgkFb8cCA/edit?usp=sharing"",""หนองคาย!I318"")"),25.0)</f>
        <v>25</v>
      </c>
      <c r="J423" s="427">
        <f>IFERROR(__xludf.DUMMYFUNCTION("IMPORTRANGE(""https://docs.google.com/spreadsheets/d/1XL5vhW3sbDhbH9Cz0tuDiY8C3ctxq1tqvaCgkFb8cCA/edit?usp=sharing"",""หนองคาย!J318"")"),25.0)</f>
        <v>25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IFERROR(__xludf.DUMMYFUNCTION("IMPORTRANGE(""https://docs.google.com/spreadsheets/d/1XL5vhW3sbDhbH9Cz0tuDiY8C3ctxq1tqvaCgkFb8cCA/edit?usp=sharing"",""หนองคาย!I319"")"),25.0)</f>
        <v>25</v>
      </c>
      <c r="J424" s="427">
        <f>IFERROR(__xludf.DUMMYFUNCTION("IMPORTRANGE(""https://docs.google.com/spreadsheets/d/1XL5vhW3sbDhbH9Cz0tuDiY8C3ctxq1tqvaCgkFb8cCA/edit?usp=sharing"",""หนองคาย!J319"")"),0.0)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IFERROR(__xludf.DUMMYFUNCTION("IMPORTRANGE(""https://docs.google.com/spreadsheets/d/1XL5vhW3sbDhbH9Cz0tuDiY8C3ctxq1tqvaCgkFb8cCA/edit?usp=sharing"",""หนองคาย!I320"")"),25.0)</f>
        <v>25</v>
      </c>
      <c r="J425" s="427">
        <f>IFERROR(__xludf.DUMMYFUNCTION("IMPORTRANGE(""https://docs.google.com/spreadsheets/d/1XL5vhW3sbDhbH9Cz0tuDiY8C3ctxq1tqvaCgkFb8cCA/edit?usp=sharing"",""หนองคาย!J320"")"),0.0)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IFERROR(__xludf.DUMMYFUNCTION("IMPORTRANGE(""https://docs.google.com/spreadsheets/d/1XL5vhW3sbDhbH9Cz0tuDiY8C3ctxq1tqvaCgkFb8cCA/edit?usp=sharing"",""หนองคาย!I321"")"),10.0)</f>
        <v>10</v>
      </c>
      <c r="J426" s="425">
        <f>IFERROR(__xludf.DUMMYFUNCTION("IMPORTRANGE(""https://docs.google.com/spreadsheets/d/1XL5vhW3sbDhbH9Cz0tuDiY8C3ctxq1tqvaCgkFb8cCA/edit?usp=sharing"",""หนองคาย!J321"")"),0.0)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IFERROR(__xludf.DUMMYFUNCTION("IMPORTRANGE(""https://docs.google.com/spreadsheets/d/1XL5vhW3sbDhbH9Cz0tuDiY8C3ctxq1tqvaCgkFb8cCA/edit?usp=sharing"",""หนองคาย!I322"")"),30.0)</f>
        <v>30</v>
      </c>
      <c r="J427" s="426">
        <f>IFERROR(__xludf.DUMMYFUNCTION("IMPORTRANGE(""https://docs.google.com/spreadsheets/d/1XL5vhW3sbDhbH9Cz0tuDiY8C3ctxq1tqvaCgkFb8cCA/edit?usp=sharing"",""หนองคาย!J322"")"),0.0)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IFERROR(__xludf.DUMMYFUNCTION("IMPORTRANGE(""https://docs.google.com/spreadsheets/d/1XL5vhW3sbDhbH9Cz0tuDiY8C3ctxq1tqvaCgkFb8cCA/edit?usp=sharing"",""หนองคาย!I323"")"),10.0)</f>
        <v>10</v>
      </c>
      <c r="J428" s="427">
        <f>IFERROR(__xludf.DUMMYFUNCTION("IMPORTRANGE(""https://docs.google.com/spreadsheets/d/1XL5vhW3sbDhbH9Cz0tuDiY8C3ctxq1tqvaCgkFb8cCA/edit?usp=sharing"",""หนองคาย!J323"")"),0.0)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IFERROR(__xludf.DUMMYFUNCTION("IMPORTRANGE(""https://docs.google.com/spreadsheets/d/1XL5vhW3sbDhbH9Cz0tuDiY8C3ctxq1tqvaCgkFb8cCA/edit?usp=sharing"",""หนองคาย!I324"")"),10.0)</f>
        <v>10</v>
      </c>
      <c r="J429" s="427">
        <f>IFERROR(__xludf.DUMMYFUNCTION("IMPORTRANGE(""https://docs.google.com/spreadsheets/d/1XL5vhW3sbDhbH9Cz0tuDiY8C3ctxq1tqvaCgkFb8cCA/edit?usp=sharing"",""หนองคาย!J324"")"),10.0)</f>
        <v>10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IFERROR(__xludf.DUMMYFUNCTION("IMPORTRANGE(""https://docs.google.com/spreadsheets/d/1XL5vhW3sbDhbH9Cz0tuDiY8C3ctxq1tqvaCgkFb8cCA/edit?usp=sharing"",""หนองคาย!I325"")"),45.0)</f>
        <v>45</v>
      </c>
      <c r="J430" s="425">
        <f>IFERROR(__xludf.DUMMYFUNCTION("IMPORTRANGE(""https://docs.google.com/spreadsheets/d/1XL5vhW3sbDhbH9Cz0tuDiY8C3ctxq1tqvaCgkFb8cCA/edit?usp=sharing"",""หนองคาย!J325"")"),0.0)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IFERROR(__xludf.DUMMYFUNCTION("IMPORTRANGE(""https://docs.google.com/spreadsheets/d/1XL5vhW3sbDhbH9Cz0tuDiY8C3ctxq1tqvaCgkFb8cCA/edit?usp=sharing"",""หนองคาย!I326"")"),20.0)</f>
        <v>20</v>
      </c>
      <c r="J431" s="427">
        <f>IFERROR(__xludf.DUMMYFUNCTION("IMPORTRANGE(""https://docs.google.com/spreadsheets/d/1XL5vhW3sbDhbH9Cz0tuDiY8C3ctxq1tqvaCgkFb8cCA/edit?usp=sharing"",""หนองคาย!J326"")"),0.0)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IFERROR(__xludf.DUMMYFUNCTION("IMPORTRANGE(""https://docs.google.com/spreadsheets/d/1XL5vhW3sbDhbH9Cz0tuDiY8C3ctxq1tqvaCgkFb8cCA/edit?usp=sharing"",""หนองคาย!I327"")"),25.0)</f>
        <v>25</v>
      </c>
      <c r="J432" s="427">
        <f>IFERROR(__xludf.DUMMYFUNCTION("IMPORTRANGE(""https://docs.google.com/spreadsheets/d/1XL5vhW3sbDhbH9Cz0tuDiY8C3ctxq1tqvaCgkFb8cCA/edit?usp=sharing"",""หนองคาย!J327"")"),0.0)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IFERROR(__xludf.DUMMYFUNCTION("IMPORTRANGE(""https://docs.google.com/spreadsheets/d/1XL5vhW3sbDhbH9Cz0tuDiY8C3ctxq1tqvaCgkFb8cCA/edit?usp=sharing"",""หนองคาย!J328"")"),0.0)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IFERROR(__xludf.DUMMYFUNCTION("IMPORTRANGE(""https://docs.google.com/spreadsheets/d/1XL5vhW3sbDhbH9Cz0tuDiY8C3ctxq1tqvaCgkFb8cCA/edit?usp=sharing"",""หนองคาย!J329"")"),0.0)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IFERROR(__xludf.DUMMYFUNCTION("IMPORTRANGE(""https://docs.google.com/spreadsheets/d/1XL5vhW3sbDhbH9Cz0tuDiY8C3ctxq1tqvaCgkFb8cCA/edit?usp=sharing"",""หนองคาย!I330"")"),15.0)</f>
        <v>15</v>
      </c>
      <c r="J435" s="443">
        <f>IFERROR(__xludf.DUMMYFUNCTION("IMPORTRANGE(""https://docs.google.com/spreadsheets/d/1XL5vhW3sbDhbH9Cz0tuDiY8C3ctxq1tqvaCgkFb8cCA/edit?usp=sharing"",""หนองคาย!J330"")"),0.0)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IFERROR(__xludf.DUMMYFUNCTION("IMPORTRANGE(""https://docs.google.com/spreadsheets/d/1XL5vhW3sbDhbH9Cz0tuDiY8C3ctxq1tqvaCgkFb8cCA/edit?usp=sharing"",""หนองคาย!L330"")"),83000.0)</f>
        <v>83000</v>
      </c>
      <c r="M435" s="445"/>
      <c r="N435" s="445">
        <f>IFERROR(__xludf.DUMMYFUNCTION("IMPORTRANGE(""https://docs.google.com/spreadsheets/d/1XL5vhW3sbDhbH9Cz0tuDiY8C3ctxq1tqvaCgkFb8cCA/edit?usp=sharing"",""หนองคาย!M330"")"),2720.0)</f>
        <v>2720</v>
      </c>
      <c r="O435" s="445">
        <f t="shared" ref="O435:O439" si="115">+IF(L435&gt;0,N435*100/L435,0)</f>
        <v>3.277108434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IFERROR(__xludf.DUMMYFUNCTION("IMPORTRANGE(""https://docs.google.com/spreadsheets/d/1XL5vhW3sbDhbH9Cz0tuDiY8C3ctxq1tqvaCgkFb8cCA/edit?usp=sharing"",""หนองคาย!L331"")"),0.0)</f>
        <v>0</v>
      </c>
      <c r="M436" s="197"/>
      <c r="N436" s="203">
        <f>IFERROR(__xludf.DUMMYFUNCTION("IMPORTRANGE(""https://docs.google.com/spreadsheets/d/1XL5vhW3sbDhbH9Cz0tuDiY8C3ctxq1tqvaCgkFb8cCA/edit?usp=sharing"",""หนองคาย!M331"")"),0.0)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IFERROR(__xludf.DUMMYFUNCTION("IMPORTRANGE(""https://docs.google.com/spreadsheets/d/1XL5vhW3sbDhbH9Cz0tuDiY8C3ctxq1tqvaCgkFb8cCA/edit?usp=sharing"",""หนองคาย!L332"")"),83000.0)</f>
        <v>83000</v>
      </c>
      <c r="M437" s="198"/>
      <c r="N437" s="203">
        <f>IFERROR(__xludf.DUMMYFUNCTION("IMPORTRANGE(""https://docs.google.com/spreadsheets/d/1XL5vhW3sbDhbH9Cz0tuDiY8C3ctxq1tqvaCgkFb8cCA/edit?usp=sharing"",""หนองคาย!M332"")"),2720.0)</f>
        <v>2720</v>
      </c>
      <c r="O437" s="203">
        <f t="shared" si="115"/>
        <v>3.277108434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IFERROR(__xludf.DUMMYFUNCTION("IMPORTRANGE(""https://docs.google.com/spreadsheets/d/1XL5vhW3sbDhbH9Cz0tuDiY8C3ctxq1tqvaCgkFb8cCA/edit?usp=sharing"",""หนองคาย!L333"")"),0.0)</f>
        <v>0</v>
      </c>
      <c r="M438" s="203"/>
      <c r="N438" s="203">
        <f>IFERROR(__xludf.DUMMYFUNCTION("IMPORTRANGE(""https://docs.google.com/spreadsheets/d/1XL5vhW3sbDhbH9Cz0tuDiY8C3ctxq1tqvaCgkFb8cCA/edit?usp=sharing"",""หนองคาย!M333"")"),0.0)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IFERROR(__xludf.DUMMYFUNCTION("IMPORTRANGE(""https://docs.google.com/spreadsheets/d/1XL5vhW3sbDhbH9Cz0tuDiY8C3ctxq1tqvaCgkFb8cCA/edit?usp=sharing"",""หนองคาย!L334"")"),83000.0)</f>
        <v>83000</v>
      </c>
      <c r="M439" s="203"/>
      <c r="N439" s="203">
        <f>IFERROR(__xludf.DUMMYFUNCTION("IMPORTRANGE(""https://docs.google.com/spreadsheets/d/1XL5vhW3sbDhbH9Cz0tuDiY8C3ctxq1tqvaCgkFb8cCA/edit?usp=sharing"",""หนองคาย!M334"")"),2720.0)</f>
        <v>2720</v>
      </c>
      <c r="O439" s="203">
        <f t="shared" si="115"/>
        <v>3.277108434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IFERROR(__xludf.DUMMYFUNCTION("IMPORTRANGE(""https://docs.google.com/spreadsheets/d/1XL5vhW3sbDhbH9Cz0tuDiY8C3ctxq1tqvaCgkFb8cCA/edit?usp=sharing"",""หนองคาย!M335"")"),0.0)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IFERROR(__xludf.DUMMYFUNCTION("IMPORTRANGE(""https://docs.google.com/spreadsheets/d/1XL5vhW3sbDhbH9Cz0tuDiY8C3ctxq1tqvaCgkFb8cCA/edit?usp=sharing"",""หนองคาย!M336"")"),0.0)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IFERROR(__xludf.DUMMYFUNCTION("IMPORTRANGE(""https://docs.google.com/spreadsheets/d/1XL5vhW3sbDhbH9Cz0tuDiY8C3ctxq1tqvaCgkFb8cCA/edit?usp=sharing"",""หนองคาย!M337"")"),0.0)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IFERROR(__xludf.DUMMYFUNCTION("IMPORTRANGE(""https://docs.google.com/spreadsheets/d/1XL5vhW3sbDhbH9Cz0tuDiY8C3ctxq1tqvaCgkFb8cCA/edit?usp=sharing"",""หนองคาย!M338"")"),2720.0)</f>
        <v>2720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IFERROR(__xludf.DUMMYFUNCTION("IMPORTRANGE(""https://docs.google.com/spreadsheets/d/1XL5vhW3sbDhbH9Cz0tuDiY8C3ctxq1tqvaCgkFb8cCA/edit?usp=sharing"",""หนองคาย!J340"")"),0.0)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IFERROR(__xludf.DUMMYFUNCTION("IMPORTRANGE(""https://docs.google.com/spreadsheets/d/1XL5vhW3sbDhbH9Cz0tuDiY8C3ctxq1tqvaCgkFb8cCA/edit?usp=sharing"",""หนองคาย!J341"")"),1.0)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IFERROR(__xludf.DUMMYFUNCTION("IMPORTRANGE(""https://docs.google.com/spreadsheets/d/1XL5vhW3sbDhbH9Cz0tuDiY8C3ctxq1tqvaCgkFb8cCA/edit?usp=sharing"",""หนองคาย!J342"")"),1.0)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IFERROR(__xludf.DUMMYFUNCTION("IMPORTRANGE(""https://docs.google.com/spreadsheets/d/1XL5vhW3sbDhbH9Cz0tuDiY8C3ctxq1tqvaCgkFb8cCA/edit?usp=sharing"",""หนองคาย!J343"")"),1.0)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IFERROR(__xludf.DUMMYFUNCTION("IMPORTRANGE(""https://docs.google.com/spreadsheets/d/1XL5vhW3sbDhbH9Cz0tuDiY8C3ctxq1tqvaCgkFb8cCA/edit?usp=sharing"",""หนองคาย!I344"")"),15.0)</f>
        <v>15</v>
      </c>
      <c r="J449" s="235">
        <f>IFERROR(__xludf.DUMMYFUNCTION("IMPORTRANGE(""https://docs.google.com/spreadsheets/d/1XL5vhW3sbDhbH9Cz0tuDiY8C3ctxq1tqvaCgkFb8cCA/edit?usp=sharing"",""หนองคาย!J344"")"),0.0)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IFERROR(__xludf.DUMMYFUNCTION("IMPORTRANGE(""https://docs.google.com/spreadsheets/d/1XL5vhW3sbDhbH9Cz0tuDiY8C3ctxq1tqvaCgkFb8cCA/edit?usp=sharing"",""หนองคาย!I345"")"),15.0)</f>
        <v>15</v>
      </c>
      <c r="J450" s="223">
        <f>IFERROR(__xludf.DUMMYFUNCTION("IMPORTRANGE(""https://docs.google.com/spreadsheets/d/1XL5vhW3sbDhbH9Cz0tuDiY8C3ctxq1tqvaCgkFb8cCA/edit?usp=sharing"",""หนองคาย!J345"")"),0.0)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IFERROR(__xludf.DUMMYFUNCTION("IMPORTRANGE(""https://docs.google.com/spreadsheets/d/1XL5vhW3sbDhbH9Cz0tuDiY8C3ctxq1tqvaCgkFb8cCA/edit?usp=sharing"",""หนองคาย!I346"")"),0.0)</f>
        <v>0</v>
      </c>
      <c r="J451" s="222">
        <f>IFERROR(__xludf.DUMMYFUNCTION("IMPORTRANGE(""https://docs.google.com/spreadsheets/d/1XL5vhW3sbDhbH9Cz0tuDiY8C3ctxq1tqvaCgkFb8cCA/edit?usp=sharing"",""หนองคาย!J346"")"),0.0)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IFERROR(__xludf.DUMMYFUNCTION("IMPORTRANGE(""https://docs.google.com/spreadsheets/d/1XL5vhW3sbDhbH9Cz0tuDiY8C3ctxq1tqvaCgkFb8cCA/edit?usp=sharing"",""หนองคาย!I347"")"),0.0)</f>
        <v>0</v>
      </c>
      <c r="J452" s="222">
        <f>IFERROR(__xludf.DUMMYFUNCTION("IMPORTRANGE(""https://docs.google.com/spreadsheets/d/1XL5vhW3sbDhbH9Cz0tuDiY8C3ctxq1tqvaCgkFb8cCA/edit?usp=sharing"",""หนองคาย!J347"")"),0.0)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IFERROR(__xludf.DUMMYFUNCTION("IMPORTRANGE(""https://docs.google.com/spreadsheets/d/1XL5vhW3sbDhbH9Cz0tuDiY8C3ctxq1tqvaCgkFb8cCA/edit?usp=sharing"",""หนองคาย!J348"")"),0.0)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IFERROR(__xludf.DUMMYFUNCTION("IMPORTRANGE(""https://docs.google.com/spreadsheets/d/1XL5vhW3sbDhbH9Cz0tuDiY8C3ctxq1tqvaCgkFb8cCA/edit?usp=sharing"",""หนองคาย!J349"")"),0.0)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IFERROR(__xludf.DUMMYFUNCTION("IMPORTRANGE(""https://docs.google.com/spreadsheets/d/1XL5vhW3sbDhbH9Cz0tuDiY8C3ctxq1tqvaCgkFb8cCA/edit?usp=sharing"",""หนองคาย!I350"")"),50182.0)</f>
        <v>50182</v>
      </c>
      <c r="J455" s="404">
        <f>IFERROR(__xludf.DUMMYFUNCTION("IMPORTRANGE(""https://docs.google.com/spreadsheets/d/1XL5vhW3sbDhbH9Cz0tuDiY8C3ctxq1tqvaCgkFb8cCA/edit?usp=sharing"",""หนองคาย!J350"")"),0.0)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IFERROR(__xludf.DUMMYFUNCTION("IMPORTRANGE(""https://docs.google.com/spreadsheets/d/1XL5vhW3sbDhbH9Cz0tuDiY8C3ctxq1tqvaCgkFb8cCA/edit?usp=sharing"",""หนองคาย!L350"")"),861860.0)</f>
        <v>861860</v>
      </c>
      <c r="M455" s="406"/>
      <c r="N455" s="406">
        <f>IFERROR(__xludf.DUMMYFUNCTION("IMPORTRANGE(""https://docs.google.com/spreadsheets/d/1XL5vhW3sbDhbH9Cz0tuDiY8C3ctxq1tqvaCgkFb8cCA/edit?usp=sharing"",""หนองคาย!M350"")"),57043.35)</f>
        <v>57043.35</v>
      </c>
      <c r="O455" s="406">
        <f t="shared" ref="O455:O459" si="117">+IF(L455&gt;0,N455*100/L455,0)</f>
        <v>6.618632957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IFERROR(__xludf.DUMMYFUNCTION("IMPORTRANGE(""https://docs.google.com/spreadsheets/d/1XL5vhW3sbDhbH9Cz0tuDiY8C3ctxq1tqvaCgkFb8cCA/edit?usp=sharing"",""หนองคาย!L351"")"),0.0)</f>
        <v>0</v>
      </c>
      <c r="M456" s="197"/>
      <c r="N456" s="203">
        <f>IFERROR(__xludf.DUMMYFUNCTION("IMPORTRANGE(""https://docs.google.com/spreadsheets/d/1XL5vhW3sbDhbH9Cz0tuDiY8C3ctxq1tqvaCgkFb8cCA/edit?usp=sharing"",""หนองคาย!M351"")"),0.0)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IFERROR(__xludf.DUMMYFUNCTION("IMPORTRANGE(""https://docs.google.com/spreadsheets/d/1XL5vhW3sbDhbH9Cz0tuDiY8C3ctxq1tqvaCgkFb8cCA/edit?usp=sharing"",""หนองคาย!L352"")"),861860.0)</f>
        <v>861860</v>
      </c>
      <c r="M457" s="198"/>
      <c r="N457" s="203">
        <f>IFERROR(__xludf.DUMMYFUNCTION("IMPORTRANGE(""https://docs.google.com/spreadsheets/d/1XL5vhW3sbDhbH9Cz0tuDiY8C3ctxq1tqvaCgkFb8cCA/edit?usp=sharing"",""หนองคาย!M352"")"),57043.35)</f>
        <v>57043.35</v>
      </c>
      <c r="O457" s="203">
        <f t="shared" si="117"/>
        <v>6.618632957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IFERROR(__xludf.DUMMYFUNCTION("IMPORTRANGE(""https://docs.google.com/spreadsheets/d/1XL5vhW3sbDhbH9Cz0tuDiY8C3ctxq1tqvaCgkFb8cCA/edit?usp=sharing"",""หนองคาย!L353"")"),0.0)</f>
        <v>0</v>
      </c>
      <c r="M458" s="203"/>
      <c r="N458" s="203">
        <f>IFERROR(__xludf.DUMMYFUNCTION("IMPORTRANGE(""https://docs.google.com/spreadsheets/d/1XL5vhW3sbDhbH9Cz0tuDiY8C3ctxq1tqvaCgkFb8cCA/edit?usp=sharing"",""หนองคาย!M353"")"),0.0)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IFERROR(__xludf.DUMMYFUNCTION("IMPORTRANGE(""https://docs.google.com/spreadsheets/d/1XL5vhW3sbDhbH9Cz0tuDiY8C3ctxq1tqvaCgkFb8cCA/edit?usp=sharing"",""หนองคาย!L354"")"),861860.0)</f>
        <v>861860</v>
      </c>
      <c r="M459" s="203"/>
      <c r="N459" s="203">
        <f>IFERROR(__xludf.DUMMYFUNCTION("IMPORTRANGE(""https://docs.google.com/spreadsheets/d/1XL5vhW3sbDhbH9Cz0tuDiY8C3ctxq1tqvaCgkFb8cCA/edit?usp=sharing"",""หนองคาย!M354"")"),57043.35)</f>
        <v>57043.35</v>
      </c>
      <c r="O459" s="203">
        <f t="shared" si="117"/>
        <v>6.618632957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IFERROR(__xludf.DUMMYFUNCTION("IMPORTRANGE(""https://docs.google.com/spreadsheets/d/1XL5vhW3sbDhbH9Cz0tuDiY8C3ctxq1tqvaCgkFb8cCA/edit?usp=sharing"",""หนองคาย!M355"")"),0.0)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IFERROR(__xludf.DUMMYFUNCTION("IMPORTRANGE(""https://docs.google.com/spreadsheets/d/1XL5vhW3sbDhbH9Cz0tuDiY8C3ctxq1tqvaCgkFb8cCA/edit?usp=sharing"",""หนองคาย!M356"")"),0.0)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IFERROR(__xludf.DUMMYFUNCTION("IMPORTRANGE(""https://docs.google.com/spreadsheets/d/1XL5vhW3sbDhbH9Cz0tuDiY8C3ctxq1tqvaCgkFb8cCA/edit?usp=sharing"",""หนองคาย!M357"")"),23833.35)</f>
        <v>23833.35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IFERROR(__xludf.DUMMYFUNCTION("IMPORTRANGE(""https://docs.google.com/spreadsheets/d/1XL5vhW3sbDhbH9Cz0tuDiY8C3ctxq1tqvaCgkFb8cCA/edit?usp=sharing"",""หนองคาย!M358"")"),33210.0)</f>
        <v>33210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IFERROR(__xludf.DUMMYFUNCTION("IMPORTRANGE(""https://docs.google.com/spreadsheets/d/1XL5vhW3sbDhbH9Cz0tuDiY8C3ctxq1tqvaCgkFb8cCA/edit?usp=sharing"",""หนองคาย!I359"")"),50182.0)</f>
        <v>50182</v>
      </c>
      <c r="J464" s="301">
        <f>IFERROR(__xludf.DUMMYFUNCTION("IMPORTRANGE(""https://docs.google.com/spreadsheets/d/1XL5vhW3sbDhbH9Cz0tuDiY8C3ctxq1tqvaCgkFb8cCA/edit?usp=sharing"",""หนองคาย!J359"")"),0.0)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IFERROR(__xludf.DUMMYFUNCTION("IMPORTRANGE(""https://docs.google.com/spreadsheets/d/1XL5vhW3sbDhbH9Cz0tuDiY8C3ctxq1tqvaCgkFb8cCA/edit?usp=sharing"",""หนองคาย!I360"")"),50182.0)</f>
        <v>50182</v>
      </c>
      <c r="J465" s="453">
        <f>IFERROR(__xludf.DUMMYFUNCTION("IMPORTRANGE(""https://docs.google.com/spreadsheets/d/1XL5vhW3sbDhbH9Cz0tuDiY8C3ctxq1tqvaCgkFb8cCA/edit?usp=sharing"",""หนองคาย!J360"")"),26149.100000000002)</f>
        <v>26149.1</v>
      </c>
      <c r="K465" s="236">
        <f t="shared" si="118"/>
        <v>52.10852497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IFERROR(__xludf.DUMMYFUNCTION("IMPORTRANGE(""https://docs.google.com/spreadsheets/d/1XL5vhW3sbDhbH9Cz0tuDiY8C3ctxq1tqvaCgkFb8cCA/edit?usp=sharing"",""หนองคาย!I361"")"),6542.0)</f>
        <v>6542</v>
      </c>
      <c r="J466" s="453">
        <f>IFERROR(__xludf.DUMMYFUNCTION("IMPORTRANGE(""https://docs.google.com/spreadsheets/d/1XL5vhW3sbDhbH9Cz0tuDiY8C3ctxq1tqvaCgkFb8cCA/edit?usp=sharing"",""หนองคาย!J361"")"),2808.0)</f>
        <v>2808</v>
      </c>
      <c r="K466" s="236">
        <f t="shared" si="118"/>
        <v>42.92265362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IFERROR(__xludf.DUMMYFUNCTION("IMPORTRANGE(""https://docs.google.com/spreadsheets/d/1XL5vhW3sbDhbH9Cz0tuDiY8C3ctxq1tqvaCgkFb8cCA/edit?usp=sharing"",""หนองคาย!I362"")"),0.0)</f>
        <v>0</v>
      </c>
      <c r="J467" s="223">
        <f>IFERROR(__xludf.DUMMYFUNCTION("IMPORTRANGE(""https://docs.google.com/spreadsheets/d/1XL5vhW3sbDhbH9Cz0tuDiY8C3ctxq1tqvaCgkFb8cCA/edit?usp=sharing"",""หนองคาย!J362"")"),23783.025)</f>
        <v>23783.025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IFERROR(__xludf.DUMMYFUNCTION("IMPORTRANGE(""https://docs.google.com/spreadsheets/d/1XL5vhW3sbDhbH9Cz0tuDiY8C3ctxq1tqvaCgkFb8cCA/edit?usp=sharing"",""หนองคาย!I363"")"),0.0)</f>
        <v>0</v>
      </c>
      <c r="J468" s="223">
        <f>IFERROR(__xludf.DUMMYFUNCTION("IMPORTRANGE(""https://docs.google.com/spreadsheets/d/1XL5vhW3sbDhbH9Cz0tuDiY8C3ctxq1tqvaCgkFb8cCA/edit?usp=sharing"",""หนองคาย!J363"")"),2599.0)</f>
        <v>2599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IFERROR(__xludf.DUMMYFUNCTION("IMPORTRANGE(""https://docs.google.com/spreadsheets/d/1XL5vhW3sbDhbH9Cz0tuDiY8C3ctxq1tqvaCgkFb8cCA/edit?usp=sharing"",""หนองคาย!I364"")"),0.0)</f>
        <v>0</v>
      </c>
      <c r="J469" s="223">
        <f>IFERROR(__xludf.DUMMYFUNCTION("IMPORTRANGE(""https://docs.google.com/spreadsheets/d/1XL5vhW3sbDhbH9Cz0tuDiY8C3ctxq1tqvaCgkFb8cCA/edit?usp=sharing"",""หนองคาย!J364"")"),1351.0)</f>
        <v>1351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IFERROR(__xludf.DUMMYFUNCTION("IMPORTRANGE(""https://docs.google.com/spreadsheets/d/1XL5vhW3sbDhbH9Cz0tuDiY8C3ctxq1tqvaCgkFb8cCA/edit?usp=sharing"",""หนองคาย!I365"")"),0.0)</f>
        <v>0</v>
      </c>
      <c r="J470" s="223">
        <f>IFERROR(__xludf.DUMMYFUNCTION("IMPORTRANGE(""https://docs.google.com/spreadsheets/d/1XL5vhW3sbDhbH9Cz0tuDiY8C3ctxq1tqvaCgkFb8cCA/edit?usp=sharing"",""หนองคาย!J365"")"),137.0)</f>
        <v>137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IFERROR(__xludf.DUMMYFUNCTION("IMPORTRANGE(""https://docs.google.com/spreadsheets/d/1XL5vhW3sbDhbH9Cz0tuDiY8C3ctxq1tqvaCgkFb8cCA/edit?usp=sharing"",""หนองคาย!I366"")"),0.0)</f>
        <v>0</v>
      </c>
      <c r="J471" s="223">
        <f>IFERROR(__xludf.DUMMYFUNCTION("IMPORTRANGE(""https://docs.google.com/spreadsheets/d/1XL5vhW3sbDhbH9Cz0tuDiY8C3ctxq1tqvaCgkFb8cCA/edit?usp=sharing"",""หนองคาย!J366"")"),1015.075)</f>
        <v>1015.075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IFERROR(__xludf.DUMMYFUNCTION("IMPORTRANGE(""https://docs.google.com/spreadsheets/d/1XL5vhW3sbDhbH9Cz0tuDiY8C3ctxq1tqvaCgkFb8cCA/edit?usp=sharing"",""หนองคาย!I367"")"),0.0)</f>
        <v>0</v>
      </c>
      <c r="J472" s="223">
        <f>IFERROR(__xludf.DUMMYFUNCTION("IMPORTRANGE(""https://docs.google.com/spreadsheets/d/1XL5vhW3sbDhbH9Cz0tuDiY8C3ctxq1tqvaCgkFb8cCA/edit?usp=sharing"",""หนองคาย!J367"")"),72.0)</f>
        <v>72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IFERROR(__xludf.DUMMYFUNCTION("IMPORTRANGE(""https://docs.google.com/spreadsheets/d/1XL5vhW3sbDhbH9Cz0tuDiY8C3ctxq1tqvaCgkFb8cCA/edit?usp=sharing"",""หนองคาย!I368"")"),50182.0)</f>
        <v>50182</v>
      </c>
      <c r="J473" s="453">
        <f>IFERROR(__xludf.DUMMYFUNCTION("IMPORTRANGE(""https://docs.google.com/spreadsheets/d/1XL5vhW3sbDhbH9Cz0tuDiY8C3ctxq1tqvaCgkFb8cCA/edit?usp=sharing"",""หนองคาย!J368"")"),0.0)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IFERROR(__xludf.DUMMYFUNCTION("IMPORTRANGE(""https://docs.google.com/spreadsheets/d/1XL5vhW3sbDhbH9Cz0tuDiY8C3ctxq1tqvaCgkFb8cCA/edit?usp=sharing"",""หนองคาย!I369"")"),6542.0)</f>
        <v>6542</v>
      </c>
      <c r="J474" s="453">
        <f>IFERROR(__xludf.DUMMYFUNCTION("IMPORTRANGE(""https://docs.google.com/spreadsheets/d/1XL5vhW3sbDhbH9Cz0tuDiY8C3ctxq1tqvaCgkFb8cCA/edit?usp=sharing"",""หนองคาย!J369"")"),0.0)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IFERROR(__xludf.DUMMYFUNCTION("IMPORTRANGE(""https://docs.google.com/spreadsheets/d/1XL5vhW3sbDhbH9Cz0tuDiY8C3ctxq1tqvaCgkFb8cCA/edit?usp=sharing"",""หนองคาย!I370"")"),0.0)</f>
        <v>0</v>
      </c>
      <c r="J475" s="223">
        <f>IFERROR(__xludf.DUMMYFUNCTION("IMPORTRANGE(""https://docs.google.com/spreadsheets/d/1XL5vhW3sbDhbH9Cz0tuDiY8C3ctxq1tqvaCgkFb8cCA/edit?usp=sharing"",""หนองคาย!J370"")"),0.0)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IFERROR(__xludf.DUMMYFUNCTION("IMPORTRANGE(""https://docs.google.com/spreadsheets/d/1XL5vhW3sbDhbH9Cz0tuDiY8C3ctxq1tqvaCgkFb8cCA/edit?usp=sharing"",""หนองคาย!I371"")"),0.0)</f>
        <v>0</v>
      </c>
      <c r="J476" s="223">
        <f>IFERROR(__xludf.DUMMYFUNCTION("IMPORTRANGE(""https://docs.google.com/spreadsheets/d/1XL5vhW3sbDhbH9Cz0tuDiY8C3ctxq1tqvaCgkFb8cCA/edit?usp=sharing"",""หนองคาย!J371"")"),0.0)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IFERROR(__xludf.DUMMYFUNCTION("IMPORTRANGE(""https://docs.google.com/spreadsheets/d/1XL5vhW3sbDhbH9Cz0tuDiY8C3ctxq1tqvaCgkFb8cCA/edit?usp=sharing"",""หนองคาย!I372"")"),0.0)</f>
        <v>0</v>
      </c>
      <c r="J477" s="223">
        <f>IFERROR(__xludf.DUMMYFUNCTION("IMPORTRANGE(""https://docs.google.com/spreadsheets/d/1XL5vhW3sbDhbH9Cz0tuDiY8C3ctxq1tqvaCgkFb8cCA/edit?usp=sharing"",""หนองคาย!J372"")"),0.0)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IFERROR(__xludf.DUMMYFUNCTION("IMPORTRANGE(""https://docs.google.com/spreadsheets/d/1XL5vhW3sbDhbH9Cz0tuDiY8C3ctxq1tqvaCgkFb8cCA/edit?usp=sharing"",""หนองคาย!I373"")"),0.0)</f>
        <v>0</v>
      </c>
      <c r="J478" s="223">
        <f>IFERROR(__xludf.DUMMYFUNCTION("IMPORTRANGE(""https://docs.google.com/spreadsheets/d/1XL5vhW3sbDhbH9Cz0tuDiY8C3ctxq1tqvaCgkFb8cCA/edit?usp=sharing"",""หนองคาย!J373"")"),0.0)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IFERROR(__xludf.DUMMYFUNCTION("IMPORTRANGE(""https://docs.google.com/spreadsheets/d/1XL5vhW3sbDhbH9Cz0tuDiY8C3ctxq1tqvaCgkFb8cCA/edit?usp=sharing"",""หนองคาย!I374"")"),0.0)</f>
        <v>0</v>
      </c>
      <c r="J479" s="223">
        <f>IFERROR(__xludf.DUMMYFUNCTION("IMPORTRANGE(""https://docs.google.com/spreadsheets/d/1XL5vhW3sbDhbH9Cz0tuDiY8C3ctxq1tqvaCgkFb8cCA/edit?usp=sharing"",""หนองคาย!J374"")"),0.0)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IFERROR(__xludf.DUMMYFUNCTION("IMPORTRANGE(""https://docs.google.com/spreadsheets/d/1XL5vhW3sbDhbH9Cz0tuDiY8C3ctxq1tqvaCgkFb8cCA/edit?usp=sharing"",""หนองคาย!I375"")"),0.0)</f>
        <v>0</v>
      </c>
      <c r="J480" s="223">
        <f>IFERROR(__xludf.DUMMYFUNCTION("IMPORTRANGE(""https://docs.google.com/spreadsheets/d/1XL5vhW3sbDhbH9Cz0tuDiY8C3ctxq1tqvaCgkFb8cCA/edit?usp=sharing"",""หนองคาย!J375"")"),0.0)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IFERROR(__xludf.DUMMYFUNCTION("IMPORTRANGE(""https://docs.google.com/spreadsheets/d/1XL5vhW3sbDhbH9Cz0tuDiY8C3ctxq1tqvaCgkFb8cCA/edit?usp=sharing"",""หนองคาย!I376"")"),50182.0)</f>
        <v>50182</v>
      </c>
      <c r="J481" s="453">
        <f>IFERROR(__xludf.DUMMYFUNCTION("IMPORTRANGE(""https://docs.google.com/spreadsheets/d/1XL5vhW3sbDhbH9Cz0tuDiY8C3ctxq1tqvaCgkFb8cCA/edit?usp=sharing"",""หนองคาย!J376"")"),0.0)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IFERROR(__xludf.DUMMYFUNCTION("IMPORTRANGE(""https://docs.google.com/spreadsheets/d/1XL5vhW3sbDhbH9Cz0tuDiY8C3ctxq1tqvaCgkFb8cCA/edit?usp=sharing"",""หนองคาย!I377"")"),6542.0)</f>
        <v>6542</v>
      </c>
      <c r="J482" s="453">
        <f>IFERROR(__xludf.DUMMYFUNCTION("IMPORTRANGE(""https://docs.google.com/spreadsheets/d/1XL5vhW3sbDhbH9Cz0tuDiY8C3ctxq1tqvaCgkFb8cCA/edit?usp=sharing"",""หนองคาย!J377"")"),0.0)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IFERROR(__xludf.DUMMYFUNCTION("IMPORTRANGE(""https://docs.google.com/spreadsheets/d/1XL5vhW3sbDhbH9Cz0tuDiY8C3ctxq1tqvaCgkFb8cCA/edit?usp=sharing"",""หนองคาย!I378"")"),0.0)</f>
        <v>0</v>
      </c>
      <c r="J483" s="223">
        <f>IFERROR(__xludf.DUMMYFUNCTION("IMPORTRANGE(""https://docs.google.com/spreadsheets/d/1XL5vhW3sbDhbH9Cz0tuDiY8C3ctxq1tqvaCgkFb8cCA/edit?usp=sharing"",""หนองคาย!J378"")"),0.0)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IFERROR(__xludf.DUMMYFUNCTION("IMPORTRANGE(""https://docs.google.com/spreadsheets/d/1XL5vhW3sbDhbH9Cz0tuDiY8C3ctxq1tqvaCgkFb8cCA/edit?usp=sharing"",""หนองคาย!I379"")"),0.0)</f>
        <v>0</v>
      </c>
      <c r="J484" s="223">
        <f>IFERROR(__xludf.DUMMYFUNCTION("IMPORTRANGE(""https://docs.google.com/spreadsheets/d/1XL5vhW3sbDhbH9Cz0tuDiY8C3ctxq1tqvaCgkFb8cCA/edit?usp=sharing"",""หนองคาย!J379"")"),0.0)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IFERROR(__xludf.DUMMYFUNCTION("IMPORTRANGE(""https://docs.google.com/spreadsheets/d/1XL5vhW3sbDhbH9Cz0tuDiY8C3ctxq1tqvaCgkFb8cCA/edit?usp=sharing"",""หนองคาย!I380"")"),0.0)</f>
        <v>0</v>
      </c>
      <c r="J485" s="223">
        <f>IFERROR(__xludf.DUMMYFUNCTION("IMPORTRANGE(""https://docs.google.com/spreadsheets/d/1XL5vhW3sbDhbH9Cz0tuDiY8C3ctxq1tqvaCgkFb8cCA/edit?usp=sharing"",""หนองคาย!J380"")"),0.0)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IFERROR(__xludf.DUMMYFUNCTION("IMPORTRANGE(""https://docs.google.com/spreadsheets/d/1XL5vhW3sbDhbH9Cz0tuDiY8C3ctxq1tqvaCgkFb8cCA/edit?usp=sharing"",""หนองคาย!I381"")"),0.0)</f>
        <v>0</v>
      </c>
      <c r="J486" s="223">
        <f>IFERROR(__xludf.DUMMYFUNCTION("IMPORTRANGE(""https://docs.google.com/spreadsheets/d/1XL5vhW3sbDhbH9Cz0tuDiY8C3ctxq1tqvaCgkFb8cCA/edit?usp=sharing"",""หนองคาย!J381"")"),0.0)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IFERROR(__xludf.DUMMYFUNCTION("IMPORTRANGE(""https://docs.google.com/spreadsheets/d/1XL5vhW3sbDhbH9Cz0tuDiY8C3ctxq1tqvaCgkFb8cCA/edit?usp=sharing"",""หนองคาย!I382"")"),0.0)</f>
        <v>0</v>
      </c>
      <c r="J487" s="453">
        <f>IFERROR(__xludf.DUMMYFUNCTION("IMPORTRANGE(""https://docs.google.com/spreadsheets/d/1XL5vhW3sbDhbH9Cz0tuDiY8C3ctxq1tqvaCgkFb8cCA/edit?usp=sharing"",""หนองคาย!J382"")"),0.0)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IFERROR(__xludf.DUMMYFUNCTION("IMPORTRANGE(""https://docs.google.com/spreadsheets/d/1XL5vhW3sbDhbH9Cz0tuDiY8C3ctxq1tqvaCgkFb8cCA/edit?usp=sharing"",""หนองคาย!I383"")"),0.0)</f>
        <v>0</v>
      </c>
      <c r="J488" s="453">
        <f>IFERROR(__xludf.DUMMYFUNCTION("IMPORTRANGE(""https://docs.google.com/spreadsheets/d/1XL5vhW3sbDhbH9Cz0tuDiY8C3ctxq1tqvaCgkFb8cCA/edit?usp=sharing"",""หนองคาย!J383"")"),0.0)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IFERROR(__xludf.DUMMYFUNCTION("IMPORTRANGE(""https://docs.google.com/spreadsheets/d/1XL5vhW3sbDhbH9Cz0tuDiY8C3ctxq1tqvaCgkFb8cCA/edit?usp=sharing"",""หนองคาย!I384"")"),0.0)</f>
        <v>0</v>
      </c>
      <c r="J489" s="223">
        <f>IFERROR(__xludf.DUMMYFUNCTION("IMPORTRANGE(""https://docs.google.com/spreadsheets/d/1XL5vhW3sbDhbH9Cz0tuDiY8C3ctxq1tqvaCgkFb8cCA/edit?usp=sharing"",""หนองคาย!J384"")"),0.0)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IFERROR(__xludf.DUMMYFUNCTION("IMPORTRANGE(""https://docs.google.com/spreadsheets/d/1XL5vhW3sbDhbH9Cz0tuDiY8C3ctxq1tqvaCgkFb8cCA/edit?usp=sharing"",""หนองคาย!I385"")"),0.0)</f>
        <v>0</v>
      </c>
      <c r="J490" s="223">
        <f>IFERROR(__xludf.DUMMYFUNCTION("IMPORTRANGE(""https://docs.google.com/spreadsheets/d/1XL5vhW3sbDhbH9Cz0tuDiY8C3ctxq1tqvaCgkFb8cCA/edit?usp=sharing"",""หนองคาย!J385"")"),0.0)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IFERROR(__xludf.DUMMYFUNCTION("IMPORTRANGE(""https://docs.google.com/spreadsheets/d/1XL5vhW3sbDhbH9Cz0tuDiY8C3ctxq1tqvaCgkFb8cCA/edit?usp=sharing"",""หนองคาย!I386"")"),0.0)</f>
        <v>0</v>
      </c>
      <c r="J491" s="223">
        <f>IFERROR(__xludf.DUMMYFUNCTION("IMPORTRANGE(""https://docs.google.com/spreadsheets/d/1XL5vhW3sbDhbH9Cz0tuDiY8C3ctxq1tqvaCgkFb8cCA/edit?usp=sharing"",""หนองคาย!J386"")"),0.0)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IFERROR(__xludf.DUMMYFUNCTION("IMPORTRANGE(""https://docs.google.com/spreadsheets/d/1XL5vhW3sbDhbH9Cz0tuDiY8C3ctxq1tqvaCgkFb8cCA/edit?usp=sharing"",""หนองคาย!I387"")"),0.0)</f>
        <v>0</v>
      </c>
      <c r="J492" s="223">
        <f>IFERROR(__xludf.DUMMYFUNCTION("IMPORTRANGE(""https://docs.google.com/spreadsheets/d/1XL5vhW3sbDhbH9Cz0tuDiY8C3ctxq1tqvaCgkFb8cCA/edit?usp=sharing"",""หนองคาย!J387"")"),0.0)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IFERROR(__xludf.DUMMYFUNCTION("IMPORTRANGE(""https://docs.google.com/spreadsheets/d/1XL5vhW3sbDhbH9Cz0tuDiY8C3ctxq1tqvaCgkFb8cCA/edit?usp=sharing"",""หนองคาย!I388"")"),0.0)</f>
        <v>0</v>
      </c>
      <c r="J493" s="223">
        <f>IFERROR(__xludf.DUMMYFUNCTION("IMPORTRANGE(""https://docs.google.com/spreadsheets/d/1XL5vhW3sbDhbH9Cz0tuDiY8C3ctxq1tqvaCgkFb8cCA/edit?usp=sharing"",""หนองคาย!J388"")"),0.0)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IFERROR(__xludf.DUMMYFUNCTION("IMPORTRANGE(""https://docs.google.com/spreadsheets/d/1XL5vhW3sbDhbH9Cz0tuDiY8C3ctxq1tqvaCgkFb8cCA/edit?usp=sharing"",""หนองคาย!I389"")"),0.0)</f>
        <v>0</v>
      </c>
      <c r="J494" s="469">
        <f>IFERROR(__xludf.DUMMYFUNCTION("IMPORTRANGE(""https://docs.google.com/spreadsheets/d/1XL5vhW3sbDhbH9Cz0tuDiY8C3ctxq1tqvaCgkFb8cCA/edit?usp=sharing"",""หนองคาย!J389"")"),0.0)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IFERROR(__xludf.DUMMYFUNCTION("IMPORTRANGE(""https://docs.google.com/spreadsheets/d/1XL5vhW3sbDhbH9Cz0tuDiY8C3ctxq1tqvaCgkFb8cCA/edit?usp=sharing"",""หนองคาย!I390"")"),0.0)</f>
        <v>0</v>
      </c>
      <c r="J495" s="469">
        <f>IFERROR(__xludf.DUMMYFUNCTION("IMPORTRANGE(""https://docs.google.com/spreadsheets/d/1XL5vhW3sbDhbH9Cz0tuDiY8C3ctxq1tqvaCgkFb8cCA/edit?usp=sharing"",""หนองคาย!J390"")"),0.0)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IFERROR(__xludf.DUMMYFUNCTION("IMPORTRANGE(""https://docs.google.com/spreadsheets/d/1XL5vhW3sbDhbH9Cz0tuDiY8C3ctxq1tqvaCgkFb8cCA/edit?usp=sharing"",""หนองคาย!I391"")"),0.0)</f>
        <v>0</v>
      </c>
      <c r="J496" s="469">
        <f>IFERROR(__xludf.DUMMYFUNCTION("IMPORTRANGE(""https://docs.google.com/spreadsheets/d/1XL5vhW3sbDhbH9Cz0tuDiY8C3ctxq1tqvaCgkFb8cCA/edit?usp=sharing"",""หนองคาย!J391"")"),0.0)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IFERROR(__xludf.DUMMYFUNCTION("IMPORTRANGE(""https://docs.google.com/spreadsheets/d/1XL5vhW3sbDhbH9Cz0tuDiY8C3ctxq1tqvaCgkFb8cCA/edit?usp=sharing"",""หนองคาย!I392"")"),14080.0)</f>
        <v>14080</v>
      </c>
      <c r="J497" s="476">
        <f>IFERROR(__xludf.DUMMYFUNCTION("IMPORTRANGE(""https://docs.google.com/spreadsheets/d/1XL5vhW3sbDhbH9Cz0tuDiY8C3ctxq1tqvaCgkFb8cCA/edit?usp=sharing"",""หนองคาย!J392"")"),0.0)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IFERROR(__xludf.DUMMYFUNCTION("IMPORTRANGE(""https://docs.google.com/spreadsheets/d/1XL5vhW3sbDhbH9Cz0tuDiY8C3ctxq1tqvaCgkFb8cCA/edit?usp=sharing"",""หนองคาย!I393"")"),14080.0)</f>
        <v>14080</v>
      </c>
      <c r="J498" s="453">
        <f>IFERROR(__xludf.DUMMYFUNCTION("IMPORTRANGE(""https://docs.google.com/spreadsheets/d/1XL5vhW3sbDhbH9Cz0tuDiY8C3ctxq1tqvaCgkFb8cCA/edit?usp=sharing"",""หนองคาย!J393"")"),0.0)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IFERROR(__xludf.DUMMYFUNCTION("IMPORTRANGE(""https://docs.google.com/spreadsheets/d/1XL5vhW3sbDhbH9Cz0tuDiY8C3ctxq1tqvaCgkFb8cCA/edit?usp=sharing"",""หนองคาย!I394"")"),1188.0)</f>
        <v>1188</v>
      </c>
      <c r="J499" s="453">
        <f>IFERROR(__xludf.DUMMYFUNCTION("IMPORTRANGE(""https://docs.google.com/spreadsheets/d/1XL5vhW3sbDhbH9Cz0tuDiY8C3ctxq1tqvaCgkFb8cCA/edit?usp=sharing"",""หนองคาย!J394"")"),0.0)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IFERROR(__xludf.DUMMYFUNCTION("IMPORTRANGE(""https://docs.google.com/spreadsheets/d/1XL5vhW3sbDhbH9Cz0tuDiY8C3ctxq1tqvaCgkFb8cCA/edit?usp=sharing"",""หนองคาย!I395"")"),0.0)</f>
        <v>0</v>
      </c>
      <c r="J500" s="195">
        <f>IFERROR(__xludf.DUMMYFUNCTION("IMPORTRANGE(""https://docs.google.com/spreadsheets/d/1XL5vhW3sbDhbH9Cz0tuDiY8C3ctxq1tqvaCgkFb8cCA/edit?usp=sharing"",""หนองคาย!J395"")"),0.0)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IFERROR(__xludf.DUMMYFUNCTION("IMPORTRANGE(""https://docs.google.com/spreadsheets/d/1XL5vhW3sbDhbH9Cz0tuDiY8C3ctxq1tqvaCgkFb8cCA/edit?usp=sharing"",""หนองคาย!I396"")"),0.0)</f>
        <v>0</v>
      </c>
      <c r="J501" s="195">
        <f>IFERROR(__xludf.DUMMYFUNCTION("IMPORTRANGE(""https://docs.google.com/spreadsheets/d/1XL5vhW3sbDhbH9Cz0tuDiY8C3ctxq1tqvaCgkFb8cCA/edit?usp=sharing"",""หนองคาย!J396"")"),0.0)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IFERROR(__xludf.DUMMYFUNCTION("IMPORTRANGE(""https://docs.google.com/spreadsheets/d/1XL5vhW3sbDhbH9Cz0tuDiY8C3ctxq1tqvaCgkFb8cCA/edit?usp=sharing"",""หนองคาย!I397"")"),0.0)</f>
        <v>0</v>
      </c>
      <c r="J502" s="223">
        <f>IFERROR(__xludf.DUMMYFUNCTION("IMPORTRANGE(""https://docs.google.com/spreadsheets/d/1XL5vhW3sbDhbH9Cz0tuDiY8C3ctxq1tqvaCgkFb8cCA/edit?usp=sharing"",""หนองคาย!J397"")"),0.0)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IFERROR(__xludf.DUMMYFUNCTION("IMPORTRANGE(""https://docs.google.com/spreadsheets/d/1XL5vhW3sbDhbH9Cz0tuDiY8C3ctxq1tqvaCgkFb8cCA/edit?usp=sharing"",""หนองคาย!I398"")"),0.0)</f>
        <v>0</v>
      </c>
      <c r="J503" s="232">
        <f>IFERROR(__xludf.DUMMYFUNCTION("IMPORTRANGE(""https://docs.google.com/spreadsheets/d/1XL5vhW3sbDhbH9Cz0tuDiY8C3ctxq1tqvaCgkFb8cCA/edit?usp=sharing"",""หนองคาย!J398"")"),0.0)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IFERROR(__xludf.DUMMYFUNCTION("IMPORTRANGE(""https://docs.google.com/spreadsheets/d/1XL5vhW3sbDhbH9Cz0tuDiY8C3ctxq1tqvaCgkFb8cCA/edit?usp=sharing"",""หนองคาย!I399"")"),0.0)</f>
        <v>0</v>
      </c>
      <c r="J504" s="223">
        <f>IFERROR(__xludf.DUMMYFUNCTION("IMPORTRANGE(""https://docs.google.com/spreadsheets/d/1XL5vhW3sbDhbH9Cz0tuDiY8C3ctxq1tqvaCgkFb8cCA/edit?usp=sharing"",""หนองคาย!J399"")"),0.0)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IFERROR(__xludf.DUMMYFUNCTION("IMPORTRANGE(""https://docs.google.com/spreadsheets/d/1XL5vhW3sbDhbH9Cz0tuDiY8C3ctxq1tqvaCgkFb8cCA/edit?usp=sharing"",""หนองคาย!I400"")"),0.0)</f>
        <v>0</v>
      </c>
      <c r="J505" s="232">
        <f>IFERROR(__xludf.DUMMYFUNCTION("IMPORTRANGE(""https://docs.google.com/spreadsheets/d/1XL5vhW3sbDhbH9Cz0tuDiY8C3ctxq1tqvaCgkFb8cCA/edit?usp=sharing"",""หนองคาย!J400"")"),0.0)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IFERROR(__xludf.DUMMYFUNCTION("IMPORTRANGE(""https://docs.google.com/spreadsheets/d/1XL5vhW3sbDhbH9Cz0tuDiY8C3ctxq1tqvaCgkFb8cCA/edit?usp=sharing"",""หนองคาย!I401"")"),0.0)</f>
        <v>0</v>
      </c>
      <c r="J506" s="223">
        <f>IFERROR(__xludf.DUMMYFUNCTION("IMPORTRANGE(""https://docs.google.com/spreadsheets/d/1XL5vhW3sbDhbH9Cz0tuDiY8C3ctxq1tqvaCgkFb8cCA/edit?usp=sharing"",""หนองคาย!J401"")"),0.0)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IFERROR(__xludf.DUMMYFUNCTION("IMPORTRANGE(""https://docs.google.com/spreadsheets/d/1XL5vhW3sbDhbH9Cz0tuDiY8C3ctxq1tqvaCgkFb8cCA/edit?usp=sharing"",""หนองคาย!I402"")"),0.0)</f>
        <v>0</v>
      </c>
      <c r="J507" s="232">
        <f>IFERROR(__xludf.DUMMYFUNCTION("IMPORTRANGE(""https://docs.google.com/spreadsheets/d/1XL5vhW3sbDhbH9Cz0tuDiY8C3ctxq1tqvaCgkFb8cCA/edit?usp=sharing"",""หนองคาย!J402"")"),0.0)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IFERROR(__xludf.DUMMYFUNCTION("IMPORTRANGE(""https://docs.google.com/spreadsheets/d/1XL5vhW3sbDhbH9Cz0tuDiY8C3ctxq1tqvaCgkFb8cCA/edit?usp=sharing"",""หนองคาย!I403"")"),0.0)</f>
        <v>0</v>
      </c>
      <c r="J508" s="195">
        <f>IFERROR(__xludf.DUMMYFUNCTION("IMPORTRANGE(""https://docs.google.com/spreadsheets/d/1XL5vhW3sbDhbH9Cz0tuDiY8C3ctxq1tqvaCgkFb8cCA/edit?usp=sharing"",""หนองคาย!J403"")"),0.0)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IFERROR(__xludf.DUMMYFUNCTION("IMPORTRANGE(""https://docs.google.com/spreadsheets/d/1XL5vhW3sbDhbH9Cz0tuDiY8C3ctxq1tqvaCgkFb8cCA/edit?usp=sharing"",""หนองคาย!I404"")"),0.0)</f>
        <v>0</v>
      </c>
      <c r="J509" s="195">
        <f>IFERROR(__xludf.DUMMYFUNCTION("IMPORTRANGE(""https://docs.google.com/spreadsheets/d/1XL5vhW3sbDhbH9Cz0tuDiY8C3ctxq1tqvaCgkFb8cCA/edit?usp=sharing"",""หนองคาย!J404"")"),0.0)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IFERROR(__xludf.DUMMYFUNCTION("IMPORTRANGE(""https://docs.google.com/spreadsheets/d/1XL5vhW3sbDhbH9Cz0tuDiY8C3ctxq1tqvaCgkFb8cCA/edit?usp=sharing"",""หนองคาย!I405"")"),0.0)</f>
        <v>0</v>
      </c>
      <c r="J510" s="232">
        <f>IFERROR(__xludf.DUMMYFUNCTION("IMPORTRANGE(""https://docs.google.com/spreadsheets/d/1XL5vhW3sbDhbH9Cz0tuDiY8C3ctxq1tqvaCgkFb8cCA/edit?usp=sharing"",""หนองคาย!J405"")"),0.0)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IFERROR(__xludf.DUMMYFUNCTION("IMPORTRANGE(""https://docs.google.com/spreadsheets/d/1XL5vhW3sbDhbH9Cz0tuDiY8C3ctxq1tqvaCgkFb8cCA/edit?usp=sharing"",""หนองคาย!I406"")"),0.0)</f>
        <v>0</v>
      </c>
      <c r="J511" s="232">
        <f>IFERROR(__xludf.DUMMYFUNCTION("IMPORTRANGE(""https://docs.google.com/spreadsheets/d/1XL5vhW3sbDhbH9Cz0tuDiY8C3ctxq1tqvaCgkFb8cCA/edit?usp=sharing"",""หนองคาย!J406"")"),0.0)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IFERROR(__xludf.DUMMYFUNCTION("IMPORTRANGE(""https://docs.google.com/spreadsheets/d/1XL5vhW3sbDhbH9Cz0tuDiY8C3ctxq1tqvaCgkFb8cCA/edit?usp=sharing"",""หนองคาย!I407"")"),0.0)</f>
        <v>0</v>
      </c>
      <c r="J512" s="232">
        <f>IFERROR(__xludf.DUMMYFUNCTION("IMPORTRANGE(""https://docs.google.com/spreadsheets/d/1XL5vhW3sbDhbH9Cz0tuDiY8C3ctxq1tqvaCgkFb8cCA/edit?usp=sharing"",""หนองคาย!J407"")"),0.0)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IFERROR(__xludf.DUMMYFUNCTION("IMPORTRANGE(""https://docs.google.com/spreadsheets/d/1XL5vhW3sbDhbH9Cz0tuDiY8C3ctxq1tqvaCgkFb8cCA/edit?usp=sharing"",""หนองคาย!I408"")"),0.0)</f>
        <v>0</v>
      </c>
      <c r="J513" s="232">
        <f>IFERROR(__xludf.DUMMYFUNCTION("IMPORTRANGE(""https://docs.google.com/spreadsheets/d/1XL5vhW3sbDhbH9Cz0tuDiY8C3ctxq1tqvaCgkFb8cCA/edit?usp=sharing"",""หนองคาย!J408"")"),0.0)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IFERROR(__xludf.DUMMYFUNCTION("IMPORTRANGE(""https://docs.google.com/spreadsheets/d/1XL5vhW3sbDhbH9Cz0tuDiY8C3ctxq1tqvaCgkFb8cCA/edit?usp=sharing"",""หนองคาย!I409"")"),0.0)</f>
        <v>0</v>
      </c>
      <c r="J514" s="232">
        <f>IFERROR(__xludf.DUMMYFUNCTION("IMPORTRANGE(""https://docs.google.com/spreadsheets/d/1XL5vhW3sbDhbH9Cz0tuDiY8C3ctxq1tqvaCgkFb8cCA/edit?usp=sharing"",""หนองคาย!J409"")"),0.0)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IFERROR(__xludf.DUMMYFUNCTION("IMPORTRANGE(""https://docs.google.com/spreadsheets/d/1XL5vhW3sbDhbH9Cz0tuDiY8C3ctxq1tqvaCgkFb8cCA/edit?usp=sharing"",""หนองคาย!I410"")"),0.0)</f>
        <v>0</v>
      </c>
      <c r="J515" s="232">
        <f>IFERROR(__xludf.DUMMYFUNCTION("IMPORTRANGE(""https://docs.google.com/spreadsheets/d/1XL5vhW3sbDhbH9Cz0tuDiY8C3ctxq1tqvaCgkFb8cCA/edit?usp=sharing"",""หนองคาย!J410"")"),0.0)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IFERROR(__xludf.DUMMYFUNCTION("IMPORTRANGE(""https://docs.google.com/spreadsheets/d/1XL5vhW3sbDhbH9Cz0tuDiY8C3ctxq1tqvaCgkFb8cCA/edit?usp=sharing"",""หนองคาย!I411"")"),0.0)</f>
        <v>0</v>
      </c>
      <c r="J516" s="301">
        <f>IFERROR(__xludf.DUMMYFUNCTION("IMPORTRANGE(""https://docs.google.com/spreadsheets/d/1XL5vhW3sbDhbH9Cz0tuDiY8C3ctxq1tqvaCgkFb8cCA/edit?usp=sharing"",""หนองคาย!J411"")"),0.0)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IFERROR(__xludf.DUMMYFUNCTION("IMPORTRANGE(""https://docs.google.com/spreadsheets/d/1XL5vhW3sbDhbH9Cz0tuDiY8C3ctxq1tqvaCgkFb8cCA/edit?usp=sharing"",""หนองคาย!I412"")"),0.0)</f>
        <v>0</v>
      </c>
      <c r="J517" s="317">
        <f>IFERROR(__xludf.DUMMYFUNCTION("IMPORTRANGE(""https://docs.google.com/spreadsheets/d/1XL5vhW3sbDhbH9Cz0tuDiY8C3ctxq1tqvaCgkFb8cCA/edit?usp=sharing"",""หนองคาย!J412"")"),0.0)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IFERROR(__xludf.DUMMYFUNCTION("IMPORTRANGE(""https://docs.google.com/spreadsheets/d/1XL5vhW3sbDhbH9Cz0tuDiY8C3ctxq1tqvaCgkFb8cCA/edit?usp=sharing"",""หนองคาย!I413"")"),0.0)</f>
        <v>0</v>
      </c>
      <c r="J518" s="317">
        <f>IFERROR(__xludf.DUMMYFUNCTION("IMPORTRANGE(""https://docs.google.com/spreadsheets/d/1XL5vhW3sbDhbH9Cz0tuDiY8C3ctxq1tqvaCgkFb8cCA/edit?usp=sharing"",""หนองคาย!J413"")"),0.0)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IFERROR(__xludf.DUMMYFUNCTION("IMPORTRANGE(""https://docs.google.com/spreadsheets/d/1XL5vhW3sbDhbH9Cz0tuDiY8C3ctxq1tqvaCgkFb8cCA/edit?usp=sharing"",""หนองคาย!I414"")"),0.0)</f>
        <v>0</v>
      </c>
      <c r="J519" s="222">
        <f>IFERROR(__xludf.DUMMYFUNCTION("IMPORTRANGE(""https://docs.google.com/spreadsheets/d/1XL5vhW3sbDhbH9Cz0tuDiY8C3ctxq1tqvaCgkFb8cCA/edit?usp=sharing"",""หนองคาย!J414"")"),0.0)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IFERROR(__xludf.DUMMYFUNCTION("IMPORTRANGE(""https://docs.google.com/spreadsheets/d/1XL5vhW3sbDhbH9Cz0tuDiY8C3ctxq1tqvaCgkFb8cCA/edit?usp=sharing"",""หนองคาย!I415"")"),0.0)</f>
        <v>0</v>
      </c>
      <c r="J520" s="222">
        <f>IFERROR(__xludf.DUMMYFUNCTION("IMPORTRANGE(""https://docs.google.com/spreadsheets/d/1XL5vhW3sbDhbH9Cz0tuDiY8C3ctxq1tqvaCgkFb8cCA/edit?usp=sharing"",""หนองคาย!J415"")"),0.0)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IFERROR(__xludf.DUMMYFUNCTION("IMPORTRANGE(""https://docs.google.com/spreadsheets/d/1XL5vhW3sbDhbH9Cz0tuDiY8C3ctxq1tqvaCgkFb8cCA/edit?usp=sharing"",""หนองคาย!I416"")"),0.0)</f>
        <v>0</v>
      </c>
      <c r="J521" s="222">
        <f>IFERROR(__xludf.DUMMYFUNCTION("IMPORTRANGE(""https://docs.google.com/spreadsheets/d/1XL5vhW3sbDhbH9Cz0tuDiY8C3ctxq1tqvaCgkFb8cCA/edit?usp=sharing"",""หนองคาย!J416"")"),0.0)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IFERROR(__xludf.DUMMYFUNCTION("IMPORTRANGE(""https://docs.google.com/spreadsheets/d/1XL5vhW3sbDhbH9Cz0tuDiY8C3ctxq1tqvaCgkFb8cCA/edit?usp=sharing"",""หนองคาย!I417"")"),0.0)</f>
        <v>0</v>
      </c>
      <c r="J522" s="222">
        <f>IFERROR(__xludf.DUMMYFUNCTION("IMPORTRANGE(""https://docs.google.com/spreadsheets/d/1XL5vhW3sbDhbH9Cz0tuDiY8C3ctxq1tqvaCgkFb8cCA/edit?usp=sharing"",""หนองคาย!J417"")"),0.0)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IFERROR(__xludf.DUMMYFUNCTION("IMPORTRANGE(""https://docs.google.com/spreadsheets/d/1XL5vhW3sbDhbH9Cz0tuDiY8C3ctxq1tqvaCgkFb8cCA/edit?usp=sharing"",""หนองคาย!I418"")"),0.0)</f>
        <v>0</v>
      </c>
      <c r="J523" s="222">
        <f>IFERROR(__xludf.DUMMYFUNCTION("IMPORTRANGE(""https://docs.google.com/spreadsheets/d/1XL5vhW3sbDhbH9Cz0tuDiY8C3ctxq1tqvaCgkFb8cCA/edit?usp=sharing"",""หนองคาย!J418"")"),0.0)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IFERROR(__xludf.DUMMYFUNCTION("IMPORTRANGE(""https://docs.google.com/spreadsheets/d/1XL5vhW3sbDhbH9Cz0tuDiY8C3ctxq1tqvaCgkFb8cCA/edit?usp=sharing"",""หนองคาย!I419"")"),0.0)</f>
        <v>0</v>
      </c>
      <c r="J524" s="222">
        <f>IFERROR(__xludf.DUMMYFUNCTION("IMPORTRANGE(""https://docs.google.com/spreadsheets/d/1XL5vhW3sbDhbH9Cz0tuDiY8C3ctxq1tqvaCgkFb8cCA/edit?usp=sharing"",""หนองคาย!J419"")"),0.0)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IFERROR(__xludf.DUMMYFUNCTION("IMPORTRANGE(""https://docs.google.com/spreadsheets/d/1XL5vhW3sbDhbH9Cz0tuDiY8C3ctxq1tqvaCgkFb8cCA/edit?usp=sharing"",""หนองคาย!I420"")"),0.0)</f>
        <v>0</v>
      </c>
      <c r="J525" s="317">
        <f>IFERROR(__xludf.DUMMYFUNCTION("IMPORTRANGE(""https://docs.google.com/spreadsheets/d/1XL5vhW3sbDhbH9Cz0tuDiY8C3ctxq1tqvaCgkFb8cCA/edit?usp=sharing"",""หนองคาย!J420"")"),0.0)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IFERROR(__xludf.DUMMYFUNCTION("IMPORTRANGE(""https://docs.google.com/spreadsheets/d/1XL5vhW3sbDhbH9Cz0tuDiY8C3ctxq1tqvaCgkFb8cCA/edit?usp=sharing"",""หนองคาย!I421"")"),0.0)</f>
        <v>0</v>
      </c>
      <c r="J526" s="317">
        <f>IFERROR(__xludf.DUMMYFUNCTION("IMPORTRANGE(""https://docs.google.com/spreadsheets/d/1XL5vhW3sbDhbH9Cz0tuDiY8C3ctxq1tqvaCgkFb8cCA/edit?usp=sharing"",""หนองคาย!J421"")"),0.0)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IFERROR(__xludf.DUMMYFUNCTION("IMPORTRANGE(""https://docs.google.com/spreadsheets/d/1XL5vhW3sbDhbH9Cz0tuDiY8C3ctxq1tqvaCgkFb8cCA/edit?usp=sharing"",""หนองคาย!I422"")"),0.0)</f>
        <v>0</v>
      </c>
      <c r="J527" s="232">
        <f>IFERROR(__xludf.DUMMYFUNCTION("IMPORTRANGE(""https://docs.google.com/spreadsheets/d/1XL5vhW3sbDhbH9Cz0tuDiY8C3ctxq1tqvaCgkFb8cCA/edit?usp=sharing"",""หนองคาย!J422"")"),0.0)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IFERROR(__xludf.DUMMYFUNCTION("IMPORTRANGE(""https://docs.google.com/spreadsheets/d/1XL5vhW3sbDhbH9Cz0tuDiY8C3ctxq1tqvaCgkFb8cCA/edit?usp=sharing"",""หนองคาย!I423"")"),0.0)</f>
        <v>0</v>
      </c>
      <c r="J528" s="232">
        <f>IFERROR(__xludf.DUMMYFUNCTION("IMPORTRANGE(""https://docs.google.com/spreadsheets/d/1XL5vhW3sbDhbH9Cz0tuDiY8C3ctxq1tqvaCgkFb8cCA/edit?usp=sharing"",""หนองคาย!J423"")"),0.0)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IFERROR(__xludf.DUMMYFUNCTION("IMPORTRANGE(""https://docs.google.com/spreadsheets/d/1XL5vhW3sbDhbH9Cz0tuDiY8C3ctxq1tqvaCgkFb8cCA/edit?usp=sharing"",""หนองคาย!I424"")"),0.0)</f>
        <v>0</v>
      </c>
      <c r="J529" s="232">
        <f>IFERROR(__xludf.DUMMYFUNCTION("IMPORTRANGE(""https://docs.google.com/spreadsheets/d/1XL5vhW3sbDhbH9Cz0tuDiY8C3ctxq1tqvaCgkFb8cCA/edit?usp=sharing"",""หนองคาย!J424"")"),0.0)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IFERROR(__xludf.DUMMYFUNCTION("IMPORTRANGE(""https://docs.google.com/spreadsheets/d/1XL5vhW3sbDhbH9Cz0tuDiY8C3ctxq1tqvaCgkFb8cCA/edit?usp=sharing"",""หนองคาย!I425"")"),0.0)</f>
        <v>0</v>
      </c>
      <c r="J530" s="232">
        <f>IFERROR(__xludf.DUMMYFUNCTION("IMPORTRANGE(""https://docs.google.com/spreadsheets/d/1XL5vhW3sbDhbH9Cz0tuDiY8C3ctxq1tqvaCgkFb8cCA/edit?usp=sharing"",""หนองคาย!J425"")"),0.0)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IFERROR(__xludf.DUMMYFUNCTION("IMPORTRANGE(""https://docs.google.com/spreadsheets/d/1XL5vhW3sbDhbH9Cz0tuDiY8C3ctxq1tqvaCgkFb8cCA/edit?usp=sharing"",""หนองคาย!I426"")"),0.0)</f>
        <v>0</v>
      </c>
      <c r="J531" s="232">
        <f>IFERROR(__xludf.DUMMYFUNCTION("IMPORTRANGE(""https://docs.google.com/spreadsheets/d/1XL5vhW3sbDhbH9Cz0tuDiY8C3ctxq1tqvaCgkFb8cCA/edit?usp=sharing"",""หนองคาย!J426"")"),0.0)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IFERROR(__xludf.DUMMYFUNCTION("IMPORTRANGE(""https://docs.google.com/spreadsheets/d/1XL5vhW3sbDhbH9Cz0tuDiY8C3ctxq1tqvaCgkFb8cCA/edit?usp=sharing"",""หนองคาย!I427"")"),0.0)</f>
        <v>0</v>
      </c>
      <c r="J532" s="499">
        <f>IFERROR(__xludf.DUMMYFUNCTION("IMPORTRANGE(""https://docs.google.com/spreadsheets/d/1XL5vhW3sbDhbH9Cz0tuDiY8C3ctxq1tqvaCgkFb8cCA/edit?usp=sharing"",""หนองคาย!J427"")"),0.0)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IFERROR(__xludf.DUMMYFUNCTION("IMPORTRANGE(""https://docs.google.com/spreadsheets/d/1XL5vhW3sbDhbH9Cz0tuDiY8C3ctxq1tqvaCgkFb8cCA/edit?usp=sharing"",""หนองคาย!I428"")"),22.0)</f>
        <v>22</v>
      </c>
      <c r="J533" s="443">
        <f>IFERROR(__xludf.DUMMYFUNCTION("IMPORTRANGE(""https://docs.google.com/spreadsheets/d/1XL5vhW3sbDhbH9Cz0tuDiY8C3ctxq1tqvaCgkFb8cCA/edit?usp=sharing"",""หนองคาย!J428"")"),22.0)</f>
        <v>22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IFERROR(__xludf.DUMMYFUNCTION("IMPORTRANGE(""https://docs.google.com/spreadsheets/d/1XL5vhW3sbDhbH9Cz0tuDiY8C3ctxq1tqvaCgkFb8cCA/edit?usp=sharing"",""หนองคาย!L428"")"),34340.0)</f>
        <v>34340</v>
      </c>
      <c r="M533" s="445"/>
      <c r="N533" s="445">
        <f>IFERROR(__xludf.DUMMYFUNCTION("IMPORTRANGE(""https://docs.google.com/spreadsheets/d/1XL5vhW3sbDhbH9Cz0tuDiY8C3ctxq1tqvaCgkFb8cCA/edit?usp=sharing"",""หนองคาย!M428"")"),24290.0)</f>
        <v>24290</v>
      </c>
      <c r="O533" s="445">
        <f t="shared" ref="O533:O537" si="119">+IF(L533&gt;0,N533*100/L533,0)</f>
        <v>70.73383809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IFERROR(__xludf.DUMMYFUNCTION("IMPORTRANGE(""https://docs.google.com/spreadsheets/d/1XL5vhW3sbDhbH9Cz0tuDiY8C3ctxq1tqvaCgkFb8cCA/edit?usp=sharing"",""หนองคาย!L429"")"),0.0)</f>
        <v>0</v>
      </c>
      <c r="M534" s="197"/>
      <c r="N534" s="203">
        <f>IFERROR(__xludf.DUMMYFUNCTION("IMPORTRANGE(""https://docs.google.com/spreadsheets/d/1XL5vhW3sbDhbH9Cz0tuDiY8C3ctxq1tqvaCgkFb8cCA/edit?usp=sharing"",""หนองคาย!M429"")"),0.0)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IFERROR(__xludf.DUMMYFUNCTION("IMPORTRANGE(""https://docs.google.com/spreadsheets/d/1XL5vhW3sbDhbH9Cz0tuDiY8C3ctxq1tqvaCgkFb8cCA/edit?usp=sharing"",""หนองคาย!L430"")"),34340.0)</f>
        <v>34340</v>
      </c>
      <c r="M535" s="198"/>
      <c r="N535" s="203">
        <f>IFERROR(__xludf.DUMMYFUNCTION("IMPORTRANGE(""https://docs.google.com/spreadsheets/d/1XL5vhW3sbDhbH9Cz0tuDiY8C3ctxq1tqvaCgkFb8cCA/edit?usp=sharing"",""หนองคาย!M430"")"),24290.0)</f>
        <v>24290</v>
      </c>
      <c r="O535" s="203">
        <f t="shared" si="119"/>
        <v>70.73383809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IFERROR(__xludf.DUMMYFUNCTION("IMPORTRANGE(""https://docs.google.com/spreadsheets/d/1XL5vhW3sbDhbH9Cz0tuDiY8C3ctxq1tqvaCgkFb8cCA/edit?usp=sharing"",""หนองคาย!L431"")"),0.0)</f>
        <v>0</v>
      </c>
      <c r="M536" s="203"/>
      <c r="N536" s="203">
        <f>IFERROR(__xludf.DUMMYFUNCTION("IMPORTRANGE(""https://docs.google.com/spreadsheets/d/1XL5vhW3sbDhbH9Cz0tuDiY8C3ctxq1tqvaCgkFb8cCA/edit?usp=sharing"",""หนองคาย!M431"")"),0.0)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IFERROR(__xludf.DUMMYFUNCTION("IMPORTRANGE(""https://docs.google.com/spreadsheets/d/1XL5vhW3sbDhbH9Cz0tuDiY8C3ctxq1tqvaCgkFb8cCA/edit?usp=sharing"",""หนองคาย!L432"")"),34340.0)</f>
        <v>34340</v>
      </c>
      <c r="M537" s="203"/>
      <c r="N537" s="203">
        <f>IFERROR(__xludf.DUMMYFUNCTION("IMPORTRANGE(""https://docs.google.com/spreadsheets/d/1XL5vhW3sbDhbH9Cz0tuDiY8C3ctxq1tqvaCgkFb8cCA/edit?usp=sharing"",""หนองคาย!M432"")"),24290.0)</f>
        <v>24290</v>
      </c>
      <c r="O537" s="203">
        <f t="shared" si="119"/>
        <v>70.73383809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IFERROR(__xludf.DUMMYFUNCTION("IMPORTRANGE(""https://docs.google.com/spreadsheets/d/1XL5vhW3sbDhbH9Cz0tuDiY8C3ctxq1tqvaCgkFb8cCA/edit?usp=sharing"",""หนองคาย!M433"")"),19270.0)</f>
        <v>19270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IFERROR(__xludf.DUMMYFUNCTION("IMPORTRANGE(""https://docs.google.com/spreadsheets/d/1XL5vhW3sbDhbH9Cz0tuDiY8C3ctxq1tqvaCgkFb8cCA/edit?usp=sharing"",""หนองคาย!M434"")"),0.0)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IFERROR(__xludf.DUMMYFUNCTION("IMPORTRANGE(""https://docs.google.com/spreadsheets/d/1XL5vhW3sbDhbH9Cz0tuDiY8C3ctxq1tqvaCgkFb8cCA/edit?usp=sharing"",""หนองคาย!M435"")"),0.0)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IFERROR(__xludf.DUMMYFUNCTION("IMPORTRANGE(""https://docs.google.com/spreadsheets/d/1XL5vhW3sbDhbH9Cz0tuDiY8C3ctxq1tqvaCgkFb8cCA/edit?usp=sharing"",""หนองคาย!M436"")"),5020.0)</f>
        <v>5020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IFERROR(__xludf.DUMMYFUNCTION("IMPORTRANGE(""https://docs.google.com/spreadsheets/d/1XL5vhW3sbDhbH9Cz0tuDiY8C3ctxq1tqvaCgkFb8cCA/edit?usp=sharing"",""หนองคาย!J438"")"),0.0)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IFERROR(__xludf.DUMMYFUNCTION("IMPORTRANGE(""https://docs.google.com/spreadsheets/d/1XL5vhW3sbDhbH9Cz0tuDiY8C3ctxq1tqvaCgkFb8cCA/edit?usp=sharing"",""หนองคาย!J439"")"),1.0)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IFERROR(__xludf.DUMMYFUNCTION("IMPORTRANGE(""https://docs.google.com/spreadsheets/d/1XL5vhW3sbDhbH9Cz0tuDiY8C3ctxq1tqvaCgkFb8cCA/edit?usp=sharing"",""หนองคาย!J440"")"),1.0)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IFERROR(__xludf.DUMMYFUNCTION("IMPORTRANGE(""https://docs.google.com/spreadsheets/d/1XL5vhW3sbDhbH9Cz0tuDiY8C3ctxq1tqvaCgkFb8cCA/edit?usp=sharing"",""หนองคาย!J441"")"),1.0)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IFERROR(__xludf.DUMMYFUNCTION("IMPORTRANGE(""https://docs.google.com/spreadsheets/d/1XL5vhW3sbDhbH9Cz0tuDiY8C3ctxq1tqvaCgkFb8cCA/edit?usp=sharing"",""หนองคาย!I442"")"),22.0)</f>
        <v>22</v>
      </c>
      <c r="J547" s="223">
        <f>IFERROR(__xludf.DUMMYFUNCTION("IMPORTRANGE(""https://docs.google.com/spreadsheets/d/1XL5vhW3sbDhbH9Cz0tuDiY8C3ctxq1tqvaCgkFb8cCA/edit?usp=sharing"",""หนองคาย!J442"")"),22.0)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IFERROR(__xludf.DUMMYFUNCTION("IMPORTRANGE(""https://docs.google.com/spreadsheets/d/1XL5vhW3sbDhbH9Cz0tuDiY8C3ctxq1tqvaCgkFb8cCA/edit?usp=sharing"",""หนองคาย!J166"")"),0.0)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IFERROR(__xludf.DUMMYFUNCTION("IMPORTRANGE(""https://docs.google.com/spreadsheets/d/1XL5vhW3sbDhbH9Cz0tuDiY8C3ctxq1tqvaCgkFb8cCA/edit?usp=sharing"",""หนองคาย!J444"")"),0.0)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IFERROR(__xludf.DUMMYFUNCTION("IMPORTRANGE(""https://docs.google.com/spreadsheets/d/1XL5vhW3sbDhbH9Cz0tuDiY8C3ctxq1tqvaCgkFb8cCA/edit?usp=sharing"",""หนองคาย!J445"")"),0.0)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IFERROR(__xludf.DUMMYFUNCTION("IMPORTRANGE(""https://docs.google.com/spreadsheets/d/1XL5vhW3sbDhbH9Cz0tuDiY8C3ctxq1tqvaCgkFb8cCA/edit?usp=sharing"",""หนองคาย!I446"")"),0.0)</f>
        <v>0</v>
      </c>
      <c r="J551" s="443">
        <f>IFERROR(__xludf.DUMMYFUNCTION("IMPORTRANGE(""https://docs.google.com/spreadsheets/d/1XL5vhW3sbDhbH9Cz0tuDiY8C3ctxq1tqvaCgkFb8cCA/edit?usp=sharing"",""หนองคาย!J446"")"),0.0)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IFERROR(__xludf.DUMMYFUNCTION("IMPORTRANGE(""https://docs.google.com/spreadsheets/d/1XL5vhW3sbDhbH9Cz0tuDiY8C3ctxq1tqvaCgkFb8cCA/edit?usp=sharing"",""หนองคาย!L446"")"),0.0)</f>
        <v>0</v>
      </c>
      <c r="M551" s="445"/>
      <c r="N551" s="445">
        <f>IFERROR(__xludf.DUMMYFUNCTION("IMPORTRANGE(""https://docs.google.com/spreadsheets/d/1XL5vhW3sbDhbH9Cz0tuDiY8C3ctxq1tqvaCgkFb8cCA/edit?usp=sharing"",""หนองคาย!M446"")"),0.0)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IFERROR(__xludf.DUMMYFUNCTION("IMPORTRANGE(""https://docs.google.com/spreadsheets/d/1XL5vhW3sbDhbH9Cz0tuDiY8C3ctxq1tqvaCgkFb8cCA/edit?usp=sharing"",""หนองคาย!L447"")"),0.0)</f>
        <v>0</v>
      </c>
      <c r="M552" s="197"/>
      <c r="N552" s="203">
        <f>IFERROR(__xludf.DUMMYFUNCTION("IMPORTRANGE(""https://docs.google.com/spreadsheets/d/1XL5vhW3sbDhbH9Cz0tuDiY8C3ctxq1tqvaCgkFb8cCA/edit?usp=sharing"",""หนองคาย!M447"")"),0.0)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IFERROR(__xludf.DUMMYFUNCTION("IMPORTRANGE(""https://docs.google.com/spreadsheets/d/1XL5vhW3sbDhbH9Cz0tuDiY8C3ctxq1tqvaCgkFb8cCA/edit?usp=sharing"",""หนองคาย!L448"")"),0.0)</f>
        <v>0</v>
      </c>
      <c r="M553" s="198"/>
      <c r="N553" s="203">
        <f>IFERROR(__xludf.DUMMYFUNCTION("IMPORTRANGE(""https://docs.google.com/spreadsheets/d/1XL5vhW3sbDhbH9Cz0tuDiY8C3ctxq1tqvaCgkFb8cCA/edit?usp=sharing"",""หนองคาย!M448"")"),0.0)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IFERROR(__xludf.DUMMYFUNCTION("IMPORTRANGE(""https://docs.google.com/spreadsheets/d/1XL5vhW3sbDhbH9Cz0tuDiY8C3ctxq1tqvaCgkFb8cCA/edit?usp=sharing"",""หนองคาย!L449"")"),0.0)</f>
        <v>0</v>
      </c>
      <c r="M554" s="203"/>
      <c r="N554" s="203">
        <f>IFERROR(__xludf.DUMMYFUNCTION("IMPORTRANGE(""https://docs.google.com/spreadsheets/d/1XL5vhW3sbDhbH9Cz0tuDiY8C3ctxq1tqvaCgkFb8cCA/edit?usp=sharing"",""หนองคาย!M449"")"),0.0)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IFERROR(__xludf.DUMMYFUNCTION("IMPORTRANGE(""https://docs.google.com/spreadsheets/d/1XL5vhW3sbDhbH9Cz0tuDiY8C3ctxq1tqvaCgkFb8cCA/edit?usp=sharing"",""หนองคาย!L450"")"),0.0)</f>
        <v>0</v>
      </c>
      <c r="M555" s="203"/>
      <c r="N555" s="203">
        <f>IFERROR(__xludf.DUMMYFUNCTION("IMPORTRANGE(""https://docs.google.com/spreadsheets/d/1XL5vhW3sbDhbH9Cz0tuDiY8C3ctxq1tqvaCgkFb8cCA/edit?usp=sharing"",""หนองคาย!M450"")"),0.0)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IFERROR(__xludf.DUMMYFUNCTION("IMPORTRANGE(""https://docs.google.com/spreadsheets/d/1XL5vhW3sbDhbH9Cz0tuDiY8C3ctxq1tqvaCgkFb8cCA/edit?usp=sharing"",""หนองคาย!M451"")"),0.0)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IFERROR(__xludf.DUMMYFUNCTION("IMPORTRANGE(""https://docs.google.com/spreadsheets/d/1XL5vhW3sbDhbH9Cz0tuDiY8C3ctxq1tqvaCgkFb8cCA/edit?usp=sharing"",""หนองคาย!M452"")"),0.0)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IFERROR(__xludf.DUMMYFUNCTION("IMPORTRANGE(""https://docs.google.com/spreadsheets/d/1XL5vhW3sbDhbH9Cz0tuDiY8C3ctxq1tqvaCgkFb8cCA/edit?usp=sharing"",""หนองคาย!M453"")"),0.0)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IFERROR(__xludf.DUMMYFUNCTION("IMPORTRANGE(""https://docs.google.com/spreadsheets/d/1XL5vhW3sbDhbH9Cz0tuDiY8C3ctxq1tqvaCgkFb8cCA/edit?usp=sharing"",""หนองคาย!M454"")"),0.0)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IFERROR(__xludf.DUMMYFUNCTION("IMPORTRANGE(""https://docs.google.com/spreadsheets/d/1XL5vhW3sbDhbH9Cz0tuDiY8C3ctxq1tqvaCgkFb8cCA/edit?usp=sharing"",""หนองคาย!I455"")"),0.0)</f>
        <v>0</v>
      </c>
      <c r="J560" s="195">
        <f>IFERROR(__xludf.DUMMYFUNCTION("IMPORTRANGE(""https://docs.google.com/spreadsheets/d/1XL5vhW3sbDhbH9Cz0tuDiY8C3ctxq1tqvaCgkFb8cCA/edit?usp=sharing"",""หนองคาย!J455"")"),0.0)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IFERROR(__xludf.DUMMYFUNCTION("IMPORTRANGE(""https://docs.google.com/spreadsheets/d/1XL5vhW3sbDhbH9Cz0tuDiY8C3ctxq1tqvaCgkFb8cCA/edit?usp=sharing"",""หนองคาย!I456"")"),0.0)</f>
        <v>0</v>
      </c>
      <c r="J561" s="238">
        <f>IFERROR(__xludf.DUMMYFUNCTION("IMPORTRANGE(""https://docs.google.com/spreadsheets/d/1XL5vhW3sbDhbH9Cz0tuDiY8C3ctxq1tqvaCgkFb8cCA/edit?usp=sharing"",""หนองคาย!J456"")"),0.0)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IFERROR(__xludf.DUMMYFUNCTION("IMPORTRANGE(""https://docs.google.com/spreadsheets/d/1XL5vhW3sbDhbH9Cz0tuDiY8C3ctxq1tqvaCgkFb8cCA/edit?usp=sharing"",""หนองคาย!I457"")"),"")</f>
        <v/>
      </c>
      <c r="J562" s="238" t="str">
        <f>IFERROR(__xludf.DUMMYFUNCTION("IMPORTRANGE(""https://docs.google.com/spreadsheets/d/1XL5vhW3sbDhbH9Cz0tuDiY8C3ctxq1tqvaCgkFb8cCA/edit?usp=sharing"",""หนองคาย!J457"")"),"")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IFERROR(__xludf.DUMMYFUNCTION("IMPORTRANGE(""https://docs.google.com/spreadsheets/d/1XL5vhW3sbDhbH9Cz0tuDiY8C3ctxq1tqvaCgkFb8cCA/edit?usp=sharing"",""หนองคาย!I458"")"),"")</f>
        <v/>
      </c>
      <c r="J563" s="222" t="str">
        <f>IFERROR(__xludf.DUMMYFUNCTION("IMPORTRANGE(""https://docs.google.com/spreadsheets/d/1XL5vhW3sbDhbH9Cz0tuDiY8C3ctxq1tqvaCgkFb8cCA/edit?usp=sharing"",""หนองคาย!J458"")"),"")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IFERROR(__xludf.DUMMYFUNCTION("IMPORTRANGE(""https://docs.google.com/spreadsheets/d/1XL5vhW3sbDhbH9Cz0tuDiY8C3ctxq1tqvaCgkFb8cCA/edit?usp=sharing"",""หนองคาย!I459"")"),2200.0)</f>
        <v>2200</v>
      </c>
      <c r="J564" s="404">
        <f>IFERROR(__xludf.DUMMYFUNCTION("IMPORTRANGE(""https://docs.google.com/spreadsheets/d/1XL5vhW3sbDhbH9Cz0tuDiY8C3ctxq1tqvaCgkFb8cCA/edit?usp=sharing"",""หนองคาย!J459"")"),0.0)</f>
        <v>0</v>
      </c>
      <c r="K564" s="405">
        <f t="shared" si="122"/>
        <v>0</v>
      </c>
      <c r="L564" s="406">
        <f>IFERROR(__xludf.DUMMYFUNCTION("IMPORTRANGE(""https://docs.google.com/spreadsheets/d/1XL5vhW3sbDhbH9Cz0tuDiY8C3ctxq1tqvaCgkFb8cCA/edit?usp=sharing"",""หนองคาย!L459"")"),143040.0)</f>
        <v>143040</v>
      </c>
      <c r="M564" s="406"/>
      <c r="N564" s="406">
        <f>IFERROR(__xludf.DUMMYFUNCTION("IMPORTRANGE(""https://docs.google.com/spreadsheets/d/1XL5vhW3sbDhbH9Cz0tuDiY8C3ctxq1tqvaCgkFb8cCA/edit?usp=sharing"",""หนองคาย!M459"")"),61841.0)</f>
        <v>61841</v>
      </c>
      <c r="O564" s="406">
        <f t="shared" ref="O564:O568" si="123">+IF(L564&gt;0,N564*100/L564,0)</f>
        <v>43.2333613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IFERROR(__xludf.DUMMYFUNCTION("IMPORTRANGE(""https://docs.google.com/spreadsheets/d/1XL5vhW3sbDhbH9Cz0tuDiY8C3ctxq1tqvaCgkFb8cCA/edit?usp=sharing"",""หนองคาย!L460"")"),0.0)</f>
        <v>0</v>
      </c>
      <c r="M565" s="197"/>
      <c r="N565" s="203">
        <f>IFERROR(__xludf.DUMMYFUNCTION("IMPORTRANGE(""https://docs.google.com/spreadsheets/d/1XL5vhW3sbDhbH9Cz0tuDiY8C3ctxq1tqvaCgkFb8cCA/edit?usp=sharing"",""หนองคาย!M460"")"),0.0)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IFERROR(__xludf.DUMMYFUNCTION("IMPORTRANGE(""https://docs.google.com/spreadsheets/d/1XL5vhW3sbDhbH9Cz0tuDiY8C3ctxq1tqvaCgkFb8cCA/edit?usp=sharing"",""หนองคาย!L461"")"),143040.0)</f>
        <v>143040</v>
      </c>
      <c r="M566" s="198"/>
      <c r="N566" s="203">
        <f>IFERROR(__xludf.DUMMYFUNCTION("IMPORTRANGE(""https://docs.google.com/spreadsheets/d/1XL5vhW3sbDhbH9Cz0tuDiY8C3ctxq1tqvaCgkFb8cCA/edit?usp=sharing"",""หนองคาย!M461"")"),61841.0)</f>
        <v>61841</v>
      </c>
      <c r="O566" s="203">
        <f t="shared" si="123"/>
        <v>43.2333613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IFERROR(__xludf.DUMMYFUNCTION("IMPORTRANGE(""https://docs.google.com/spreadsheets/d/1XL5vhW3sbDhbH9Cz0tuDiY8C3ctxq1tqvaCgkFb8cCA/edit?usp=sharing"",""หนองคาย!L462"")"),0.0)</f>
        <v>0</v>
      </c>
      <c r="M567" s="203"/>
      <c r="N567" s="203">
        <f>IFERROR(__xludf.DUMMYFUNCTION("IMPORTRANGE(""https://docs.google.com/spreadsheets/d/1XL5vhW3sbDhbH9Cz0tuDiY8C3ctxq1tqvaCgkFb8cCA/edit?usp=sharing"",""หนองคาย!M462"")"),0.0)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IFERROR(__xludf.DUMMYFUNCTION("IMPORTRANGE(""https://docs.google.com/spreadsheets/d/1XL5vhW3sbDhbH9Cz0tuDiY8C3ctxq1tqvaCgkFb8cCA/edit?usp=sharing"",""หนองคาย!L463"")"),143040.0)</f>
        <v>143040</v>
      </c>
      <c r="M568" s="203"/>
      <c r="N568" s="203">
        <f>IFERROR(__xludf.DUMMYFUNCTION("IMPORTRANGE(""https://docs.google.com/spreadsheets/d/1XL5vhW3sbDhbH9Cz0tuDiY8C3ctxq1tqvaCgkFb8cCA/edit?usp=sharing"",""หนองคาย!M463"")"),61841.0)</f>
        <v>61841</v>
      </c>
      <c r="O568" s="203">
        <f t="shared" si="123"/>
        <v>43.2333613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IFERROR(__xludf.DUMMYFUNCTION("IMPORTRANGE(""https://docs.google.com/spreadsheets/d/1XL5vhW3sbDhbH9Cz0tuDiY8C3ctxq1tqvaCgkFb8cCA/edit?usp=sharing"",""หนองคาย!M464"")"),0.0)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IFERROR(__xludf.DUMMYFUNCTION("IMPORTRANGE(""https://docs.google.com/spreadsheets/d/1XL5vhW3sbDhbH9Cz0tuDiY8C3ctxq1tqvaCgkFb8cCA/edit?usp=sharing"",""หนองคาย!M465"")"),0.0)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IFERROR(__xludf.DUMMYFUNCTION("IMPORTRANGE(""https://docs.google.com/spreadsheets/d/1XL5vhW3sbDhbH9Cz0tuDiY8C3ctxq1tqvaCgkFb8cCA/edit?usp=sharing"",""หนองคาย!M466"")"),40085.01)</f>
        <v>40085.01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IFERROR(__xludf.DUMMYFUNCTION("IMPORTRANGE(""https://docs.google.com/spreadsheets/d/1XL5vhW3sbDhbH9Cz0tuDiY8C3ctxq1tqvaCgkFb8cCA/edit?usp=sharing"",""หนองคาย!M467"")"),21755.99)</f>
        <v>21755.99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IFERROR(__xludf.DUMMYFUNCTION("IMPORTRANGE(""https://docs.google.com/spreadsheets/d/1XL5vhW3sbDhbH9Cz0tuDiY8C3ctxq1tqvaCgkFb8cCA/edit?usp=sharing"",""หนองคาย!I468"")"),2200.0)</f>
        <v>2200</v>
      </c>
      <c r="J573" s="453">
        <f>IFERROR(__xludf.DUMMYFUNCTION("IMPORTRANGE(""https://docs.google.com/spreadsheets/d/1XL5vhW3sbDhbH9Cz0tuDiY8C3ctxq1tqvaCgkFb8cCA/edit?usp=sharing"",""หนองคาย!J468"")"),0.0)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IFERROR(__xludf.DUMMYFUNCTION("IMPORTRANGE(""https://docs.google.com/spreadsheets/d/1XL5vhW3sbDhbH9Cz0tuDiY8C3ctxq1tqvaCgkFb8cCA/edit?usp=sharing"",""หนองคาย!I470"")"),0.0)</f>
        <v>0</v>
      </c>
      <c r="J575" s="232">
        <f>IFERROR(__xludf.DUMMYFUNCTION("IMPORTRANGE(""https://docs.google.com/spreadsheets/d/1XL5vhW3sbDhbH9Cz0tuDiY8C3ctxq1tqvaCgkFb8cCA/edit?usp=sharing"",""หนองคาย!J470"")"),0.0)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IFERROR(__xludf.DUMMYFUNCTION("IMPORTRANGE(""https://docs.google.com/spreadsheets/d/1XL5vhW3sbDhbH9Cz0tuDiY8C3ctxq1tqvaCgkFb8cCA/edit?usp=sharing"",""หนองคาย!I471"")"),0.0)</f>
        <v>0</v>
      </c>
      <c r="J576" s="232">
        <f>IFERROR(__xludf.DUMMYFUNCTION("IMPORTRANGE(""https://docs.google.com/spreadsheets/d/1XL5vhW3sbDhbH9Cz0tuDiY8C3ctxq1tqvaCgkFb8cCA/edit?usp=sharing"",""หนองคาย!J471"")"),0.0)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IFERROR(__xludf.DUMMYFUNCTION("IMPORTRANGE(""https://docs.google.com/spreadsheets/d/1XL5vhW3sbDhbH9Cz0tuDiY8C3ctxq1tqvaCgkFb8cCA/edit?usp=sharing"",""หนองคาย!I472"")"),0.0)</f>
        <v>0</v>
      </c>
      <c r="J577" s="223">
        <f>IFERROR(__xludf.DUMMYFUNCTION("IMPORTRANGE(""https://docs.google.com/spreadsheets/d/1XL5vhW3sbDhbH9Cz0tuDiY8C3ctxq1tqvaCgkFb8cCA/edit?usp=sharing"",""หนองคาย!J472"")"),0.0)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IFERROR(__xludf.DUMMYFUNCTION("IMPORTRANGE(""https://docs.google.com/spreadsheets/d/1XL5vhW3sbDhbH9Cz0tuDiY8C3ctxq1tqvaCgkFb8cCA/edit?usp=sharing"",""หนองคาย!I473"")"),0.0)</f>
        <v>0</v>
      </c>
      <c r="J578" s="232">
        <f>IFERROR(__xludf.DUMMYFUNCTION("IMPORTRANGE(""https://docs.google.com/spreadsheets/d/1XL5vhW3sbDhbH9Cz0tuDiY8C3ctxq1tqvaCgkFb8cCA/edit?usp=sharing"",""หนองคาย!J473"")"),0.0)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IFERROR(__xludf.DUMMYFUNCTION("IMPORTRANGE(""https://docs.google.com/spreadsheets/d/1XL5vhW3sbDhbH9Cz0tuDiY8C3ctxq1tqvaCgkFb8cCA/edit?usp=sharing"",""หนองคาย!I474"")"),0.0)</f>
        <v>0</v>
      </c>
      <c r="J579" s="232">
        <f>IFERROR(__xludf.DUMMYFUNCTION("IMPORTRANGE(""https://docs.google.com/spreadsheets/d/1XL5vhW3sbDhbH9Cz0tuDiY8C3ctxq1tqvaCgkFb8cCA/edit?usp=sharing"",""หนองคาย!J474"")"),0.0)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IFERROR(__xludf.DUMMYFUNCTION("IMPORTRANGE(""https://docs.google.com/spreadsheets/d/1XL5vhW3sbDhbH9Cz0tuDiY8C3ctxq1tqvaCgkFb8cCA/edit?usp=sharing"",""หนองคาย!I475"")"),6.0)</f>
        <v>6</v>
      </c>
      <c r="J580" s="404">
        <f>IFERROR(__xludf.DUMMYFUNCTION("IMPORTRANGE(""https://docs.google.com/spreadsheets/d/1XL5vhW3sbDhbH9Cz0tuDiY8C3ctxq1tqvaCgkFb8cCA/edit?usp=sharing"",""หนองคาย!J475"")"),0.0)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IFERROR(__xludf.DUMMYFUNCTION("IMPORTRANGE(""https://docs.google.com/spreadsheets/d/1XL5vhW3sbDhbH9Cz0tuDiY8C3ctxq1tqvaCgkFb8cCA/edit?usp=sharing"",""หนองคาย!L475"")"),115706.0)</f>
        <v>115706</v>
      </c>
      <c r="M580" s="406"/>
      <c r="N580" s="406">
        <f>IFERROR(__xludf.DUMMYFUNCTION("IMPORTRANGE(""https://docs.google.com/spreadsheets/d/1XL5vhW3sbDhbH9Cz0tuDiY8C3ctxq1tqvaCgkFb8cCA/edit?usp=sharing"",""หนองคาย!M475"")"),800.0)</f>
        <v>800</v>
      </c>
      <c r="O580" s="406">
        <f t="shared" ref="O580:O584" si="125">+IF(L580&gt;0,N580*100/L580,0)</f>
        <v>0.6914075329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IFERROR(__xludf.DUMMYFUNCTION("IMPORTRANGE(""https://docs.google.com/spreadsheets/d/1XL5vhW3sbDhbH9Cz0tuDiY8C3ctxq1tqvaCgkFb8cCA/edit?usp=sharing"",""หนองคาย!L476"")"),0.0)</f>
        <v>0</v>
      </c>
      <c r="M581" s="197"/>
      <c r="N581" s="203">
        <f>IFERROR(__xludf.DUMMYFUNCTION("IMPORTRANGE(""https://docs.google.com/spreadsheets/d/1XL5vhW3sbDhbH9Cz0tuDiY8C3ctxq1tqvaCgkFb8cCA/edit?usp=sharing"",""หนองคาย!M476"")"),0.0)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IFERROR(__xludf.DUMMYFUNCTION("IMPORTRANGE(""https://docs.google.com/spreadsheets/d/1XL5vhW3sbDhbH9Cz0tuDiY8C3ctxq1tqvaCgkFb8cCA/edit?usp=sharing"",""หนองคาย!L477"")"),115706.0)</f>
        <v>115706</v>
      </c>
      <c r="M582" s="198"/>
      <c r="N582" s="203">
        <f>IFERROR(__xludf.DUMMYFUNCTION("IMPORTRANGE(""https://docs.google.com/spreadsheets/d/1XL5vhW3sbDhbH9Cz0tuDiY8C3ctxq1tqvaCgkFb8cCA/edit?usp=sharing"",""หนองคาย!M477"")"),800.0)</f>
        <v>800</v>
      </c>
      <c r="O582" s="203">
        <f t="shared" si="125"/>
        <v>0.6914075329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IFERROR(__xludf.DUMMYFUNCTION("IMPORTRANGE(""https://docs.google.com/spreadsheets/d/1XL5vhW3sbDhbH9Cz0tuDiY8C3ctxq1tqvaCgkFb8cCA/edit?usp=sharing"",""หนองคาย!L478"")"),0.0)</f>
        <v>0</v>
      </c>
      <c r="M583" s="203"/>
      <c r="N583" s="203">
        <f>IFERROR(__xludf.DUMMYFUNCTION("IMPORTRANGE(""https://docs.google.com/spreadsheets/d/1XL5vhW3sbDhbH9Cz0tuDiY8C3ctxq1tqvaCgkFb8cCA/edit?usp=sharing"",""หนองคาย!M478"")"),0.0)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IFERROR(__xludf.DUMMYFUNCTION("IMPORTRANGE(""https://docs.google.com/spreadsheets/d/1XL5vhW3sbDhbH9Cz0tuDiY8C3ctxq1tqvaCgkFb8cCA/edit?usp=sharing"",""หนองคาย!L479"")"),115706.0)</f>
        <v>115706</v>
      </c>
      <c r="M584" s="203"/>
      <c r="N584" s="203">
        <f>IFERROR(__xludf.DUMMYFUNCTION("IMPORTRANGE(""https://docs.google.com/spreadsheets/d/1XL5vhW3sbDhbH9Cz0tuDiY8C3ctxq1tqvaCgkFb8cCA/edit?usp=sharing"",""หนองคาย!M479"")"),800.0)</f>
        <v>800</v>
      </c>
      <c r="O584" s="203">
        <f t="shared" si="125"/>
        <v>0.6914075329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IFERROR(__xludf.DUMMYFUNCTION("IMPORTRANGE(""https://docs.google.com/spreadsheets/d/1XL5vhW3sbDhbH9Cz0tuDiY8C3ctxq1tqvaCgkFb8cCA/edit?usp=sharing"",""หนองคาย!M480"")"),0.0)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IFERROR(__xludf.DUMMYFUNCTION("IMPORTRANGE(""https://docs.google.com/spreadsheets/d/1XL5vhW3sbDhbH9Cz0tuDiY8C3ctxq1tqvaCgkFb8cCA/edit?usp=sharing"",""หนองคาย!M481"")"),0.0)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IFERROR(__xludf.DUMMYFUNCTION("IMPORTRANGE(""https://docs.google.com/spreadsheets/d/1XL5vhW3sbDhbH9Cz0tuDiY8C3ctxq1tqvaCgkFb8cCA/edit?usp=sharing"",""หนองคาย!M482"")"),0.0)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IFERROR(__xludf.DUMMYFUNCTION("IMPORTRANGE(""https://docs.google.com/spreadsheets/d/1XL5vhW3sbDhbH9Cz0tuDiY8C3ctxq1tqvaCgkFb8cCA/edit?usp=sharing"",""หนองคาย!M483"")"),800.0)</f>
        <v>800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IFERROR(__xludf.DUMMYFUNCTION("IMPORTRANGE(""https://docs.google.com/spreadsheets/d/1XL5vhW3sbDhbH9Cz0tuDiY8C3ctxq1tqvaCgkFb8cCA/edit?usp=sharing"",""หนองคาย!I484"")"),6.0)</f>
        <v>6</v>
      </c>
      <c r="J589" s="222">
        <f>IFERROR(__xludf.DUMMYFUNCTION("IMPORTRANGE(""https://docs.google.com/spreadsheets/d/1XL5vhW3sbDhbH9Cz0tuDiY8C3ctxq1tqvaCgkFb8cCA/edit?usp=sharing"",""หนองคาย!J484"")"),5.0)</f>
        <v>5</v>
      </c>
      <c r="K589" s="196">
        <f t="shared" ref="K589:K596" si="126">IF(I589&gt;0,J589*100/I589,0)</f>
        <v>83.33333333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IFERROR(__xludf.DUMMYFUNCTION("IMPORTRANGE(""https://docs.google.com/spreadsheets/d/1XL5vhW3sbDhbH9Cz0tuDiY8C3ctxq1tqvaCgkFb8cCA/edit?usp=sharing"",""หนองคาย!I485"")"),0.0)</f>
        <v>0</v>
      </c>
      <c r="J590" s="222">
        <f>IFERROR(__xludf.DUMMYFUNCTION("IMPORTRANGE(""https://docs.google.com/spreadsheets/d/1XL5vhW3sbDhbH9Cz0tuDiY8C3ctxq1tqvaCgkFb8cCA/edit?usp=sharing"",""หนองคาย!J485"")"),4.33)</f>
        <v>4.33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IFERROR(__xludf.DUMMYFUNCTION("IMPORTRANGE(""https://docs.google.com/spreadsheets/d/1XL5vhW3sbDhbH9Cz0tuDiY8C3ctxq1tqvaCgkFb8cCA/edit?usp=sharing"",""หนองคาย!I486"")"),6.0)</f>
        <v>6</v>
      </c>
      <c r="J591" s="222">
        <f>IFERROR(__xludf.DUMMYFUNCTION("IMPORTRANGE(""https://docs.google.com/spreadsheets/d/1XL5vhW3sbDhbH9Cz0tuDiY8C3ctxq1tqvaCgkFb8cCA/edit?usp=sharing"",""หนองคาย!J486"")"),0.0)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IFERROR(__xludf.DUMMYFUNCTION("IMPORTRANGE(""https://docs.google.com/spreadsheets/d/1XL5vhW3sbDhbH9Cz0tuDiY8C3ctxq1tqvaCgkFb8cCA/edit?usp=sharing"",""หนองคาย!I487"")"),0.0)</f>
        <v>0</v>
      </c>
      <c r="J592" s="222">
        <f>IFERROR(__xludf.DUMMYFUNCTION("IMPORTRANGE(""https://docs.google.com/spreadsheets/d/1XL5vhW3sbDhbH9Cz0tuDiY8C3ctxq1tqvaCgkFb8cCA/edit?usp=sharing"",""หนองคาย!J487"")"),0.0)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IFERROR(__xludf.DUMMYFUNCTION("IMPORTRANGE(""https://docs.google.com/spreadsheets/d/1XL5vhW3sbDhbH9Cz0tuDiY8C3ctxq1tqvaCgkFb8cCA/edit?usp=sharing"",""หนองคาย!I488"")"),6.0)</f>
        <v>6</v>
      </c>
      <c r="J593" s="222">
        <f>IFERROR(__xludf.DUMMYFUNCTION("IMPORTRANGE(""https://docs.google.com/spreadsheets/d/1XL5vhW3sbDhbH9Cz0tuDiY8C3ctxq1tqvaCgkFb8cCA/edit?usp=sharing"",""หนองคาย!J488"")"),0.0)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IFERROR(__xludf.DUMMYFUNCTION("IMPORTRANGE(""https://docs.google.com/spreadsheets/d/1XL5vhW3sbDhbH9Cz0tuDiY8C3ctxq1tqvaCgkFb8cCA/edit?usp=sharing"",""หนองคาย!I489"")"),0.0)</f>
        <v>0</v>
      </c>
      <c r="J594" s="222">
        <f>IFERROR(__xludf.DUMMYFUNCTION("IMPORTRANGE(""https://docs.google.com/spreadsheets/d/1XL5vhW3sbDhbH9Cz0tuDiY8C3ctxq1tqvaCgkFb8cCA/edit?usp=sharing"",""หนองคาย!J489"")"),0.0)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IFERROR(__xludf.DUMMYFUNCTION("IMPORTRANGE(""https://docs.google.com/spreadsheets/d/1XL5vhW3sbDhbH9Cz0tuDiY8C3ctxq1tqvaCgkFb8cCA/edit?usp=sharing"",""หนองคาย!I490"")"),6.0)</f>
        <v>6</v>
      </c>
      <c r="J595" s="222">
        <f>IFERROR(__xludf.DUMMYFUNCTION("IMPORTRANGE(""https://docs.google.com/spreadsheets/d/1XL5vhW3sbDhbH9Cz0tuDiY8C3ctxq1tqvaCgkFb8cCA/edit?usp=sharing"",""หนองคาย!J490"")"),0.0)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IFERROR(__xludf.DUMMYFUNCTION("IMPORTRANGE(""https://docs.google.com/spreadsheets/d/1XL5vhW3sbDhbH9Cz0tuDiY8C3ctxq1tqvaCgkFb8cCA/edit?usp=sharing"",""หนองคาย!I491"")"),0.0)</f>
        <v>0</v>
      </c>
      <c r="J596" s="275">
        <f>IFERROR(__xludf.DUMMYFUNCTION("IMPORTRANGE(""https://docs.google.com/spreadsheets/d/1XL5vhW3sbDhbH9Cz0tuDiY8C3ctxq1tqvaCgkFb8cCA/edit?usp=sharing"",""หนองคาย!J491"")"),0.0)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IFERROR(__xludf.DUMMYFUNCTION("IMPORTRANGE(""https://docs.google.com/spreadsheets/d/1XL5vhW3sbDhbH9Cz0tuDiY8C3ctxq1tqvaCgkFb8cCA/edit?usp=sharing"",""หนองคาย!I492"")"),100.0)</f>
        <v>100</v>
      </c>
      <c r="J597" s="520">
        <f>IFERROR(__xludf.DUMMYFUNCTION("IMPORTRANGE(""https://docs.google.com/spreadsheets/d/1XL5vhW3sbDhbH9Cz0tuDiY8C3ctxq1tqvaCgkFb8cCA/edit?usp=sharing"",""หนองคาย!J492"")"),0.0)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IFERROR(__xludf.DUMMYFUNCTION("IMPORTRANGE(""https://docs.google.com/spreadsheets/d/1XL5vhW3sbDhbH9Cz0tuDiY8C3ctxq1tqvaCgkFb8cCA/edit?usp=sharing"",""หนองคาย!L492"")"),11300.0)</f>
        <v>11300</v>
      </c>
      <c r="M597" s="445"/>
      <c r="N597" s="445">
        <f>IFERROR(__xludf.DUMMYFUNCTION("IMPORTRANGE(""https://docs.google.com/spreadsheets/d/1XL5vhW3sbDhbH9Cz0tuDiY8C3ctxq1tqvaCgkFb8cCA/edit?usp=sharing"",""หนองคาย!M492"")"),2220.0)</f>
        <v>2220</v>
      </c>
      <c r="O597" s="445">
        <f t="shared" ref="O597:O601" si="127">+IF(L597&gt;0,N597*100/L597,0)</f>
        <v>19.6460177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IFERROR(__xludf.DUMMYFUNCTION("IMPORTRANGE(""https://docs.google.com/spreadsheets/d/1XL5vhW3sbDhbH9Cz0tuDiY8C3ctxq1tqvaCgkFb8cCA/edit?usp=sharing"",""หนองคาย!L493"")"),0.0)</f>
        <v>0</v>
      </c>
      <c r="M598" s="197"/>
      <c r="N598" s="203">
        <f>IFERROR(__xludf.DUMMYFUNCTION("IMPORTRANGE(""https://docs.google.com/spreadsheets/d/1XL5vhW3sbDhbH9Cz0tuDiY8C3ctxq1tqvaCgkFb8cCA/edit?usp=sharing"",""หนองคาย!M493"")"),0.0)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IFERROR(__xludf.DUMMYFUNCTION("IMPORTRANGE(""https://docs.google.com/spreadsheets/d/1XL5vhW3sbDhbH9Cz0tuDiY8C3ctxq1tqvaCgkFb8cCA/edit?usp=sharing"",""หนองคาย!L494"")"),11300.0)</f>
        <v>11300</v>
      </c>
      <c r="M599" s="198"/>
      <c r="N599" s="203">
        <f>IFERROR(__xludf.DUMMYFUNCTION("IMPORTRANGE(""https://docs.google.com/spreadsheets/d/1XL5vhW3sbDhbH9Cz0tuDiY8C3ctxq1tqvaCgkFb8cCA/edit?usp=sharing"",""หนองคาย!M494"")"),2220.0)</f>
        <v>2220</v>
      </c>
      <c r="O599" s="203">
        <f t="shared" si="127"/>
        <v>19.6460177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IFERROR(__xludf.DUMMYFUNCTION("IMPORTRANGE(""https://docs.google.com/spreadsheets/d/1XL5vhW3sbDhbH9Cz0tuDiY8C3ctxq1tqvaCgkFb8cCA/edit?usp=sharing"",""หนองคาย!L495"")"),0.0)</f>
        <v>0</v>
      </c>
      <c r="M600" s="203"/>
      <c r="N600" s="203">
        <f>IFERROR(__xludf.DUMMYFUNCTION("IMPORTRANGE(""https://docs.google.com/spreadsheets/d/1XL5vhW3sbDhbH9Cz0tuDiY8C3ctxq1tqvaCgkFb8cCA/edit?usp=sharing"",""หนองคาย!M495"")"),0.0)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IFERROR(__xludf.DUMMYFUNCTION("IMPORTRANGE(""https://docs.google.com/spreadsheets/d/1XL5vhW3sbDhbH9Cz0tuDiY8C3ctxq1tqvaCgkFb8cCA/edit?usp=sharing"",""หนองคาย!L496"")"),11300.0)</f>
        <v>11300</v>
      </c>
      <c r="M601" s="203"/>
      <c r="N601" s="203">
        <f>IFERROR(__xludf.DUMMYFUNCTION("IMPORTRANGE(""https://docs.google.com/spreadsheets/d/1XL5vhW3sbDhbH9Cz0tuDiY8C3ctxq1tqvaCgkFb8cCA/edit?usp=sharing"",""หนองคาย!M496"")"),2220.0)</f>
        <v>2220</v>
      </c>
      <c r="O601" s="203">
        <f t="shared" si="127"/>
        <v>19.6460177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IFERROR(__xludf.DUMMYFUNCTION("IMPORTRANGE(""https://docs.google.com/spreadsheets/d/1XL5vhW3sbDhbH9Cz0tuDiY8C3ctxq1tqvaCgkFb8cCA/edit?usp=sharing"",""หนองคาย!M497"")"),0.0)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IFERROR(__xludf.DUMMYFUNCTION("IMPORTRANGE(""https://docs.google.com/spreadsheets/d/1XL5vhW3sbDhbH9Cz0tuDiY8C3ctxq1tqvaCgkFb8cCA/edit?usp=sharing"",""หนองคาย!M498"")"),0.0)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IFERROR(__xludf.DUMMYFUNCTION("IMPORTRANGE(""https://docs.google.com/spreadsheets/d/1XL5vhW3sbDhbH9Cz0tuDiY8C3ctxq1tqvaCgkFb8cCA/edit?usp=sharing"",""หนองคาย!M499"")"),0.0)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IFERROR(__xludf.DUMMYFUNCTION("IMPORTRANGE(""https://docs.google.com/spreadsheets/d/1XL5vhW3sbDhbH9Cz0tuDiY8C3ctxq1tqvaCgkFb8cCA/edit?usp=sharing"",""หนองคาย!M500"")"),2220.0)</f>
        <v>2220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IFERROR(__xludf.DUMMYFUNCTION("IMPORTRANGE(""https://docs.google.com/spreadsheets/d/1XL5vhW3sbDhbH9Cz0tuDiY8C3ctxq1tqvaCgkFb8cCA/edit?usp=sharing"",""หนองคาย!J502"")"),0.0)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IFERROR(__xludf.DUMMYFUNCTION("IMPORTRANGE(""https://docs.google.com/spreadsheets/d/1XL5vhW3sbDhbH9Cz0tuDiY8C3ctxq1tqvaCgkFb8cCA/edit?usp=sharing"",""หนองคาย!J503"")"),1.0)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IFERROR(__xludf.DUMMYFUNCTION("IMPORTRANGE(""https://docs.google.com/spreadsheets/d/1XL5vhW3sbDhbH9Cz0tuDiY8C3ctxq1tqvaCgkFb8cCA/edit?usp=sharing"",""หนองคาย!J166"")"),0.0)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IFERROR(__xludf.DUMMYFUNCTION("IMPORTRANGE(""https://docs.google.com/spreadsheets/d/1XL5vhW3sbDhbH9Cz0tuDiY8C3ctxq1tqvaCgkFb8cCA/edit?usp=sharing"",""หนองคาย!J166"")"),0.0)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IFERROR(__xludf.DUMMYFUNCTION("IMPORTRANGE(""https://docs.google.com/spreadsheets/d/1XL5vhW3sbDhbH9Cz0tuDiY8C3ctxq1tqvaCgkFb8cCA/edit?usp=sharing"",""หนองคาย!I506"")"),100.0)</f>
        <v>100</v>
      </c>
      <c r="J611" s="195">
        <f>IFERROR(__xludf.DUMMYFUNCTION("IMPORTRANGE(""https://docs.google.com/spreadsheets/d/1XL5vhW3sbDhbH9Cz0tuDiY8C3ctxq1tqvaCgkFb8cCA/edit?usp=sharing"",""หนองคาย!J506"")"),0.0)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IFERROR(__xludf.DUMMYFUNCTION("IMPORTRANGE(""https://docs.google.com/spreadsheets/d/1XL5vhW3sbDhbH9Cz0tuDiY8C3ctxq1tqvaCgkFb8cCA/edit?usp=sharing"",""หนองคาย!I507"")"),0.0)</f>
        <v>0</v>
      </c>
      <c r="J612" s="232">
        <f>IFERROR(__xludf.DUMMYFUNCTION("IMPORTRANGE(""https://docs.google.com/spreadsheets/d/1XL5vhW3sbDhbH9Cz0tuDiY8C3ctxq1tqvaCgkFb8cCA/edit?usp=sharing"",""หนองคาย!J507"")"),0.0)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IFERROR(__xludf.DUMMYFUNCTION("IMPORTRANGE(""https://docs.google.com/spreadsheets/d/1XL5vhW3sbDhbH9Cz0tuDiY8C3ctxq1tqvaCgkFb8cCA/edit?usp=sharing"",""หนองคาย!I508"")"),0.0)</f>
        <v>0</v>
      </c>
      <c r="J613" s="232">
        <f>IFERROR(__xludf.DUMMYFUNCTION("IMPORTRANGE(""https://docs.google.com/spreadsheets/d/1XL5vhW3sbDhbH9Cz0tuDiY8C3ctxq1tqvaCgkFb8cCA/edit?usp=sharing"",""หนองคาย!J508"")"),0.0)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IFERROR(__xludf.DUMMYFUNCTION("IMPORTRANGE(""https://docs.google.com/spreadsheets/d/1XL5vhW3sbDhbH9Cz0tuDiY8C3ctxq1tqvaCgkFb8cCA/edit?usp=sharing"",""หนองคาย!I509"")"),0.0)</f>
        <v>0</v>
      </c>
      <c r="J614" s="232">
        <f>IFERROR(__xludf.DUMMYFUNCTION("IMPORTRANGE(""https://docs.google.com/spreadsheets/d/1XL5vhW3sbDhbH9Cz0tuDiY8C3ctxq1tqvaCgkFb8cCA/edit?usp=sharing"",""หนองคาย!J509"")"),0.0)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IFERROR(__xludf.DUMMYFUNCTION("IMPORTRANGE(""https://docs.google.com/spreadsheets/d/1XL5vhW3sbDhbH9Cz0tuDiY8C3ctxq1tqvaCgkFb8cCA/edit?usp=sharing"",""หนองคาย!I510"")"),0.0)</f>
        <v>0</v>
      </c>
      <c r="J615" s="232">
        <f>IFERROR(__xludf.DUMMYFUNCTION("IMPORTRANGE(""https://docs.google.com/spreadsheets/d/1XL5vhW3sbDhbH9Cz0tuDiY8C3ctxq1tqvaCgkFb8cCA/edit?usp=sharing"",""หนองคาย!J510"")"),0.0)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IFERROR(__xludf.DUMMYFUNCTION("IMPORTRANGE(""https://docs.google.com/spreadsheets/d/1XL5vhW3sbDhbH9Cz0tuDiY8C3ctxq1tqvaCgkFb8cCA/edit?usp=sharing"",""หนองคาย!I511"")"),0.0)</f>
        <v>0</v>
      </c>
      <c r="J616" s="232">
        <f>IFERROR(__xludf.DUMMYFUNCTION("IMPORTRANGE(""https://docs.google.com/spreadsheets/d/1XL5vhW3sbDhbH9Cz0tuDiY8C3ctxq1tqvaCgkFb8cCA/edit?usp=sharing"",""หนองคาย!J511"")"),0.0)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IFERROR(__xludf.DUMMYFUNCTION("IMPORTRANGE(""https://docs.google.com/spreadsheets/d/1XL5vhW3sbDhbH9Cz0tuDiY8C3ctxq1tqvaCgkFb8cCA/edit?usp=sharing"",""หนองคาย!I512"")"),0.0)</f>
        <v>0</v>
      </c>
      <c r="J617" s="222">
        <f>IFERROR(__xludf.DUMMYFUNCTION("IMPORTRANGE(""https://docs.google.com/spreadsheets/d/1XL5vhW3sbDhbH9Cz0tuDiY8C3ctxq1tqvaCgkFb8cCA/edit?usp=sharing"",""หนองคาย!J512"")"),0.0)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IFERROR(__xludf.DUMMYFUNCTION("IMPORTRANGE(""https://docs.google.com/spreadsheets/d/1XL5vhW3sbDhbH9Cz0tuDiY8C3ctxq1tqvaCgkFb8cCA/edit?usp=sharing"",""หนองคาย!I513"")"),0.0)</f>
        <v>0</v>
      </c>
      <c r="J618" s="223">
        <f>IFERROR(__xludf.DUMMYFUNCTION("IMPORTRANGE(""https://docs.google.com/spreadsheets/d/1XL5vhW3sbDhbH9Cz0tuDiY8C3ctxq1tqvaCgkFb8cCA/edit?usp=sharing"",""หนองคาย!J513"")"),0.0)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IFERROR(__xludf.DUMMYFUNCTION("IMPORTRANGE(""https://docs.google.com/spreadsheets/d/1XL5vhW3sbDhbH9Cz0tuDiY8C3ctxq1tqvaCgkFb8cCA/edit?usp=sharing"",""หนองคาย!I514"")"),0.0)</f>
        <v>0</v>
      </c>
      <c r="J619" s="223">
        <f>IFERROR(__xludf.DUMMYFUNCTION("IMPORTRANGE(""https://docs.google.com/spreadsheets/d/1XL5vhW3sbDhbH9Cz0tuDiY8C3ctxq1tqvaCgkFb8cCA/edit?usp=sharing"",""หนองคาย!J514"")"),0.0)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IFERROR(__xludf.DUMMYFUNCTION("IMPORTRANGE(""https://docs.google.com/spreadsheets/d/1XL5vhW3sbDhbH9Cz0tuDiY8C3ctxq1tqvaCgkFb8cCA/edit?usp=sharing"",""หนองคาย!I515"")"),0.0)</f>
        <v>0</v>
      </c>
      <c r="J620" s="237">
        <f>IFERROR(__xludf.DUMMYFUNCTION("IMPORTRANGE(""https://docs.google.com/spreadsheets/d/1XL5vhW3sbDhbH9Cz0tuDiY8C3ctxq1tqvaCgkFb8cCA/edit?usp=sharing"",""หนองคาย!J515"")"),0.0)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IFERROR(__xludf.DUMMYFUNCTION("IMPORTRANGE(""https://docs.google.com/spreadsheets/d/1XL5vhW3sbDhbH9Cz0tuDiY8C3ctxq1tqvaCgkFb8cCA/edit?usp=sharing"",""หนองคาย!I516"")"),0.0)</f>
        <v>0</v>
      </c>
      <c r="J621" s="237">
        <f>IFERROR(__xludf.DUMMYFUNCTION("IMPORTRANGE(""https://docs.google.com/spreadsheets/d/1XL5vhW3sbDhbH9Cz0tuDiY8C3ctxq1tqvaCgkFb8cCA/edit?usp=sharing"",""หนองคาย!J516"")"),0.0)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IFERROR(__xludf.DUMMYFUNCTION("IMPORTRANGE(""https://docs.google.com/spreadsheets/d/1XL5vhW3sbDhbH9Cz0tuDiY8C3ctxq1tqvaCgkFb8cCA/edit?usp=sharing"",""หนองคาย!I517"")"),0.0)</f>
        <v>0</v>
      </c>
      <c r="J622" s="223">
        <f>IFERROR(__xludf.DUMMYFUNCTION("IMPORTRANGE(""https://docs.google.com/spreadsheets/d/1XL5vhW3sbDhbH9Cz0tuDiY8C3ctxq1tqvaCgkFb8cCA/edit?usp=sharing"",""หนองคาย!J517"")"),0.0)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IFERROR(__xludf.DUMMYFUNCTION("IMPORTRANGE(""https://docs.google.com/spreadsheets/d/1XL5vhW3sbDhbH9Cz0tuDiY8C3ctxq1tqvaCgkFb8cCA/edit?usp=sharing"",""หนองคาย!I518"")"),0.0)</f>
        <v>0</v>
      </c>
      <c r="J623" s="223">
        <f>IFERROR(__xludf.DUMMYFUNCTION("IMPORTRANGE(""https://docs.google.com/spreadsheets/d/1XL5vhW3sbDhbH9Cz0tuDiY8C3ctxq1tqvaCgkFb8cCA/edit?usp=sharing"",""หนองคาย!J518"")"),0.0)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IFERROR(__xludf.DUMMYFUNCTION("IMPORTRANGE(""https://docs.google.com/spreadsheets/d/1XL5vhW3sbDhbH9Cz0tuDiY8C3ctxq1tqvaCgkFb8cCA/edit?usp=sharing"",""หนองคาย!I519"")"),0.0)</f>
        <v>0</v>
      </c>
      <c r="J624" s="222">
        <f>IFERROR(__xludf.DUMMYFUNCTION("IMPORTRANGE(""https://docs.google.com/spreadsheets/d/1XL5vhW3sbDhbH9Cz0tuDiY8C3ctxq1tqvaCgkFb8cCA/edit?usp=sharing"",""หนองคาย!J519"")"),0.0)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IFERROR(__xludf.DUMMYFUNCTION("IMPORTRANGE(""https://docs.google.com/spreadsheets/d/1XL5vhW3sbDhbH9Cz0tuDiY8C3ctxq1tqvaCgkFb8cCA/edit?usp=sharing"",""หนองคาย!I520"")"),0.0)</f>
        <v>0</v>
      </c>
      <c r="J625" s="223">
        <f>IFERROR(__xludf.DUMMYFUNCTION("IMPORTRANGE(""https://docs.google.com/spreadsheets/d/1XL5vhW3sbDhbH9Cz0tuDiY8C3ctxq1tqvaCgkFb8cCA/edit?usp=sharing"",""หนองคาย!J520"")"),0.0)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IFERROR(__xludf.DUMMYFUNCTION("IMPORTRANGE(""https://docs.google.com/spreadsheets/d/1XL5vhW3sbDhbH9Cz0tuDiY8C3ctxq1tqvaCgkFb8cCA/edit?usp=sharing"",""หนองคาย!I521"")"),0.0)</f>
        <v>0</v>
      </c>
      <c r="J626" s="223">
        <f>IFERROR(__xludf.DUMMYFUNCTION("IMPORTRANGE(""https://docs.google.com/spreadsheets/d/1XL5vhW3sbDhbH9Cz0tuDiY8C3ctxq1tqvaCgkFb8cCA/edit?usp=sharing"",""หนองคาย!J521"")"),0.0)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IFERROR(__xludf.DUMMYFUNCTION("IMPORTRANGE(""https://docs.google.com/spreadsheets/d/1XL5vhW3sbDhbH9Cz0tuDiY8C3ctxq1tqvaCgkFb8cCA/edit?usp=sharing"",""หนองคาย!I523"")"),3580376.56)</f>
        <v>3580376.56</v>
      </c>
      <c r="J628" s="374">
        <f>IFERROR(__xludf.DUMMYFUNCTION("IMPORTRANGE(""https://docs.google.com/spreadsheets/d/1XL5vhW3sbDhbH9Cz0tuDiY8C3ctxq1tqvaCgkFb8cCA/edit?usp=sharing"",""หนองคาย!J523"")"),802382.62)</f>
        <v>802382.62</v>
      </c>
      <c r="K628" s="375">
        <f t="shared" ref="K628:K635" si="130">IF(I628&gt;0,J628*100/I628,0)</f>
        <v>22.41056511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IFERROR(__xludf.DUMMYFUNCTION("IMPORTRANGE(""https://docs.google.com/spreadsheets/d/1XL5vhW3sbDhbH9Cz0tuDiY8C3ctxq1tqvaCgkFb8cCA/edit?usp=sharing"",""หนองคาย!I524"")"),357.0)</f>
        <v>357</v>
      </c>
      <c r="J629" s="374">
        <f>IFERROR(__xludf.DUMMYFUNCTION("IMPORTRANGE(""https://docs.google.com/spreadsheets/d/1XL5vhW3sbDhbH9Cz0tuDiY8C3ctxq1tqvaCgkFb8cCA/edit?usp=sharing"",""หนองคาย!J524"")"),81.0)</f>
        <v>81</v>
      </c>
      <c r="K629" s="375">
        <f t="shared" si="130"/>
        <v>22.68907563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IFERROR(__xludf.DUMMYFUNCTION("IMPORTRANGE(""https://docs.google.com/spreadsheets/d/1XL5vhW3sbDhbH9Cz0tuDiY8C3ctxq1tqvaCgkFb8cCA/edit?usp=sharing"",""หนองคาย!I525"")"),550608.41)</f>
        <v>550608.41</v>
      </c>
      <c r="J630" s="374">
        <f>IFERROR(__xludf.DUMMYFUNCTION("IMPORTRANGE(""https://docs.google.com/spreadsheets/d/1XL5vhW3sbDhbH9Cz0tuDiY8C3ctxq1tqvaCgkFb8cCA/edit?usp=sharing"",""หนองคาย!J525"")"),84549.58)</f>
        <v>84549.58</v>
      </c>
      <c r="K630" s="375">
        <f t="shared" si="130"/>
        <v>15.35566447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IFERROR(__xludf.DUMMYFUNCTION("IMPORTRANGE(""https://docs.google.com/spreadsheets/d/1XL5vhW3sbDhbH9Cz0tuDiY8C3ctxq1tqvaCgkFb8cCA/edit?usp=sharing"",""หนองคาย!I526"")"),39.0)</f>
        <v>39</v>
      </c>
      <c r="J631" s="374">
        <f>IFERROR(__xludf.DUMMYFUNCTION("IMPORTRANGE(""https://docs.google.com/spreadsheets/d/1XL5vhW3sbDhbH9Cz0tuDiY8C3ctxq1tqvaCgkFb8cCA/edit?usp=sharing"",""หนองคาย!J526"")"),18.0)</f>
        <v>18</v>
      </c>
      <c r="K631" s="375">
        <f t="shared" si="130"/>
        <v>46.15384615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IFERROR(__xludf.DUMMYFUNCTION("IMPORTRANGE(""https://docs.google.com/spreadsheets/d/1XL5vhW3sbDhbH9Cz0tuDiY8C3ctxq1tqvaCgkFb8cCA/edit?usp=sharing"",""หนองคาย!I527"")"),603701.45)</f>
        <v>603701.45</v>
      </c>
      <c r="J632" s="374">
        <f>IFERROR(__xludf.DUMMYFUNCTION("IMPORTRANGE(""https://docs.google.com/spreadsheets/d/1XL5vhW3sbDhbH9Cz0tuDiY8C3ctxq1tqvaCgkFb8cCA/edit?usp=sharing"",""หนองคาย!J527"")"),194967.66)</f>
        <v>194967.66</v>
      </c>
      <c r="K632" s="375">
        <f t="shared" si="130"/>
        <v>32.29537713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IFERROR(__xludf.DUMMYFUNCTION("IMPORTRANGE(""https://docs.google.com/spreadsheets/d/1XL5vhW3sbDhbH9Cz0tuDiY8C3ctxq1tqvaCgkFb8cCA/edit?usp=sharing"",""หนองคาย!I528"")"),83.0)</f>
        <v>83</v>
      </c>
      <c r="J633" s="374">
        <f>IFERROR(__xludf.DUMMYFUNCTION("IMPORTRANGE(""https://docs.google.com/spreadsheets/d/1XL5vhW3sbDhbH9Cz0tuDiY8C3ctxq1tqvaCgkFb8cCA/edit?usp=sharing"",""หนองคาย!J528"")"),36.0)</f>
        <v>36</v>
      </c>
      <c r="K633" s="375">
        <f t="shared" si="130"/>
        <v>43.37349398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IFERROR(__xludf.DUMMYFUNCTION("IMPORTRANGE(""https://docs.google.com/spreadsheets/d/1XL5vhW3sbDhbH9Cz0tuDiY8C3ctxq1tqvaCgkFb8cCA/edit?usp=sharing"",""หนองคาย!I529"")"),1800000.0)</f>
        <v>1800000</v>
      </c>
      <c r="J634" s="374">
        <f>IFERROR(__xludf.DUMMYFUNCTION("IMPORTRANGE(""https://docs.google.com/spreadsheets/d/1XL5vhW3sbDhbH9Cz0tuDiY8C3ctxq1tqvaCgkFb8cCA/edit?usp=sharing"",""หนองคาย!J529"")"),0.0)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IFERROR(__xludf.DUMMYFUNCTION("IMPORTRANGE(""https://docs.google.com/spreadsheets/d/1XL5vhW3sbDhbH9Cz0tuDiY8C3ctxq1tqvaCgkFb8cCA/edit?usp=sharing"",""หนองคาย!I530"")"),45.0)</f>
        <v>45</v>
      </c>
      <c r="J635" s="544">
        <f>IFERROR(__xludf.DUMMYFUNCTION("IMPORTRANGE(""https://docs.google.com/spreadsheets/d/1XL5vhW3sbDhbH9Cz0tuDiY8C3ctxq1tqvaCgkFb8cCA/edit?usp=sharing"",""หนองคาย!J530"")"),0.0)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271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7610441</v>
      </c>
      <c r="M8" s="41">
        <f t="shared" si="1"/>
        <v>1824415</v>
      </c>
      <c r="N8" s="41">
        <f t="shared" si="1"/>
        <v>2003719.94</v>
      </c>
      <c r="O8" s="40">
        <f t="shared" ref="O8:O16" si="3">IF(L8&gt;0,N8*100/L8,0)</f>
        <v>26.32856545</v>
      </c>
      <c r="P8" s="40">
        <f t="shared" ref="P8:P16" si="4">IF(M8&gt;0,N8*100/M8,0)</f>
        <v>109.8280786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7610441</v>
      </c>
      <c r="M10" s="48">
        <f t="shared" si="5"/>
        <v>1824415</v>
      </c>
      <c r="N10" s="48">
        <f t="shared" si="5"/>
        <v>2003719.94</v>
      </c>
      <c r="O10" s="47">
        <f t="shared" si="3"/>
        <v>26.32856545</v>
      </c>
      <c r="P10" s="47">
        <f t="shared" si="4"/>
        <v>109.8280786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6591341</v>
      </c>
      <c r="M12" s="58">
        <f t="shared" si="7"/>
        <v>1824415</v>
      </c>
      <c r="N12" s="58">
        <f t="shared" si="7"/>
        <v>1838619.94</v>
      </c>
      <c r="O12" s="58">
        <f t="shared" si="3"/>
        <v>27.89447458</v>
      </c>
      <c r="P12" s="58">
        <f t="shared" si="4"/>
        <v>100.7786025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1887000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4704341</v>
      </c>
      <c r="M14" s="58">
        <f t="shared" si="9"/>
        <v>0</v>
      </c>
      <c r="N14" s="58">
        <f t="shared" si="9"/>
        <v>656063.94</v>
      </c>
      <c r="O14" s="61">
        <f t="shared" si="3"/>
        <v>13.94592654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1019100</v>
      </c>
      <c r="M16" s="58">
        <f t="shared" si="11"/>
        <v>0</v>
      </c>
      <c r="N16" s="58">
        <f t="shared" si="11"/>
        <v>165100</v>
      </c>
      <c r="O16" s="70">
        <f t="shared" si="3"/>
        <v>16.20056913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4154805</v>
      </c>
      <c r="M18" s="41">
        <f t="shared" si="12"/>
        <v>1824415</v>
      </c>
      <c r="N18" s="41">
        <f t="shared" si="12"/>
        <v>1347656</v>
      </c>
      <c r="O18" s="40">
        <f t="shared" ref="O18:O20" si="14">IF(L18&gt;0,N18*100/L18,0)</f>
        <v>32.43608304</v>
      </c>
      <c r="P18" s="40">
        <f t="shared" ref="P18:P26" si="15">IF(M18&gt;0,N18*100/M18,0)</f>
        <v>73.86784257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4154805</v>
      </c>
      <c r="M20" s="48">
        <f t="shared" si="16"/>
        <v>1824415</v>
      </c>
      <c r="N20" s="48">
        <f t="shared" si="16"/>
        <v>1347656</v>
      </c>
      <c r="O20" s="47">
        <f t="shared" si="14"/>
        <v>32.43608304</v>
      </c>
      <c r="P20" s="47">
        <f t="shared" si="15"/>
        <v>73.86784257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3135705</v>
      </c>
      <c r="M22" s="62">
        <f t="shared" si="18"/>
        <v>1824415</v>
      </c>
      <c r="N22" s="61">
        <f t="shared" si="18"/>
        <v>1182556</v>
      </c>
      <c r="O22" s="61">
        <f t="shared" si="19"/>
        <v>37.7126037</v>
      </c>
      <c r="P22" s="61">
        <f t="shared" si="15"/>
        <v>64.81836644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1887000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1248705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1019100</v>
      </c>
      <c r="M26" s="70">
        <f t="shared" si="23"/>
        <v>0</v>
      </c>
      <c r="N26" s="70">
        <f t="shared" si="23"/>
        <v>165100</v>
      </c>
      <c r="O26" s="70">
        <f t="shared" si="19"/>
        <v>16.20056913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3455636</v>
      </c>
      <c r="M28" s="41">
        <f t="shared" si="24"/>
        <v>0</v>
      </c>
      <c r="N28" s="41">
        <f t="shared" si="24"/>
        <v>656063.94</v>
      </c>
      <c r="O28" s="40">
        <f t="shared" ref="O28:O30" si="26">IF(L28&gt;0,N28*100/L28,0)</f>
        <v>18.98533121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3455636</v>
      </c>
      <c r="M30" s="48">
        <f t="shared" si="28"/>
        <v>0</v>
      </c>
      <c r="N30" s="48">
        <f t="shared" si="28"/>
        <v>656063.94</v>
      </c>
      <c r="O30" s="47">
        <f t="shared" si="26"/>
        <v>18.98533121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3455636</v>
      </c>
      <c r="M32" s="61">
        <f t="shared" si="30"/>
        <v>0</v>
      </c>
      <c r="N32" s="61">
        <f t="shared" si="30"/>
        <v>656063.94</v>
      </c>
      <c r="O32" s="61">
        <f t="shared" si="31"/>
        <v>18.98533121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3455636</v>
      </c>
      <c r="M34" s="61">
        <f t="shared" si="33"/>
        <v>0</v>
      </c>
      <c r="N34" s="61">
        <f t="shared" si="33"/>
        <v>656063.94</v>
      </c>
      <c r="O34" s="61">
        <f t="shared" si="31"/>
        <v>18.98533121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4154805</v>
      </c>
      <c r="M37" s="75">
        <f t="shared" si="34"/>
        <v>1824415</v>
      </c>
      <c r="N37" s="75">
        <f t="shared" si="34"/>
        <v>1347656</v>
      </c>
      <c r="O37" s="76">
        <f t="shared" si="31"/>
        <v>32.43608304</v>
      </c>
      <c r="P37" s="76">
        <f t="shared" si="27"/>
        <v>73.86784257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1619300</v>
      </c>
      <c r="M41" s="102">
        <f t="shared" si="35"/>
        <v>324500</v>
      </c>
      <c r="N41" s="102">
        <f t="shared" si="35"/>
        <v>281380</v>
      </c>
      <c r="O41" s="101">
        <f t="shared" ref="O41:O43" si="37">IF(L41&gt;0,N41*100/L41,0)</f>
        <v>17.37664423</v>
      </c>
      <c r="P41" s="101">
        <f t="shared" ref="P41:P43" si="38">IF(M41&gt;0,N41*100/M41,0)</f>
        <v>86.71186441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1619300</v>
      </c>
      <c r="M43" s="102">
        <f t="shared" si="39"/>
        <v>324500</v>
      </c>
      <c r="N43" s="102">
        <f t="shared" si="39"/>
        <v>281380</v>
      </c>
      <c r="O43" s="101">
        <f t="shared" si="37"/>
        <v>17.37664423</v>
      </c>
      <c r="P43" s="101">
        <f t="shared" si="38"/>
        <v>86.71186441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649100</v>
      </c>
      <c r="M45" s="115">
        <f>IFERROR(__xludf.DUMMYFUNCTION("IMPORTRANGE(""https://docs.google.com/spreadsheets/d/1Yj_ptqi66GCucihVvJfMjLAmec39IyEx_6qawtMGysU/edit?usp=sharing"",""สบก!Q54"")"),324500.0)</f>
        <v>324500</v>
      </c>
      <c r="N45" s="115">
        <f>IFERROR(__xludf.DUMMYFUNCTION("IMPORTRANGE(""https://docs.google.com/spreadsheets/d/1Yj_ptqi66GCucihVvJfMjLAmec39IyEx_6qawtMGysU/edit?usp=sharing"",""สบก!R54"")"),165180.0)</f>
        <v>165180</v>
      </c>
      <c r="O45" s="116">
        <f>IF(L45&gt;0,N45*100/L45,0)</f>
        <v>25.44754275</v>
      </c>
      <c r="P45" s="116">
        <f>IF(M45&gt;0,N45*100/M45,0)</f>
        <v>50.90292758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IFERROR(__xludf.DUMMYFUNCTION("IMPORTRANGE(""https://docs.google.com/spreadsheets/d/1Yj_ptqi66GCucihVvJfMjLAmec39IyEx_6qawtMGysU/edit?usp=sharing"",""สบก!M54"")"),649100.0)</f>
        <v>649100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IFERROR(__xludf.DUMMYFUNCTION("IMPORTRANGE(""https://docs.google.com/spreadsheets/d/1Yj_ptqi66GCucihVvJfMjLAmec39IyEx_6qawtMGysU/edit?usp=sharing"",""สบก!N54"")"),0.0)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IFERROR(__xludf.DUMMYFUNCTION("IMPORTRANGE(""https://docs.google.com/spreadsheets/d/1Yj_ptqi66GCucihVvJfMjLAmec39IyEx_6qawtMGysU/edit?usp=sharing"",""สบก!O54"")"),970200.0)</f>
        <v>970200</v>
      </c>
      <c r="M49" s="125"/>
      <c r="N49" s="115">
        <f>IFERROR(__xludf.DUMMYFUNCTION("IMPORTRANGE(""https://docs.google.com/spreadsheets/d/1Yj_ptqi66GCucihVvJfMjLAmec39IyEx_6qawtMGysU/edit?usp=sharing"",""สบก!S54"")"),116200.0)</f>
        <v>116200</v>
      </c>
      <c r="O49" s="125">
        <f>IF(L49&gt;0,N49*100/L49,0)</f>
        <v>11.97691198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604800</v>
      </c>
      <c r="M53" s="151">
        <f t="shared" si="40"/>
        <v>315540</v>
      </c>
      <c r="N53" s="151">
        <f t="shared" si="40"/>
        <v>257768</v>
      </c>
      <c r="O53" s="150">
        <f t="shared" ref="O53:O55" si="42">IF(L53&gt;0,N53*100/L53,0)</f>
        <v>42.62037037</v>
      </c>
      <c r="P53" s="150">
        <f t="shared" ref="P53:P55" si="43">IF(M53&gt;0,N53*100/M53,0)</f>
        <v>81.69106928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604800</v>
      </c>
      <c r="M55" s="151">
        <f t="shared" si="44"/>
        <v>315540</v>
      </c>
      <c r="N55" s="151">
        <f t="shared" si="44"/>
        <v>257768</v>
      </c>
      <c r="O55" s="150">
        <f t="shared" si="42"/>
        <v>42.62037037</v>
      </c>
      <c r="P55" s="150">
        <f t="shared" si="43"/>
        <v>81.69106928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604800</v>
      </c>
      <c r="M57" s="115">
        <f>IFERROR(__xludf.DUMMYFUNCTION("IMPORTRANGE(""https://docs.google.com/spreadsheets/d/1Yj_ptqi66GCucihVvJfMjLAmec39IyEx_6qawtMGysU/edit?usp=sharing"",""สบก!Z54"")"),315540.0)</f>
        <v>315540</v>
      </c>
      <c r="N57" s="115">
        <f>IFERROR(__xludf.DUMMYFUNCTION("IMPORTRANGE(""https://docs.google.com/spreadsheets/d/1Yj_ptqi66GCucihVvJfMjLAmec39IyEx_6qawtMGysU/edit?usp=sharing"",""สบก!AA54"")"),257768.0)</f>
        <v>257768</v>
      </c>
      <c r="O57" s="116">
        <f>IF(L57&gt;0,N57*100/L57,0)</f>
        <v>42.62037037</v>
      </c>
      <c r="P57" s="116">
        <f>IF(M57&gt;0,N57*100/M57,0)</f>
        <v>81.69106928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IFERROR(__xludf.DUMMYFUNCTION("IMPORTRANGE(""https://docs.google.com/spreadsheets/d/1Yj_ptqi66GCucihVvJfMjLAmec39IyEx_6qawtMGysU/edit?usp=sharing"",""สบก!V54"")"),604800.0)</f>
        <v>604800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IFERROR(__xludf.DUMMYFUNCTION("IMPORTRANGE(""https://docs.google.com/spreadsheets/d/1Yj_ptqi66GCucihVvJfMjLAmec39IyEx_6qawtMGysU/edit?usp=sharing"",""สบก!W54"")"),0.0)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IFERROR(__xludf.DUMMYFUNCTION("IMPORTRANGE(""https://docs.google.com/spreadsheets/d/1Yj_ptqi66GCucihVvJfMjLAmec39IyEx_6qawtMGysU/edit?usp=sharing"",""สบก!X54"")"),0.0)</f>
        <v>0</v>
      </c>
      <c r="M61" s="125"/>
      <c r="N61" s="115">
        <f>IFERROR(__xludf.DUMMYFUNCTION("IMPORTRANGE(""https://docs.google.com/spreadsheets/d/1Yj_ptqi66GCucihVvJfMjLAmec39IyEx_6qawtMGysU/edit?usp=sharing"",""สบก!AB54"")"),0.0)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IFERROR(__xludf.DUMMYFUNCTION("IMPORTRANGE(""https://docs.google.com/spreadsheets/d/1XL5vhW3sbDhbH9Cz0tuDiY8C3ctxq1tqvaCgkFb8cCA/edit?usp=sharing"",""หนองบัวลำภู!I9"")"),1.0)</f>
        <v>1</v>
      </c>
      <c r="J64" s="172">
        <f>IFERROR(__xludf.DUMMYFUNCTION("IMPORTRANGE(""https://docs.google.com/spreadsheets/d/1XL5vhW3sbDhbH9Cz0tuDiY8C3ctxq1tqvaCgkFb8cCA/edit?usp=sharing"",""หนองบัวลำภู!J9"")"),1.0)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IFERROR(__xludf.DUMMYFUNCTION("IMPORTRANGE(""https://docs.google.com/spreadsheets/d/1XL5vhW3sbDhbH9Cz0tuDiY8C3ctxq1tqvaCgkFb8cCA/edit?usp=sharing"",""หนองบัวลำภู!I10"")"),30.0)</f>
        <v>30</v>
      </c>
      <c r="J65" s="172">
        <f>IFERROR(__xludf.DUMMYFUNCTION("IMPORTRANGE(""https://docs.google.com/spreadsheets/d/1XL5vhW3sbDhbH9Cz0tuDiY8C3ctxq1tqvaCgkFb8cCA/edit?usp=sharing"",""หนองบัวลำภู!J10"")"),30.0)</f>
        <v>30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614000</v>
      </c>
      <c r="M66" s="183">
        <f t="shared" si="46"/>
        <v>343620</v>
      </c>
      <c r="N66" s="183">
        <f t="shared" si="46"/>
        <v>253951</v>
      </c>
      <c r="O66" s="182">
        <f t="shared" ref="O66:O68" si="48">IF(L66&gt;0,N66*100/L66,0)</f>
        <v>41.36009772</v>
      </c>
      <c r="P66" s="182">
        <f t="shared" ref="P66:P68" si="49">IF(M66&gt;0,N66*100/M66,0)</f>
        <v>73.90460392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614000</v>
      </c>
      <c r="M68" s="188">
        <f t="shared" si="50"/>
        <v>343620</v>
      </c>
      <c r="N68" s="188">
        <f t="shared" si="50"/>
        <v>253951</v>
      </c>
      <c r="O68" s="187">
        <f t="shared" si="48"/>
        <v>41.36009772</v>
      </c>
      <c r="P68" s="187">
        <f t="shared" si="49"/>
        <v>73.90460392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614000</v>
      </c>
      <c r="M70" s="201">
        <f>IFERROR(__xludf.DUMMYFUNCTION("IMPORTRANGE(""https://docs.google.com/spreadsheets/d/1Yj_ptqi66GCucihVvJfMjLAmec39IyEx_6qawtMGysU/edit?usp=sharing"",""สบก!AI54"")"),343620.0)</f>
        <v>343620</v>
      </c>
      <c r="N70" s="202">
        <f>IFERROR(__xludf.DUMMYFUNCTION("IMPORTRANGE(""https://docs.google.com/spreadsheets/d/1Yj_ptqi66GCucihVvJfMjLAmec39IyEx_6qawtMGysU/edit?usp=sharing"",""สบก!AJ54"")"),253951.0)</f>
        <v>253951</v>
      </c>
      <c r="O70" s="203">
        <f>IF(L70&gt;0,N70*100/L70,0)</f>
        <v>41.36009772</v>
      </c>
      <c r="P70" s="203">
        <f>IF(M70&gt;0,N70*100/M70,0)</f>
        <v>73.90460392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IFERROR(__xludf.DUMMYFUNCTION("IMPORTRANGE(""https://docs.google.com/spreadsheets/d/1Yj_ptqi66GCucihVvJfMjLAmec39IyEx_6qawtMGysU/edit?usp=sharing"",""สบก!AE54"")"),232000.0)</f>
        <v>232000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IFERROR(__xludf.DUMMYFUNCTION("IMPORTRANGE(""https://docs.google.com/spreadsheets/d/1Yj_ptqi66GCucihVvJfMjLAmec39IyEx_6qawtMGysU/edit?usp=sharing"",""สบก!AF54"")"),382000.0)</f>
        <v>382000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IFERROR(__xludf.DUMMYFUNCTION("IMPORTRANGE(""https://docs.google.com/spreadsheets/d/1Yj_ptqi66GCucihVvJfMjLAmec39IyEx_6qawtMGysU/edit?usp=sharing"",""สบก!AG54"")"),0.0)</f>
        <v>0</v>
      </c>
      <c r="M74" s="125"/>
      <c r="N74" s="115">
        <f>IFERROR(__xludf.DUMMYFUNCTION("IMPORTRANGE(""https://docs.google.com/spreadsheets/d/1Yj_ptqi66GCucihVvJfMjLAmec39IyEx_6qawtMGysU/edit?usp=sharing"",""สบก!AK54"")"),0.0)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IFERROR(__xludf.DUMMYFUNCTION("IMPORTRANGE(""https://docs.google.com/spreadsheets/d/1XL5vhW3sbDhbH9Cz0tuDiY8C3ctxq1tqvaCgkFb8cCA/edit?usp=sharing"",""หนองบัวลำภู!J16"")"),0.0)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IFERROR(__xludf.DUMMYFUNCTION("IMPORTRANGE(""https://docs.google.com/spreadsheets/d/1XL5vhW3sbDhbH9Cz0tuDiY8C3ctxq1tqvaCgkFb8cCA/edit?usp=sharing"",""หนองบัวลำภู!J17"")"),1.0)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IFERROR(__xludf.DUMMYFUNCTION("IMPORTRANGE(""https://docs.google.com/spreadsheets/d/1XL5vhW3sbDhbH9Cz0tuDiY8C3ctxq1tqvaCgkFb8cCA/edit?usp=sharing"",""หนองบัวลำภู!J18"")"),1.0)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IFERROR(__xludf.DUMMYFUNCTION("IMPORTRANGE(""https://docs.google.com/spreadsheets/d/1XL5vhW3sbDhbH9Cz0tuDiY8C3ctxq1tqvaCgkFb8cCA/edit?usp=sharing"",""หนองบัวลำภู!J19"")"),1.0)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IFERROR(__xludf.DUMMYFUNCTION("IMPORTRANGE(""https://docs.google.com/spreadsheets/d/1XL5vhW3sbDhbH9Cz0tuDiY8C3ctxq1tqvaCgkFb8cCA/edit?usp=sharing"",""หนองบัวลำภู!I20"")"),1.0)</f>
        <v>1</v>
      </c>
      <c r="J80" s="235">
        <f>IFERROR(__xludf.DUMMYFUNCTION("IMPORTRANGE(""https://docs.google.com/spreadsheets/d/1XL5vhW3sbDhbH9Cz0tuDiY8C3ctxq1tqvaCgkFb8cCA/edit?usp=sharing"",""หนองบัวลำภู!J20"")"),1.0)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IFERROR(__xludf.DUMMYFUNCTION("IMPORTRANGE(""https://docs.google.com/spreadsheets/d/1XL5vhW3sbDhbH9Cz0tuDiY8C3ctxq1tqvaCgkFb8cCA/edit?usp=sharing"",""หนองบัวลำภู!I21"")"),30.0)</f>
        <v>30</v>
      </c>
      <c r="J81" s="235">
        <f>IFERROR(__xludf.DUMMYFUNCTION("IMPORTRANGE(""https://docs.google.com/spreadsheets/d/1XL5vhW3sbDhbH9Cz0tuDiY8C3ctxq1tqvaCgkFb8cCA/edit?usp=sharing"",""หนองบัวลำภู!J21"")"),30.0)</f>
        <v>30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IFERROR(__xludf.DUMMYFUNCTION("IMPORTRANGE(""https://docs.google.com/spreadsheets/d/1XL5vhW3sbDhbH9Cz0tuDiY8C3ctxq1tqvaCgkFb8cCA/edit?usp=sharing"",""หนองบัวลำภู!I22"")"),1.0)</f>
        <v>1</v>
      </c>
      <c r="J82" s="238">
        <f>IFERROR(__xludf.DUMMYFUNCTION("IMPORTRANGE(""https://docs.google.com/spreadsheets/d/1XL5vhW3sbDhbH9Cz0tuDiY8C3ctxq1tqvaCgkFb8cCA/edit?usp=sharing"",""หนองบัวลำภู!J22"")"),1.0)</f>
        <v>1</v>
      </c>
      <c r="K82" s="196">
        <f t="shared" si="51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IFERROR(__xludf.DUMMYFUNCTION("IMPORTRANGE(""https://docs.google.com/spreadsheets/d/1XL5vhW3sbDhbH9Cz0tuDiY8C3ctxq1tqvaCgkFb8cCA/edit?usp=sharing"",""หนองบัวลำภู!I23"")"),30.0)</f>
        <v>30</v>
      </c>
      <c r="J83" s="238">
        <f>IFERROR(__xludf.DUMMYFUNCTION("IMPORTRANGE(""https://docs.google.com/spreadsheets/d/1XL5vhW3sbDhbH9Cz0tuDiY8C3ctxq1tqvaCgkFb8cCA/edit?usp=sharing"",""หนองบัวลำภู!J23"")"),30.0)</f>
        <v>30</v>
      </c>
      <c r="K83" s="196">
        <f t="shared" si="51"/>
        <v>100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IFERROR(__xludf.DUMMYFUNCTION("IMPORTRANGE(""https://docs.google.com/spreadsheets/d/1XL5vhW3sbDhbH9Cz0tuDiY8C3ctxq1tqvaCgkFb8cCA/edit?usp=sharing"",""หนองบัวลำภู!I24"")"),0.0)</f>
        <v>0</v>
      </c>
      <c r="J84" s="223">
        <f>IFERROR(__xludf.DUMMYFUNCTION("IMPORTRANGE(""https://docs.google.com/spreadsheets/d/1XL5vhW3sbDhbH9Cz0tuDiY8C3ctxq1tqvaCgkFb8cCA/edit?usp=sharing"",""หนองบัวลำภู!J24"")"),0.0)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IFERROR(__xludf.DUMMYFUNCTION("IMPORTRANGE(""https://docs.google.com/spreadsheets/d/1XL5vhW3sbDhbH9Cz0tuDiY8C3ctxq1tqvaCgkFb8cCA/edit?usp=sharing"",""หนองบัวลำภู!I25"")"),0.0)</f>
        <v>0</v>
      </c>
      <c r="J85" s="223">
        <f>IFERROR(__xludf.DUMMYFUNCTION("IMPORTRANGE(""https://docs.google.com/spreadsheets/d/1XL5vhW3sbDhbH9Cz0tuDiY8C3ctxq1tqvaCgkFb8cCA/edit?usp=sharing"",""หนองบัวลำภู!J25"")"),0.0)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IFERROR(__xludf.DUMMYFUNCTION("IMPORTRANGE(""https://docs.google.com/spreadsheets/d/1XL5vhW3sbDhbH9Cz0tuDiY8C3ctxq1tqvaCgkFb8cCA/edit?usp=sharing"",""หนองบัวลำภู!I26"")"),0.0)</f>
        <v>0</v>
      </c>
      <c r="J86" s="238">
        <f>IFERROR(__xludf.DUMMYFUNCTION("IMPORTRANGE(""https://docs.google.com/spreadsheets/d/1XL5vhW3sbDhbH9Cz0tuDiY8C3ctxq1tqvaCgkFb8cCA/edit?usp=sharing"",""หนองบัวลำภู!J26"")"),0.0)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IFERROR(__xludf.DUMMYFUNCTION("IMPORTRANGE(""https://docs.google.com/spreadsheets/d/1XL5vhW3sbDhbH9Cz0tuDiY8C3ctxq1tqvaCgkFb8cCA/edit?usp=sharing"",""หนองบัวลำภู!I27"")"),0.0)</f>
        <v>0</v>
      </c>
      <c r="J87" s="238">
        <f>IFERROR(__xludf.DUMMYFUNCTION("IMPORTRANGE(""https://docs.google.com/spreadsheets/d/1XL5vhW3sbDhbH9Cz0tuDiY8C3ctxq1tqvaCgkFb8cCA/edit?usp=sharing"",""หนองบัวลำภู!J27"")"),0.0)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IFERROR(__xludf.DUMMYFUNCTION("IMPORTRANGE(""https://docs.google.com/spreadsheets/d/1XL5vhW3sbDhbH9Cz0tuDiY8C3ctxq1tqvaCgkFb8cCA/edit?usp=sharing"",""หนองบัวลำภู!I28"")"),30.0)</f>
        <v>30</v>
      </c>
      <c r="J88" s="238">
        <f>IFERROR(__xludf.DUMMYFUNCTION("IMPORTRANGE(""https://docs.google.com/spreadsheets/d/1XL5vhW3sbDhbH9Cz0tuDiY8C3ctxq1tqvaCgkFb8cCA/edit?usp=sharing"",""หนองบัวลำภู!J28"")"),0.0)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IFERROR(__xludf.DUMMYFUNCTION("IMPORTRANGE(""https://docs.google.com/spreadsheets/d/1XL5vhW3sbDhbH9Cz0tuDiY8C3ctxq1tqvaCgkFb8cCA/edit?usp=sharing"",""หนองบัวลำภู!J29"")"),0.0)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IFERROR(__xludf.DUMMYFUNCTION("IMPORTRANGE(""https://docs.google.com/spreadsheets/d/1XL5vhW3sbDhbH9Cz0tuDiY8C3ctxq1tqvaCgkFb8cCA/edit?usp=sharing"",""หนองบัวลำภู!J30"")"),0.0)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IFERROR(__xludf.DUMMYFUNCTION("IMPORTRANGE(""https://docs.google.com/spreadsheets/d/1XL5vhW3sbDhbH9Cz0tuDiY8C3ctxq1tqvaCgkFb8cCA/edit?usp=sharing"",""หนองบัวลำภู!I32"")"),0.0)</f>
        <v>0</v>
      </c>
      <c r="J92" s="172">
        <f>IFERROR(__xludf.DUMMYFUNCTION("IMPORTRANGE(""https://docs.google.com/spreadsheets/d/1XL5vhW3sbDhbH9Cz0tuDiY8C3ctxq1tqvaCgkFb8cCA/edit?usp=sharing"",""หนองบัวลำภู!J32"")"),0.0)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IFERROR(__xludf.DUMMYFUNCTION("IMPORTRANGE(""https://docs.google.com/spreadsheets/d/1XL5vhW3sbDhbH9Cz0tuDiY8C3ctxq1tqvaCgkFb8cCA/edit?usp=sharing"",""หนองบัวลำภู!I33"")"),0.0)</f>
        <v>0</v>
      </c>
      <c r="J93" s="172">
        <f>IFERROR(__xludf.DUMMYFUNCTION("IMPORTRANGE(""https://docs.google.com/spreadsheets/d/1XL5vhW3sbDhbH9Cz0tuDiY8C3ctxq1tqvaCgkFb8cCA/edit?usp=sharing"",""หนองบัวลำภู!J33"")"),0.0)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IFERROR(__xludf.DUMMYFUNCTION("IMPORTRANGE(""https://docs.google.com/spreadsheets/d/1Yj_ptqi66GCucihVvJfMjLAmec39IyEx_6qawtMGysU/edit?usp=sharing"",""สบก!AR54"")"),0.0)</f>
        <v>0</v>
      </c>
      <c r="N98" s="202">
        <f>IFERROR(__xludf.DUMMYFUNCTION("IMPORTRANGE(""https://docs.google.com/spreadsheets/d/1Yj_ptqi66GCucihVvJfMjLAmec39IyEx_6qawtMGysU/edit?usp=sharing"",""สบก!AS54"")"),0.0)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IFERROR(__xludf.DUMMYFUNCTION("IMPORTRANGE(""https://docs.google.com/spreadsheets/d/1Yj_ptqi66GCucihVvJfMjLAmec39IyEx_6qawtMGysU/edit?usp=sharing"",""สบก!AN54"")"),0.0)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IFERROR(__xludf.DUMMYFUNCTION("IMPORTRANGE(""https://docs.google.com/spreadsheets/d/1Yj_ptqi66GCucihVvJfMjLAmec39IyEx_6qawtMGysU/edit?usp=sharing"",""สบก!AO54"")"),0.0)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IFERROR(__xludf.DUMMYFUNCTION("IMPORTRANGE(""https://docs.google.com/spreadsheets/d/1Yj_ptqi66GCucihVvJfMjLAmec39IyEx_6qawtMGysU/edit?usp=sharing"",""สบก!AP54"")"),0.0)</f>
        <v>0</v>
      </c>
      <c r="M102" s="125"/>
      <c r="N102" s="115">
        <f>IFERROR(__xludf.DUMMYFUNCTION("IMPORTRANGE(""https://docs.google.com/spreadsheets/d/1Yj_ptqi66GCucihVvJfMjLAmec39IyEx_6qawtMGysU/edit?usp=sharing"",""สบก!AT54"")"),0.0)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IFERROR(__xludf.DUMMYFUNCTION("IMPORTRANGE(""https://docs.google.com/spreadsheets/d/1XL5vhW3sbDhbH9Cz0tuDiY8C3ctxq1tqvaCgkFb8cCA/edit?usp=sharing"",""หนองบัวลำภู!J39"")"),0.0)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IFERROR(__xludf.DUMMYFUNCTION("IMPORTRANGE(""https://docs.google.com/spreadsheets/d/1XL5vhW3sbDhbH9Cz0tuDiY8C3ctxq1tqvaCgkFb8cCA/edit?usp=sharing"",""หนองบัวลำภู!J40"")"),0.0)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IFERROR(__xludf.DUMMYFUNCTION("IMPORTRANGE(""https://docs.google.com/spreadsheets/d/1XL5vhW3sbDhbH9Cz0tuDiY8C3ctxq1tqvaCgkFb8cCA/edit?usp=sharing"",""หนองบัวลำภู!J41"")"),0.0)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IFERROR(__xludf.DUMMYFUNCTION("IMPORTRANGE(""https://docs.google.com/spreadsheets/d/1XL5vhW3sbDhbH9Cz0tuDiY8C3ctxq1tqvaCgkFb8cCA/edit?usp=sharing"",""หนองบัวลำภู!J42"")"),0.0)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IFERROR(__xludf.DUMMYFUNCTION("IMPORTRANGE(""https://docs.google.com/spreadsheets/d/1XL5vhW3sbDhbH9Cz0tuDiY8C3ctxq1tqvaCgkFb8cCA/edit?usp=sharing"",""หนองบัวลำภู!I43"")"),0.0)</f>
        <v>0</v>
      </c>
      <c r="J108" s="238">
        <f>IFERROR(__xludf.DUMMYFUNCTION("IMPORTRANGE(""https://docs.google.com/spreadsheets/d/1XL5vhW3sbDhbH9Cz0tuDiY8C3ctxq1tqvaCgkFb8cCA/edit?usp=sharing"",""หนองบัวลำภู!J43"")"),0.0)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IFERROR(__xludf.DUMMYFUNCTION("IMPORTRANGE(""https://docs.google.com/spreadsheets/d/1XL5vhW3sbDhbH9Cz0tuDiY8C3ctxq1tqvaCgkFb8cCA/edit?usp=sharing"",""หนองบัวลำภู!I44"")"),0.0)</f>
        <v>0</v>
      </c>
      <c r="J109" s="238">
        <f>IFERROR(__xludf.DUMMYFUNCTION("IMPORTRANGE(""https://docs.google.com/spreadsheets/d/1XL5vhW3sbDhbH9Cz0tuDiY8C3ctxq1tqvaCgkFb8cCA/edit?usp=sharing"",""หนองบัวลำภู!J44"")"),0.0)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IFERROR(__xludf.DUMMYFUNCTION("IMPORTRANGE(""https://docs.google.com/spreadsheets/d/1XL5vhW3sbDhbH9Cz0tuDiY8C3ctxq1tqvaCgkFb8cCA/edit?usp=sharing"",""หนองบัวลำภู!I45"")"),0.0)</f>
        <v>0</v>
      </c>
      <c r="J110" s="238">
        <f>IFERROR(__xludf.DUMMYFUNCTION("IMPORTRANGE(""https://docs.google.com/spreadsheets/d/1XL5vhW3sbDhbH9Cz0tuDiY8C3ctxq1tqvaCgkFb8cCA/edit?usp=sharing"",""หนองบัวลำภู!J45"")"),0.0)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IFERROR(__xludf.DUMMYFUNCTION("IMPORTRANGE(""https://docs.google.com/spreadsheets/d/1XL5vhW3sbDhbH9Cz0tuDiY8C3ctxq1tqvaCgkFb8cCA/edit?usp=sharing"",""หนองบัวลำภู!I46"")"),0.0)</f>
        <v>0</v>
      </c>
      <c r="J111" s="238">
        <f>IFERROR(__xludf.DUMMYFUNCTION("IMPORTRANGE(""https://docs.google.com/spreadsheets/d/1XL5vhW3sbDhbH9Cz0tuDiY8C3ctxq1tqvaCgkFb8cCA/edit?usp=sharing"",""หนองบัวลำภู!J46"")"),0.0)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IFERROR(__xludf.DUMMYFUNCTION("IMPORTRANGE(""https://docs.google.com/spreadsheets/d/1XL5vhW3sbDhbH9Cz0tuDiY8C3ctxq1tqvaCgkFb8cCA/edit?usp=sharing"",""หนองบัวลำภู!I47"")"),0.0)</f>
        <v>0</v>
      </c>
      <c r="J112" s="238">
        <f>IFERROR(__xludf.DUMMYFUNCTION("IMPORTRANGE(""https://docs.google.com/spreadsheets/d/1XL5vhW3sbDhbH9Cz0tuDiY8C3ctxq1tqvaCgkFb8cCA/edit?usp=sharing"",""หนองบัวลำภู!J47"")"),0.0)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IFERROR(__xludf.DUMMYFUNCTION("IMPORTRANGE(""https://docs.google.com/spreadsheets/d/1XL5vhW3sbDhbH9Cz0tuDiY8C3ctxq1tqvaCgkFb8cCA/edit?usp=sharing"",""หนองบัวลำภู!I48"")"),0.0)</f>
        <v>0</v>
      </c>
      <c r="J113" s="238">
        <f>IFERROR(__xludf.DUMMYFUNCTION("IMPORTRANGE(""https://docs.google.com/spreadsheets/d/1XL5vhW3sbDhbH9Cz0tuDiY8C3ctxq1tqvaCgkFb8cCA/edit?usp=sharing"",""หนองบัวลำภู!J48"")"),0.0)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IFERROR(__xludf.DUMMYFUNCTION("IMPORTRANGE(""https://docs.google.com/spreadsheets/d/1XL5vhW3sbDhbH9Cz0tuDiY8C3ctxq1tqvaCgkFb8cCA/edit?usp=sharing"",""หนองบัวลำภู!J49"")"),0.0)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IFERROR(__xludf.DUMMYFUNCTION("IMPORTRANGE(""https://docs.google.com/spreadsheets/d/1XL5vhW3sbDhbH9Cz0tuDiY8C3ctxq1tqvaCgkFb8cCA/edit?usp=sharing"",""หนองบัวลำภู!J50"")"),0.0)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IFERROR(__xludf.DUMMYFUNCTION("IMPORTRANGE(""https://docs.google.com/spreadsheets/d/1XL5vhW3sbDhbH9Cz0tuDiY8C3ctxq1tqvaCgkFb8cCA/edit?usp=sharing"",""หนองบัวลำภู!I52"")"),0.0)</f>
        <v>0</v>
      </c>
      <c r="J117" s="172">
        <f>IFERROR(__xludf.DUMMYFUNCTION("IMPORTRANGE(""https://docs.google.com/spreadsheets/d/1XL5vhW3sbDhbH9Cz0tuDiY8C3ctxq1tqvaCgkFb8cCA/edit?usp=sharing"",""หนองบัวลำภู!J52"")"),0.0)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IFERROR(__xludf.DUMMYFUNCTION("IMPORTRANGE(""https://docs.google.com/spreadsheets/d/1Yj_ptqi66GCucihVvJfMjLAmec39IyEx_6qawtMGysU/edit?usp=sharing"",""สบก!BA54"")"),0.0)</f>
        <v>0</v>
      </c>
      <c r="N122" s="202">
        <f>IFERROR(__xludf.DUMMYFUNCTION("IMPORTRANGE(""https://docs.google.com/spreadsheets/d/1Yj_ptqi66GCucihVvJfMjLAmec39IyEx_6qawtMGysU/edit?usp=sharing"",""สบก!BB54"")"),0.0)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IFERROR(__xludf.DUMMYFUNCTION("IMPORTRANGE(""https://docs.google.com/spreadsheets/d/1Yj_ptqi66GCucihVvJfMjLAmec39IyEx_6qawtMGysU/edit?usp=sharing"",""สบก!AW54"")"),0.0)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IFERROR(__xludf.DUMMYFUNCTION("IMPORTRANGE(""https://docs.google.com/spreadsheets/d/1Yj_ptqi66GCucihVvJfMjLAmec39IyEx_6qawtMGysU/edit?usp=sharing"",""สบก!AX54"")"),0.0)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IFERROR(__xludf.DUMMYFUNCTION("IMPORTRANGE(""https://docs.google.com/spreadsheets/d/1Yj_ptqi66GCucihVvJfMjLAmec39IyEx_6qawtMGysU/edit?usp=sharing"",""สบก!AY54"")"),0.0)</f>
        <v>0</v>
      </c>
      <c r="M126" s="125"/>
      <c r="N126" s="115">
        <f>IFERROR(__xludf.DUMMYFUNCTION("IMPORTRANGE(""https://docs.google.com/spreadsheets/d/1Yj_ptqi66GCucihVvJfMjLAmec39IyEx_6qawtMGysU/edit?usp=sharing"",""สบก!BC54"")"),0.0)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IFERROR(__xludf.DUMMYFUNCTION("IMPORTRANGE(""https://docs.google.com/spreadsheets/d/1XL5vhW3sbDhbH9Cz0tuDiY8C3ctxq1tqvaCgkFb8cCA/edit?usp=sharing"",""หนองบัวลำภู!J58"")"),0.0)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IFERROR(__xludf.DUMMYFUNCTION("IMPORTRANGE(""https://docs.google.com/spreadsheets/d/1XL5vhW3sbDhbH9Cz0tuDiY8C3ctxq1tqvaCgkFb8cCA/edit?usp=sharing"",""หนองบัวลำภู!J59"")"),0.0)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IFERROR(__xludf.DUMMYFUNCTION("IMPORTRANGE(""https://docs.google.com/spreadsheets/d/1XL5vhW3sbDhbH9Cz0tuDiY8C3ctxq1tqvaCgkFb8cCA/edit?usp=sharing"",""หนองบัวลำภู!J60"")"),0.0)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IFERROR(__xludf.DUMMYFUNCTION("IMPORTRANGE(""https://docs.google.com/spreadsheets/d/1XL5vhW3sbDhbH9Cz0tuDiY8C3ctxq1tqvaCgkFb8cCA/edit?usp=sharing"",""หนองบัวลำภู!J61"")"),0.0)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IFERROR(__xludf.DUMMYFUNCTION("IMPORTRANGE(""https://docs.google.com/spreadsheets/d/1XL5vhW3sbDhbH9Cz0tuDiY8C3ctxq1tqvaCgkFb8cCA/edit?usp=sharing"",""หนองบัวลำภู!I62"")"),0.0)</f>
        <v>0</v>
      </c>
      <c r="J132" s="238">
        <f>IFERROR(__xludf.DUMMYFUNCTION("IMPORTRANGE(""https://docs.google.com/spreadsheets/d/1XL5vhW3sbDhbH9Cz0tuDiY8C3ctxq1tqvaCgkFb8cCA/edit?usp=sharing"",""หนองบัวลำภู!J62"")"),0.0)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IFERROR(__xludf.DUMMYFUNCTION("IMPORTRANGE(""https://docs.google.com/spreadsheets/d/1XL5vhW3sbDhbH9Cz0tuDiY8C3ctxq1tqvaCgkFb8cCA/edit?usp=sharing"",""หนองบัวลำภู!I63"")"),0.0)</f>
        <v>0</v>
      </c>
      <c r="J133" s="238">
        <f>IFERROR(__xludf.DUMMYFUNCTION("IMPORTRANGE(""https://docs.google.com/spreadsheets/d/1XL5vhW3sbDhbH9Cz0tuDiY8C3ctxq1tqvaCgkFb8cCA/edit?usp=sharing"",""หนองบัวลำภู!J63"")"),0.0)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IFERROR(__xludf.DUMMYFUNCTION("IMPORTRANGE(""https://docs.google.com/spreadsheets/d/1XL5vhW3sbDhbH9Cz0tuDiY8C3ctxq1tqvaCgkFb8cCA/edit?usp=sharing"",""หนองบัวลำภู!J64"")"),0.0)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IFERROR(__xludf.DUMMYFUNCTION("IMPORTRANGE(""https://docs.google.com/spreadsheets/d/1XL5vhW3sbDhbH9Cz0tuDiY8C3ctxq1tqvaCgkFb8cCA/edit?usp=sharing"",""หนองบัวลำภู!J65"")"),0.0)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IFERROR(__xludf.DUMMYFUNCTION("IMPORTRANGE(""https://docs.google.com/spreadsheets/d/1XL5vhW3sbDhbH9Cz0tuDiY8C3ctxq1tqvaCgkFb8cCA/edit?usp=sharing"",""หนองบัวลำภู!I68"")"),15.0)</f>
        <v>15</v>
      </c>
      <c r="J138" s="301">
        <f>IFERROR(__xludf.DUMMYFUNCTION("IMPORTRANGE(""https://docs.google.com/spreadsheets/d/1XL5vhW3sbDhbH9Cz0tuDiY8C3ctxq1tqvaCgkFb8cCA/edit?usp=sharing"",""หนองบัวลำภู!J68"")"),15.0)</f>
        <v>15</v>
      </c>
      <c r="K138" s="302">
        <f>IF(I138&gt;0,J138*100/I138,0)</f>
        <v>100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212100</v>
      </c>
      <c r="M140" s="183">
        <f t="shared" si="65"/>
        <v>232850</v>
      </c>
      <c r="N140" s="183">
        <f t="shared" si="65"/>
        <v>98497</v>
      </c>
      <c r="O140" s="182">
        <f t="shared" ref="O140:O142" si="67">IF(L140&gt;0,N140*100/L140,0)</f>
        <v>46.43894389</v>
      </c>
      <c r="P140" s="182">
        <f t="shared" ref="P140:P142" si="68">IF(M140&gt;0,N140*100/M140,0)</f>
        <v>42.30062272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212100</v>
      </c>
      <c r="M142" s="188">
        <f t="shared" si="69"/>
        <v>232850</v>
      </c>
      <c r="N142" s="188">
        <f t="shared" si="69"/>
        <v>98497</v>
      </c>
      <c r="O142" s="187">
        <f t="shared" si="67"/>
        <v>46.43894389</v>
      </c>
      <c r="P142" s="187">
        <f t="shared" si="68"/>
        <v>42.30062272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212100</v>
      </c>
      <c r="M144" s="201">
        <f>IFERROR(__xludf.DUMMYFUNCTION("IMPORTRANGE(""https://docs.google.com/spreadsheets/d/1Yj_ptqi66GCucihVvJfMjLAmec39IyEx_6qawtMGysU/edit?usp=sharing"",""สบก!BJ54"")"),232850.0)</f>
        <v>232850</v>
      </c>
      <c r="N144" s="202">
        <f>IFERROR(__xludf.DUMMYFUNCTION("IMPORTRANGE(""https://docs.google.com/spreadsheets/d/1Yj_ptqi66GCucihVvJfMjLAmec39IyEx_6qawtMGysU/edit?usp=sharing"",""สบก!BK54"")"),98497.0)</f>
        <v>98497</v>
      </c>
      <c r="O144" s="203">
        <f>IF(L144&gt;0,N144*100/L144,0)</f>
        <v>46.43894389</v>
      </c>
      <c r="P144" s="203">
        <f>IF(M144&gt;0,N144*100/M144,0)</f>
        <v>42.30062272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IFERROR(__xludf.DUMMYFUNCTION("IMPORTRANGE(""https://docs.google.com/spreadsheets/d/1Yj_ptqi66GCucihVvJfMjLAmec39IyEx_6qawtMGysU/edit?usp=sharing"",""สบก!BF54"")"),95100.0)</f>
        <v>95100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IFERROR(__xludf.DUMMYFUNCTION("IMPORTRANGE(""https://docs.google.com/spreadsheets/d/1Yj_ptqi66GCucihVvJfMjLAmec39IyEx_6qawtMGysU/edit?usp=sharing"",""สบก!BG54"")"),117000.0)</f>
        <v>117000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IFERROR(__xludf.DUMMYFUNCTION("IMPORTRANGE(""https://docs.google.com/spreadsheets/d/1Yj_ptqi66GCucihVvJfMjLAmec39IyEx_6qawtMGysU/edit?usp=sharing"",""สบก!BH54"")"),0.0)</f>
        <v>0</v>
      </c>
      <c r="M148" s="125"/>
      <c r="N148" s="115">
        <f>IFERROR(__xludf.DUMMYFUNCTION("IMPORTRANGE(""https://docs.google.com/spreadsheets/d/1Yj_ptqi66GCucihVvJfMjLAmec39IyEx_6qawtMGysU/edit?usp=sharing"",""สบก!BL54"")"),0.0)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IFERROR(__xludf.DUMMYFUNCTION("IMPORTRANGE(""https://docs.google.com/spreadsheets/d/1XL5vhW3sbDhbH9Cz0tuDiY8C3ctxq1tqvaCgkFb8cCA/edit?usp=sharing"",""หนองบัวลำภู!I74"")"),4.0)</f>
        <v>4</v>
      </c>
      <c r="J149" s="309">
        <f>IFERROR(__xludf.DUMMYFUNCTION("IMPORTRANGE(""https://docs.google.com/spreadsheets/d/1XL5vhW3sbDhbH9Cz0tuDiY8C3ctxq1tqvaCgkFb8cCA/edit?usp=sharing"",""หนองบัวลำภู!J74"")"),0.0)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IFERROR(__xludf.DUMMYFUNCTION("IMPORTRANGE(""https://docs.google.com/spreadsheets/d/1XL5vhW3sbDhbH9Cz0tuDiY8C3ctxq1tqvaCgkFb8cCA/edit?usp=sharing"",""หนองบัวลำภู!J79"")"),1.0)</f>
        <v>1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IFERROR(__xludf.DUMMYFUNCTION("IMPORTRANGE(""https://docs.google.com/spreadsheets/d/1XL5vhW3sbDhbH9Cz0tuDiY8C3ctxq1tqvaCgkFb8cCA/edit?usp=sharing"",""หนองบัวลำภู!J80"")"),0.0)</f>
        <v>0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IFERROR(__xludf.DUMMYFUNCTION("IMPORTRANGE(""https://docs.google.com/spreadsheets/d/1XL5vhW3sbDhbH9Cz0tuDiY8C3ctxq1tqvaCgkFb8cCA/edit?usp=sharing"",""หนองบัวลำภู!J81"")"),0.0)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IFERROR(__xludf.DUMMYFUNCTION("IMPORTRANGE(""https://docs.google.com/spreadsheets/d/1XL5vhW3sbDhbH9Cz0tuDiY8C3ctxq1tqvaCgkFb8cCA/edit?usp=sharing"",""หนองบัวลำภู!J82"")"),0.0)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IFERROR(__xludf.DUMMYFUNCTION("IMPORTRANGE(""https://docs.google.com/spreadsheets/d/1XL5vhW3sbDhbH9Cz0tuDiY8C3ctxq1tqvaCgkFb8cCA/edit?usp=sharing"",""หนองบัวลำภู!I83"")"),4.0)</f>
        <v>4</v>
      </c>
      <c r="J158" s="223">
        <f>IFERROR(__xludf.DUMMYFUNCTION("IMPORTRANGE(""https://docs.google.com/spreadsheets/d/1XL5vhW3sbDhbH9Cz0tuDiY8C3ctxq1tqvaCgkFb8cCA/edit?usp=sharing"",""หนองบัวลำภู!J83"")"),0.0)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IFERROR(__xludf.DUMMYFUNCTION("IMPORTRANGE(""https://docs.google.com/spreadsheets/d/1XL5vhW3sbDhbH9Cz0tuDiY8C3ctxq1tqvaCgkFb8cCA/edit?usp=sharing"",""หนองบัวลำภู!J84"")"),0.0)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IFERROR(__xludf.DUMMYFUNCTION("IMPORTRANGE(""https://docs.google.com/spreadsheets/d/1XL5vhW3sbDhbH9Cz0tuDiY8C3ctxq1tqvaCgkFb8cCA/edit?usp=sharing"",""หนองบัวลำภู!J85"")"),0.0)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IFERROR(__xludf.DUMMYFUNCTION("IMPORTRANGE(""https://docs.google.com/spreadsheets/d/1XL5vhW3sbDhbH9Cz0tuDiY8C3ctxq1tqvaCgkFb8cCA/edit?usp=sharing"",""หนองบัวลำภู!J86"")"),0.0)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IFERROR(__xludf.DUMMYFUNCTION("IMPORTRANGE(""https://docs.google.com/spreadsheets/d/1XL5vhW3sbDhbH9Cz0tuDiY8C3ctxq1tqvaCgkFb8cCA/edit?usp=sharing"",""หนองบัวลำภู!J87"")"),0.0)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IFERROR(__xludf.DUMMYFUNCTION("IMPORTRANGE(""https://docs.google.com/spreadsheets/d/1XL5vhW3sbDhbH9Cz0tuDiY8C3ctxq1tqvaCgkFb8cCA/edit?usp=sharing"",""หนองบัวลำภู!J88"")"),0.0)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IFERROR(__xludf.DUMMYFUNCTION("IMPORTRANGE(""https://docs.google.com/spreadsheets/d/1XL5vhW3sbDhbH9Cz0tuDiY8C3ctxq1tqvaCgkFb8cCA/edit?usp=sharing"",""หนองบัวลำภู!I89"")"),3.0)</f>
        <v>3</v>
      </c>
      <c r="J164" s="317">
        <f>IFERROR(__xludf.DUMMYFUNCTION("IMPORTRANGE(""https://docs.google.com/spreadsheets/d/1XL5vhW3sbDhbH9Cz0tuDiY8C3ctxq1tqvaCgkFb8cCA/edit?usp=sharing"",""หนองบัวลำภู!J89"")"),2.0)</f>
        <v>2</v>
      </c>
      <c r="K164" s="318">
        <f>IF(I164&gt;0,J164*100/I164,0)</f>
        <v>66.66666667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IFERROR(__xludf.DUMMYFUNCTION("IMPORTRANGE(""https://docs.google.com/spreadsheets/d/1XL5vhW3sbDhbH9Cz0tuDiY8C3ctxq1tqvaCgkFb8cCA/edit?usp=sharing"",""หนองบัวลำภู!J94"")"),0.0)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IFERROR(__xludf.DUMMYFUNCTION("IMPORTRANGE(""https://docs.google.com/spreadsheets/d/1XL5vhW3sbDhbH9Cz0tuDiY8C3ctxq1tqvaCgkFb8cCA/edit?usp=sharing"",""หนองบัวลำภู!J95"")"),1.0)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IFERROR(__xludf.DUMMYFUNCTION("IMPORTRANGE(""https://docs.google.com/spreadsheets/d/1XL5vhW3sbDhbH9Cz0tuDiY8C3ctxq1tqvaCgkFb8cCA/edit?usp=sharing"",""หนองบัวลำภู!J96"")"),1.0)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IFERROR(__xludf.DUMMYFUNCTION("IMPORTRANGE(""https://docs.google.com/spreadsheets/d/1XL5vhW3sbDhbH9Cz0tuDiY8C3ctxq1tqvaCgkFb8cCA/edit?usp=sharing"",""หนองบัวลำภู!J97"")"),1.0)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IFERROR(__xludf.DUMMYFUNCTION("IMPORTRANGE(""https://docs.google.com/spreadsheets/d/1XL5vhW3sbDhbH9Cz0tuDiY8C3ctxq1tqvaCgkFb8cCA/edit?usp=sharing"",""หนองบัวลำภู!I98"")"),3.0)</f>
        <v>3</v>
      </c>
      <c r="J173" s="223">
        <f>IFERROR(__xludf.DUMMYFUNCTION("IMPORTRANGE(""https://docs.google.com/spreadsheets/d/1XL5vhW3sbDhbH9Cz0tuDiY8C3ctxq1tqvaCgkFb8cCA/edit?usp=sharing"",""หนองบัวลำภู!J98"")"),2.0)</f>
        <v>2</v>
      </c>
      <c r="K173" s="196">
        <f>IF(I173&gt;0,J173*100/I173,0)</f>
        <v>66.66666667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IFERROR(__xludf.DUMMYFUNCTION("IMPORTRANGE(""https://docs.google.com/spreadsheets/d/1XL5vhW3sbDhbH9Cz0tuDiY8C3ctxq1tqvaCgkFb8cCA/edit?usp=sharing"",""หนองบัวลำภู!J99"")"),0.0)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IFERROR(__xludf.DUMMYFUNCTION("IMPORTRANGE(""https://docs.google.com/spreadsheets/d/1XL5vhW3sbDhbH9Cz0tuDiY8C3ctxq1tqvaCgkFb8cCA/edit?usp=sharing"",""หนองบัวลำภู!J100"")"),0.0)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IFERROR(__xludf.DUMMYFUNCTION("IMPORTRANGE(""https://docs.google.com/spreadsheets/d/1XL5vhW3sbDhbH9Cz0tuDiY8C3ctxq1tqvaCgkFb8cCA/edit?usp=sharing"",""หนองบัวลำภู!I101"")"),3.0)</f>
        <v>3</v>
      </c>
      <c r="J176" s="317">
        <f>IFERROR(__xludf.DUMMYFUNCTION("IMPORTRANGE(""https://docs.google.com/spreadsheets/d/1XL5vhW3sbDhbH9Cz0tuDiY8C3ctxq1tqvaCgkFb8cCA/edit?usp=sharing"",""หนองบัวลำภู!J101"")"),0.0)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IFERROR(__xludf.DUMMYFUNCTION("IMPORTRANGE(""https://docs.google.com/spreadsheets/d/1XL5vhW3sbDhbH9Cz0tuDiY8C3ctxq1tqvaCgkFb8cCA/edit?usp=sharing"",""หนองบัวลำภู!J106"")"),0.0)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IFERROR(__xludf.DUMMYFUNCTION("IMPORTRANGE(""https://docs.google.com/spreadsheets/d/1XL5vhW3sbDhbH9Cz0tuDiY8C3ctxq1tqvaCgkFb8cCA/edit?usp=sharing"",""หนองบัวลำภู!J107"")"),1.0)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IFERROR(__xludf.DUMMYFUNCTION("IMPORTRANGE(""https://docs.google.com/spreadsheets/d/1XL5vhW3sbDhbH9Cz0tuDiY8C3ctxq1tqvaCgkFb8cCA/edit?usp=sharing"",""หนองบัวลำภู!J108"")"),1.0)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IFERROR(__xludf.DUMMYFUNCTION("IMPORTRANGE(""https://docs.google.com/spreadsheets/d/1XL5vhW3sbDhbH9Cz0tuDiY8C3ctxq1tqvaCgkFb8cCA/edit?usp=sharing"",""หนองบัวลำภู!J109"")"),1.0)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IFERROR(__xludf.DUMMYFUNCTION("IMPORTRANGE(""https://docs.google.com/spreadsheets/d/1XL5vhW3sbDhbH9Cz0tuDiY8C3ctxq1tqvaCgkFb8cCA/edit?usp=sharing"",""หนองบัวลำภู!I110"")"),3.0)</f>
        <v>3</v>
      </c>
      <c r="J185" s="238">
        <f>IFERROR(__xludf.DUMMYFUNCTION("IMPORTRANGE(""https://docs.google.com/spreadsheets/d/1XL5vhW3sbDhbH9Cz0tuDiY8C3ctxq1tqvaCgkFb8cCA/edit?usp=sharing"",""หนองบัวลำภู!J110"")"),0.0)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IFERROR(__xludf.DUMMYFUNCTION("IMPORTRANGE(""https://docs.google.com/spreadsheets/d/1XL5vhW3sbDhbH9Cz0tuDiY8C3ctxq1tqvaCgkFb8cCA/edit?usp=sharing"",""หนองบัวลำภู!I111"")"),3.0)</f>
        <v>3</v>
      </c>
      <c r="J186" s="238">
        <f>IFERROR(__xludf.DUMMYFUNCTION("IMPORTRANGE(""https://docs.google.com/spreadsheets/d/1XL5vhW3sbDhbH9Cz0tuDiY8C3ctxq1tqvaCgkFb8cCA/edit?usp=sharing"",""หนองบัวลำภู!J111"")"),0.0)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IFERROR(__xludf.DUMMYFUNCTION("IMPORTRANGE(""https://docs.google.com/spreadsheets/d/1XL5vhW3sbDhbH9Cz0tuDiY8C3ctxq1tqvaCgkFb8cCA/edit?usp=sharing"",""หนองบัวลำภู!J112"")"),0.0)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IFERROR(__xludf.DUMMYFUNCTION("IMPORTRANGE(""https://docs.google.com/spreadsheets/d/1XL5vhW3sbDhbH9Cz0tuDiY8C3ctxq1tqvaCgkFb8cCA/edit?usp=sharing"",""หนองบัวลำภู!J113"")"),0.0)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IFERROR(__xludf.DUMMYFUNCTION("IMPORTRANGE(""https://docs.google.com/spreadsheets/d/1XL5vhW3sbDhbH9Cz0tuDiY8C3ctxq1tqvaCgkFb8cCA/edit?usp=sharing"",""หนองบัวลำภู!I114"")"),10000.0)</f>
        <v>10000</v>
      </c>
      <c r="J189" s="317">
        <f>IFERROR(__xludf.DUMMYFUNCTION("IMPORTRANGE(""https://docs.google.com/spreadsheets/d/1XL5vhW3sbDhbH9Cz0tuDiY8C3ctxq1tqvaCgkFb8cCA/edit?usp=sharing"",""หนองบัวลำภู!J114"")"),0.0)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IFERROR(__xludf.DUMMYFUNCTION("IMPORTRANGE(""https://docs.google.com/spreadsheets/d/1XL5vhW3sbDhbH9Cz0tuDiY8C3ctxq1tqvaCgkFb8cCA/edit?usp=sharing"",""หนองบัวลำภู!J119"")"),0.0)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IFERROR(__xludf.DUMMYFUNCTION("IMPORTRANGE(""https://docs.google.com/spreadsheets/d/1XL5vhW3sbDhbH9Cz0tuDiY8C3ctxq1tqvaCgkFb8cCA/edit?usp=sharing"",""หนองบัวลำภู!J120"")"),1.0)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IFERROR(__xludf.DUMMYFUNCTION("IMPORTRANGE(""https://docs.google.com/spreadsheets/d/1XL5vhW3sbDhbH9Cz0tuDiY8C3ctxq1tqvaCgkFb8cCA/edit?usp=sharing"",""หนองบัวลำภู!J121"")"),1.0)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IFERROR(__xludf.DUMMYFUNCTION("IMPORTRANGE(""https://docs.google.com/spreadsheets/d/1XL5vhW3sbDhbH9Cz0tuDiY8C3ctxq1tqvaCgkFb8cCA/edit?usp=sharing"",""หนองบัวลำภู!J122"")"),1.0)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IFERROR(__xludf.DUMMYFUNCTION("IMPORTRANGE(""https://docs.google.com/spreadsheets/d/1XL5vhW3sbDhbH9Cz0tuDiY8C3ctxq1tqvaCgkFb8cCA/edit?usp=sharing"",""หนองบัวลำภู!I124"")"),10000.0)</f>
        <v>10000</v>
      </c>
      <c r="J199" s="223">
        <f>IFERROR(__xludf.DUMMYFUNCTION("IMPORTRANGE(""https://docs.google.com/spreadsheets/d/1XL5vhW3sbDhbH9Cz0tuDiY8C3ctxq1tqvaCgkFb8cCA/edit?usp=sharing"",""หนองบัวลำภู!J124"")"),0.0)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IFERROR(__xludf.DUMMYFUNCTION("IMPORTRANGE(""https://docs.google.com/spreadsheets/d/1XL5vhW3sbDhbH9Cz0tuDiY8C3ctxq1tqvaCgkFb8cCA/edit?usp=sharing"",""หนองบัวลำภู!I125"")"),10000.0)</f>
        <v>10000</v>
      </c>
      <c r="J200" s="223">
        <f>IFERROR(__xludf.DUMMYFUNCTION("IMPORTRANGE(""https://docs.google.com/spreadsheets/d/1XL5vhW3sbDhbH9Cz0tuDiY8C3ctxq1tqvaCgkFb8cCA/edit?usp=sharing"",""หนองบัวลำภู!J125"")"),0.0)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IFERROR(__xludf.DUMMYFUNCTION("IMPORTRANGE(""https://docs.google.com/spreadsheets/d/1XL5vhW3sbDhbH9Cz0tuDiY8C3ctxq1tqvaCgkFb8cCA/edit?usp=sharing"",""หนองบัวลำภู!I126"")"),15.0)</f>
        <v>15</v>
      </c>
      <c r="J201" s="223">
        <f>IFERROR(__xludf.DUMMYFUNCTION("IMPORTRANGE(""https://docs.google.com/spreadsheets/d/1XL5vhW3sbDhbH9Cz0tuDiY8C3ctxq1tqvaCgkFb8cCA/edit?usp=sharing"",""หนองบัวลำภู!J126"")"),15.0)</f>
        <v>15</v>
      </c>
      <c r="K201" s="196">
        <f t="shared" si="71"/>
        <v>100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IFERROR(__xludf.DUMMYFUNCTION("IMPORTRANGE(""https://docs.google.com/spreadsheets/d/1XL5vhW3sbDhbH9Cz0tuDiY8C3ctxq1tqvaCgkFb8cCA/edit?usp=sharing"",""หนองบัวลำภู!J127"")"),0.0)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IFERROR(__xludf.DUMMYFUNCTION("IMPORTRANGE(""https://docs.google.com/spreadsheets/d/1XL5vhW3sbDhbH9Cz0tuDiY8C3ctxq1tqvaCgkFb8cCA/edit?usp=sharing"",""หนองบัวลำภู!J128"")"),0.0)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IFERROR(__xludf.DUMMYFUNCTION("IMPORTRANGE(""https://docs.google.com/spreadsheets/d/1XL5vhW3sbDhbH9Cz0tuDiY8C3ctxq1tqvaCgkFb8cCA/edit?usp=sharing"",""หนองบัวลำภู!I129"")"),0.0)</f>
        <v>0</v>
      </c>
      <c r="J204" s="317">
        <f>IFERROR(__xludf.DUMMYFUNCTION("IMPORTRANGE(""https://docs.google.com/spreadsheets/d/1XL5vhW3sbDhbH9Cz0tuDiY8C3ctxq1tqvaCgkFb8cCA/edit?usp=sharing"",""หนองบัวลำภู!J129"")"),0.0)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IFERROR(__xludf.DUMMYFUNCTION("IMPORTRANGE(""https://docs.google.com/spreadsheets/d/1XL5vhW3sbDhbH9Cz0tuDiY8C3ctxq1tqvaCgkFb8cCA/edit?usp=sharing"",""หนองบัวลำภู!J134"")"),0.0)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IFERROR(__xludf.DUMMYFUNCTION("IMPORTRANGE(""https://docs.google.com/spreadsheets/d/1XL5vhW3sbDhbH9Cz0tuDiY8C3ctxq1tqvaCgkFb8cCA/edit?usp=sharing"",""หนองบัวลำภู!J135"")"),0.0)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IFERROR(__xludf.DUMMYFUNCTION("IMPORTRANGE(""https://docs.google.com/spreadsheets/d/1XL5vhW3sbDhbH9Cz0tuDiY8C3ctxq1tqvaCgkFb8cCA/edit?usp=sharing"",""หนองบัวลำภู!J136"")"),0.0)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IFERROR(__xludf.DUMMYFUNCTION("IMPORTRANGE(""https://docs.google.com/spreadsheets/d/1XL5vhW3sbDhbH9Cz0tuDiY8C3ctxq1tqvaCgkFb8cCA/edit?usp=sharing"",""หนองบัวลำภู!J137"")"),0.0)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IFERROR(__xludf.DUMMYFUNCTION("IMPORTRANGE(""https://docs.google.com/spreadsheets/d/1XL5vhW3sbDhbH9Cz0tuDiY8C3ctxq1tqvaCgkFb8cCA/edit?usp=sharing"",""หนองบัวลำภู!I138"")"),0.0)</f>
        <v>0</v>
      </c>
      <c r="J213" s="238">
        <f>IFERROR(__xludf.DUMMYFUNCTION("IMPORTRANGE(""https://docs.google.com/spreadsheets/d/1XL5vhW3sbDhbH9Cz0tuDiY8C3ctxq1tqvaCgkFb8cCA/edit?usp=sharing"",""หนองบัวลำภู!J138"")"),0.0)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IFERROR(__xludf.DUMMYFUNCTION("IMPORTRANGE(""https://docs.google.com/spreadsheets/d/1XL5vhW3sbDhbH9Cz0tuDiY8C3ctxq1tqvaCgkFb8cCA/edit?usp=sharing"",""หนองบัวลำภู!I140"")"),0.0)</f>
        <v>0</v>
      </c>
      <c r="J215" s="238">
        <f>IFERROR(__xludf.DUMMYFUNCTION("IMPORTRANGE(""https://docs.google.com/spreadsheets/d/1XL5vhW3sbDhbH9Cz0tuDiY8C3ctxq1tqvaCgkFb8cCA/edit?usp=sharing"",""หนองบัวลำภู!J140"")"),0.0)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IFERROR(__xludf.DUMMYFUNCTION("IMPORTRANGE(""https://docs.google.com/spreadsheets/d/1XL5vhW3sbDhbH9Cz0tuDiY8C3ctxq1tqvaCgkFb8cCA/edit?usp=sharing"",""หนองบัวลำภู!I141"")"),0.0)</f>
        <v>0</v>
      </c>
      <c r="J216" s="238">
        <f>IFERROR(__xludf.DUMMYFUNCTION("IMPORTRANGE(""https://docs.google.com/spreadsheets/d/1XL5vhW3sbDhbH9Cz0tuDiY8C3ctxq1tqvaCgkFb8cCA/edit?usp=sharing"",""หนองบัวลำภู!J141"")"),0.0)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IFERROR(__xludf.DUMMYFUNCTION("IMPORTRANGE(""https://docs.google.com/spreadsheets/d/1XL5vhW3sbDhbH9Cz0tuDiY8C3ctxq1tqvaCgkFb8cCA/edit?usp=sharing"",""หนองบัวลำภู!J142"")"),0.0)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IFERROR(__xludf.DUMMYFUNCTION("IMPORTRANGE(""https://docs.google.com/spreadsheets/d/1XL5vhW3sbDhbH9Cz0tuDiY8C3ctxq1tqvaCgkFb8cCA/edit?usp=sharing"",""หนองบัวลำภู!J143"")"),0.0)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IFERROR(__xludf.DUMMYFUNCTION("IMPORTRANGE(""https://docs.google.com/spreadsheets/d/1XL5vhW3sbDhbH9Cz0tuDiY8C3ctxq1tqvaCgkFb8cCA/edit?usp=sharing"",""หนองบัวลำภู!I144"")"),13.0)</f>
        <v>13</v>
      </c>
      <c r="J219" s="301">
        <f>IFERROR(__xludf.DUMMYFUNCTION("IMPORTRANGE(""https://docs.google.com/spreadsheets/d/1XL5vhW3sbDhbH9Cz0tuDiY8C3ctxq1tqvaCgkFb8cCA/edit?usp=sharing"",""หนองบัวลำภู!J144"")"),13.0)</f>
        <v>13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19295</v>
      </c>
      <c r="M220" s="183">
        <f t="shared" si="73"/>
        <v>19295</v>
      </c>
      <c r="N220" s="183">
        <f t="shared" si="73"/>
        <v>19295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19295</v>
      </c>
      <c r="M222" s="188">
        <f t="shared" si="77"/>
        <v>19295</v>
      </c>
      <c r="N222" s="188">
        <f t="shared" si="77"/>
        <v>19295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19295</v>
      </c>
      <c r="M224" s="201">
        <f>IFERROR(__xludf.DUMMYFUNCTION("IMPORTRANGE(""https://docs.google.com/spreadsheets/d/1Yj_ptqi66GCucihVvJfMjLAmec39IyEx_6qawtMGysU/edit?usp=sharing"",""สบก!BS54"")"),19295.0)</f>
        <v>19295</v>
      </c>
      <c r="N224" s="202">
        <f>IFERROR(__xludf.DUMMYFUNCTION("IMPORTRANGE(""https://docs.google.com/spreadsheets/d/1Yj_ptqi66GCucihVvJfMjLAmec39IyEx_6qawtMGysU/edit?usp=sharing"",""สบก!BT54"")"),19295.0)</f>
        <v>19295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IFERROR(__xludf.DUMMYFUNCTION("IMPORTRANGE(""https://docs.google.com/spreadsheets/d/1Yj_ptqi66GCucihVvJfMjLAmec39IyEx_6qawtMGysU/edit?usp=sharing"",""สบก!BO54"")"),0.0)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IFERROR(__xludf.DUMMYFUNCTION("IMPORTRANGE(""https://docs.google.com/spreadsheets/d/1Yj_ptqi66GCucihVvJfMjLAmec39IyEx_6qawtMGysU/edit?usp=sharing"",""สบก!BP54"")"),19295.0)</f>
        <v>19295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IFERROR(__xludf.DUMMYFUNCTION("IMPORTRANGE(""https://docs.google.com/spreadsheets/d/1Yj_ptqi66GCucihVvJfMjLAmec39IyEx_6qawtMGysU/edit?usp=sharing"",""สบก!BQ54"")"),0.0)</f>
        <v>0</v>
      </c>
      <c r="M228" s="125"/>
      <c r="N228" s="115">
        <f>IFERROR(__xludf.DUMMYFUNCTION("IMPORTRANGE(""https://docs.google.com/spreadsheets/d/1Yj_ptqi66GCucihVvJfMjLAmec39IyEx_6qawtMGysU/edit?usp=sharing"",""สบก!BU54"")"),0.0)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IFERROR(__xludf.DUMMYFUNCTION("IMPORTRANGE(""https://docs.google.com/spreadsheets/d/1XL5vhW3sbDhbH9Cz0tuDiY8C3ctxq1tqvaCgkFb8cCA/edit?usp=sharing"",""หนองบัวลำภู!I149"")"),13.0)</f>
        <v>13</v>
      </c>
      <c r="J229" s="301">
        <f>IFERROR(__xludf.DUMMYFUNCTION("IMPORTRANGE(""https://docs.google.com/spreadsheets/d/1XL5vhW3sbDhbH9Cz0tuDiY8C3ctxq1tqvaCgkFb8cCA/edit?usp=sharing"",""หนองบัวลำภู!J149"")"),13.0)</f>
        <v>13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IFERROR(__xludf.DUMMYFUNCTION("IMPORTRANGE(""https://docs.google.com/spreadsheets/d/1XL5vhW3sbDhbH9Cz0tuDiY8C3ctxq1tqvaCgkFb8cCA/edit?usp=sharing"",""หนองบัวลำภู!J151"")"),0.0)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IFERROR(__xludf.DUMMYFUNCTION("IMPORTRANGE(""https://docs.google.com/spreadsheets/d/1XL5vhW3sbDhbH9Cz0tuDiY8C3ctxq1tqvaCgkFb8cCA/edit?usp=sharing"",""หนองบัวลำภู!J152"")"),1.0)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IFERROR(__xludf.DUMMYFUNCTION("IMPORTRANGE(""https://docs.google.com/spreadsheets/d/1XL5vhW3sbDhbH9Cz0tuDiY8C3ctxq1tqvaCgkFb8cCA/edit?usp=sharing"",""หนองบัวลำภู!J153"")"),1.0)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IFERROR(__xludf.DUMMYFUNCTION("IMPORTRANGE(""https://docs.google.com/spreadsheets/d/1XL5vhW3sbDhbH9Cz0tuDiY8C3ctxq1tqvaCgkFb8cCA/edit?usp=sharing"",""หนองบัวลำภู!J154"")"),1.0)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IFERROR(__xludf.DUMMYFUNCTION("IMPORTRANGE(""https://docs.google.com/spreadsheets/d/1XL5vhW3sbDhbH9Cz0tuDiY8C3ctxq1tqvaCgkFb8cCA/edit?usp=sharing"",""หนองบัวลำภู!I155"")"),13.0)</f>
        <v>13</v>
      </c>
      <c r="J235" s="223">
        <f>IFERROR(__xludf.DUMMYFUNCTION("IMPORTRANGE(""https://docs.google.com/spreadsheets/d/1XL5vhW3sbDhbH9Cz0tuDiY8C3ctxq1tqvaCgkFb8cCA/edit?usp=sharing"",""หนองบัวลำภู!J155"")"),13.0)</f>
        <v>13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IFERROR(__xludf.DUMMYFUNCTION("IMPORTRANGE(""https://docs.google.com/spreadsheets/d/1XL5vhW3sbDhbH9Cz0tuDiY8C3ctxq1tqvaCgkFb8cCA/edit?usp=sharing"",""หนองบัวลำภู!J156"")"),0.0)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IFERROR(__xludf.DUMMYFUNCTION("IMPORTRANGE(""https://docs.google.com/spreadsheets/d/1XL5vhW3sbDhbH9Cz0tuDiY8C3ctxq1tqvaCgkFb8cCA/edit?usp=sharing"",""หนองบัวลำภู!J157"")"),0.0)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IFERROR(__xludf.DUMMYFUNCTION("IMPORTRANGE(""https://docs.google.com/spreadsheets/d/1XL5vhW3sbDhbH9Cz0tuDiY8C3ctxq1tqvaCgkFb8cCA/edit?usp=sharing"",""หนองบัวลำภู!I158"")"),0.0)</f>
        <v>0</v>
      </c>
      <c r="J238" s="301">
        <f>IFERROR(__xludf.DUMMYFUNCTION("IMPORTRANGE(""https://docs.google.com/spreadsheets/d/1XL5vhW3sbDhbH9Cz0tuDiY8C3ctxq1tqvaCgkFb8cCA/edit?usp=sharing"",""หนองบัวลำภู!J158"")"),0.0)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IFERROR(__xludf.DUMMYFUNCTION("IMPORTRANGE(""https://docs.google.com/spreadsheets/d/1XL5vhW3sbDhbH9Cz0tuDiY8C3ctxq1tqvaCgkFb8cCA/edit?usp=sharing"",""หนองบัวลำภู!J159"")"),"")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IFERROR(__xludf.DUMMYFUNCTION("IMPORTRANGE(""https://docs.google.com/spreadsheets/d/1XL5vhW3sbDhbH9Cz0tuDiY8C3ctxq1tqvaCgkFb8cCA/edit?usp=sharing"",""หนองบัวลำภู!J161"")"),0.0)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IFERROR(__xludf.DUMMYFUNCTION("IMPORTRANGE(""https://docs.google.com/spreadsheets/d/1XL5vhW3sbDhbH9Cz0tuDiY8C3ctxq1tqvaCgkFb8cCA/edit?usp=sharing"",""หนองบัวลำภู!J162"")"),0.0)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IFERROR(__xludf.DUMMYFUNCTION("IMPORTRANGE(""https://docs.google.com/spreadsheets/d/1XL5vhW3sbDhbH9Cz0tuDiY8C3ctxq1tqvaCgkFb8cCA/edit?usp=sharing"",""หนองบัวลำภู!J163"")"),0.0)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IFERROR(__xludf.DUMMYFUNCTION("IMPORTRANGE(""https://docs.google.com/spreadsheets/d/1XL5vhW3sbDhbH9Cz0tuDiY8C3ctxq1tqvaCgkFb8cCA/edit?usp=sharing"",""หนองบัวลำภู!I164"")"),0.0)</f>
        <v>0</v>
      </c>
      <c r="J244" s="222">
        <f>IFERROR(__xludf.DUMMYFUNCTION("IMPORTRANGE(""https://docs.google.com/spreadsheets/d/1XL5vhW3sbDhbH9Cz0tuDiY8C3ctxq1tqvaCgkFb8cCA/edit?usp=sharing"",""หนองบัวลำภู!J164"")"),0.0)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IFERROR(__xludf.DUMMYFUNCTION("IMPORTRANGE(""https://docs.google.com/spreadsheets/d/1XL5vhW3sbDhbH9Cz0tuDiY8C3ctxq1tqvaCgkFb8cCA/edit?usp=sharing"",""หนองบัวลำภู!J165"")"),0.0)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IFERROR(__xludf.DUMMYFUNCTION("IMPORTRANGE(""https://docs.google.com/spreadsheets/d/1XL5vhW3sbDhbH9Cz0tuDiY8C3ctxq1tqvaCgkFb8cCA/edit?usp=sharing"",""หนองบัวลำภู!J166"")"),0.0)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IFERROR(__xludf.DUMMYFUNCTION("IMPORTRANGE(""https://docs.google.com/spreadsheets/d/1XL5vhW3sbDhbH9Cz0tuDiY8C3ctxq1tqvaCgkFb8cCA/edit?usp=sharing"",""หนองบัวลำภู!I169"")"),0.0)</f>
        <v>0</v>
      </c>
      <c r="J249" s="349">
        <f>IFERROR(__xludf.DUMMYFUNCTION("IMPORTRANGE(""https://docs.google.com/spreadsheets/d/1XL5vhW3sbDhbH9Cz0tuDiY8C3ctxq1tqvaCgkFb8cCA/edit?usp=sharing"",""หนองบัวลำภู!J169"")"),0.0)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IFERROR(__xludf.DUMMYFUNCTION("IMPORTRANGE(""https://docs.google.com/spreadsheets/d/1Yj_ptqi66GCucihVvJfMjLAmec39IyEx_6qawtMGysU/edit?usp=sharing"",""สบก!CB54"")"),0.0)</f>
        <v>0</v>
      </c>
      <c r="N254" s="202">
        <f>IFERROR(__xludf.DUMMYFUNCTION("IMPORTRANGE(""https://docs.google.com/spreadsheets/d/1Yj_ptqi66GCucihVvJfMjLAmec39IyEx_6qawtMGysU/edit?usp=sharing"",""สบก!CC54"")"),0.0)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IFERROR(__xludf.DUMMYFUNCTION("IMPORTRANGE(""https://docs.google.com/spreadsheets/d/1Yj_ptqi66GCucihVvJfMjLAmec39IyEx_6qawtMGysU/edit?usp=sharing"",""สบก!BX54"")"),0.0)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IFERROR(__xludf.DUMMYFUNCTION("IMPORTRANGE(""https://docs.google.com/spreadsheets/d/1Yj_ptqi66GCucihVvJfMjLAmec39IyEx_6qawtMGysU/edit?usp=sharing"",""สบก!BY54"")"),0.0)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IFERROR(__xludf.DUMMYFUNCTION("IMPORTRANGE(""https://docs.google.com/spreadsheets/d/1Yj_ptqi66GCucihVvJfMjLAmec39IyEx_6qawtMGysU/edit?usp=sharing"",""สบก!BZ54"")"),0.0)</f>
        <v>0</v>
      </c>
      <c r="M258" s="125"/>
      <c r="N258" s="115">
        <f>IFERROR(__xludf.DUMMYFUNCTION("IMPORTRANGE(""https://docs.google.com/spreadsheets/d/1Yj_ptqi66GCucihVvJfMjLAmec39IyEx_6qawtMGysU/edit?usp=sharing"",""สบก!CD54"")"),0.0)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IFERROR(__xludf.DUMMYFUNCTION("IMPORTRANGE(""https://docs.google.com/spreadsheets/d/1XL5vhW3sbDhbH9Cz0tuDiY8C3ctxq1tqvaCgkFb8cCA/edit?usp=sharing"",""หนองบัวลำภู!J175"")"),0.0)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IFERROR(__xludf.DUMMYFUNCTION("IMPORTRANGE(""https://docs.google.com/spreadsheets/d/1XL5vhW3sbDhbH9Cz0tuDiY8C3ctxq1tqvaCgkFb8cCA/edit?usp=sharing"",""หนองบัวลำภู!J176"")"),0.0)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IFERROR(__xludf.DUMMYFUNCTION("IMPORTRANGE(""https://docs.google.com/spreadsheets/d/1XL5vhW3sbDhbH9Cz0tuDiY8C3ctxq1tqvaCgkFb8cCA/edit?usp=sharing"",""หนองบัวลำภู!J177"")"),0.0)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IFERROR(__xludf.DUMMYFUNCTION("IMPORTRANGE(""https://docs.google.com/spreadsheets/d/1XL5vhW3sbDhbH9Cz0tuDiY8C3ctxq1tqvaCgkFb8cCA/edit?usp=sharing"",""หนองบัวลำภู!J178"")"),0.0)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IFERROR(__xludf.DUMMYFUNCTION("IMPORTRANGE(""https://docs.google.com/spreadsheets/d/1XL5vhW3sbDhbH9Cz0tuDiY8C3ctxq1tqvaCgkFb8cCA/edit?usp=sharing"",""หนองบัวลำภู!I179"")"),0.0)</f>
        <v>0</v>
      </c>
      <c r="J264" s="223">
        <f>IFERROR(__xludf.DUMMYFUNCTION("IMPORTRANGE(""https://docs.google.com/spreadsheets/d/1XL5vhW3sbDhbH9Cz0tuDiY8C3ctxq1tqvaCgkFb8cCA/edit?usp=sharing"",""หนองบัวลำภู!J179"")"),0.0)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IFERROR(__xludf.DUMMYFUNCTION("IMPORTRANGE(""https://docs.google.com/spreadsheets/d/1XL5vhW3sbDhbH9Cz0tuDiY8C3ctxq1tqvaCgkFb8cCA/edit?usp=sharing"",""หนองบัวลำภู!I180"")"),0.0)</f>
        <v>0</v>
      </c>
      <c r="J265" s="223">
        <f>IFERROR(__xludf.DUMMYFUNCTION("IMPORTRANGE(""https://docs.google.com/spreadsheets/d/1XL5vhW3sbDhbH9Cz0tuDiY8C3ctxq1tqvaCgkFb8cCA/edit?usp=sharing"",""หนองบัวลำภู!J180"")"),0.0)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IFERROR(__xludf.DUMMYFUNCTION("IMPORTRANGE(""https://docs.google.com/spreadsheets/d/1XL5vhW3sbDhbH9Cz0tuDiY8C3ctxq1tqvaCgkFb8cCA/edit?usp=sharing"",""หนองบัวลำภู!I181"")"),0.0)</f>
        <v>0</v>
      </c>
      <c r="J266" s="223">
        <f>IFERROR(__xludf.DUMMYFUNCTION("IMPORTRANGE(""https://docs.google.com/spreadsheets/d/1XL5vhW3sbDhbH9Cz0tuDiY8C3ctxq1tqvaCgkFb8cCA/edit?usp=sharing"",""หนองบัวลำภู!J181"")"),0.0)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IFERROR(__xludf.DUMMYFUNCTION("IMPORTRANGE(""https://docs.google.com/spreadsheets/d/1XL5vhW3sbDhbH9Cz0tuDiY8C3ctxq1tqvaCgkFb8cCA/edit?usp=sharing"",""หนองบัวลำภู!I182"")"),0.0)</f>
        <v>0</v>
      </c>
      <c r="J267" s="223">
        <f>IFERROR(__xludf.DUMMYFUNCTION("IMPORTRANGE(""https://docs.google.com/spreadsheets/d/1XL5vhW3sbDhbH9Cz0tuDiY8C3ctxq1tqvaCgkFb8cCA/edit?usp=sharing"",""หนองบัวลำภู!J182"")"),0.0)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IFERROR(__xludf.DUMMYFUNCTION("IMPORTRANGE(""https://docs.google.com/spreadsheets/d/1XL5vhW3sbDhbH9Cz0tuDiY8C3ctxq1tqvaCgkFb8cCA/edit?usp=sharing"",""หนองบัวลำภู!J183"")"),0.0)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IFERROR(__xludf.DUMMYFUNCTION("IMPORTRANGE(""https://docs.google.com/spreadsheets/d/1XL5vhW3sbDhbH9Cz0tuDiY8C3ctxq1tqvaCgkFb8cCA/edit?usp=sharing"",""หนองบัวลำภู!J184"")"),0.0)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IFERROR(__xludf.DUMMYFUNCTION("IMPORTRANGE(""https://docs.google.com/spreadsheets/d/1XL5vhW3sbDhbH9Cz0tuDiY8C3ctxq1tqvaCgkFb8cCA/edit?usp=sharing"",""หนองบัวลำภู!I185"")"),0.0)</f>
        <v>0</v>
      </c>
      <c r="J270" s="349">
        <f>IFERROR(__xludf.DUMMYFUNCTION("IMPORTRANGE(""https://docs.google.com/spreadsheets/d/1XL5vhW3sbDhbH9Cz0tuDiY8C3ctxq1tqvaCgkFb8cCA/edit?usp=sharing"",""หนองบัวลำภู!J185"")"),0.0)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IFERROR(__xludf.DUMMYFUNCTION("IMPORTRANGE(""https://docs.google.com/spreadsheets/d/1Yj_ptqi66GCucihVvJfMjLAmec39IyEx_6qawtMGysU/edit?usp=sharing"",""สบก!CK54"")"),0.0)</f>
        <v>0</v>
      </c>
      <c r="N275" s="202">
        <f>IFERROR(__xludf.DUMMYFUNCTION("IMPORTRANGE(""https://docs.google.com/spreadsheets/d/1Yj_ptqi66GCucihVvJfMjLAmec39IyEx_6qawtMGysU/edit?usp=sharing"",""สบก!CL54"")"),0.0)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IFERROR(__xludf.DUMMYFUNCTION("IMPORTRANGE(""https://docs.google.com/spreadsheets/d/1Yj_ptqi66GCucihVvJfMjLAmec39IyEx_6qawtMGysU/edit?usp=sharing"",""สบก!CG54"")"),0.0)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IFERROR(__xludf.DUMMYFUNCTION("IMPORTRANGE(""https://docs.google.com/spreadsheets/d/1Yj_ptqi66GCucihVvJfMjLAmec39IyEx_6qawtMGysU/edit?usp=sharing"",""สบก!CH54"")"),0.0)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IFERROR(__xludf.DUMMYFUNCTION("IMPORTRANGE(""https://docs.google.com/spreadsheets/d/1Yj_ptqi66GCucihVvJfMjLAmec39IyEx_6qawtMGysU/edit?usp=sharing"",""สบก!CI54"")"),0.0)</f>
        <v>0</v>
      </c>
      <c r="M279" s="125"/>
      <c r="N279" s="115">
        <f>IFERROR(__xludf.DUMMYFUNCTION("IMPORTRANGE(""https://docs.google.com/spreadsheets/d/1Yj_ptqi66GCucihVvJfMjLAmec39IyEx_6qawtMGysU/edit?usp=sharing"",""สบก!CM54"")"),0.0)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IFERROR(__xludf.DUMMYFUNCTION("IMPORTRANGE(""https://docs.google.com/spreadsheets/d/1XL5vhW3sbDhbH9Cz0tuDiY8C3ctxq1tqvaCgkFb8cCA/edit?usp=sharing"",""หนองบัวลำภู!J191"")"),0.0)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IFERROR(__xludf.DUMMYFUNCTION("IMPORTRANGE(""https://docs.google.com/spreadsheets/d/1XL5vhW3sbDhbH9Cz0tuDiY8C3ctxq1tqvaCgkFb8cCA/edit?usp=sharing"",""หนองบัวลำภู!J192"")"),0.0)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IFERROR(__xludf.DUMMYFUNCTION("IMPORTRANGE(""https://docs.google.com/spreadsheets/d/1XL5vhW3sbDhbH9Cz0tuDiY8C3ctxq1tqvaCgkFb8cCA/edit?usp=sharing"",""หนองบัวลำภู!J193"")"),0.0)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IFERROR(__xludf.DUMMYFUNCTION("IMPORTRANGE(""https://docs.google.com/spreadsheets/d/1XL5vhW3sbDhbH9Cz0tuDiY8C3ctxq1tqvaCgkFb8cCA/edit?usp=sharing"",""หนองบัวลำภู!J194"")"),0.0)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IFERROR(__xludf.DUMMYFUNCTION("IMPORTRANGE(""https://docs.google.com/spreadsheets/d/1XL5vhW3sbDhbH9Cz0tuDiY8C3ctxq1tqvaCgkFb8cCA/edit?usp=sharing"",""หนองบัวลำภู!I195"")"),0.0)</f>
        <v>0</v>
      </c>
      <c r="J285" s="223">
        <f>IFERROR(__xludf.DUMMYFUNCTION("IMPORTRANGE(""https://docs.google.com/spreadsheets/d/1XL5vhW3sbDhbH9Cz0tuDiY8C3ctxq1tqvaCgkFb8cCA/edit?usp=sharing"",""หนองบัวลำภู!J195"")"),0.0)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IFERROR(__xludf.DUMMYFUNCTION("IMPORTRANGE(""https://docs.google.com/spreadsheets/d/1XL5vhW3sbDhbH9Cz0tuDiY8C3ctxq1tqvaCgkFb8cCA/edit?usp=sharing"",""หนองบัวลำภู!J196"")"),0.0)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IFERROR(__xludf.DUMMYFUNCTION("IMPORTRANGE(""https://docs.google.com/spreadsheets/d/1XL5vhW3sbDhbH9Cz0tuDiY8C3ctxq1tqvaCgkFb8cCA/edit?usp=sharing"",""หนองบัวลำภู!J197"")"),0.0)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IFERROR(__xludf.DUMMYFUNCTION("IMPORTRANGE(""https://docs.google.com/spreadsheets/d/1XL5vhW3sbDhbH9Cz0tuDiY8C3ctxq1tqvaCgkFb8cCA/edit?usp=sharing"",""หนองบัวลำภู!I199"")"),0.0)</f>
        <v>0</v>
      </c>
      <c r="J289" s="349">
        <f>IFERROR(__xludf.DUMMYFUNCTION("IMPORTRANGE(""https://docs.google.com/spreadsheets/d/1XL5vhW3sbDhbH9Cz0tuDiY8C3ctxq1tqvaCgkFb8cCA/edit?usp=sharing"",""หนองบัวลำภู!J199"")"),0.0)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IFERROR(__xludf.DUMMYFUNCTION("IMPORTRANGE(""https://docs.google.com/spreadsheets/d/1Yj_ptqi66GCucihVvJfMjLAmec39IyEx_6qawtMGysU/edit?usp=sharing"",""สบก!CT54"")"),0.0)</f>
        <v>0</v>
      </c>
      <c r="N294" s="202">
        <f>IFERROR(__xludf.DUMMYFUNCTION("IMPORTRANGE(""https://docs.google.com/spreadsheets/d/1Yj_ptqi66GCucihVvJfMjLAmec39IyEx_6qawtMGysU/edit?usp=sharing"",""สบก!CU54"")"),0.0)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IFERROR(__xludf.DUMMYFUNCTION("IMPORTRANGE(""https://docs.google.com/spreadsheets/d/1Yj_ptqi66GCucihVvJfMjLAmec39IyEx_6qawtMGysU/edit?usp=sharing"",""สบก!CP54"")"),0.0)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IFERROR(__xludf.DUMMYFUNCTION("IMPORTRANGE(""https://docs.google.com/spreadsheets/d/1Yj_ptqi66GCucihVvJfMjLAmec39IyEx_6qawtMGysU/edit?usp=sharing"",""สบก!CQ54"")"),0.0)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IFERROR(__xludf.DUMMYFUNCTION("IMPORTRANGE(""https://docs.google.com/spreadsheets/d/1Yj_ptqi66GCucihVvJfMjLAmec39IyEx_6qawtMGysU/edit?usp=sharing"",""สบก!CR54"")"),0.0)</f>
        <v>0</v>
      </c>
      <c r="M298" s="125"/>
      <c r="N298" s="115">
        <f>IFERROR(__xludf.DUMMYFUNCTION("IMPORTRANGE(""https://docs.google.com/spreadsheets/d/1Yj_ptqi66GCucihVvJfMjLAmec39IyEx_6qawtMGysU/edit?usp=sharing"",""สบก!CV54"")"),0.0)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IFERROR(__xludf.DUMMYFUNCTION("IMPORTRANGE(""https://docs.google.com/spreadsheets/d/1XL5vhW3sbDhbH9Cz0tuDiY8C3ctxq1tqvaCgkFb8cCA/edit?usp=sharing"",""หนองบัวลำภู!J205"")"),0.0)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IFERROR(__xludf.DUMMYFUNCTION("IMPORTRANGE(""https://docs.google.com/spreadsheets/d/1XL5vhW3sbDhbH9Cz0tuDiY8C3ctxq1tqvaCgkFb8cCA/edit?usp=sharing"",""หนองบัวลำภู!J206"")"),0.0)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IFERROR(__xludf.DUMMYFUNCTION("IMPORTRANGE(""https://docs.google.com/spreadsheets/d/1XL5vhW3sbDhbH9Cz0tuDiY8C3ctxq1tqvaCgkFb8cCA/edit?usp=sharing"",""หนองบัวลำภู!J207"")"),0.0)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IFERROR(__xludf.DUMMYFUNCTION("IMPORTRANGE(""https://docs.google.com/spreadsheets/d/1XL5vhW3sbDhbH9Cz0tuDiY8C3ctxq1tqvaCgkFb8cCA/edit?usp=sharing"",""หนองบัวลำภู!J208"")"),0.0)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IFERROR(__xludf.DUMMYFUNCTION("IMPORTRANGE(""https://docs.google.com/spreadsheets/d/1XL5vhW3sbDhbH9Cz0tuDiY8C3ctxq1tqvaCgkFb8cCA/edit?usp=sharing"",""หนองบัวลำภู!I209"")"),0.0)</f>
        <v>0</v>
      </c>
      <c r="J304" s="238">
        <f>IFERROR(__xludf.DUMMYFUNCTION("IMPORTRANGE(""https://docs.google.com/spreadsheets/d/1XL5vhW3sbDhbH9Cz0tuDiY8C3ctxq1tqvaCgkFb8cCA/edit?usp=sharing"",""หนองบัวลำภู!J209"")"),0.0)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IFERROR(__xludf.DUMMYFUNCTION("IMPORTRANGE(""https://docs.google.com/spreadsheets/d/1XL5vhW3sbDhbH9Cz0tuDiY8C3ctxq1tqvaCgkFb8cCA/edit?usp=sharing"",""หนองบัวลำภู!I211"")"),0.0)</f>
        <v>0</v>
      </c>
      <c r="J306" s="238">
        <f>IFERROR(__xludf.DUMMYFUNCTION("IMPORTRANGE(""https://docs.google.com/spreadsheets/d/1XL5vhW3sbDhbH9Cz0tuDiY8C3ctxq1tqvaCgkFb8cCA/edit?usp=sharing"",""หนองบัวลำภู!J211"")"),0.0)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IFERROR(__xludf.DUMMYFUNCTION("IMPORTRANGE(""https://docs.google.com/spreadsheets/d/1XL5vhW3sbDhbH9Cz0tuDiY8C3ctxq1tqvaCgkFb8cCA/edit?usp=sharing"",""หนองบัวลำภู!J212"")"),0.0)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IFERROR(__xludf.DUMMYFUNCTION("IMPORTRANGE(""https://docs.google.com/spreadsheets/d/1XL5vhW3sbDhbH9Cz0tuDiY8C3ctxq1tqvaCgkFb8cCA/edit?usp=sharing"",""หนองบัวลำภู!J213"")"),0.0)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IFERROR(__xludf.DUMMYFUNCTION("IMPORTRANGE(""https://docs.google.com/spreadsheets/d/1XL5vhW3sbDhbH9Cz0tuDiY8C3ctxq1tqvaCgkFb8cCA/edit?usp=sharing"",""หนองบัวลำภู!I214"")"),0.0)</f>
        <v>0</v>
      </c>
      <c r="J309" s="366">
        <f>IFERROR(__xludf.DUMMYFUNCTION("IMPORTRANGE(""https://docs.google.com/spreadsheets/d/1XL5vhW3sbDhbH9Cz0tuDiY8C3ctxq1tqvaCgkFb8cCA/edit?usp=sharing"",""หนองบัวลำภู!J214"")"),0.0)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IFERROR(__xludf.DUMMYFUNCTION("IMPORTRANGE(""https://docs.google.com/spreadsheets/d/1Yj_ptqi66GCucihVvJfMjLAmec39IyEx_6qawtMGysU/edit?usp=sharing"",""สบก!DC54"")"),0.0)</f>
        <v>0</v>
      </c>
      <c r="N314" s="202">
        <f>IFERROR(__xludf.DUMMYFUNCTION("IMPORTRANGE(""https://docs.google.com/spreadsheets/d/1Yj_ptqi66GCucihVvJfMjLAmec39IyEx_6qawtMGysU/edit?usp=sharing"",""สบก!DD54"")"),0.0)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IFERROR(__xludf.DUMMYFUNCTION("IMPORTRANGE(""https://docs.google.com/spreadsheets/d/1Yj_ptqi66GCucihVvJfMjLAmec39IyEx_6qawtMGysU/edit?usp=sharing"",""สบก!CY54"")"),0.0)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IFERROR(__xludf.DUMMYFUNCTION("IMPORTRANGE(""https://docs.google.com/spreadsheets/d/1Yj_ptqi66GCucihVvJfMjLAmec39IyEx_6qawtMGysU/edit?usp=sharing"",""สบก!CZ54"")"),0.0)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IFERROR(__xludf.DUMMYFUNCTION("IMPORTRANGE(""https://docs.google.com/spreadsheets/d/1Yj_ptqi66GCucihVvJfMjLAmec39IyEx_6qawtMGysU/edit?usp=sharing"",""สบก!DA54"")"),0.0)</f>
        <v>0</v>
      </c>
      <c r="M318" s="125"/>
      <c r="N318" s="115">
        <f>IFERROR(__xludf.DUMMYFUNCTION("IMPORTRANGE(""https://docs.google.com/spreadsheets/d/1Yj_ptqi66GCucihVvJfMjLAmec39IyEx_6qawtMGysU/edit?usp=sharing"",""สบก!DE54"")"),0.0)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IFERROR(__xludf.DUMMYFUNCTION("IMPORTRANGE(""https://docs.google.com/spreadsheets/d/1XL5vhW3sbDhbH9Cz0tuDiY8C3ctxq1tqvaCgkFb8cCA/edit?usp=sharing"",""หนองบัวลำภู!J220"")"),0.0)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IFERROR(__xludf.DUMMYFUNCTION("IMPORTRANGE(""https://docs.google.com/spreadsheets/d/1XL5vhW3sbDhbH9Cz0tuDiY8C3ctxq1tqvaCgkFb8cCA/edit?usp=sharing"",""หนองบัวลำภู!J221"")"),0.0)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IFERROR(__xludf.DUMMYFUNCTION("IMPORTRANGE(""https://docs.google.com/spreadsheets/d/1XL5vhW3sbDhbH9Cz0tuDiY8C3ctxq1tqvaCgkFb8cCA/edit?usp=sharing"",""หนองบัวลำภู!J222"")"),0.0)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IFERROR(__xludf.DUMMYFUNCTION("IMPORTRANGE(""https://docs.google.com/spreadsheets/d/1XL5vhW3sbDhbH9Cz0tuDiY8C3ctxq1tqvaCgkFb8cCA/edit?usp=sharing"",""หนองบัวลำภู!J223"")"),0.0)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IFERROR(__xludf.DUMMYFUNCTION("IMPORTRANGE(""https://docs.google.com/spreadsheets/d/1XL5vhW3sbDhbH9Cz0tuDiY8C3ctxq1tqvaCgkFb8cCA/edit?usp=sharing"",""หนองบัวลำภู!I224"")"),0.0)</f>
        <v>0</v>
      </c>
      <c r="J324" s="238">
        <f>IFERROR(__xludf.DUMMYFUNCTION("IMPORTRANGE(""https://docs.google.com/spreadsheets/d/1XL5vhW3sbDhbH9Cz0tuDiY8C3ctxq1tqvaCgkFb8cCA/edit?usp=sharing"",""หนองบัวลำภู!J224"")"),0.0)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IFERROR(__xludf.DUMMYFUNCTION("IMPORTRANGE(""https://docs.google.com/spreadsheets/d/1XL5vhW3sbDhbH9Cz0tuDiY8C3ctxq1tqvaCgkFb8cCA/edit?usp=sharing"",""หนองบัวลำภู!J225"")"),0.0)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IFERROR(__xludf.DUMMYFUNCTION("IMPORTRANGE(""https://docs.google.com/spreadsheets/d/1XL5vhW3sbDhbH9Cz0tuDiY8C3ctxq1tqvaCgkFb8cCA/edit?usp=sharing"",""หนองบัวลำภู!J226"")"),0.0)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IFERROR(__xludf.DUMMYFUNCTION("IMPORTRANGE(""https://docs.google.com/spreadsheets/d/1XL5vhW3sbDhbH9Cz0tuDiY8C3ctxq1tqvaCgkFb8cCA/edit?usp=sharing"",""หนองบัวลำภู!I228"")"),440.0)</f>
        <v>440</v>
      </c>
      <c r="J328" s="372">
        <f>IFERROR(__xludf.DUMMYFUNCTION("IMPORTRANGE(""https://docs.google.com/spreadsheets/d/1XL5vhW3sbDhbH9Cz0tuDiY8C3ctxq1tqvaCgkFb8cCA/edit?usp=sharing"",""หนองบัวลำภู!J228"")"),0.0)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1085310</v>
      </c>
      <c r="M329" s="183">
        <f t="shared" si="99"/>
        <v>588610</v>
      </c>
      <c r="N329" s="183">
        <f t="shared" si="99"/>
        <v>436765</v>
      </c>
      <c r="O329" s="182">
        <f t="shared" ref="O329:O331" si="101">IF(L329&gt;0,N329*100/L329,0)</f>
        <v>40.24334061</v>
      </c>
      <c r="P329" s="182">
        <f t="shared" ref="P329:P331" si="102">IF(M329&gt;0,N329*100/M329,0)</f>
        <v>74.20278283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1085310</v>
      </c>
      <c r="M331" s="188">
        <f t="shared" si="103"/>
        <v>588610</v>
      </c>
      <c r="N331" s="188">
        <f t="shared" si="103"/>
        <v>436765</v>
      </c>
      <c r="O331" s="187">
        <f t="shared" si="101"/>
        <v>40.24334061</v>
      </c>
      <c r="P331" s="187">
        <f t="shared" si="102"/>
        <v>74.20278283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1036410</v>
      </c>
      <c r="M333" s="201">
        <f>IFERROR(__xludf.DUMMYFUNCTION("IMPORTRANGE(""https://docs.google.com/spreadsheets/d/1Yj_ptqi66GCucihVvJfMjLAmec39IyEx_6qawtMGysU/edit?usp=sharing"",""สบก!DL54"")"),588610.0)</f>
        <v>588610</v>
      </c>
      <c r="N333" s="202">
        <f>IFERROR(__xludf.DUMMYFUNCTION("IMPORTRANGE(""https://docs.google.com/spreadsheets/d/1Yj_ptqi66GCucihVvJfMjLAmec39IyEx_6qawtMGysU/edit?usp=sharing"",""สบก!DM54"")"),387865.0)</f>
        <v>387865</v>
      </c>
      <c r="O333" s="203">
        <f>IF(L333&gt;0,N333*100/L333,0)</f>
        <v>37.42389595</v>
      </c>
      <c r="P333" s="203">
        <f>IF(M333&gt;0,N333*100/M333,0)</f>
        <v>65.89507484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IFERROR(__xludf.DUMMYFUNCTION("IMPORTRANGE(""https://docs.google.com/spreadsheets/d/1Yj_ptqi66GCucihVvJfMjLAmec39IyEx_6qawtMGysU/edit?usp=sharing"",""สบก!DH54"")"),306000.0)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IFERROR(__xludf.DUMMYFUNCTION("IMPORTRANGE(""https://docs.google.com/spreadsheets/d/1Yj_ptqi66GCucihVvJfMjLAmec39IyEx_6qawtMGysU/edit?usp=sharing"",""สบก!DI54"")"),730410.0)</f>
        <v>730410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IFERROR(__xludf.DUMMYFUNCTION("IMPORTRANGE(""https://docs.google.com/spreadsheets/d/1Yj_ptqi66GCucihVvJfMjLAmec39IyEx_6qawtMGysU/edit?usp=sharing"",""สบก!DJ54"")"),48900.0)</f>
        <v>48900</v>
      </c>
      <c r="M337" s="125"/>
      <c r="N337" s="115">
        <f>IFERROR(__xludf.DUMMYFUNCTION("IMPORTRANGE(""https://docs.google.com/spreadsheets/d/1Yj_ptqi66GCucihVvJfMjLAmec39IyEx_6qawtMGysU/edit?usp=sharing"",""สบก!DN54"")"),48900.0)</f>
        <v>48900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IFERROR(__xludf.DUMMYFUNCTION("IMPORTRANGE(""https://docs.google.com/spreadsheets/d/1XL5vhW3sbDhbH9Cz0tuDiY8C3ctxq1tqvaCgkFb8cCA/edit?usp=sharing"",""หนองบัวลำภู!I234"")"),0.0)</f>
        <v>0</v>
      </c>
      <c r="J339" s="222">
        <f>IFERROR(__xludf.DUMMYFUNCTION("IMPORTRANGE(""https://docs.google.com/spreadsheets/d/1XL5vhW3sbDhbH9Cz0tuDiY8C3ctxq1tqvaCgkFb8cCA/edit?usp=sharing"",""หนองบัวลำภู!J234"")"),46.0)</f>
        <v>46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IFERROR(__xludf.DUMMYFUNCTION("IMPORTRANGE(""https://docs.google.com/spreadsheets/d/1XL5vhW3sbDhbH9Cz0tuDiY8C3ctxq1tqvaCgkFb8cCA/edit?usp=sharing"",""หนองบัวลำภู!I235"")"),4400.0)</f>
        <v>4400</v>
      </c>
      <c r="J340" s="222">
        <f>IFERROR(__xludf.DUMMYFUNCTION("IMPORTRANGE(""https://docs.google.com/spreadsheets/d/1XL5vhW3sbDhbH9Cz0tuDiY8C3ctxq1tqvaCgkFb8cCA/edit?usp=sharing"",""หนองบัวลำภู!J235"")"),299.32)</f>
        <v>299.32</v>
      </c>
      <c r="K340" s="375">
        <f t="shared" si="104"/>
        <v>6.802727273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IFERROR(__xludf.DUMMYFUNCTION("IMPORTRANGE(""https://docs.google.com/spreadsheets/d/1XL5vhW3sbDhbH9Cz0tuDiY8C3ctxq1tqvaCgkFb8cCA/edit?usp=sharing"",""หนองบัวลำภู!I236"")"),440.0)</f>
        <v>440</v>
      </c>
      <c r="J341" s="222">
        <f>IFERROR(__xludf.DUMMYFUNCTION("IMPORTRANGE(""https://docs.google.com/spreadsheets/d/1XL5vhW3sbDhbH9Cz0tuDiY8C3ctxq1tqvaCgkFb8cCA/edit?usp=sharing"",""หนองบัวลำภู!J236"")"),0.0)</f>
        <v>0</v>
      </c>
      <c r="K341" s="375">
        <f t="shared" si="104"/>
        <v>0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IFERROR(__xludf.DUMMYFUNCTION("IMPORTRANGE(""https://docs.google.com/spreadsheets/d/1XL5vhW3sbDhbH9Cz0tuDiY8C3ctxq1tqvaCgkFb8cCA/edit?usp=sharing"",""หนองบัวลำภู!I237"")"),0.0)</f>
        <v>0</v>
      </c>
      <c r="J342" s="222">
        <f>IFERROR(__xludf.DUMMYFUNCTION("IMPORTRANGE(""https://docs.google.com/spreadsheets/d/1XL5vhW3sbDhbH9Cz0tuDiY8C3ctxq1tqvaCgkFb8cCA/edit?usp=sharing"",""หนองบัวลำภู!J237"")"),0.0)</f>
        <v>0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IFERROR(__xludf.DUMMYFUNCTION("IMPORTRANGE(""https://docs.google.com/spreadsheets/d/1XL5vhW3sbDhbH9Cz0tuDiY8C3ctxq1tqvaCgkFb8cCA/edit?usp=sharing"",""หนองบัวลำภู!I238"")"),440.0)</f>
        <v>440</v>
      </c>
      <c r="J343" s="222">
        <f>IFERROR(__xludf.DUMMYFUNCTION("IMPORTRANGE(""https://docs.google.com/spreadsheets/d/1XL5vhW3sbDhbH9Cz0tuDiY8C3ctxq1tqvaCgkFb8cCA/edit?usp=sharing"",""หนองบัวลำภู!J238"")"),0.0)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IFERROR(__xludf.DUMMYFUNCTION("IMPORTRANGE(""https://docs.google.com/spreadsheets/d/1XL5vhW3sbDhbH9Cz0tuDiY8C3ctxq1tqvaCgkFb8cCA/edit?usp=sharing"",""หนองบัวลำภู!I239"")"),0.0)</f>
        <v>0</v>
      </c>
      <c r="J344" s="222">
        <f>IFERROR(__xludf.DUMMYFUNCTION("IMPORTRANGE(""https://docs.google.com/spreadsheets/d/1XL5vhW3sbDhbH9Cz0tuDiY8C3ctxq1tqvaCgkFb8cCA/edit?usp=sharing"",""หนองบัวลำภู!J239"")"),0.0)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IFERROR(__xludf.DUMMYFUNCTION("IMPORTRANGE(""https://docs.google.com/spreadsheets/d/1XL5vhW3sbDhbH9Cz0tuDiY8C3ctxq1tqvaCgkFb8cCA/edit?usp=sharing"",""หนองบัวลำภู!I240"")"),440.0)</f>
        <v>440</v>
      </c>
      <c r="J345" s="222">
        <f>IFERROR(__xludf.DUMMYFUNCTION("IMPORTRANGE(""https://docs.google.com/spreadsheets/d/1XL5vhW3sbDhbH9Cz0tuDiY8C3ctxq1tqvaCgkFb8cCA/edit?usp=sharing"",""หนองบัวลำภู!J240"")"),0.0)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IFERROR(__xludf.DUMMYFUNCTION("IMPORTRANGE(""https://docs.google.com/spreadsheets/d/1XL5vhW3sbDhbH9Cz0tuDiY8C3ctxq1tqvaCgkFb8cCA/edit?usp=sharing"",""หนองบัวลำภู!I241"")"),0.0)</f>
        <v>0</v>
      </c>
      <c r="J346" s="222">
        <f>IFERROR(__xludf.DUMMYFUNCTION("IMPORTRANGE(""https://docs.google.com/spreadsheets/d/1XL5vhW3sbDhbH9Cz0tuDiY8C3ctxq1tqvaCgkFb8cCA/edit?usp=sharing"",""หนองบัวลำภู!J241"")"),0.0)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IFERROR(__xludf.DUMMYFUNCTION("IMPORTRANGE(""https://docs.google.com/spreadsheets/d/1XL5vhW3sbDhbH9Cz0tuDiY8C3ctxq1tqvaCgkFb8cCA/edit?usp=sharing"",""หนองบัวลำภู!L242"")"),3455636.0)</f>
        <v>3455636</v>
      </c>
      <c r="M347" s="391"/>
      <c r="N347" s="391">
        <f>IFERROR(__xludf.DUMMYFUNCTION("IMPORTRANGE(""https://docs.google.com/spreadsheets/d/1XL5vhW3sbDhbH9Cz0tuDiY8C3ctxq1tqvaCgkFb8cCA/edit?usp=sharing"",""หนองบัวลำภู!M242"")"),656063.9400000001)</f>
        <v>656063.94</v>
      </c>
      <c r="O347" s="391">
        <f>+IF(L347&gt;0,N347*100/L347,0)</f>
        <v>18.98533121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IFERROR(__xludf.DUMMYFUNCTION("IMPORTRANGE(""https://docs.google.com/spreadsheets/d/1XL5vhW3sbDhbH9Cz0tuDiY8C3ctxq1tqvaCgkFb8cCA/edit?usp=sharing"",""หนองบัวลำภู!I244"")"),392.0)</f>
        <v>392</v>
      </c>
      <c r="J349" s="404">
        <f>IFERROR(__xludf.DUMMYFUNCTION("IMPORTRANGE(""https://docs.google.com/spreadsheets/d/1XL5vhW3sbDhbH9Cz0tuDiY8C3ctxq1tqvaCgkFb8cCA/edit?usp=sharing"",""หนองบัวลำภู!J244"")"),0.0)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IFERROR(__xludf.DUMMYFUNCTION("IMPORTRANGE(""https://docs.google.com/spreadsheets/d/1XL5vhW3sbDhbH9Cz0tuDiY8C3ctxq1tqvaCgkFb8cCA/edit?usp=sharing"",""หนองบัวลำภู!L244"")"),615580.0)</f>
        <v>615580</v>
      </c>
      <c r="M349" s="406"/>
      <c r="N349" s="406">
        <f>IFERROR(__xludf.DUMMYFUNCTION("IMPORTRANGE(""https://docs.google.com/spreadsheets/d/1XL5vhW3sbDhbH9Cz0tuDiY8C3ctxq1tqvaCgkFb8cCA/edit?usp=sharing"",""หนองบัวลำภู!M244"")"),72685.72)</f>
        <v>72685.72</v>
      </c>
      <c r="O349" s="406">
        <f>+IF(L349&gt;0,N349*100/L349,0)</f>
        <v>11.80768056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IFERROR(__xludf.DUMMYFUNCTION("IMPORTRANGE(""https://docs.google.com/spreadsheets/d/1XL5vhW3sbDhbH9Cz0tuDiY8C3ctxq1tqvaCgkFb8cCA/edit?usp=sharing"",""หนองบัวลำภู!I245"")"),90.0)</f>
        <v>90</v>
      </c>
      <c r="J350" s="404">
        <f>IFERROR(__xludf.DUMMYFUNCTION("IMPORTRANGE(""https://docs.google.com/spreadsheets/d/1XL5vhW3sbDhbH9Cz0tuDiY8C3ctxq1tqvaCgkFb8cCA/edit?usp=sharing"",""หนองบัวลำภู!J245"")"),0.0)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IFERROR(__xludf.DUMMYFUNCTION("IMPORTRANGE(""https://docs.google.com/spreadsheets/d/1XL5vhW3sbDhbH9Cz0tuDiY8C3ctxq1tqvaCgkFb8cCA/edit?usp=sharing"",""หนองบัวลำภู!L246"")"),0.0)</f>
        <v>0</v>
      </c>
      <c r="M351" s="197"/>
      <c r="N351" s="197">
        <f>IFERROR(__xludf.DUMMYFUNCTION("IMPORTRANGE(""https://docs.google.com/spreadsheets/d/1XL5vhW3sbDhbH9Cz0tuDiY8C3ctxq1tqvaCgkFb8cCA/edit?usp=sharing"",""หนองบัวลำภู!M246"")"),0.0)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IFERROR(__xludf.DUMMYFUNCTION("IMPORTRANGE(""https://docs.google.com/spreadsheets/d/1XL5vhW3sbDhbH9Cz0tuDiY8C3ctxq1tqvaCgkFb8cCA/edit?usp=sharing"",""หนองบัวลำภู!L247"")"),615580.0)</f>
        <v>615580</v>
      </c>
      <c r="M352" s="198"/>
      <c r="N352" s="197">
        <f>IFERROR(__xludf.DUMMYFUNCTION("IMPORTRANGE(""https://docs.google.com/spreadsheets/d/1XL5vhW3sbDhbH9Cz0tuDiY8C3ctxq1tqvaCgkFb8cCA/edit?usp=sharing"",""หนองบัวลำภู!M247"")"),72685.72)</f>
        <v>72685.72</v>
      </c>
      <c r="O352" s="198">
        <f t="shared" si="106"/>
        <v>11.80768056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IFERROR(__xludf.DUMMYFUNCTION("IMPORTRANGE(""https://docs.google.com/spreadsheets/d/1XL5vhW3sbDhbH9Cz0tuDiY8C3ctxq1tqvaCgkFb8cCA/edit?usp=sharing"",""หนองบัวลำภู!L248"")"),0.0)</f>
        <v>0</v>
      </c>
      <c r="M353" s="203"/>
      <c r="N353" s="203">
        <f>IFERROR(__xludf.DUMMYFUNCTION("IMPORTRANGE(""https://docs.google.com/spreadsheets/d/1XL5vhW3sbDhbH9Cz0tuDiY8C3ctxq1tqvaCgkFb8cCA/edit?usp=sharing"",""หนองบัวลำภู!M248"")"),0.0)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IFERROR(__xludf.DUMMYFUNCTION("IMPORTRANGE(""https://docs.google.com/spreadsheets/d/1XL5vhW3sbDhbH9Cz0tuDiY8C3ctxq1tqvaCgkFb8cCA/edit?usp=sharing"",""หนองบัวลำภู!L249"")"),615580.0)</f>
        <v>615580</v>
      </c>
      <c r="M354" s="203"/>
      <c r="N354" s="200">
        <f>IFERROR(__xludf.DUMMYFUNCTION("IMPORTRANGE(""https://docs.google.com/spreadsheets/d/1XL5vhW3sbDhbH9Cz0tuDiY8C3ctxq1tqvaCgkFb8cCA/edit?usp=sharing"",""หนองบัวลำภู!M249"")"),72685.72)</f>
        <v>72685.72</v>
      </c>
      <c r="O354" s="203">
        <f t="shared" si="106"/>
        <v>11.80768056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IFERROR(__xludf.DUMMYFUNCTION("IMPORTRANGE(""https://docs.google.com/spreadsheets/d/1XL5vhW3sbDhbH9Cz0tuDiY8C3ctxq1tqvaCgkFb8cCA/edit?usp=sharing"",""หนองบัวลำภู!M250"")"),21400.0)</f>
        <v>21400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IFERROR(__xludf.DUMMYFUNCTION("IMPORTRANGE(""https://docs.google.com/spreadsheets/d/1XL5vhW3sbDhbH9Cz0tuDiY8C3ctxq1tqvaCgkFb8cCA/edit?usp=sharing"",""หนองบัวลำภู!M251"")"),5179.0)</f>
        <v>5179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IFERROR(__xludf.DUMMYFUNCTION("IMPORTRANGE(""https://docs.google.com/spreadsheets/d/1XL5vhW3sbDhbH9Cz0tuDiY8C3ctxq1tqvaCgkFb8cCA/edit?usp=sharing"",""หนองบัวลำภู!M252"")"),38866.72)</f>
        <v>38866.72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IFERROR(__xludf.DUMMYFUNCTION("IMPORTRANGE(""https://docs.google.com/spreadsheets/d/1XL5vhW3sbDhbH9Cz0tuDiY8C3ctxq1tqvaCgkFb8cCA/edit?usp=sharing"",""หนองบัวลำภู!M253"")"),7240.0)</f>
        <v>7240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IFERROR(__xludf.DUMMYFUNCTION("IMPORTRANGE(""https://docs.google.com/spreadsheets/d/1XL5vhW3sbDhbH9Cz0tuDiY8C3ctxq1tqvaCgkFb8cCA/edit?usp=sharing"",""หนองบัวลำภู!J255"")"),0.0)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IFERROR(__xludf.DUMMYFUNCTION("IMPORTRANGE(""https://docs.google.com/spreadsheets/d/1XL5vhW3sbDhbH9Cz0tuDiY8C3ctxq1tqvaCgkFb8cCA/edit?usp=sharing"",""หนองบัวลำภู!J256"")"),1.0)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IFERROR(__xludf.DUMMYFUNCTION("IMPORTRANGE(""https://docs.google.com/spreadsheets/d/1XL5vhW3sbDhbH9Cz0tuDiY8C3ctxq1tqvaCgkFb8cCA/edit?usp=sharing"",""หนองบัวลำภู!J257"")"),1.0)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IFERROR(__xludf.DUMMYFUNCTION("IMPORTRANGE(""https://docs.google.com/spreadsheets/d/1XL5vhW3sbDhbH9Cz0tuDiY8C3ctxq1tqvaCgkFb8cCA/edit?usp=sharing"",""หนองบัวลำภู!J258"")"),1.0)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IFERROR(__xludf.DUMMYFUNCTION("IMPORTRANGE(""https://docs.google.com/spreadsheets/d/1XL5vhW3sbDhbH9Cz0tuDiY8C3ctxq1tqvaCgkFb8cCA/edit?usp=sharing"",""หนองบัวลำภู!J166"")"),0.0)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IFERROR(__xludf.DUMMYFUNCTION("IMPORTRANGE(""https://docs.google.com/spreadsheets/d/1XL5vhW3sbDhbH9Cz0tuDiY8C3ctxq1tqvaCgkFb8cCA/edit?usp=sharing"",""หนองบัวลำภู!J166"")"),0.0)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IFERROR(__xludf.DUMMYFUNCTION("IMPORTRANGE(""https://docs.google.com/spreadsheets/d/1XL5vhW3sbDhbH9Cz0tuDiY8C3ctxq1tqvaCgkFb8cCA/edit?usp=sharing"",""หนองบัวลำภู!J166"")"),0.0)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IFERROR(__xludf.DUMMYFUNCTION("IMPORTRANGE(""https://docs.google.com/spreadsheets/d/1XL5vhW3sbDhbH9Cz0tuDiY8C3ctxq1tqvaCgkFb8cCA/edit?usp=sharing"",""หนองบัวลำภู!J166"")"),0.0)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IFERROR(__xludf.DUMMYFUNCTION("IMPORTRANGE(""https://docs.google.com/spreadsheets/d/1XL5vhW3sbDhbH9Cz0tuDiY8C3ctxq1tqvaCgkFb8cCA/edit?usp=sharing"",""หนองบัวลำภู!I263"")"),90.0)</f>
        <v>90</v>
      </c>
      <c r="J368" s="222">
        <f>IFERROR(__xludf.DUMMYFUNCTION("IMPORTRANGE(""https://docs.google.com/spreadsheets/d/1XL5vhW3sbDhbH9Cz0tuDiY8C3ctxq1tqvaCgkFb8cCA/edit?usp=sharing"",""หนองบัวลำภู!J263"")"),0.0)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IFERROR(__xludf.DUMMYFUNCTION("IMPORTRANGE(""https://docs.google.com/spreadsheets/d/1XL5vhW3sbDhbH9Cz0tuDiY8C3ctxq1tqvaCgkFb8cCA/edit?usp=sharing"",""หนองบัวลำภู!I164"")"),0.0)</f>
        <v>0</v>
      </c>
      <c r="J369" s="238">
        <f>IFERROR(__xludf.DUMMYFUNCTION("IMPORTRANGE(""https://docs.google.com/spreadsheets/d/1XL5vhW3sbDhbH9Cz0tuDiY8C3ctxq1tqvaCgkFb8cCA/edit?usp=sharing"",""หนองบัวลำภู!J164"")"),0.0)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IFERROR(__xludf.DUMMYFUNCTION("IMPORTRANGE(""https://docs.google.com/spreadsheets/d/1XL5vhW3sbDhbH9Cz0tuDiY8C3ctxq1tqvaCgkFb8cCA/edit?usp=sharing"",""หนองบัวลำภู!I265"")"),90.0)</f>
        <v>90</v>
      </c>
      <c r="J370" s="238">
        <f>IFERROR(__xludf.DUMMYFUNCTION("IMPORTRANGE(""https://docs.google.com/spreadsheets/d/1XL5vhW3sbDhbH9Cz0tuDiY8C3ctxq1tqvaCgkFb8cCA/edit?usp=sharing"",""หนองบัวลำภู!J265"")"),40.0)</f>
        <v>40</v>
      </c>
      <c r="K370" s="196">
        <f t="shared" si="107"/>
        <v>44.44444444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IFERROR(__xludf.DUMMYFUNCTION("IMPORTRANGE(""https://docs.google.com/spreadsheets/d/1XL5vhW3sbDhbH9Cz0tuDiY8C3ctxq1tqvaCgkFb8cCA/edit?usp=sharing"",""หนองบัวลำภู!I164"")"),0.0)</f>
        <v>0</v>
      </c>
      <c r="J371" s="223">
        <f>IFERROR(__xludf.DUMMYFUNCTION("IMPORTRANGE(""https://docs.google.com/spreadsheets/d/1XL5vhW3sbDhbH9Cz0tuDiY8C3ctxq1tqvaCgkFb8cCA/edit?usp=sharing"",""หนองบัวลำภู!J164"")"),0.0)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IFERROR(__xludf.DUMMYFUNCTION("IMPORTRANGE(""https://docs.google.com/spreadsheets/d/1XL5vhW3sbDhbH9Cz0tuDiY8C3ctxq1tqvaCgkFb8cCA/edit?usp=sharing"",""หนองบัวลำภู!I267"")"),90.0)</f>
        <v>90</v>
      </c>
      <c r="J372" s="223">
        <f>IFERROR(__xludf.DUMMYFUNCTION("IMPORTRANGE(""https://docs.google.com/spreadsheets/d/1XL5vhW3sbDhbH9Cz0tuDiY8C3ctxq1tqvaCgkFb8cCA/edit?usp=sharing"",""หนองบัวลำภู!J267"")"),0.0)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IFERROR(__xludf.DUMMYFUNCTION("IMPORTRANGE(""https://docs.google.com/spreadsheets/d/1XL5vhW3sbDhbH9Cz0tuDiY8C3ctxq1tqvaCgkFb8cCA/edit?usp=sharing"",""หนองบัวลำภู!I164"")"),0.0)</f>
        <v>0</v>
      </c>
      <c r="J373" s="238">
        <f>IFERROR(__xludf.DUMMYFUNCTION("IMPORTRANGE(""https://docs.google.com/spreadsheets/d/1XL5vhW3sbDhbH9Cz0tuDiY8C3ctxq1tqvaCgkFb8cCA/edit?usp=sharing"",""หนองบัวลำภู!J164"")"),0.0)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IFERROR(__xludf.DUMMYFUNCTION("IMPORTRANGE(""https://docs.google.com/spreadsheets/d/1XL5vhW3sbDhbH9Cz0tuDiY8C3ctxq1tqvaCgkFb8cCA/edit?usp=sharing"",""หนองบัวลำภู!I164"")"),0.0)</f>
        <v>0</v>
      </c>
      <c r="J374" s="222">
        <f>IFERROR(__xludf.DUMMYFUNCTION("IMPORTRANGE(""https://docs.google.com/spreadsheets/d/1XL5vhW3sbDhbH9Cz0tuDiY8C3ctxq1tqvaCgkFb8cCA/edit?usp=sharing"",""หนองบัวลำภู!J164"")"),0.0)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IFERROR(__xludf.DUMMYFUNCTION("IMPORTRANGE(""https://docs.google.com/spreadsheets/d/1XL5vhW3sbDhbH9Cz0tuDiY8C3ctxq1tqvaCgkFb8cCA/edit?usp=sharing"",""หนองบัวลำภู!I270"")"),392.0)</f>
        <v>392</v>
      </c>
      <c r="J375" s="222">
        <f>IFERROR(__xludf.DUMMYFUNCTION("IMPORTRANGE(""https://docs.google.com/spreadsheets/d/1XL5vhW3sbDhbH9Cz0tuDiY8C3ctxq1tqvaCgkFb8cCA/edit?usp=sharing"",""หนองบัวลำภู!J270"")"),0.0)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IFERROR(__xludf.DUMMYFUNCTION("IMPORTRANGE(""https://docs.google.com/spreadsheets/d/1XL5vhW3sbDhbH9Cz0tuDiY8C3ctxq1tqvaCgkFb8cCA/edit?usp=sharing"",""หนองบัวลำภู!I271"")"),20.0)</f>
        <v>20</v>
      </c>
      <c r="J376" s="223">
        <f>IFERROR(__xludf.DUMMYFUNCTION("IMPORTRANGE(""https://docs.google.com/spreadsheets/d/1XL5vhW3sbDhbH9Cz0tuDiY8C3ctxq1tqvaCgkFb8cCA/edit?usp=sharing"",""หนองบัวลำภู!J271"")"),0.0)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IFERROR(__xludf.DUMMYFUNCTION("IMPORTRANGE(""https://docs.google.com/spreadsheets/d/1XL5vhW3sbDhbH9Cz0tuDiY8C3ctxq1tqvaCgkFb8cCA/edit?usp=sharing"",""หนองบัวลำภู!I272"")"),372.0)</f>
        <v>372</v>
      </c>
      <c r="J377" s="238">
        <f>IFERROR(__xludf.DUMMYFUNCTION("IMPORTRANGE(""https://docs.google.com/spreadsheets/d/1XL5vhW3sbDhbH9Cz0tuDiY8C3ctxq1tqvaCgkFb8cCA/edit?usp=sharing"",""หนองบัวลำภู!J272"")"),0.0)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IFERROR(__xludf.DUMMYFUNCTION("IMPORTRANGE(""https://docs.google.com/spreadsheets/d/1XL5vhW3sbDhbH9Cz0tuDiY8C3ctxq1tqvaCgkFb8cCA/edit?usp=sharing"",""หนองบัวลำภู!J273"")"),0.0)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IFERROR(__xludf.DUMMYFUNCTION("IMPORTRANGE(""https://docs.google.com/spreadsheets/d/1XL5vhW3sbDhbH9Cz0tuDiY8C3ctxq1tqvaCgkFb8cCA/edit?usp=sharing"",""หนองบัวลำภู!J274"")"),0.0)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IFERROR(__xludf.DUMMYFUNCTION("IMPORTRANGE(""https://docs.google.com/spreadsheets/d/1XL5vhW3sbDhbH9Cz0tuDiY8C3ctxq1tqvaCgkFb8cCA/edit?usp=sharing"",""หนองบัวลำภู!I275"")"),1000.0)</f>
        <v>1000</v>
      </c>
      <c r="J380" s="404">
        <f>IFERROR(__xludf.DUMMYFUNCTION("IMPORTRANGE(""https://docs.google.com/spreadsheets/d/1XL5vhW3sbDhbH9Cz0tuDiY8C3ctxq1tqvaCgkFb8cCA/edit?usp=sharing"",""หนองบัวลำภู!J275"")"),0.0)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IFERROR(__xludf.DUMMYFUNCTION("IMPORTRANGE(""https://docs.google.com/spreadsheets/d/1XL5vhW3sbDhbH9Cz0tuDiY8C3ctxq1tqvaCgkFb8cCA/edit?usp=sharing"",""หนองบัวลำภู!L275"")"),1028520.0)</f>
        <v>1028520</v>
      </c>
      <c r="M380" s="406"/>
      <c r="N380" s="406">
        <f>IFERROR(__xludf.DUMMYFUNCTION("IMPORTRANGE(""https://docs.google.com/spreadsheets/d/1XL5vhW3sbDhbH9Cz0tuDiY8C3ctxq1tqvaCgkFb8cCA/edit?usp=sharing"",""หนองบัวลำภู!M275"")"),150102.7)</f>
        <v>150102.7</v>
      </c>
      <c r="O380" s="406">
        <f>+IF(L380&gt;0,N380*100/L380,0)</f>
        <v>14.59404776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IFERROR(__xludf.DUMMYFUNCTION("IMPORTRANGE(""https://docs.google.com/spreadsheets/d/1XL5vhW3sbDhbH9Cz0tuDiY8C3ctxq1tqvaCgkFb8cCA/edit?usp=sharing"",""หนองบัวลำภู!I276"")"),100.0)</f>
        <v>100</v>
      </c>
      <c r="J381" s="404">
        <f>IFERROR(__xludf.DUMMYFUNCTION("IMPORTRANGE(""https://docs.google.com/spreadsheets/d/1XL5vhW3sbDhbH9Cz0tuDiY8C3ctxq1tqvaCgkFb8cCA/edit?usp=sharing"",""หนองบัวลำภู!J276"")"),48.0)</f>
        <v>48</v>
      </c>
      <c r="K381" s="405">
        <f t="shared" si="109"/>
        <v>48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IFERROR(__xludf.DUMMYFUNCTION("IMPORTRANGE(""https://docs.google.com/spreadsheets/d/1XL5vhW3sbDhbH9Cz0tuDiY8C3ctxq1tqvaCgkFb8cCA/edit?usp=sharing"",""หนองบัวลำภู!L277"")"),0.0)</f>
        <v>0</v>
      </c>
      <c r="M382" s="197"/>
      <c r="N382" s="197">
        <f>IFERROR(__xludf.DUMMYFUNCTION("IMPORTRANGE(""https://docs.google.com/spreadsheets/d/1XL5vhW3sbDhbH9Cz0tuDiY8C3ctxq1tqvaCgkFb8cCA/edit?usp=sharing"",""หนองบัวลำภู!M277"")"),0.0)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IFERROR(__xludf.DUMMYFUNCTION("IMPORTRANGE(""https://docs.google.com/spreadsheets/d/1XL5vhW3sbDhbH9Cz0tuDiY8C3ctxq1tqvaCgkFb8cCA/edit?usp=sharing"",""หนองบัวลำภู!L278"")"),1028520.0)</f>
        <v>1028520</v>
      </c>
      <c r="M383" s="198"/>
      <c r="N383" s="198">
        <f>IFERROR(__xludf.DUMMYFUNCTION("IMPORTRANGE(""https://docs.google.com/spreadsheets/d/1XL5vhW3sbDhbH9Cz0tuDiY8C3ctxq1tqvaCgkFb8cCA/edit?usp=sharing"",""หนองบัวลำภู!M278"")"),150102.7)</f>
        <v>150102.7</v>
      </c>
      <c r="O383" s="198">
        <f t="shared" si="110"/>
        <v>14.59404776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IFERROR(__xludf.DUMMYFUNCTION("IMPORTRANGE(""https://docs.google.com/spreadsheets/d/1XL5vhW3sbDhbH9Cz0tuDiY8C3ctxq1tqvaCgkFb8cCA/edit?usp=sharing"",""หนองบัวลำภู!L279"")"),0.0)</f>
        <v>0</v>
      </c>
      <c r="M384" s="203"/>
      <c r="N384" s="203">
        <f>IFERROR(__xludf.DUMMYFUNCTION("IMPORTRANGE(""https://docs.google.com/spreadsheets/d/1XL5vhW3sbDhbH9Cz0tuDiY8C3ctxq1tqvaCgkFb8cCA/edit?usp=sharing"",""หนองบัวลำภู!M279"")"),0.0)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IFERROR(__xludf.DUMMYFUNCTION("IMPORTRANGE(""https://docs.google.com/spreadsheets/d/1XL5vhW3sbDhbH9Cz0tuDiY8C3ctxq1tqvaCgkFb8cCA/edit?usp=sharing"",""หนองบัวลำภู!L280"")"),1028520.0)</f>
        <v>1028520</v>
      </c>
      <c r="M385" s="203"/>
      <c r="N385" s="200">
        <f>IFERROR(__xludf.DUMMYFUNCTION("IMPORTRANGE(""https://docs.google.com/spreadsheets/d/1XL5vhW3sbDhbH9Cz0tuDiY8C3ctxq1tqvaCgkFb8cCA/edit?usp=sharing"",""หนองบัวลำภู!M280"")"),150102.7)</f>
        <v>150102.7</v>
      </c>
      <c r="O385" s="203">
        <f t="shared" si="110"/>
        <v>14.59404776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IFERROR(__xludf.DUMMYFUNCTION("IMPORTRANGE(""https://docs.google.com/spreadsheets/d/1XL5vhW3sbDhbH9Cz0tuDiY8C3ctxq1tqvaCgkFb8cCA/edit?usp=sharing"",""หนองบัวลำภู!M281"")"),110506.0)</f>
        <v>110506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IFERROR(__xludf.DUMMYFUNCTION("IMPORTRANGE(""https://docs.google.com/spreadsheets/d/1XL5vhW3sbDhbH9Cz0tuDiY8C3ctxq1tqvaCgkFb8cCA/edit?usp=sharing"",""หนองบัวลำภู!M282"")"),0.0)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IFERROR(__xludf.DUMMYFUNCTION("IMPORTRANGE(""https://docs.google.com/spreadsheets/d/1XL5vhW3sbDhbH9Cz0tuDiY8C3ctxq1tqvaCgkFb8cCA/edit?usp=sharing"",""หนองบัวลำภู!M283"")"),36666.7)</f>
        <v>36666.7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IFERROR(__xludf.DUMMYFUNCTION("IMPORTRANGE(""https://docs.google.com/spreadsheets/d/1XL5vhW3sbDhbH9Cz0tuDiY8C3ctxq1tqvaCgkFb8cCA/edit?usp=sharing"",""หนองบัวลำภู!M284"")"),2930.0)</f>
        <v>2930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IFERROR(__xludf.DUMMYFUNCTION("IMPORTRANGE(""https://docs.google.com/spreadsheets/d/1XL5vhW3sbDhbH9Cz0tuDiY8C3ctxq1tqvaCgkFb8cCA/edit?usp=sharing"",""หนองบัวลำภู!J286"")"),0.0)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IFERROR(__xludf.DUMMYFUNCTION("IMPORTRANGE(""https://docs.google.com/spreadsheets/d/1XL5vhW3sbDhbH9Cz0tuDiY8C3ctxq1tqvaCgkFb8cCA/edit?usp=sharing"",""หนองบัวลำภู!J287"")"),1.0)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IFERROR(__xludf.DUMMYFUNCTION("IMPORTRANGE(""https://docs.google.com/spreadsheets/d/1XL5vhW3sbDhbH9Cz0tuDiY8C3ctxq1tqvaCgkFb8cCA/edit?usp=sharing"",""หนองบัวลำภู!J288"")"),1.0)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IFERROR(__xludf.DUMMYFUNCTION("IMPORTRANGE(""https://docs.google.com/spreadsheets/d/1XL5vhW3sbDhbH9Cz0tuDiY8C3ctxq1tqvaCgkFb8cCA/edit?usp=sharing"",""หนองบัวลำภู!J289"")"),1.0)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IFERROR(__xludf.DUMMYFUNCTION("IMPORTRANGE(""https://docs.google.com/spreadsheets/d/1XL5vhW3sbDhbH9Cz0tuDiY8C3ctxq1tqvaCgkFb8cCA/edit?usp=sharing"",""หนองบัวลำภู!I291"")"),100.0)</f>
        <v>100</v>
      </c>
      <c r="J396" s="232">
        <f>IFERROR(__xludf.DUMMYFUNCTION("IMPORTRANGE(""https://docs.google.com/spreadsheets/d/1XL5vhW3sbDhbH9Cz0tuDiY8C3ctxq1tqvaCgkFb8cCA/edit?usp=sharing"",""หนองบัวลำภู!J291"")"),48.0)</f>
        <v>48</v>
      </c>
      <c r="K396" s="196">
        <f t="shared" ref="K396:K398" si="111">IF(I396&gt;0,J396*100/I396,0)</f>
        <v>48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IFERROR(__xludf.DUMMYFUNCTION("IMPORTRANGE(""https://docs.google.com/spreadsheets/d/1XL5vhW3sbDhbH9Cz0tuDiY8C3ctxq1tqvaCgkFb8cCA/edit?usp=sharing"",""หนองบัวลำภู!I292"")"),1000.0)</f>
        <v>1000</v>
      </c>
      <c r="J397" s="232">
        <f>IFERROR(__xludf.DUMMYFUNCTION("IMPORTRANGE(""https://docs.google.com/spreadsheets/d/1XL5vhW3sbDhbH9Cz0tuDiY8C3ctxq1tqvaCgkFb8cCA/edit?usp=sharing"",""หนองบัวลำภู!J292"")"),0.0)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IFERROR(__xludf.DUMMYFUNCTION("IMPORTRANGE(""https://docs.google.com/spreadsheets/d/1XL5vhW3sbDhbH9Cz0tuDiY8C3ctxq1tqvaCgkFb8cCA/edit?usp=sharing"",""หนองบัวลำภู!I293"")"),100.0)</f>
        <v>100</v>
      </c>
      <c r="J398" s="232">
        <f>IFERROR(__xludf.DUMMYFUNCTION("IMPORTRANGE(""https://docs.google.com/spreadsheets/d/1XL5vhW3sbDhbH9Cz0tuDiY8C3ctxq1tqvaCgkFb8cCA/edit?usp=sharing"",""หนองบัวลำภู!J293"")"),0.0)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IFERROR(__xludf.DUMMYFUNCTION("IMPORTRANGE(""https://docs.google.com/spreadsheets/d/1XL5vhW3sbDhbH9Cz0tuDiY8C3ctxq1tqvaCgkFb8cCA/edit?usp=sharing"",""หนองบัวลำภู!J294"")"),0.0)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IFERROR(__xludf.DUMMYFUNCTION("IMPORTRANGE(""https://docs.google.com/spreadsheets/d/1XL5vhW3sbDhbH9Cz0tuDiY8C3ctxq1tqvaCgkFb8cCA/edit?usp=sharing"",""หนองบัวลำภู!J295"")"),0.0)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IFERROR(__xludf.DUMMYFUNCTION("IMPORTRANGE(""https://docs.google.com/spreadsheets/d/1XL5vhW3sbDhbH9Cz0tuDiY8C3ctxq1tqvaCgkFb8cCA/edit?usp=sharing"",""หนองบัวลำภู!I296"")"),135.0)</f>
        <v>135</v>
      </c>
      <c r="J401" s="404">
        <f>IFERROR(__xludf.DUMMYFUNCTION("IMPORTRANGE(""https://docs.google.com/spreadsheets/d/1XL5vhW3sbDhbH9Cz0tuDiY8C3ctxq1tqvaCgkFb8cCA/edit?usp=sharing"",""หนองบัวลำภู!J296"")"),105.0)</f>
        <v>105</v>
      </c>
      <c r="K401" s="405">
        <f t="shared" ref="K401:K402" si="112">IF(I401&gt;0,J401*100/I401,0)</f>
        <v>77.77777778</v>
      </c>
      <c r="L401" s="406">
        <f>IFERROR(__xludf.DUMMYFUNCTION("IMPORTRANGE(""https://docs.google.com/spreadsheets/d/1XL5vhW3sbDhbH9Cz0tuDiY8C3ctxq1tqvaCgkFb8cCA/edit?usp=sharing"",""หนองบัวลำภู!L296"")"),159950.0)</f>
        <v>159950</v>
      </c>
      <c r="M401" s="406"/>
      <c r="N401" s="406">
        <f>IFERROR(__xludf.DUMMYFUNCTION("IMPORTRANGE(""https://docs.google.com/spreadsheets/d/1XL5vhW3sbDhbH9Cz0tuDiY8C3ctxq1tqvaCgkFb8cCA/edit?usp=sharing"",""หนองบัวลำภู!M296"")"),62840.0)</f>
        <v>62840</v>
      </c>
      <c r="O401" s="406">
        <f>+IF(L401&gt;0,N401*100/L401,0)</f>
        <v>39.28727727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IFERROR(__xludf.DUMMYFUNCTION("IMPORTRANGE(""https://docs.google.com/spreadsheets/d/1XL5vhW3sbDhbH9Cz0tuDiY8C3ctxq1tqvaCgkFb8cCA/edit?usp=sharing"",""หนองบัวลำภู!I297"")"),45.0)</f>
        <v>45</v>
      </c>
      <c r="J402" s="404">
        <f>IFERROR(__xludf.DUMMYFUNCTION("IMPORTRANGE(""https://docs.google.com/spreadsheets/d/1XL5vhW3sbDhbH9Cz0tuDiY8C3ctxq1tqvaCgkFb8cCA/edit?usp=sharing"",""หนองบัวลำภู!J297"")"),0.0)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IFERROR(__xludf.DUMMYFUNCTION("IMPORTRANGE(""https://docs.google.com/spreadsheets/d/1XL5vhW3sbDhbH9Cz0tuDiY8C3ctxq1tqvaCgkFb8cCA/edit?usp=sharing"",""หนองบัวลำภู!L298"")"),0.0)</f>
        <v>0</v>
      </c>
      <c r="M403" s="197"/>
      <c r="N403" s="203">
        <f>IFERROR(__xludf.DUMMYFUNCTION("IMPORTRANGE(""https://docs.google.com/spreadsheets/d/1XL5vhW3sbDhbH9Cz0tuDiY8C3ctxq1tqvaCgkFb8cCA/edit?usp=sharing"",""หนองบัวลำภู!M298"")"),0.0)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IFERROR(__xludf.DUMMYFUNCTION("IMPORTRANGE(""https://docs.google.com/spreadsheets/d/1XL5vhW3sbDhbH9Cz0tuDiY8C3ctxq1tqvaCgkFb8cCA/edit?usp=sharing"",""หนองบัวลำภู!L299"")"),159950.0)</f>
        <v>159950</v>
      </c>
      <c r="M404" s="198"/>
      <c r="N404" s="203">
        <f>IFERROR(__xludf.DUMMYFUNCTION("IMPORTRANGE(""https://docs.google.com/spreadsheets/d/1XL5vhW3sbDhbH9Cz0tuDiY8C3ctxq1tqvaCgkFb8cCA/edit?usp=sharing"",""หนองบัวลำภู!M299"")"),62840.0)</f>
        <v>62840</v>
      </c>
      <c r="O404" s="203">
        <f t="shared" si="113"/>
        <v>39.28727727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IFERROR(__xludf.DUMMYFUNCTION("IMPORTRANGE(""https://docs.google.com/spreadsheets/d/1XL5vhW3sbDhbH9Cz0tuDiY8C3ctxq1tqvaCgkFb8cCA/edit?usp=sharing"",""หนองบัวลำภู!L300"")"),0.0)</f>
        <v>0</v>
      </c>
      <c r="M405" s="203"/>
      <c r="N405" s="203">
        <f>IFERROR(__xludf.DUMMYFUNCTION("IMPORTRANGE(""https://docs.google.com/spreadsheets/d/1XL5vhW3sbDhbH9Cz0tuDiY8C3ctxq1tqvaCgkFb8cCA/edit?usp=sharing"",""หนองบัวลำภู!M300"")"),0.0)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IFERROR(__xludf.DUMMYFUNCTION("IMPORTRANGE(""https://docs.google.com/spreadsheets/d/1XL5vhW3sbDhbH9Cz0tuDiY8C3ctxq1tqvaCgkFb8cCA/edit?usp=sharing"",""หนองบัวลำภู!L301"")"),159950.0)</f>
        <v>159950</v>
      </c>
      <c r="M406" s="203"/>
      <c r="N406" s="203">
        <f>IFERROR(__xludf.DUMMYFUNCTION("IMPORTRANGE(""https://docs.google.com/spreadsheets/d/1XL5vhW3sbDhbH9Cz0tuDiY8C3ctxq1tqvaCgkFb8cCA/edit?usp=sharing"",""หนองบัวลำภู!M301"")"),62840.0)</f>
        <v>62840</v>
      </c>
      <c r="O406" s="203">
        <f t="shared" si="113"/>
        <v>39.28727727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IFERROR(__xludf.DUMMYFUNCTION("IMPORTRANGE(""https://docs.google.com/spreadsheets/d/1XL5vhW3sbDhbH9Cz0tuDiY8C3ctxq1tqvaCgkFb8cCA/edit?usp=sharing"",""หนองบัวลำภู!M302"")"),62840.0)</f>
        <v>62840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IFERROR(__xludf.DUMMYFUNCTION("IMPORTRANGE(""https://docs.google.com/spreadsheets/d/1XL5vhW3sbDhbH9Cz0tuDiY8C3ctxq1tqvaCgkFb8cCA/edit?usp=sharing"",""หนองบัวลำภู!M303"")"),0.0)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IFERROR(__xludf.DUMMYFUNCTION("IMPORTRANGE(""https://docs.google.com/spreadsheets/d/1XL5vhW3sbDhbH9Cz0tuDiY8C3ctxq1tqvaCgkFb8cCA/edit?usp=sharing"",""หนองบัวลำภู!M304"")"),0.0)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IFERROR(__xludf.DUMMYFUNCTION("IMPORTRANGE(""https://docs.google.com/spreadsheets/d/1XL5vhW3sbDhbH9Cz0tuDiY8C3ctxq1tqvaCgkFb8cCA/edit?usp=sharing"",""หนองบัวลำภู!M305"")"),0.0)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IFERROR(__xludf.DUMMYFUNCTION("IMPORTRANGE(""https://docs.google.com/spreadsheets/d/1XL5vhW3sbDhbH9Cz0tuDiY8C3ctxq1tqvaCgkFb8cCA/edit?usp=sharing"",""หนองบัวลำภู!J307"")"),0.0)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IFERROR(__xludf.DUMMYFUNCTION("IMPORTRANGE(""https://docs.google.com/spreadsheets/d/1XL5vhW3sbDhbH9Cz0tuDiY8C3ctxq1tqvaCgkFb8cCA/edit?usp=sharing"",""หนองบัวลำภู!J308"")"),1.0)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IFERROR(__xludf.DUMMYFUNCTION("IMPORTRANGE(""https://docs.google.com/spreadsheets/d/1XL5vhW3sbDhbH9Cz0tuDiY8C3ctxq1tqvaCgkFb8cCA/edit?usp=sharing"",""หนองบัวลำภู!J309"")"),1.0)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IFERROR(__xludf.DUMMYFUNCTION("IMPORTRANGE(""https://docs.google.com/spreadsheets/d/1XL5vhW3sbDhbH9Cz0tuDiY8C3ctxq1tqvaCgkFb8cCA/edit?usp=sharing"",""หนองบัวลำภู!J310"")"),1.0)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IFERROR(__xludf.DUMMYFUNCTION("IMPORTRANGE(""https://docs.google.com/spreadsheets/d/1XL5vhW3sbDhbH9Cz0tuDiY8C3ctxq1tqvaCgkFb8cCA/edit?usp=sharing"",""หนองบัวลำภู!I311"")"),45.0)</f>
        <v>45</v>
      </c>
      <c r="J416" s="235">
        <f>IFERROR(__xludf.DUMMYFUNCTION("IMPORTRANGE(""https://docs.google.com/spreadsheets/d/1XL5vhW3sbDhbH9Cz0tuDiY8C3ctxq1tqvaCgkFb8cCA/edit?usp=sharing"",""หนองบัวลำภู!J311"")"),0.0)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IFERROR(__xludf.DUMMYFUNCTION("IMPORTRANGE(""https://docs.google.com/spreadsheets/d/1XL5vhW3sbDhbH9Cz0tuDiY8C3ctxq1tqvaCgkFb8cCA/edit?usp=sharing"",""หนองบัวลำภู!I312"")"),10.0)</f>
        <v>10</v>
      </c>
      <c r="J417" s="425">
        <f>IFERROR(__xludf.DUMMYFUNCTION("IMPORTRANGE(""https://docs.google.com/spreadsheets/d/1XL5vhW3sbDhbH9Cz0tuDiY8C3ctxq1tqvaCgkFb8cCA/edit?usp=sharing"",""หนองบัวลำภู!J312"")"),0.0)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IFERROR(__xludf.DUMMYFUNCTION("IMPORTRANGE(""https://docs.google.com/spreadsheets/d/1XL5vhW3sbDhbH9Cz0tuDiY8C3ctxq1tqvaCgkFb8cCA/edit?usp=sharing"",""หนองบัวลำภู!I313"")"),30.0)</f>
        <v>30</v>
      </c>
      <c r="J418" s="426">
        <f>IFERROR(__xludf.DUMMYFUNCTION("IMPORTRANGE(""https://docs.google.com/spreadsheets/d/1XL5vhW3sbDhbH9Cz0tuDiY8C3ctxq1tqvaCgkFb8cCA/edit?usp=sharing"",""หนองบัวลำภู!J313"")"),30.0)</f>
        <v>30</v>
      </c>
      <c r="K418" s="236">
        <f t="shared" si="114"/>
        <v>100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IFERROR(__xludf.DUMMYFUNCTION("IMPORTRANGE(""https://docs.google.com/spreadsheets/d/1XL5vhW3sbDhbH9Cz0tuDiY8C3ctxq1tqvaCgkFb8cCA/edit?usp=sharing"",""หนองบัวลำภู!I314"")"),10.0)</f>
        <v>10</v>
      </c>
      <c r="J419" s="427">
        <f>IFERROR(__xludf.DUMMYFUNCTION("IMPORTRANGE(""https://docs.google.com/spreadsheets/d/1XL5vhW3sbDhbH9Cz0tuDiY8C3ctxq1tqvaCgkFb8cCA/edit?usp=sharing"",""หนองบัวลำภู!J314"")"),10.0)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IFERROR(__xludf.DUMMYFUNCTION("IMPORTRANGE(""https://docs.google.com/spreadsheets/d/1XL5vhW3sbDhbH9Cz0tuDiY8C3ctxq1tqvaCgkFb8cCA/edit?usp=sharing"",""หนองบัวลำภู!I315"")"),10.0)</f>
        <v>10</v>
      </c>
      <c r="J420" s="427">
        <f>IFERROR(__xludf.DUMMYFUNCTION("IMPORTRANGE(""https://docs.google.com/spreadsheets/d/1XL5vhW3sbDhbH9Cz0tuDiY8C3ctxq1tqvaCgkFb8cCA/edit?usp=sharing"",""หนองบัวลำภู!J315"")"),0.0)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IFERROR(__xludf.DUMMYFUNCTION("IMPORTRANGE(""https://docs.google.com/spreadsheets/d/1XL5vhW3sbDhbH9Cz0tuDiY8C3ctxq1tqvaCgkFb8cCA/edit?usp=sharing"",""หนองบัวลำภู!I316"")"),25.0)</f>
        <v>25</v>
      </c>
      <c r="J421" s="425">
        <f>IFERROR(__xludf.DUMMYFUNCTION("IMPORTRANGE(""https://docs.google.com/spreadsheets/d/1XL5vhW3sbDhbH9Cz0tuDiY8C3ctxq1tqvaCgkFb8cCA/edit?usp=sharing"",""หนองบัวลำภู!J316"")"),0.0)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IFERROR(__xludf.DUMMYFUNCTION("IMPORTRANGE(""https://docs.google.com/spreadsheets/d/1XL5vhW3sbDhbH9Cz0tuDiY8C3ctxq1tqvaCgkFb8cCA/edit?usp=sharing"",""หนองบัวลำภู!I317"")"),75.0)</f>
        <v>75</v>
      </c>
      <c r="J422" s="426">
        <f>IFERROR(__xludf.DUMMYFUNCTION("IMPORTRANGE(""https://docs.google.com/spreadsheets/d/1XL5vhW3sbDhbH9Cz0tuDiY8C3ctxq1tqvaCgkFb8cCA/edit?usp=sharing"",""หนองบัวลำภู!J317"")"),75.0)</f>
        <v>75</v>
      </c>
      <c r="K422" s="236">
        <f t="shared" si="114"/>
        <v>100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IFERROR(__xludf.DUMMYFUNCTION("IMPORTRANGE(""https://docs.google.com/spreadsheets/d/1XL5vhW3sbDhbH9Cz0tuDiY8C3ctxq1tqvaCgkFb8cCA/edit?usp=sharing"",""หนองบัวลำภู!I318"")"),25.0)</f>
        <v>25</v>
      </c>
      <c r="J423" s="427">
        <f>IFERROR(__xludf.DUMMYFUNCTION("IMPORTRANGE(""https://docs.google.com/spreadsheets/d/1XL5vhW3sbDhbH9Cz0tuDiY8C3ctxq1tqvaCgkFb8cCA/edit?usp=sharing"",""หนองบัวลำภู!J318"")"),25.0)</f>
        <v>25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IFERROR(__xludf.DUMMYFUNCTION("IMPORTRANGE(""https://docs.google.com/spreadsheets/d/1XL5vhW3sbDhbH9Cz0tuDiY8C3ctxq1tqvaCgkFb8cCA/edit?usp=sharing"",""หนองบัวลำภู!I319"")"),25.0)</f>
        <v>25</v>
      </c>
      <c r="J424" s="427">
        <f>IFERROR(__xludf.DUMMYFUNCTION("IMPORTRANGE(""https://docs.google.com/spreadsheets/d/1XL5vhW3sbDhbH9Cz0tuDiY8C3ctxq1tqvaCgkFb8cCA/edit?usp=sharing"",""หนองบัวลำภู!J319"")"),0.0)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IFERROR(__xludf.DUMMYFUNCTION("IMPORTRANGE(""https://docs.google.com/spreadsheets/d/1XL5vhW3sbDhbH9Cz0tuDiY8C3ctxq1tqvaCgkFb8cCA/edit?usp=sharing"",""หนองบัวลำภู!I320"")"),25.0)</f>
        <v>25</v>
      </c>
      <c r="J425" s="427">
        <f>IFERROR(__xludf.DUMMYFUNCTION("IMPORTRANGE(""https://docs.google.com/spreadsheets/d/1XL5vhW3sbDhbH9Cz0tuDiY8C3ctxq1tqvaCgkFb8cCA/edit?usp=sharing"",""หนองบัวลำภู!J320"")"),0.0)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IFERROR(__xludf.DUMMYFUNCTION("IMPORTRANGE(""https://docs.google.com/spreadsheets/d/1XL5vhW3sbDhbH9Cz0tuDiY8C3ctxq1tqvaCgkFb8cCA/edit?usp=sharing"",""หนองบัวลำภู!I321"")"),10.0)</f>
        <v>10</v>
      </c>
      <c r="J426" s="425">
        <f>IFERROR(__xludf.DUMMYFUNCTION("IMPORTRANGE(""https://docs.google.com/spreadsheets/d/1XL5vhW3sbDhbH9Cz0tuDiY8C3ctxq1tqvaCgkFb8cCA/edit?usp=sharing"",""หนองบัวลำภู!J321"")"),0.0)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IFERROR(__xludf.DUMMYFUNCTION("IMPORTRANGE(""https://docs.google.com/spreadsheets/d/1XL5vhW3sbDhbH9Cz0tuDiY8C3ctxq1tqvaCgkFb8cCA/edit?usp=sharing"",""หนองบัวลำภู!I322"")"),30.0)</f>
        <v>30</v>
      </c>
      <c r="J427" s="426">
        <f>IFERROR(__xludf.DUMMYFUNCTION("IMPORTRANGE(""https://docs.google.com/spreadsheets/d/1XL5vhW3sbDhbH9Cz0tuDiY8C3ctxq1tqvaCgkFb8cCA/edit?usp=sharing"",""หนองบัวลำภู!J322"")"),0.0)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IFERROR(__xludf.DUMMYFUNCTION("IMPORTRANGE(""https://docs.google.com/spreadsheets/d/1XL5vhW3sbDhbH9Cz0tuDiY8C3ctxq1tqvaCgkFb8cCA/edit?usp=sharing"",""หนองบัวลำภู!I323"")"),10.0)</f>
        <v>10</v>
      </c>
      <c r="J428" s="427">
        <f>IFERROR(__xludf.DUMMYFUNCTION("IMPORTRANGE(""https://docs.google.com/spreadsheets/d/1XL5vhW3sbDhbH9Cz0tuDiY8C3ctxq1tqvaCgkFb8cCA/edit?usp=sharing"",""หนองบัวลำภู!J323"")"),0.0)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IFERROR(__xludf.DUMMYFUNCTION("IMPORTRANGE(""https://docs.google.com/spreadsheets/d/1XL5vhW3sbDhbH9Cz0tuDiY8C3ctxq1tqvaCgkFb8cCA/edit?usp=sharing"",""หนองบัวลำภู!I324"")"),10.0)</f>
        <v>10</v>
      </c>
      <c r="J429" s="427">
        <f>IFERROR(__xludf.DUMMYFUNCTION("IMPORTRANGE(""https://docs.google.com/spreadsheets/d/1XL5vhW3sbDhbH9Cz0tuDiY8C3ctxq1tqvaCgkFb8cCA/edit?usp=sharing"",""หนองบัวลำภู!J324"")"),0.0)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IFERROR(__xludf.DUMMYFUNCTION("IMPORTRANGE(""https://docs.google.com/spreadsheets/d/1XL5vhW3sbDhbH9Cz0tuDiY8C3ctxq1tqvaCgkFb8cCA/edit?usp=sharing"",""หนองบัวลำภู!I325"")"),35.0)</f>
        <v>35</v>
      </c>
      <c r="J430" s="425">
        <f>IFERROR(__xludf.DUMMYFUNCTION("IMPORTRANGE(""https://docs.google.com/spreadsheets/d/1XL5vhW3sbDhbH9Cz0tuDiY8C3ctxq1tqvaCgkFb8cCA/edit?usp=sharing"",""หนองบัวลำภู!J325"")"),0.0)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IFERROR(__xludf.DUMMYFUNCTION("IMPORTRANGE(""https://docs.google.com/spreadsheets/d/1XL5vhW3sbDhbH9Cz0tuDiY8C3ctxq1tqvaCgkFb8cCA/edit?usp=sharing"",""หนองบัวลำภู!I326"")"),10.0)</f>
        <v>10</v>
      </c>
      <c r="J431" s="427">
        <f>IFERROR(__xludf.DUMMYFUNCTION("IMPORTRANGE(""https://docs.google.com/spreadsheets/d/1XL5vhW3sbDhbH9Cz0tuDiY8C3ctxq1tqvaCgkFb8cCA/edit?usp=sharing"",""หนองบัวลำภู!J326"")"),0.0)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IFERROR(__xludf.DUMMYFUNCTION("IMPORTRANGE(""https://docs.google.com/spreadsheets/d/1XL5vhW3sbDhbH9Cz0tuDiY8C3ctxq1tqvaCgkFb8cCA/edit?usp=sharing"",""หนองบัวลำภู!I327"")"),25.0)</f>
        <v>25</v>
      </c>
      <c r="J432" s="427">
        <f>IFERROR(__xludf.DUMMYFUNCTION("IMPORTRANGE(""https://docs.google.com/spreadsheets/d/1XL5vhW3sbDhbH9Cz0tuDiY8C3ctxq1tqvaCgkFb8cCA/edit?usp=sharing"",""หนองบัวลำภู!J327"")"),0.0)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IFERROR(__xludf.DUMMYFUNCTION("IMPORTRANGE(""https://docs.google.com/spreadsheets/d/1XL5vhW3sbDhbH9Cz0tuDiY8C3ctxq1tqvaCgkFb8cCA/edit?usp=sharing"",""หนองบัวลำภู!J328"")"),0.0)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IFERROR(__xludf.DUMMYFUNCTION("IMPORTRANGE(""https://docs.google.com/spreadsheets/d/1XL5vhW3sbDhbH9Cz0tuDiY8C3ctxq1tqvaCgkFb8cCA/edit?usp=sharing"",""หนองบัวลำภู!J329"")"),0.0)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IFERROR(__xludf.DUMMYFUNCTION("IMPORTRANGE(""https://docs.google.com/spreadsheets/d/1XL5vhW3sbDhbH9Cz0tuDiY8C3ctxq1tqvaCgkFb8cCA/edit?usp=sharing"",""หนองบัวลำภู!I330"")"),15.0)</f>
        <v>15</v>
      </c>
      <c r="J435" s="443">
        <f>IFERROR(__xludf.DUMMYFUNCTION("IMPORTRANGE(""https://docs.google.com/spreadsheets/d/1XL5vhW3sbDhbH9Cz0tuDiY8C3ctxq1tqvaCgkFb8cCA/edit?usp=sharing"",""หนองบัวลำภู!J330"")"),15.0)</f>
        <v>15</v>
      </c>
      <c r="K435" s="444">
        <f>IF(I435&gt;0,J435*100/I435,0)</f>
        <v>100</v>
      </c>
      <c r="L435" s="445">
        <f>IFERROR(__xludf.DUMMYFUNCTION("IMPORTRANGE(""https://docs.google.com/spreadsheets/d/1XL5vhW3sbDhbH9Cz0tuDiY8C3ctxq1tqvaCgkFb8cCA/edit?usp=sharing"",""หนองบัวลำภู!L330"")"),83000.0)</f>
        <v>83000</v>
      </c>
      <c r="M435" s="445"/>
      <c r="N435" s="445">
        <f>IFERROR(__xludf.DUMMYFUNCTION("IMPORTRANGE(""https://docs.google.com/spreadsheets/d/1XL5vhW3sbDhbH9Cz0tuDiY8C3ctxq1tqvaCgkFb8cCA/edit?usp=sharing"",""หนองบัวลำภู!M330"")"),66879.0)</f>
        <v>66879</v>
      </c>
      <c r="O435" s="445">
        <f t="shared" ref="O435:O439" si="115">+IF(L435&gt;0,N435*100/L435,0)</f>
        <v>80.57710843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IFERROR(__xludf.DUMMYFUNCTION("IMPORTRANGE(""https://docs.google.com/spreadsheets/d/1XL5vhW3sbDhbH9Cz0tuDiY8C3ctxq1tqvaCgkFb8cCA/edit?usp=sharing"",""หนองบัวลำภู!L331"")"),0.0)</f>
        <v>0</v>
      </c>
      <c r="M436" s="197"/>
      <c r="N436" s="203">
        <f>IFERROR(__xludf.DUMMYFUNCTION("IMPORTRANGE(""https://docs.google.com/spreadsheets/d/1XL5vhW3sbDhbH9Cz0tuDiY8C3ctxq1tqvaCgkFb8cCA/edit?usp=sharing"",""หนองบัวลำภู!M331"")"),0.0)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IFERROR(__xludf.DUMMYFUNCTION("IMPORTRANGE(""https://docs.google.com/spreadsheets/d/1XL5vhW3sbDhbH9Cz0tuDiY8C3ctxq1tqvaCgkFb8cCA/edit?usp=sharing"",""หนองบัวลำภู!L332"")"),83000.0)</f>
        <v>83000</v>
      </c>
      <c r="M437" s="198"/>
      <c r="N437" s="203">
        <f>IFERROR(__xludf.DUMMYFUNCTION("IMPORTRANGE(""https://docs.google.com/spreadsheets/d/1XL5vhW3sbDhbH9Cz0tuDiY8C3ctxq1tqvaCgkFb8cCA/edit?usp=sharing"",""หนองบัวลำภู!M332"")"),66879.0)</f>
        <v>66879</v>
      </c>
      <c r="O437" s="203">
        <f t="shared" si="115"/>
        <v>80.57710843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IFERROR(__xludf.DUMMYFUNCTION("IMPORTRANGE(""https://docs.google.com/spreadsheets/d/1XL5vhW3sbDhbH9Cz0tuDiY8C3ctxq1tqvaCgkFb8cCA/edit?usp=sharing"",""หนองบัวลำภู!L333"")"),0.0)</f>
        <v>0</v>
      </c>
      <c r="M438" s="203"/>
      <c r="N438" s="203">
        <f>IFERROR(__xludf.DUMMYFUNCTION("IMPORTRANGE(""https://docs.google.com/spreadsheets/d/1XL5vhW3sbDhbH9Cz0tuDiY8C3ctxq1tqvaCgkFb8cCA/edit?usp=sharing"",""หนองบัวลำภู!M333"")"),0.0)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IFERROR(__xludf.DUMMYFUNCTION("IMPORTRANGE(""https://docs.google.com/spreadsheets/d/1XL5vhW3sbDhbH9Cz0tuDiY8C3ctxq1tqvaCgkFb8cCA/edit?usp=sharing"",""หนองบัวลำภู!L334"")"),83000.0)</f>
        <v>83000</v>
      </c>
      <c r="M439" s="203"/>
      <c r="N439" s="203">
        <f>IFERROR(__xludf.DUMMYFUNCTION("IMPORTRANGE(""https://docs.google.com/spreadsheets/d/1XL5vhW3sbDhbH9Cz0tuDiY8C3ctxq1tqvaCgkFb8cCA/edit?usp=sharing"",""หนองบัวลำภู!M334"")"),66879.0)</f>
        <v>66879</v>
      </c>
      <c r="O439" s="203">
        <f t="shared" si="115"/>
        <v>80.57710843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IFERROR(__xludf.DUMMYFUNCTION("IMPORTRANGE(""https://docs.google.com/spreadsheets/d/1XL5vhW3sbDhbH9Cz0tuDiY8C3ctxq1tqvaCgkFb8cCA/edit?usp=sharing"",""หนองบัวลำภู!M335"")"),56724.0)</f>
        <v>56724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IFERROR(__xludf.DUMMYFUNCTION("IMPORTRANGE(""https://docs.google.com/spreadsheets/d/1XL5vhW3sbDhbH9Cz0tuDiY8C3ctxq1tqvaCgkFb8cCA/edit?usp=sharing"",""หนองบัวลำภู!M336"")"),0.0)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IFERROR(__xludf.DUMMYFUNCTION("IMPORTRANGE(""https://docs.google.com/spreadsheets/d/1XL5vhW3sbDhbH9Cz0tuDiY8C3ctxq1tqvaCgkFb8cCA/edit?usp=sharing"",""หนองบัวลำภู!M337"")"),0.0)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IFERROR(__xludf.DUMMYFUNCTION("IMPORTRANGE(""https://docs.google.com/spreadsheets/d/1XL5vhW3sbDhbH9Cz0tuDiY8C3ctxq1tqvaCgkFb8cCA/edit?usp=sharing"",""หนองบัวลำภู!M338"")"),10155.0)</f>
        <v>10155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IFERROR(__xludf.DUMMYFUNCTION("IMPORTRANGE(""https://docs.google.com/spreadsheets/d/1XL5vhW3sbDhbH9Cz0tuDiY8C3ctxq1tqvaCgkFb8cCA/edit?usp=sharing"",""หนองบัวลำภู!J340"")"),0.0)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IFERROR(__xludf.DUMMYFUNCTION("IMPORTRANGE(""https://docs.google.com/spreadsheets/d/1XL5vhW3sbDhbH9Cz0tuDiY8C3ctxq1tqvaCgkFb8cCA/edit?usp=sharing"",""หนองบัวลำภู!J341"")"),1.0)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IFERROR(__xludf.DUMMYFUNCTION("IMPORTRANGE(""https://docs.google.com/spreadsheets/d/1XL5vhW3sbDhbH9Cz0tuDiY8C3ctxq1tqvaCgkFb8cCA/edit?usp=sharing"",""หนองบัวลำภู!J342"")"),1.0)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IFERROR(__xludf.DUMMYFUNCTION("IMPORTRANGE(""https://docs.google.com/spreadsheets/d/1XL5vhW3sbDhbH9Cz0tuDiY8C3ctxq1tqvaCgkFb8cCA/edit?usp=sharing"",""หนองบัวลำภู!J343"")"),1.0)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IFERROR(__xludf.DUMMYFUNCTION("IMPORTRANGE(""https://docs.google.com/spreadsheets/d/1XL5vhW3sbDhbH9Cz0tuDiY8C3ctxq1tqvaCgkFb8cCA/edit?usp=sharing"",""หนองบัวลำภู!I344"")"),15.0)</f>
        <v>15</v>
      </c>
      <c r="J449" s="235">
        <f>IFERROR(__xludf.DUMMYFUNCTION("IMPORTRANGE(""https://docs.google.com/spreadsheets/d/1XL5vhW3sbDhbH9Cz0tuDiY8C3ctxq1tqvaCgkFb8cCA/edit?usp=sharing"",""หนองบัวลำภู!J344"")"),15.0)</f>
        <v>15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IFERROR(__xludf.DUMMYFUNCTION("IMPORTRANGE(""https://docs.google.com/spreadsheets/d/1XL5vhW3sbDhbH9Cz0tuDiY8C3ctxq1tqvaCgkFb8cCA/edit?usp=sharing"",""หนองบัวลำภู!I345"")"),15.0)</f>
        <v>15</v>
      </c>
      <c r="J450" s="223">
        <f>IFERROR(__xludf.DUMMYFUNCTION("IMPORTRANGE(""https://docs.google.com/spreadsheets/d/1XL5vhW3sbDhbH9Cz0tuDiY8C3ctxq1tqvaCgkFb8cCA/edit?usp=sharing"",""หนองบัวลำภู!J345"")"),15.0)</f>
        <v>15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IFERROR(__xludf.DUMMYFUNCTION("IMPORTRANGE(""https://docs.google.com/spreadsheets/d/1XL5vhW3sbDhbH9Cz0tuDiY8C3ctxq1tqvaCgkFb8cCA/edit?usp=sharing"",""หนองบัวลำภู!I346"")"),0.0)</f>
        <v>0</v>
      </c>
      <c r="J451" s="222">
        <f>IFERROR(__xludf.DUMMYFUNCTION("IMPORTRANGE(""https://docs.google.com/spreadsheets/d/1XL5vhW3sbDhbH9Cz0tuDiY8C3ctxq1tqvaCgkFb8cCA/edit?usp=sharing"",""หนองบัวลำภู!J346"")"),0.0)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IFERROR(__xludf.DUMMYFUNCTION("IMPORTRANGE(""https://docs.google.com/spreadsheets/d/1XL5vhW3sbDhbH9Cz0tuDiY8C3ctxq1tqvaCgkFb8cCA/edit?usp=sharing"",""หนองบัวลำภู!I347"")"),0.0)</f>
        <v>0</v>
      </c>
      <c r="J452" s="222">
        <f>IFERROR(__xludf.DUMMYFUNCTION("IMPORTRANGE(""https://docs.google.com/spreadsheets/d/1XL5vhW3sbDhbH9Cz0tuDiY8C3ctxq1tqvaCgkFb8cCA/edit?usp=sharing"",""หนองบัวลำภู!J347"")"),0.0)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IFERROR(__xludf.DUMMYFUNCTION("IMPORTRANGE(""https://docs.google.com/spreadsheets/d/1XL5vhW3sbDhbH9Cz0tuDiY8C3ctxq1tqvaCgkFb8cCA/edit?usp=sharing"",""หนองบัวลำภู!J348"")"),0.0)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IFERROR(__xludf.DUMMYFUNCTION("IMPORTRANGE(""https://docs.google.com/spreadsheets/d/1XL5vhW3sbDhbH9Cz0tuDiY8C3ctxq1tqvaCgkFb8cCA/edit?usp=sharing"",""หนองบัวลำภู!J349"")"),0.0)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IFERROR(__xludf.DUMMYFUNCTION("IMPORTRANGE(""https://docs.google.com/spreadsheets/d/1XL5vhW3sbDhbH9Cz0tuDiY8C3ctxq1tqvaCgkFb8cCA/edit?usp=sharing"",""หนองบัวลำภู!I350"")"),41052.0)</f>
        <v>41052</v>
      </c>
      <c r="J455" s="404">
        <f>IFERROR(__xludf.DUMMYFUNCTION("IMPORTRANGE(""https://docs.google.com/spreadsheets/d/1XL5vhW3sbDhbH9Cz0tuDiY8C3ctxq1tqvaCgkFb8cCA/edit?usp=sharing"",""หนองบัวลำภู!J350"")"),0.0)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IFERROR(__xludf.DUMMYFUNCTION("IMPORTRANGE(""https://docs.google.com/spreadsheets/d/1XL5vhW3sbDhbH9Cz0tuDiY8C3ctxq1tqvaCgkFb8cCA/edit?usp=sharing"",""หนองบัวลำภู!L350"")"),733096.0)</f>
        <v>733096</v>
      </c>
      <c r="M455" s="406"/>
      <c r="N455" s="406">
        <f>IFERROR(__xludf.DUMMYFUNCTION("IMPORTRANGE(""https://docs.google.com/spreadsheets/d/1XL5vhW3sbDhbH9Cz0tuDiY8C3ctxq1tqvaCgkFb8cCA/edit?usp=sharing"",""หนองบัวลำภู!M350"")"),100160.06)</f>
        <v>100160.06</v>
      </c>
      <c r="O455" s="406">
        <f t="shared" ref="O455:O459" si="117">+IF(L455&gt;0,N455*100/L455,0)</f>
        <v>13.66261172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IFERROR(__xludf.DUMMYFUNCTION("IMPORTRANGE(""https://docs.google.com/spreadsheets/d/1XL5vhW3sbDhbH9Cz0tuDiY8C3ctxq1tqvaCgkFb8cCA/edit?usp=sharing"",""หนองบัวลำภู!L351"")"),0.0)</f>
        <v>0</v>
      </c>
      <c r="M456" s="197"/>
      <c r="N456" s="203">
        <f>IFERROR(__xludf.DUMMYFUNCTION("IMPORTRANGE(""https://docs.google.com/spreadsheets/d/1XL5vhW3sbDhbH9Cz0tuDiY8C3ctxq1tqvaCgkFb8cCA/edit?usp=sharing"",""หนองบัวลำภู!M351"")"),0.0)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IFERROR(__xludf.DUMMYFUNCTION("IMPORTRANGE(""https://docs.google.com/spreadsheets/d/1XL5vhW3sbDhbH9Cz0tuDiY8C3ctxq1tqvaCgkFb8cCA/edit?usp=sharing"",""หนองบัวลำภู!L352"")"),733096.0)</f>
        <v>733096</v>
      </c>
      <c r="M457" s="198"/>
      <c r="N457" s="203">
        <f>IFERROR(__xludf.DUMMYFUNCTION("IMPORTRANGE(""https://docs.google.com/spreadsheets/d/1XL5vhW3sbDhbH9Cz0tuDiY8C3ctxq1tqvaCgkFb8cCA/edit?usp=sharing"",""หนองบัวลำภู!M352"")"),100160.06)</f>
        <v>100160.06</v>
      </c>
      <c r="O457" s="203">
        <f t="shared" si="117"/>
        <v>13.66261172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IFERROR(__xludf.DUMMYFUNCTION("IMPORTRANGE(""https://docs.google.com/spreadsheets/d/1XL5vhW3sbDhbH9Cz0tuDiY8C3ctxq1tqvaCgkFb8cCA/edit?usp=sharing"",""หนองบัวลำภู!L353"")"),0.0)</f>
        <v>0</v>
      </c>
      <c r="M458" s="203"/>
      <c r="N458" s="203">
        <f>IFERROR(__xludf.DUMMYFUNCTION("IMPORTRANGE(""https://docs.google.com/spreadsheets/d/1XL5vhW3sbDhbH9Cz0tuDiY8C3ctxq1tqvaCgkFb8cCA/edit?usp=sharing"",""หนองบัวลำภู!M353"")"),0.0)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IFERROR(__xludf.DUMMYFUNCTION("IMPORTRANGE(""https://docs.google.com/spreadsheets/d/1XL5vhW3sbDhbH9Cz0tuDiY8C3ctxq1tqvaCgkFb8cCA/edit?usp=sharing"",""หนองบัวลำภู!L354"")"),733096.0)</f>
        <v>733096</v>
      </c>
      <c r="M459" s="203"/>
      <c r="N459" s="203">
        <f>IFERROR(__xludf.DUMMYFUNCTION("IMPORTRANGE(""https://docs.google.com/spreadsheets/d/1XL5vhW3sbDhbH9Cz0tuDiY8C3ctxq1tqvaCgkFb8cCA/edit?usp=sharing"",""หนองบัวลำภู!M354"")"),100160.06)</f>
        <v>100160.06</v>
      </c>
      <c r="O459" s="203">
        <f t="shared" si="117"/>
        <v>13.66261172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IFERROR(__xludf.DUMMYFUNCTION("IMPORTRANGE(""https://docs.google.com/spreadsheets/d/1XL5vhW3sbDhbH9Cz0tuDiY8C3ctxq1tqvaCgkFb8cCA/edit?usp=sharing"",""หนองบัวลำภู!M355"")"),0.0)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IFERROR(__xludf.DUMMYFUNCTION("IMPORTRANGE(""https://docs.google.com/spreadsheets/d/1XL5vhW3sbDhbH9Cz0tuDiY8C3ctxq1tqvaCgkFb8cCA/edit?usp=sharing"",""หนองบัวลำภู!M356"")"),0.0)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IFERROR(__xludf.DUMMYFUNCTION("IMPORTRANGE(""https://docs.google.com/spreadsheets/d/1XL5vhW3sbDhbH9Cz0tuDiY8C3ctxq1tqvaCgkFb8cCA/edit?usp=sharing"",""หนองบัวลำภู!M357"")"),39600.06)</f>
        <v>39600.06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IFERROR(__xludf.DUMMYFUNCTION("IMPORTRANGE(""https://docs.google.com/spreadsheets/d/1XL5vhW3sbDhbH9Cz0tuDiY8C3ctxq1tqvaCgkFb8cCA/edit?usp=sharing"",""หนองบัวลำภู!M358"")"),60560.0)</f>
        <v>60560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IFERROR(__xludf.DUMMYFUNCTION("IMPORTRANGE(""https://docs.google.com/spreadsheets/d/1XL5vhW3sbDhbH9Cz0tuDiY8C3ctxq1tqvaCgkFb8cCA/edit?usp=sharing"",""หนองบัวลำภู!I359"")"),41052.0)</f>
        <v>41052</v>
      </c>
      <c r="J464" s="301">
        <f>IFERROR(__xludf.DUMMYFUNCTION("IMPORTRANGE(""https://docs.google.com/spreadsheets/d/1XL5vhW3sbDhbH9Cz0tuDiY8C3ctxq1tqvaCgkFb8cCA/edit?usp=sharing"",""หนองบัวลำภู!J359"")"),0.0)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IFERROR(__xludf.DUMMYFUNCTION("IMPORTRANGE(""https://docs.google.com/spreadsheets/d/1XL5vhW3sbDhbH9Cz0tuDiY8C3ctxq1tqvaCgkFb8cCA/edit?usp=sharing"",""หนองบัวลำภู!I360"")"),41052.0)</f>
        <v>41052</v>
      </c>
      <c r="J465" s="453">
        <f>IFERROR(__xludf.DUMMYFUNCTION("IMPORTRANGE(""https://docs.google.com/spreadsheets/d/1XL5vhW3sbDhbH9Cz0tuDiY8C3ctxq1tqvaCgkFb8cCA/edit?usp=sharing"",""หนองบัวลำภู!J360"")"),41052.0)</f>
        <v>41052</v>
      </c>
      <c r="K465" s="236">
        <f t="shared" si="118"/>
        <v>100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IFERROR(__xludf.DUMMYFUNCTION("IMPORTRANGE(""https://docs.google.com/spreadsheets/d/1XL5vhW3sbDhbH9Cz0tuDiY8C3ctxq1tqvaCgkFb8cCA/edit?usp=sharing"",""หนองบัวลำภู!I361"")"),4224.0)</f>
        <v>4224</v>
      </c>
      <c r="J466" s="453">
        <f>IFERROR(__xludf.DUMMYFUNCTION("IMPORTRANGE(""https://docs.google.com/spreadsheets/d/1XL5vhW3sbDhbH9Cz0tuDiY8C3ctxq1tqvaCgkFb8cCA/edit?usp=sharing"",""หนองบัวลำภู!J361"")"),4224.0)</f>
        <v>4224</v>
      </c>
      <c r="K466" s="236">
        <f t="shared" si="118"/>
        <v>100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IFERROR(__xludf.DUMMYFUNCTION("IMPORTRANGE(""https://docs.google.com/spreadsheets/d/1XL5vhW3sbDhbH9Cz0tuDiY8C3ctxq1tqvaCgkFb8cCA/edit?usp=sharing"",""หนองบัวลำภู!I362"")"),0.0)</f>
        <v>0</v>
      </c>
      <c r="J467" s="223">
        <f>IFERROR(__xludf.DUMMYFUNCTION("IMPORTRANGE(""https://docs.google.com/spreadsheets/d/1XL5vhW3sbDhbH9Cz0tuDiY8C3ctxq1tqvaCgkFb8cCA/edit?usp=sharing"",""หนองบัวลำภู!J362"")"),33451.0)</f>
        <v>33451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IFERROR(__xludf.DUMMYFUNCTION("IMPORTRANGE(""https://docs.google.com/spreadsheets/d/1XL5vhW3sbDhbH9Cz0tuDiY8C3ctxq1tqvaCgkFb8cCA/edit?usp=sharing"",""หนองบัวลำภู!I363"")"),0.0)</f>
        <v>0</v>
      </c>
      <c r="J468" s="223">
        <f>IFERROR(__xludf.DUMMYFUNCTION("IMPORTRANGE(""https://docs.google.com/spreadsheets/d/1XL5vhW3sbDhbH9Cz0tuDiY8C3ctxq1tqvaCgkFb8cCA/edit?usp=sharing"",""หนองบัวลำภู!J363"")"),3253.0)</f>
        <v>3253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IFERROR(__xludf.DUMMYFUNCTION("IMPORTRANGE(""https://docs.google.com/spreadsheets/d/1XL5vhW3sbDhbH9Cz0tuDiY8C3ctxq1tqvaCgkFb8cCA/edit?usp=sharing"",""หนองบัวลำภู!I364"")"),0.0)</f>
        <v>0</v>
      </c>
      <c r="J469" s="223">
        <f>IFERROR(__xludf.DUMMYFUNCTION("IMPORTRANGE(""https://docs.google.com/spreadsheets/d/1XL5vhW3sbDhbH9Cz0tuDiY8C3ctxq1tqvaCgkFb8cCA/edit?usp=sharing"",""หนองบัวลำภู!J364"")"),7601.0)</f>
        <v>7601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IFERROR(__xludf.DUMMYFUNCTION("IMPORTRANGE(""https://docs.google.com/spreadsheets/d/1XL5vhW3sbDhbH9Cz0tuDiY8C3ctxq1tqvaCgkFb8cCA/edit?usp=sharing"",""หนองบัวลำภู!I365"")"),0.0)</f>
        <v>0</v>
      </c>
      <c r="J470" s="223">
        <f>IFERROR(__xludf.DUMMYFUNCTION("IMPORTRANGE(""https://docs.google.com/spreadsheets/d/1XL5vhW3sbDhbH9Cz0tuDiY8C3ctxq1tqvaCgkFb8cCA/edit?usp=sharing"",""หนองบัวลำภู!J365"")"),971.0)</f>
        <v>971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IFERROR(__xludf.DUMMYFUNCTION("IMPORTRANGE(""https://docs.google.com/spreadsheets/d/1XL5vhW3sbDhbH9Cz0tuDiY8C3ctxq1tqvaCgkFb8cCA/edit?usp=sharing"",""หนองบัวลำภู!I366"")"),0.0)</f>
        <v>0</v>
      </c>
      <c r="J471" s="223">
        <f>IFERROR(__xludf.DUMMYFUNCTION("IMPORTRANGE(""https://docs.google.com/spreadsheets/d/1XL5vhW3sbDhbH9Cz0tuDiY8C3ctxq1tqvaCgkFb8cCA/edit?usp=sharing"",""หนองบัวลำภู!J366"")"),0.0)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IFERROR(__xludf.DUMMYFUNCTION("IMPORTRANGE(""https://docs.google.com/spreadsheets/d/1XL5vhW3sbDhbH9Cz0tuDiY8C3ctxq1tqvaCgkFb8cCA/edit?usp=sharing"",""หนองบัวลำภู!I367"")"),0.0)</f>
        <v>0</v>
      </c>
      <c r="J472" s="223">
        <f>IFERROR(__xludf.DUMMYFUNCTION("IMPORTRANGE(""https://docs.google.com/spreadsheets/d/1XL5vhW3sbDhbH9Cz0tuDiY8C3ctxq1tqvaCgkFb8cCA/edit?usp=sharing"",""หนองบัวลำภู!J367"")"),0.0)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IFERROR(__xludf.DUMMYFUNCTION("IMPORTRANGE(""https://docs.google.com/spreadsheets/d/1XL5vhW3sbDhbH9Cz0tuDiY8C3ctxq1tqvaCgkFb8cCA/edit?usp=sharing"",""หนองบัวลำภู!I368"")"),41052.0)</f>
        <v>41052</v>
      </c>
      <c r="J473" s="453">
        <f>IFERROR(__xludf.DUMMYFUNCTION("IMPORTRANGE(""https://docs.google.com/spreadsheets/d/1XL5vhW3sbDhbH9Cz0tuDiY8C3ctxq1tqvaCgkFb8cCA/edit?usp=sharing"",""หนองบัวลำภู!J368"")"),0.0)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IFERROR(__xludf.DUMMYFUNCTION("IMPORTRANGE(""https://docs.google.com/spreadsheets/d/1XL5vhW3sbDhbH9Cz0tuDiY8C3ctxq1tqvaCgkFb8cCA/edit?usp=sharing"",""หนองบัวลำภู!I369"")"),4224.0)</f>
        <v>4224</v>
      </c>
      <c r="J474" s="453">
        <f>IFERROR(__xludf.DUMMYFUNCTION("IMPORTRANGE(""https://docs.google.com/spreadsheets/d/1XL5vhW3sbDhbH9Cz0tuDiY8C3ctxq1tqvaCgkFb8cCA/edit?usp=sharing"",""หนองบัวลำภู!J369"")"),0.0)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IFERROR(__xludf.DUMMYFUNCTION("IMPORTRANGE(""https://docs.google.com/spreadsheets/d/1XL5vhW3sbDhbH9Cz0tuDiY8C3ctxq1tqvaCgkFb8cCA/edit?usp=sharing"",""หนองบัวลำภู!I370"")"),0.0)</f>
        <v>0</v>
      </c>
      <c r="J475" s="223">
        <f>IFERROR(__xludf.DUMMYFUNCTION("IMPORTRANGE(""https://docs.google.com/spreadsheets/d/1XL5vhW3sbDhbH9Cz0tuDiY8C3ctxq1tqvaCgkFb8cCA/edit?usp=sharing"",""หนองบัวลำภู!J370"")"),0.0)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IFERROR(__xludf.DUMMYFUNCTION("IMPORTRANGE(""https://docs.google.com/spreadsheets/d/1XL5vhW3sbDhbH9Cz0tuDiY8C3ctxq1tqvaCgkFb8cCA/edit?usp=sharing"",""หนองบัวลำภู!I371"")"),0.0)</f>
        <v>0</v>
      </c>
      <c r="J476" s="223">
        <f>IFERROR(__xludf.DUMMYFUNCTION("IMPORTRANGE(""https://docs.google.com/spreadsheets/d/1XL5vhW3sbDhbH9Cz0tuDiY8C3ctxq1tqvaCgkFb8cCA/edit?usp=sharing"",""หนองบัวลำภู!J371"")"),0.0)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IFERROR(__xludf.DUMMYFUNCTION("IMPORTRANGE(""https://docs.google.com/spreadsheets/d/1XL5vhW3sbDhbH9Cz0tuDiY8C3ctxq1tqvaCgkFb8cCA/edit?usp=sharing"",""หนองบัวลำภู!I372"")"),0.0)</f>
        <v>0</v>
      </c>
      <c r="J477" s="223">
        <f>IFERROR(__xludf.DUMMYFUNCTION("IMPORTRANGE(""https://docs.google.com/spreadsheets/d/1XL5vhW3sbDhbH9Cz0tuDiY8C3ctxq1tqvaCgkFb8cCA/edit?usp=sharing"",""หนองบัวลำภู!J372"")"),0.0)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IFERROR(__xludf.DUMMYFUNCTION("IMPORTRANGE(""https://docs.google.com/spreadsheets/d/1XL5vhW3sbDhbH9Cz0tuDiY8C3ctxq1tqvaCgkFb8cCA/edit?usp=sharing"",""หนองบัวลำภู!I373"")"),0.0)</f>
        <v>0</v>
      </c>
      <c r="J478" s="223">
        <f>IFERROR(__xludf.DUMMYFUNCTION("IMPORTRANGE(""https://docs.google.com/spreadsheets/d/1XL5vhW3sbDhbH9Cz0tuDiY8C3ctxq1tqvaCgkFb8cCA/edit?usp=sharing"",""หนองบัวลำภู!J373"")"),0.0)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IFERROR(__xludf.DUMMYFUNCTION("IMPORTRANGE(""https://docs.google.com/spreadsheets/d/1XL5vhW3sbDhbH9Cz0tuDiY8C3ctxq1tqvaCgkFb8cCA/edit?usp=sharing"",""หนองบัวลำภู!I374"")"),0.0)</f>
        <v>0</v>
      </c>
      <c r="J479" s="223">
        <f>IFERROR(__xludf.DUMMYFUNCTION("IMPORTRANGE(""https://docs.google.com/spreadsheets/d/1XL5vhW3sbDhbH9Cz0tuDiY8C3ctxq1tqvaCgkFb8cCA/edit?usp=sharing"",""หนองบัวลำภู!J374"")"),0.0)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IFERROR(__xludf.DUMMYFUNCTION("IMPORTRANGE(""https://docs.google.com/spreadsheets/d/1XL5vhW3sbDhbH9Cz0tuDiY8C3ctxq1tqvaCgkFb8cCA/edit?usp=sharing"",""หนองบัวลำภู!I375"")"),0.0)</f>
        <v>0</v>
      </c>
      <c r="J480" s="223">
        <f>IFERROR(__xludf.DUMMYFUNCTION("IMPORTRANGE(""https://docs.google.com/spreadsheets/d/1XL5vhW3sbDhbH9Cz0tuDiY8C3ctxq1tqvaCgkFb8cCA/edit?usp=sharing"",""หนองบัวลำภู!J375"")"),0.0)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IFERROR(__xludf.DUMMYFUNCTION("IMPORTRANGE(""https://docs.google.com/spreadsheets/d/1XL5vhW3sbDhbH9Cz0tuDiY8C3ctxq1tqvaCgkFb8cCA/edit?usp=sharing"",""หนองบัวลำภู!I376"")"),41052.0)</f>
        <v>41052</v>
      </c>
      <c r="J481" s="453">
        <f>IFERROR(__xludf.DUMMYFUNCTION("IMPORTRANGE(""https://docs.google.com/spreadsheets/d/1XL5vhW3sbDhbH9Cz0tuDiY8C3ctxq1tqvaCgkFb8cCA/edit?usp=sharing"",""หนองบัวลำภู!J376"")"),0.0)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IFERROR(__xludf.DUMMYFUNCTION("IMPORTRANGE(""https://docs.google.com/spreadsheets/d/1XL5vhW3sbDhbH9Cz0tuDiY8C3ctxq1tqvaCgkFb8cCA/edit?usp=sharing"",""หนองบัวลำภู!I377"")"),4224.0)</f>
        <v>4224</v>
      </c>
      <c r="J482" s="453">
        <f>IFERROR(__xludf.DUMMYFUNCTION("IMPORTRANGE(""https://docs.google.com/spreadsheets/d/1XL5vhW3sbDhbH9Cz0tuDiY8C3ctxq1tqvaCgkFb8cCA/edit?usp=sharing"",""หนองบัวลำภู!J377"")"),0.0)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IFERROR(__xludf.DUMMYFUNCTION("IMPORTRANGE(""https://docs.google.com/spreadsheets/d/1XL5vhW3sbDhbH9Cz0tuDiY8C3ctxq1tqvaCgkFb8cCA/edit?usp=sharing"",""หนองบัวลำภู!I378"")"),0.0)</f>
        <v>0</v>
      </c>
      <c r="J483" s="223">
        <f>IFERROR(__xludf.DUMMYFUNCTION("IMPORTRANGE(""https://docs.google.com/spreadsheets/d/1XL5vhW3sbDhbH9Cz0tuDiY8C3ctxq1tqvaCgkFb8cCA/edit?usp=sharing"",""หนองบัวลำภู!J378"")"),0.0)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IFERROR(__xludf.DUMMYFUNCTION("IMPORTRANGE(""https://docs.google.com/spreadsheets/d/1XL5vhW3sbDhbH9Cz0tuDiY8C3ctxq1tqvaCgkFb8cCA/edit?usp=sharing"",""หนองบัวลำภู!I379"")"),0.0)</f>
        <v>0</v>
      </c>
      <c r="J484" s="223">
        <f>IFERROR(__xludf.DUMMYFUNCTION("IMPORTRANGE(""https://docs.google.com/spreadsheets/d/1XL5vhW3sbDhbH9Cz0tuDiY8C3ctxq1tqvaCgkFb8cCA/edit?usp=sharing"",""หนองบัวลำภู!J379"")"),0.0)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IFERROR(__xludf.DUMMYFUNCTION("IMPORTRANGE(""https://docs.google.com/spreadsheets/d/1XL5vhW3sbDhbH9Cz0tuDiY8C3ctxq1tqvaCgkFb8cCA/edit?usp=sharing"",""หนองบัวลำภู!I380"")"),0.0)</f>
        <v>0</v>
      </c>
      <c r="J485" s="223">
        <f>IFERROR(__xludf.DUMMYFUNCTION("IMPORTRANGE(""https://docs.google.com/spreadsheets/d/1XL5vhW3sbDhbH9Cz0tuDiY8C3ctxq1tqvaCgkFb8cCA/edit?usp=sharing"",""หนองบัวลำภู!J380"")"),0.0)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IFERROR(__xludf.DUMMYFUNCTION("IMPORTRANGE(""https://docs.google.com/spreadsheets/d/1XL5vhW3sbDhbH9Cz0tuDiY8C3ctxq1tqvaCgkFb8cCA/edit?usp=sharing"",""หนองบัวลำภู!I381"")"),0.0)</f>
        <v>0</v>
      </c>
      <c r="J486" s="223">
        <f>IFERROR(__xludf.DUMMYFUNCTION("IMPORTRANGE(""https://docs.google.com/spreadsheets/d/1XL5vhW3sbDhbH9Cz0tuDiY8C3ctxq1tqvaCgkFb8cCA/edit?usp=sharing"",""หนองบัวลำภู!J381"")"),0.0)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IFERROR(__xludf.DUMMYFUNCTION("IMPORTRANGE(""https://docs.google.com/spreadsheets/d/1XL5vhW3sbDhbH9Cz0tuDiY8C3ctxq1tqvaCgkFb8cCA/edit?usp=sharing"",""หนองบัวลำภู!I382"")"),0.0)</f>
        <v>0</v>
      </c>
      <c r="J487" s="453">
        <f>IFERROR(__xludf.DUMMYFUNCTION("IMPORTRANGE(""https://docs.google.com/spreadsheets/d/1XL5vhW3sbDhbH9Cz0tuDiY8C3ctxq1tqvaCgkFb8cCA/edit?usp=sharing"",""หนองบัวลำภู!J382"")"),0.0)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IFERROR(__xludf.DUMMYFUNCTION("IMPORTRANGE(""https://docs.google.com/spreadsheets/d/1XL5vhW3sbDhbH9Cz0tuDiY8C3ctxq1tqvaCgkFb8cCA/edit?usp=sharing"",""หนองบัวลำภู!I383"")"),0.0)</f>
        <v>0</v>
      </c>
      <c r="J488" s="453">
        <f>IFERROR(__xludf.DUMMYFUNCTION("IMPORTRANGE(""https://docs.google.com/spreadsheets/d/1XL5vhW3sbDhbH9Cz0tuDiY8C3ctxq1tqvaCgkFb8cCA/edit?usp=sharing"",""หนองบัวลำภู!J383"")"),0.0)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IFERROR(__xludf.DUMMYFUNCTION("IMPORTRANGE(""https://docs.google.com/spreadsheets/d/1XL5vhW3sbDhbH9Cz0tuDiY8C3ctxq1tqvaCgkFb8cCA/edit?usp=sharing"",""หนองบัวลำภู!I384"")"),0.0)</f>
        <v>0</v>
      </c>
      <c r="J489" s="223">
        <f>IFERROR(__xludf.DUMMYFUNCTION("IMPORTRANGE(""https://docs.google.com/spreadsheets/d/1XL5vhW3sbDhbH9Cz0tuDiY8C3ctxq1tqvaCgkFb8cCA/edit?usp=sharing"",""หนองบัวลำภู!J384"")"),0.0)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IFERROR(__xludf.DUMMYFUNCTION("IMPORTRANGE(""https://docs.google.com/spreadsheets/d/1XL5vhW3sbDhbH9Cz0tuDiY8C3ctxq1tqvaCgkFb8cCA/edit?usp=sharing"",""หนองบัวลำภู!I385"")"),0.0)</f>
        <v>0</v>
      </c>
      <c r="J490" s="223">
        <f>IFERROR(__xludf.DUMMYFUNCTION("IMPORTRANGE(""https://docs.google.com/spreadsheets/d/1XL5vhW3sbDhbH9Cz0tuDiY8C3ctxq1tqvaCgkFb8cCA/edit?usp=sharing"",""หนองบัวลำภู!J385"")"),0.0)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IFERROR(__xludf.DUMMYFUNCTION("IMPORTRANGE(""https://docs.google.com/spreadsheets/d/1XL5vhW3sbDhbH9Cz0tuDiY8C3ctxq1tqvaCgkFb8cCA/edit?usp=sharing"",""หนองบัวลำภู!I386"")"),0.0)</f>
        <v>0</v>
      </c>
      <c r="J491" s="223">
        <f>IFERROR(__xludf.DUMMYFUNCTION("IMPORTRANGE(""https://docs.google.com/spreadsheets/d/1XL5vhW3sbDhbH9Cz0tuDiY8C3ctxq1tqvaCgkFb8cCA/edit?usp=sharing"",""หนองบัวลำภู!J386"")"),0.0)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IFERROR(__xludf.DUMMYFUNCTION("IMPORTRANGE(""https://docs.google.com/spreadsheets/d/1XL5vhW3sbDhbH9Cz0tuDiY8C3ctxq1tqvaCgkFb8cCA/edit?usp=sharing"",""หนองบัวลำภู!I387"")"),0.0)</f>
        <v>0</v>
      </c>
      <c r="J492" s="223">
        <f>IFERROR(__xludf.DUMMYFUNCTION("IMPORTRANGE(""https://docs.google.com/spreadsheets/d/1XL5vhW3sbDhbH9Cz0tuDiY8C3ctxq1tqvaCgkFb8cCA/edit?usp=sharing"",""หนองบัวลำภู!J387"")"),0.0)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IFERROR(__xludf.DUMMYFUNCTION("IMPORTRANGE(""https://docs.google.com/spreadsheets/d/1XL5vhW3sbDhbH9Cz0tuDiY8C3ctxq1tqvaCgkFb8cCA/edit?usp=sharing"",""หนองบัวลำภู!I388"")"),0.0)</f>
        <v>0</v>
      </c>
      <c r="J493" s="223">
        <f>IFERROR(__xludf.DUMMYFUNCTION("IMPORTRANGE(""https://docs.google.com/spreadsheets/d/1XL5vhW3sbDhbH9Cz0tuDiY8C3ctxq1tqvaCgkFb8cCA/edit?usp=sharing"",""หนองบัวลำภู!J388"")"),0.0)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IFERROR(__xludf.DUMMYFUNCTION("IMPORTRANGE(""https://docs.google.com/spreadsheets/d/1XL5vhW3sbDhbH9Cz0tuDiY8C3ctxq1tqvaCgkFb8cCA/edit?usp=sharing"",""หนองบัวลำภู!I389"")"),0.0)</f>
        <v>0</v>
      </c>
      <c r="J494" s="469">
        <f>IFERROR(__xludf.DUMMYFUNCTION("IMPORTRANGE(""https://docs.google.com/spreadsheets/d/1XL5vhW3sbDhbH9Cz0tuDiY8C3ctxq1tqvaCgkFb8cCA/edit?usp=sharing"",""หนองบัวลำภู!J389"")"),0.0)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IFERROR(__xludf.DUMMYFUNCTION("IMPORTRANGE(""https://docs.google.com/spreadsheets/d/1XL5vhW3sbDhbH9Cz0tuDiY8C3ctxq1tqvaCgkFb8cCA/edit?usp=sharing"",""หนองบัวลำภู!I390"")"),0.0)</f>
        <v>0</v>
      </c>
      <c r="J495" s="469">
        <f>IFERROR(__xludf.DUMMYFUNCTION("IMPORTRANGE(""https://docs.google.com/spreadsheets/d/1XL5vhW3sbDhbH9Cz0tuDiY8C3ctxq1tqvaCgkFb8cCA/edit?usp=sharing"",""หนองบัวลำภู!J390"")"),0.0)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IFERROR(__xludf.DUMMYFUNCTION("IMPORTRANGE(""https://docs.google.com/spreadsheets/d/1XL5vhW3sbDhbH9Cz0tuDiY8C3ctxq1tqvaCgkFb8cCA/edit?usp=sharing"",""หนองบัวลำภู!I391"")"),0.0)</f>
        <v>0</v>
      </c>
      <c r="J496" s="469">
        <f>IFERROR(__xludf.DUMMYFUNCTION("IMPORTRANGE(""https://docs.google.com/spreadsheets/d/1XL5vhW3sbDhbH9Cz0tuDiY8C3ctxq1tqvaCgkFb8cCA/edit?usp=sharing"",""หนองบัวลำภู!J391"")"),0.0)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IFERROR(__xludf.DUMMYFUNCTION("IMPORTRANGE(""https://docs.google.com/spreadsheets/d/1XL5vhW3sbDhbH9Cz0tuDiY8C3ctxq1tqvaCgkFb8cCA/edit?usp=sharing"",""หนองบัวลำภู!I392"")"),10070.0)</f>
        <v>10070</v>
      </c>
      <c r="J497" s="476">
        <f>IFERROR(__xludf.DUMMYFUNCTION("IMPORTRANGE(""https://docs.google.com/spreadsheets/d/1XL5vhW3sbDhbH9Cz0tuDiY8C3ctxq1tqvaCgkFb8cCA/edit?usp=sharing"",""หนองบัวลำภู!J392"")"),0.0)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IFERROR(__xludf.DUMMYFUNCTION("IMPORTRANGE(""https://docs.google.com/spreadsheets/d/1XL5vhW3sbDhbH9Cz0tuDiY8C3ctxq1tqvaCgkFb8cCA/edit?usp=sharing"",""หนองบัวลำภู!I393"")"),10070.0)</f>
        <v>10070</v>
      </c>
      <c r="J498" s="453">
        <f>IFERROR(__xludf.DUMMYFUNCTION("IMPORTRANGE(""https://docs.google.com/spreadsheets/d/1XL5vhW3sbDhbH9Cz0tuDiY8C3ctxq1tqvaCgkFb8cCA/edit?usp=sharing"",""หนองบัวลำภู!J393"")"),0.0)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IFERROR(__xludf.DUMMYFUNCTION("IMPORTRANGE(""https://docs.google.com/spreadsheets/d/1XL5vhW3sbDhbH9Cz0tuDiY8C3ctxq1tqvaCgkFb8cCA/edit?usp=sharing"",""หนองบัวลำภู!I394"")"),1059.0)</f>
        <v>1059</v>
      </c>
      <c r="J499" s="453">
        <f>IFERROR(__xludf.DUMMYFUNCTION("IMPORTRANGE(""https://docs.google.com/spreadsheets/d/1XL5vhW3sbDhbH9Cz0tuDiY8C3ctxq1tqvaCgkFb8cCA/edit?usp=sharing"",""หนองบัวลำภู!J394"")"),0.0)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IFERROR(__xludf.DUMMYFUNCTION("IMPORTRANGE(""https://docs.google.com/spreadsheets/d/1XL5vhW3sbDhbH9Cz0tuDiY8C3ctxq1tqvaCgkFb8cCA/edit?usp=sharing"",""หนองบัวลำภู!I395"")"),0.0)</f>
        <v>0</v>
      </c>
      <c r="J500" s="195">
        <f>IFERROR(__xludf.DUMMYFUNCTION("IMPORTRANGE(""https://docs.google.com/spreadsheets/d/1XL5vhW3sbDhbH9Cz0tuDiY8C3ctxq1tqvaCgkFb8cCA/edit?usp=sharing"",""หนองบัวลำภู!J395"")"),0.0)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IFERROR(__xludf.DUMMYFUNCTION("IMPORTRANGE(""https://docs.google.com/spreadsheets/d/1XL5vhW3sbDhbH9Cz0tuDiY8C3ctxq1tqvaCgkFb8cCA/edit?usp=sharing"",""หนองบัวลำภู!I396"")"),0.0)</f>
        <v>0</v>
      </c>
      <c r="J501" s="195">
        <f>IFERROR(__xludf.DUMMYFUNCTION("IMPORTRANGE(""https://docs.google.com/spreadsheets/d/1XL5vhW3sbDhbH9Cz0tuDiY8C3ctxq1tqvaCgkFb8cCA/edit?usp=sharing"",""หนองบัวลำภู!J396"")"),0.0)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IFERROR(__xludf.DUMMYFUNCTION("IMPORTRANGE(""https://docs.google.com/spreadsheets/d/1XL5vhW3sbDhbH9Cz0tuDiY8C3ctxq1tqvaCgkFb8cCA/edit?usp=sharing"",""หนองบัวลำภู!I397"")"),0.0)</f>
        <v>0</v>
      </c>
      <c r="J502" s="223">
        <f>IFERROR(__xludf.DUMMYFUNCTION("IMPORTRANGE(""https://docs.google.com/spreadsheets/d/1XL5vhW3sbDhbH9Cz0tuDiY8C3ctxq1tqvaCgkFb8cCA/edit?usp=sharing"",""หนองบัวลำภู!J397"")"),0.0)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IFERROR(__xludf.DUMMYFUNCTION("IMPORTRANGE(""https://docs.google.com/spreadsheets/d/1XL5vhW3sbDhbH9Cz0tuDiY8C3ctxq1tqvaCgkFb8cCA/edit?usp=sharing"",""หนองบัวลำภู!I398"")"),0.0)</f>
        <v>0</v>
      </c>
      <c r="J503" s="232">
        <f>IFERROR(__xludf.DUMMYFUNCTION("IMPORTRANGE(""https://docs.google.com/spreadsheets/d/1XL5vhW3sbDhbH9Cz0tuDiY8C3ctxq1tqvaCgkFb8cCA/edit?usp=sharing"",""หนองบัวลำภู!J398"")"),0.0)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IFERROR(__xludf.DUMMYFUNCTION("IMPORTRANGE(""https://docs.google.com/spreadsheets/d/1XL5vhW3sbDhbH9Cz0tuDiY8C3ctxq1tqvaCgkFb8cCA/edit?usp=sharing"",""หนองบัวลำภู!I399"")"),0.0)</f>
        <v>0</v>
      </c>
      <c r="J504" s="223">
        <f>IFERROR(__xludf.DUMMYFUNCTION("IMPORTRANGE(""https://docs.google.com/spreadsheets/d/1XL5vhW3sbDhbH9Cz0tuDiY8C3ctxq1tqvaCgkFb8cCA/edit?usp=sharing"",""หนองบัวลำภู!J399"")"),0.0)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IFERROR(__xludf.DUMMYFUNCTION("IMPORTRANGE(""https://docs.google.com/spreadsheets/d/1XL5vhW3sbDhbH9Cz0tuDiY8C3ctxq1tqvaCgkFb8cCA/edit?usp=sharing"",""หนองบัวลำภู!I400"")"),0.0)</f>
        <v>0</v>
      </c>
      <c r="J505" s="232">
        <f>IFERROR(__xludf.DUMMYFUNCTION("IMPORTRANGE(""https://docs.google.com/spreadsheets/d/1XL5vhW3sbDhbH9Cz0tuDiY8C3ctxq1tqvaCgkFb8cCA/edit?usp=sharing"",""หนองบัวลำภู!J400"")"),0.0)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IFERROR(__xludf.DUMMYFUNCTION("IMPORTRANGE(""https://docs.google.com/spreadsheets/d/1XL5vhW3sbDhbH9Cz0tuDiY8C3ctxq1tqvaCgkFb8cCA/edit?usp=sharing"",""หนองบัวลำภู!I401"")"),0.0)</f>
        <v>0</v>
      </c>
      <c r="J506" s="223">
        <f>IFERROR(__xludf.DUMMYFUNCTION("IMPORTRANGE(""https://docs.google.com/spreadsheets/d/1XL5vhW3sbDhbH9Cz0tuDiY8C3ctxq1tqvaCgkFb8cCA/edit?usp=sharing"",""หนองบัวลำภู!J401"")"),0.0)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IFERROR(__xludf.DUMMYFUNCTION("IMPORTRANGE(""https://docs.google.com/spreadsheets/d/1XL5vhW3sbDhbH9Cz0tuDiY8C3ctxq1tqvaCgkFb8cCA/edit?usp=sharing"",""หนองบัวลำภู!I402"")"),0.0)</f>
        <v>0</v>
      </c>
      <c r="J507" s="232">
        <f>IFERROR(__xludf.DUMMYFUNCTION("IMPORTRANGE(""https://docs.google.com/spreadsheets/d/1XL5vhW3sbDhbH9Cz0tuDiY8C3ctxq1tqvaCgkFb8cCA/edit?usp=sharing"",""หนองบัวลำภู!J402"")"),0.0)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IFERROR(__xludf.DUMMYFUNCTION("IMPORTRANGE(""https://docs.google.com/spreadsheets/d/1XL5vhW3sbDhbH9Cz0tuDiY8C3ctxq1tqvaCgkFb8cCA/edit?usp=sharing"",""หนองบัวลำภู!I403"")"),0.0)</f>
        <v>0</v>
      </c>
      <c r="J508" s="195">
        <f>IFERROR(__xludf.DUMMYFUNCTION("IMPORTRANGE(""https://docs.google.com/spreadsheets/d/1XL5vhW3sbDhbH9Cz0tuDiY8C3ctxq1tqvaCgkFb8cCA/edit?usp=sharing"",""หนองบัวลำภู!J403"")"),0.0)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IFERROR(__xludf.DUMMYFUNCTION("IMPORTRANGE(""https://docs.google.com/spreadsheets/d/1XL5vhW3sbDhbH9Cz0tuDiY8C3ctxq1tqvaCgkFb8cCA/edit?usp=sharing"",""หนองบัวลำภู!I404"")"),0.0)</f>
        <v>0</v>
      </c>
      <c r="J509" s="195">
        <f>IFERROR(__xludf.DUMMYFUNCTION("IMPORTRANGE(""https://docs.google.com/spreadsheets/d/1XL5vhW3sbDhbH9Cz0tuDiY8C3ctxq1tqvaCgkFb8cCA/edit?usp=sharing"",""หนองบัวลำภู!J404"")"),0.0)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IFERROR(__xludf.DUMMYFUNCTION("IMPORTRANGE(""https://docs.google.com/spreadsheets/d/1XL5vhW3sbDhbH9Cz0tuDiY8C3ctxq1tqvaCgkFb8cCA/edit?usp=sharing"",""หนองบัวลำภู!I405"")"),0.0)</f>
        <v>0</v>
      </c>
      <c r="J510" s="232">
        <f>IFERROR(__xludf.DUMMYFUNCTION("IMPORTRANGE(""https://docs.google.com/spreadsheets/d/1XL5vhW3sbDhbH9Cz0tuDiY8C3ctxq1tqvaCgkFb8cCA/edit?usp=sharing"",""หนองบัวลำภู!J405"")"),0.0)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IFERROR(__xludf.DUMMYFUNCTION("IMPORTRANGE(""https://docs.google.com/spreadsheets/d/1XL5vhW3sbDhbH9Cz0tuDiY8C3ctxq1tqvaCgkFb8cCA/edit?usp=sharing"",""หนองบัวลำภู!I406"")"),0.0)</f>
        <v>0</v>
      </c>
      <c r="J511" s="232">
        <f>IFERROR(__xludf.DUMMYFUNCTION("IMPORTRANGE(""https://docs.google.com/spreadsheets/d/1XL5vhW3sbDhbH9Cz0tuDiY8C3ctxq1tqvaCgkFb8cCA/edit?usp=sharing"",""หนองบัวลำภู!J406"")"),0.0)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IFERROR(__xludf.DUMMYFUNCTION("IMPORTRANGE(""https://docs.google.com/spreadsheets/d/1XL5vhW3sbDhbH9Cz0tuDiY8C3ctxq1tqvaCgkFb8cCA/edit?usp=sharing"",""หนองบัวลำภู!I407"")"),0.0)</f>
        <v>0</v>
      </c>
      <c r="J512" s="232">
        <f>IFERROR(__xludf.DUMMYFUNCTION("IMPORTRANGE(""https://docs.google.com/spreadsheets/d/1XL5vhW3sbDhbH9Cz0tuDiY8C3ctxq1tqvaCgkFb8cCA/edit?usp=sharing"",""หนองบัวลำภู!J407"")"),0.0)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IFERROR(__xludf.DUMMYFUNCTION("IMPORTRANGE(""https://docs.google.com/spreadsheets/d/1XL5vhW3sbDhbH9Cz0tuDiY8C3ctxq1tqvaCgkFb8cCA/edit?usp=sharing"",""หนองบัวลำภู!I408"")"),0.0)</f>
        <v>0</v>
      </c>
      <c r="J513" s="232">
        <f>IFERROR(__xludf.DUMMYFUNCTION("IMPORTRANGE(""https://docs.google.com/spreadsheets/d/1XL5vhW3sbDhbH9Cz0tuDiY8C3ctxq1tqvaCgkFb8cCA/edit?usp=sharing"",""หนองบัวลำภู!J408"")"),0.0)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IFERROR(__xludf.DUMMYFUNCTION("IMPORTRANGE(""https://docs.google.com/spreadsheets/d/1XL5vhW3sbDhbH9Cz0tuDiY8C3ctxq1tqvaCgkFb8cCA/edit?usp=sharing"",""หนองบัวลำภู!I409"")"),0.0)</f>
        <v>0</v>
      </c>
      <c r="J514" s="232">
        <f>IFERROR(__xludf.DUMMYFUNCTION("IMPORTRANGE(""https://docs.google.com/spreadsheets/d/1XL5vhW3sbDhbH9Cz0tuDiY8C3ctxq1tqvaCgkFb8cCA/edit?usp=sharing"",""หนองบัวลำภู!J409"")"),0.0)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IFERROR(__xludf.DUMMYFUNCTION("IMPORTRANGE(""https://docs.google.com/spreadsheets/d/1XL5vhW3sbDhbH9Cz0tuDiY8C3ctxq1tqvaCgkFb8cCA/edit?usp=sharing"",""หนองบัวลำภู!I410"")"),0.0)</f>
        <v>0</v>
      </c>
      <c r="J515" s="232">
        <f>IFERROR(__xludf.DUMMYFUNCTION("IMPORTRANGE(""https://docs.google.com/spreadsheets/d/1XL5vhW3sbDhbH9Cz0tuDiY8C3ctxq1tqvaCgkFb8cCA/edit?usp=sharing"",""หนองบัวลำภู!J410"")"),0.0)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IFERROR(__xludf.DUMMYFUNCTION("IMPORTRANGE(""https://docs.google.com/spreadsheets/d/1XL5vhW3sbDhbH9Cz0tuDiY8C3ctxq1tqvaCgkFb8cCA/edit?usp=sharing"",""หนองบัวลำภู!I411"")"),0.0)</f>
        <v>0</v>
      </c>
      <c r="J516" s="301">
        <f>IFERROR(__xludf.DUMMYFUNCTION("IMPORTRANGE(""https://docs.google.com/spreadsheets/d/1XL5vhW3sbDhbH9Cz0tuDiY8C3ctxq1tqvaCgkFb8cCA/edit?usp=sharing"",""หนองบัวลำภู!J411"")"),0.0)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IFERROR(__xludf.DUMMYFUNCTION("IMPORTRANGE(""https://docs.google.com/spreadsheets/d/1XL5vhW3sbDhbH9Cz0tuDiY8C3ctxq1tqvaCgkFb8cCA/edit?usp=sharing"",""หนองบัวลำภู!I412"")"),0.0)</f>
        <v>0</v>
      </c>
      <c r="J517" s="317">
        <f>IFERROR(__xludf.DUMMYFUNCTION("IMPORTRANGE(""https://docs.google.com/spreadsheets/d/1XL5vhW3sbDhbH9Cz0tuDiY8C3ctxq1tqvaCgkFb8cCA/edit?usp=sharing"",""หนองบัวลำภู!J412"")"),0.0)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IFERROR(__xludf.DUMMYFUNCTION("IMPORTRANGE(""https://docs.google.com/spreadsheets/d/1XL5vhW3sbDhbH9Cz0tuDiY8C3ctxq1tqvaCgkFb8cCA/edit?usp=sharing"",""หนองบัวลำภู!I413"")"),0.0)</f>
        <v>0</v>
      </c>
      <c r="J518" s="317">
        <f>IFERROR(__xludf.DUMMYFUNCTION("IMPORTRANGE(""https://docs.google.com/spreadsheets/d/1XL5vhW3sbDhbH9Cz0tuDiY8C3ctxq1tqvaCgkFb8cCA/edit?usp=sharing"",""หนองบัวลำภู!J413"")"),0.0)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IFERROR(__xludf.DUMMYFUNCTION("IMPORTRANGE(""https://docs.google.com/spreadsheets/d/1XL5vhW3sbDhbH9Cz0tuDiY8C3ctxq1tqvaCgkFb8cCA/edit?usp=sharing"",""หนองบัวลำภู!I414"")"),0.0)</f>
        <v>0</v>
      </c>
      <c r="J519" s="222">
        <f>IFERROR(__xludf.DUMMYFUNCTION("IMPORTRANGE(""https://docs.google.com/spreadsheets/d/1XL5vhW3sbDhbH9Cz0tuDiY8C3ctxq1tqvaCgkFb8cCA/edit?usp=sharing"",""หนองบัวลำภู!J414"")"),0.0)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IFERROR(__xludf.DUMMYFUNCTION("IMPORTRANGE(""https://docs.google.com/spreadsheets/d/1XL5vhW3sbDhbH9Cz0tuDiY8C3ctxq1tqvaCgkFb8cCA/edit?usp=sharing"",""หนองบัวลำภู!I415"")"),0.0)</f>
        <v>0</v>
      </c>
      <c r="J520" s="222">
        <f>IFERROR(__xludf.DUMMYFUNCTION("IMPORTRANGE(""https://docs.google.com/spreadsheets/d/1XL5vhW3sbDhbH9Cz0tuDiY8C3ctxq1tqvaCgkFb8cCA/edit?usp=sharing"",""หนองบัวลำภู!J415"")"),0.0)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IFERROR(__xludf.DUMMYFUNCTION("IMPORTRANGE(""https://docs.google.com/spreadsheets/d/1XL5vhW3sbDhbH9Cz0tuDiY8C3ctxq1tqvaCgkFb8cCA/edit?usp=sharing"",""หนองบัวลำภู!I416"")"),0.0)</f>
        <v>0</v>
      </c>
      <c r="J521" s="222">
        <f>IFERROR(__xludf.DUMMYFUNCTION("IMPORTRANGE(""https://docs.google.com/spreadsheets/d/1XL5vhW3sbDhbH9Cz0tuDiY8C3ctxq1tqvaCgkFb8cCA/edit?usp=sharing"",""หนองบัวลำภู!J416"")"),0.0)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IFERROR(__xludf.DUMMYFUNCTION("IMPORTRANGE(""https://docs.google.com/spreadsheets/d/1XL5vhW3sbDhbH9Cz0tuDiY8C3ctxq1tqvaCgkFb8cCA/edit?usp=sharing"",""หนองบัวลำภู!I417"")"),0.0)</f>
        <v>0</v>
      </c>
      <c r="J522" s="222">
        <f>IFERROR(__xludf.DUMMYFUNCTION("IMPORTRANGE(""https://docs.google.com/spreadsheets/d/1XL5vhW3sbDhbH9Cz0tuDiY8C3ctxq1tqvaCgkFb8cCA/edit?usp=sharing"",""หนองบัวลำภู!J417"")"),0.0)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IFERROR(__xludf.DUMMYFUNCTION("IMPORTRANGE(""https://docs.google.com/spreadsheets/d/1XL5vhW3sbDhbH9Cz0tuDiY8C3ctxq1tqvaCgkFb8cCA/edit?usp=sharing"",""หนองบัวลำภู!I418"")"),0.0)</f>
        <v>0</v>
      </c>
      <c r="J523" s="222">
        <f>IFERROR(__xludf.DUMMYFUNCTION("IMPORTRANGE(""https://docs.google.com/spreadsheets/d/1XL5vhW3sbDhbH9Cz0tuDiY8C3ctxq1tqvaCgkFb8cCA/edit?usp=sharing"",""หนองบัวลำภู!J418"")"),0.0)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IFERROR(__xludf.DUMMYFUNCTION("IMPORTRANGE(""https://docs.google.com/spreadsheets/d/1XL5vhW3sbDhbH9Cz0tuDiY8C3ctxq1tqvaCgkFb8cCA/edit?usp=sharing"",""หนองบัวลำภู!I419"")"),0.0)</f>
        <v>0</v>
      </c>
      <c r="J524" s="222">
        <f>IFERROR(__xludf.DUMMYFUNCTION("IMPORTRANGE(""https://docs.google.com/spreadsheets/d/1XL5vhW3sbDhbH9Cz0tuDiY8C3ctxq1tqvaCgkFb8cCA/edit?usp=sharing"",""หนองบัวลำภู!J419"")"),0.0)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IFERROR(__xludf.DUMMYFUNCTION("IMPORTRANGE(""https://docs.google.com/spreadsheets/d/1XL5vhW3sbDhbH9Cz0tuDiY8C3ctxq1tqvaCgkFb8cCA/edit?usp=sharing"",""หนองบัวลำภู!I420"")"),0.0)</f>
        <v>0</v>
      </c>
      <c r="J525" s="317">
        <f>IFERROR(__xludf.DUMMYFUNCTION("IMPORTRANGE(""https://docs.google.com/spreadsheets/d/1XL5vhW3sbDhbH9Cz0tuDiY8C3ctxq1tqvaCgkFb8cCA/edit?usp=sharing"",""หนองบัวลำภู!J420"")"),0.0)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IFERROR(__xludf.DUMMYFUNCTION("IMPORTRANGE(""https://docs.google.com/spreadsheets/d/1XL5vhW3sbDhbH9Cz0tuDiY8C3ctxq1tqvaCgkFb8cCA/edit?usp=sharing"",""หนองบัวลำภู!I421"")"),0.0)</f>
        <v>0</v>
      </c>
      <c r="J526" s="317">
        <f>IFERROR(__xludf.DUMMYFUNCTION("IMPORTRANGE(""https://docs.google.com/spreadsheets/d/1XL5vhW3sbDhbH9Cz0tuDiY8C3ctxq1tqvaCgkFb8cCA/edit?usp=sharing"",""หนองบัวลำภู!J421"")"),0.0)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IFERROR(__xludf.DUMMYFUNCTION("IMPORTRANGE(""https://docs.google.com/spreadsheets/d/1XL5vhW3sbDhbH9Cz0tuDiY8C3ctxq1tqvaCgkFb8cCA/edit?usp=sharing"",""หนองบัวลำภู!I422"")"),0.0)</f>
        <v>0</v>
      </c>
      <c r="J527" s="232">
        <f>IFERROR(__xludf.DUMMYFUNCTION("IMPORTRANGE(""https://docs.google.com/spreadsheets/d/1XL5vhW3sbDhbH9Cz0tuDiY8C3ctxq1tqvaCgkFb8cCA/edit?usp=sharing"",""หนองบัวลำภู!J422"")"),0.0)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IFERROR(__xludf.DUMMYFUNCTION("IMPORTRANGE(""https://docs.google.com/spreadsheets/d/1XL5vhW3sbDhbH9Cz0tuDiY8C3ctxq1tqvaCgkFb8cCA/edit?usp=sharing"",""หนองบัวลำภู!I423"")"),0.0)</f>
        <v>0</v>
      </c>
      <c r="J528" s="232">
        <f>IFERROR(__xludf.DUMMYFUNCTION("IMPORTRANGE(""https://docs.google.com/spreadsheets/d/1XL5vhW3sbDhbH9Cz0tuDiY8C3ctxq1tqvaCgkFb8cCA/edit?usp=sharing"",""หนองบัวลำภู!J423"")"),0.0)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IFERROR(__xludf.DUMMYFUNCTION("IMPORTRANGE(""https://docs.google.com/spreadsheets/d/1XL5vhW3sbDhbH9Cz0tuDiY8C3ctxq1tqvaCgkFb8cCA/edit?usp=sharing"",""หนองบัวลำภู!I424"")"),0.0)</f>
        <v>0</v>
      </c>
      <c r="J529" s="232">
        <f>IFERROR(__xludf.DUMMYFUNCTION("IMPORTRANGE(""https://docs.google.com/spreadsheets/d/1XL5vhW3sbDhbH9Cz0tuDiY8C3ctxq1tqvaCgkFb8cCA/edit?usp=sharing"",""หนองบัวลำภู!J424"")"),0.0)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IFERROR(__xludf.DUMMYFUNCTION("IMPORTRANGE(""https://docs.google.com/spreadsheets/d/1XL5vhW3sbDhbH9Cz0tuDiY8C3ctxq1tqvaCgkFb8cCA/edit?usp=sharing"",""หนองบัวลำภู!I425"")"),0.0)</f>
        <v>0</v>
      </c>
      <c r="J530" s="232">
        <f>IFERROR(__xludf.DUMMYFUNCTION("IMPORTRANGE(""https://docs.google.com/spreadsheets/d/1XL5vhW3sbDhbH9Cz0tuDiY8C3ctxq1tqvaCgkFb8cCA/edit?usp=sharing"",""หนองบัวลำภู!J425"")"),0.0)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IFERROR(__xludf.DUMMYFUNCTION("IMPORTRANGE(""https://docs.google.com/spreadsheets/d/1XL5vhW3sbDhbH9Cz0tuDiY8C3ctxq1tqvaCgkFb8cCA/edit?usp=sharing"",""หนองบัวลำภู!I426"")"),0.0)</f>
        <v>0</v>
      </c>
      <c r="J531" s="232">
        <f>IFERROR(__xludf.DUMMYFUNCTION("IMPORTRANGE(""https://docs.google.com/spreadsheets/d/1XL5vhW3sbDhbH9Cz0tuDiY8C3ctxq1tqvaCgkFb8cCA/edit?usp=sharing"",""หนองบัวลำภู!J426"")"),0.0)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IFERROR(__xludf.DUMMYFUNCTION("IMPORTRANGE(""https://docs.google.com/spreadsheets/d/1XL5vhW3sbDhbH9Cz0tuDiY8C3ctxq1tqvaCgkFb8cCA/edit?usp=sharing"",""หนองบัวลำภู!I427"")"),0.0)</f>
        <v>0</v>
      </c>
      <c r="J532" s="499">
        <f>IFERROR(__xludf.DUMMYFUNCTION("IMPORTRANGE(""https://docs.google.com/spreadsheets/d/1XL5vhW3sbDhbH9Cz0tuDiY8C3ctxq1tqvaCgkFb8cCA/edit?usp=sharing"",""หนองบัวลำภู!J427"")"),0.0)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IFERROR(__xludf.DUMMYFUNCTION("IMPORTRANGE(""https://docs.google.com/spreadsheets/d/1XL5vhW3sbDhbH9Cz0tuDiY8C3ctxq1tqvaCgkFb8cCA/edit?usp=sharing"",""หนองบัวลำภู!I428"")"),22.0)</f>
        <v>22</v>
      </c>
      <c r="J533" s="443">
        <f>IFERROR(__xludf.DUMMYFUNCTION("IMPORTRANGE(""https://docs.google.com/spreadsheets/d/1XL5vhW3sbDhbH9Cz0tuDiY8C3ctxq1tqvaCgkFb8cCA/edit?usp=sharing"",""หนองบัวลำภู!J428"")"),22.0)</f>
        <v>22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IFERROR(__xludf.DUMMYFUNCTION("IMPORTRANGE(""https://docs.google.com/spreadsheets/d/1XL5vhW3sbDhbH9Cz0tuDiY8C3ctxq1tqvaCgkFb8cCA/edit?usp=sharing"",""หนองบัวลำภู!L428"")"),34340.0)</f>
        <v>34340</v>
      </c>
      <c r="M533" s="445"/>
      <c r="N533" s="445">
        <f>IFERROR(__xludf.DUMMYFUNCTION("IMPORTRANGE(""https://docs.google.com/spreadsheets/d/1XL5vhW3sbDhbH9Cz0tuDiY8C3ctxq1tqvaCgkFb8cCA/edit?usp=sharing"",""หนองบัวลำภู!M428"")"),30044.0)</f>
        <v>30044</v>
      </c>
      <c r="O533" s="445">
        <f t="shared" ref="O533:O537" si="119">+IF(L533&gt;0,N533*100/L533,0)</f>
        <v>87.4898078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IFERROR(__xludf.DUMMYFUNCTION("IMPORTRANGE(""https://docs.google.com/spreadsheets/d/1XL5vhW3sbDhbH9Cz0tuDiY8C3ctxq1tqvaCgkFb8cCA/edit?usp=sharing"",""หนองบัวลำภู!L429"")"),0.0)</f>
        <v>0</v>
      </c>
      <c r="M534" s="197"/>
      <c r="N534" s="203">
        <f>IFERROR(__xludf.DUMMYFUNCTION("IMPORTRANGE(""https://docs.google.com/spreadsheets/d/1XL5vhW3sbDhbH9Cz0tuDiY8C3ctxq1tqvaCgkFb8cCA/edit?usp=sharing"",""หนองบัวลำภู!M429"")"),0.0)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IFERROR(__xludf.DUMMYFUNCTION("IMPORTRANGE(""https://docs.google.com/spreadsheets/d/1XL5vhW3sbDhbH9Cz0tuDiY8C3ctxq1tqvaCgkFb8cCA/edit?usp=sharing"",""หนองบัวลำภู!L430"")"),34340.0)</f>
        <v>34340</v>
      </c>
      <c r="M535" s="198"/>
      <c r="N535" s="203">
        <f>IFERROR(__xludf.DUMMYFUNCTION("IMPORTRANGE(""https://docs.google.com/spreadsheets/d/1XL5vhW3sbDhbH9Cz0tuDiY8C3ctxq1tqvaCgkFb8cCA/edit?usp=sharing"",""หนองบัวลำภู!M430"")"),30044.0)</f>
        <v>30044</v>
      </c>
      <c r="O535" s="203">
        <f t="shared" si="119"/>
        <v>87.4898078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IFERROR(__xludf.DUMMYFUNCTION("IMPORTRANGE(""https://docs.google.com/spreadsheets/d/1XL5vhW3sbDhbH9Cz0tuDiY8C3ctxq1tqvaCgkFb8cCA/edit?usp=sharing"",""หนองบัวลำภู!L431"")"),0.0)</f>
        <v>0</v>
      </c>
      <c r="M536" s="203"/>
      <c r="N536" s="203">
        <f>IFERROR(__xludf.DUMMYFUNCTION("IMPORTRANGE(""https://docs.google.com/spreadsheets/d/1XL5vhW3sbDhbH9Cz0tuDiY8C3ctxq1tqvaCgkFb8cCA/edit?usp=sharing"",""หนองบัวลำภู!M431"")"),0.0)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IFERROR(__xludf.DUMMYFUNCTION("IMPORTRANGE(""https://docs.google.com/spreadsheets/d/1XL5vhW3sbDhbH9Cz0tuDiY8C3ctxq1tqvaCgkFb8cCA/edit?usp=sharing"",""หนองบัวลำภู!L432"")"),34340.0)</f>
        <v>34340</v>
      </c>
      <c r="M537" s="203"/>
      <c r="N537" s="203">
        <f>IFERROR(__xludf.DUMMYFUNCTION("IMPORTRANGE(""https://docs.google.com/spreadsheets/d/1XL5vhW3sbDhbH9Cz0tuDiY8C3ctxq1tqvaCgkFb8cCA/edit?usp=sharing"",""หนองบัวลำภู!M432"")"),30044.0)</f>
        <v>30044</v>
      </c>
      <c r="O537" s="203">
        <f t="shared" si="119"/>
        <v>87.4898078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IFERROR(__xludf.DUMMYFUNCTION("IMPORTRANGE(""https://docs.google.com/spreadsheets/d/1XL5vhW3sbDhbH9Cz0tuDiY8C3ctxq1tqvaCgkFb8cCA/edit?usp=sharing"",""หนองบัวลำภู!M433"")"),17632.0)</f>
        <v>17632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IFERROR(__xludf.DUMMYFUNCTION("IMPORTRANGE(""https://docs.google.com/spreadsheets/d/1XL5vhW3sbDhbH9Cz0tuDiY8C3ctxq1tqvaCgkFb8cCA/edit?usp=sharing"",""หนองบัวลำภู!M434"")"),12412.0)</f>
        <v>12412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IFERROR(__xludf.DUMMYFUNCTION("IMPORTRANGE(""https://docs.google.com/spreadsheets/d/1XL5vhW3sbDhbH9Cz0tuDiY8C3ctxq1tqvaCgkFb8cCA/edit?usp=sharing"",""หนองบัวลำภู!M435"")"),0.0)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IFERROR(__xludf.DUMMYFUNCTION("IMPORTRANGE(""https://docs.google.com/spreadsheets/d/1XL5vhW3sbDhbH9Cz0tuDiY8C3ctxq1tqvaCgkFb8cCA/edit?usp=sharing"",""หนองบัวลำภู!M436"")"),0.0)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IFERROR(__xludf.DUMMYFUNCTION("IMPORTRANGE(""https://docs.google.com/spreadsheets/d/1XL5vhW3sbDhbH9Cz0tuDiY8C3ctxq1tqvaCgkFb8cCA/edit?usp=sharing"",""หนองบัวลำภู!J438"")"),0.0)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IFERROR(__xludf.DUMMYFUNCTION("IMPORTRANGE(""https://docs.google.com/spreadsheets/d/1XL5vhW3sbDhbH9Cz0tuDiY8C3ctxq1tqvaCgkFb8cCA/edit?usp=sharing"",""หนองบัวลำภู!J439"")"),1.0)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IFERROR(__xludf.DUMMYFUNCTION("IMPORTRANGE(""https://docs.google.com/spreadsheets/d/1XL5vhW3sbDhbH9Cz0tuDiY8C3ctxq1tqvaCgkFb8cCA/edit?usp=sharing"",""หนองบัวลำภู!J440"")"),1.0)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IFERROR(__xludf.DUMMYFUNCTION("IMPORTRANGE(""https://docs.google.com/spreadsheets/d/1XL5vhW3sbDhbH9Cz0tuDiY8C3ctxq1tqvaCgkFb8cCA/edit?usp=sharing"",""หนองบัวลำภู!J441"")"),1.0)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IFERROR(__xludf.DUMMYFUNCTION("IMPORTRANGE(""https://docs.google.com/spreadsheets/d/1XL5vhW3sbDhbH9Cz0tuDiY8C3ctxq1tqvaCgkFb8cCA/edit?usp=sharing"",""หนองบัวลำภู!I442"")"),22.0)</f>
        <v>22</v>
      </c>
      <c r="J547" s="223">
        <f>IFERROR(__xludf.DUMMYFUNCTION("IMPORTRANGE(""https://docs.google.com/spreadsheets/d/1XL5vhW3sbDhbH9Cz0tuDiY8C3ctxq1tqvaCgkFb8cCA/edit?usp=sharing"",""หนองบัวลำภู!J442"")"),22.0)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IFERROR(__xludf.DUMMYFUNCTION("IMPORTRANGE(""https://docs.google.com/spreadsheets/d/1XL5vhW3sbDhbH9Cz0tuDiY8C3ctxq1tqvaCgkFb8cCA/edit?usp=sharing"",""หนองบัวลำภู!J166"")"),0.0)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IFERROR(__xludf.DUMMYFUNCTION("IMPORTRANGE(""https://docs.google.com/spreadsheets/d/1XL5vhW3sbDhbH9Cz0tuDiY8C3ctxq1tqvaCgkFb8cCA/edit?usp=sharing"",""หนองบัวลำภู!J444"")"),0.0)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IFERROR(__xludf.DUMMYFUNCTION("IMPORTRANGE(""https://docs.google.com/spreadsheets/d/1XL5vhW3sbDhbH9Cz0tuDiY8C3ctxq1tqvaCgkFb8cCA/edit?usp=sharing"",""หนองบัวลำภู!J445"")"),0.0)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IFERROR(__xludf.DUMMYFUNCTION("IMPORTRANGE(""https://docs.google.com/spreadsheets/d/1XL5vhW3sbDhbH9Cz0tuDiY8C3ctxq1tqvaCgkFb8cCA/edit?usp=sharing"",""หนองบัวลำภู!I446"")"),5000.0)</f>
        <v>5000</v>
      </c>
      <c r="J551" s="443">
        <f>IFERROR(__xludf.DUMMYFUNCTION("IMPORTRANGE(""https://docs.google.com/spreadsheets/d/1XL5vhW3sbDhbH9Cz0tuDiY8C3ctxq1tqvaCgkFb8cCA/edit?usp=sharing"",""หนองบัวลำภู!J446"")"),416.0)</f>
        <v>416</v>
      </c>
      <c r="K551" s="444">
        <f>IF(I551&gt;0,J551*100/I551,0)</f>
        <v>8.32</v>
      </c>
      <c r="L551" s="445">
        <f>IFERROR(__xludf.DUMMYFUNCTION("IMPORTRANGE(""https://docs.google.com/spreadsheets/d/1XL5vhW3sbDhbH9Cz0tuDiY8C3ctxq1tqvaCgkFb8cCA/edit?usp=sharing"",""หนองบัวลำภู!L446"")"),310000.0)</f>
        <v>310000</v>
      </c>
      <c r="M551" s="445"/>
      <c r="N551" s="445">
        <f>IFERROR(__xludf.DUMMYFUNCTION("IMPORTRANGE(""https://docs.google.com/spreadsheets/d/1XL5vhW3sbDhbH9Cz0tuDiY8C3ctxq1tqvaCgkFb8cCA/edit?usp=sharing"",""หนองบัวลำภู!M446"")"),98237.58)</f>
        <v>98237.58</v>
      </c>
      <c r="O551" s="445">
        <f t="shared" ref="O551:O555" si="121">+IF(L551&gt;0,N551*100/L551,0)</f>
        <v>31.68954194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IFERROR(__xludf.DUMMYFUNCTION("IMPORTRANGE(""https://docs.google.com/spreadsheets/d/1XL5vhW3sbDhbH9Cz0tuDiY8C3ctxq1tqvaCgkFb8cCA/edit?usp=sharing"",""หนองบัวลำภู!L447"")"),0.0)</f>
        <v>0</v>
      </c>
      <c r="M552" s="197"/>
      <c r="N552" s="203">
        <f>IFERROR(__xludf.DUMMYFUNCTION("IMPORTRANGE(""https://docs.google.com/spreadsheets/d/1XL5vhW3sbDhbH9Cz0tuDiY8C3ctxq1tqvaCgkFb8cCA/edit?usp=sharing"",""หนองบัวลำภู!M447"")"),0.0)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IFERROR(__xludf.DUMMYFUNCTION("IMPORTRANGE(""https://docs.google.com/spreadsheets/d/1XL5vhW3sbDhbH9Cz0tuDiY8C3ctxq1tqvaCgkFb8cCA/edit?usp=sharing"",""หนองบัวลำภู!L448"")"),310000.0)</f>
        <v>310000</v>
      </c>
      <c r="M553" s="198"/>
      <c r="N553" s="203">
        <f>IFERROR(__xludf.DUMMYFUNCTION("IMPORTRANGE(""https://docs.google.com/spreadsheets/d/1XL5vhW3sbDhbH9Cz0tuDiY8C3ctxq1tqvaCgkFb8cCA/edit?usp=sharing"",""หนองบัวลำภู!M448"")"),98237.58)</f>
        <v>98237.58</v>
      </c>
      <c r="O553" s="203">
        <f t="shared" si="121"/>
        <v>31.68954194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IFERROR(__xludf.DUMMYFUNCTION("IMPORTRANGE(""https://docs.google.com/spreadsheets/d/1XL5vhW3sbDhbH9Cz0tuDiY8C3ctxq1tqvaCgkFb8cCA/edit?usp=sharing"",""หนองบัวลำภู!L449"")"),0.0)</f>
        <v>0</v>
      </c>
      <c r="M554" s="203"/>
      <c r="N554" s="203">
        <f>IFERROR(__xludf.DUMMYFUNCTION("IMPORTRANGE(""https://docs.google.com/spreadsheets/d/1XL5vhW3sbDhbH9Cz0tuDiY8C3ctxq1tqvaCgkFb8cCA/edit?usp=sharing"",""หนองบัวลำภู!M449"")"),0.0)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IFERROR(__xludf.DUMMYFUNCTION("IMPORTRANGE(""https://docs.google.com/spreadsheets/d/1XL5vhW3sbDhbH9Cz0tuDiY8C3ctxq1tqvaCgkFb8cCA/edit?usp=sharing"",""หนองบัวลำภู!L450"")"),310000.0)</f>
        <v>310000</v>
      </c>
      <c r="M555" s="203"/>
      <c r="N555" s="203">
        <f>IFERROR(__xludf.DUMMYFUNCTION("IMPORTRANGE(""https://docs.google.com/spreadsheets/d/1XL5vhW3sbDhbH9Cz0tuDiY8C3ctxq1tqvaCgkFb8cCA/edit?usp=sharing"",""หนองบัวลำภู!M450"")"),98237.58)</f>
        <v>98237.58</v>
      </c>
      <c r="O555" s="203">
        <f t="shared" si="121"/>
        <v>31.68954194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IFERROR(__xludf.DUMMYFUNCTION("IMPORTRANGE(""https://docs.google.com/spreadsheets/d/1XL5vhW3sbDhbH9Cz0tuDiY8C3ctxq1tqvaCgkFb8cCA/edit?usp=sharing"",""หนองบัวลำภู!M451"")"),0.0)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IFERROR(__xludf.DUMMYFUNCTION("IMPORTRANGE(""https://docs.google.com/spreadsheets/d/1XL5vhW3sbDhbH9Cz0tuDiY8C3ctxq1tqvaCgkFb8cCA/edit?usp=sharing"",""หนองบัวลำภู!M452"")"),0.0)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IFERROR(__xludf.DUMMYFUNCTION("IMPORTRANGE(""https://docs.google.com/spreadsheets/d/1XL5vhW3sbDhbH9Cz0tuDiY8C3ctxq1tqvaCgkFb8cCA/edit?usp=sharing"",""หนองบัวลำภู!M453"")"),8400.0)</f>
        <v>8400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IFERROR(__xludf.DUMMYFUNCTION("IMPORTRANGE(""https://docs.google.com/spreadsheets/d/1XL5vhW3sbDhbH9Cz0tuDiY8C3ctxq1tqvaCgkFb8cCA/edit?usp=sharing"",""หนองบัวลำภู!M454"")"),89837.58)</f>
        <v>89837.58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IFERROR(__xludf.DUMMYFUNCTION("IMPORTRANGE(""https://docs.google.com/spreadsheets/d/1XL5vhW3sbDhbH9Cz0tuDiY8C3ctxq1tqvaCgkFb8cCA/edit?usp=sharing"",""หนองบัวลำภู!I455"")"),5000.0)</f>
        <v>5000</v>
      </c>
      <c r="J560" s="195">
        <f>IFERROR(__xludf.DUMMYFUNCTION("IMPORTRANGE(""https://docs.google.com/spreadsheets/d/1XL5vhW3sbDhbH9Cz0tuDiY8C3ctxq1tqvaCgkFb8cCA/edit?usp=sharing"",""หนองบัวลำภู!J455"")"),416.0)</f>
        <v>416</v>
      </c>
      <c r="K560" s="258">
        <f t="shared" ref="K560:K564" si="122">IF(I560&gt;0,J560*100/I560,0)</f>
        <v>8.32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IFERROR(__xludf.DUMMYFUNCTION("IMPORTRANGE(""https://docs.google.com/spreadsheets/d/1XL5vhW3sbDhbH9Cz0tuDiY8C3ctxq1tqvaCgkFb8cCA/edit?usp=sharing"",""หนองบัวลำภู!I456"")"),0.0)</f>
        <v>0</v>
      </c>
      <c r="J561" s="238">
        <f>IFERROR(__xludf.DUMMYFUNCTION("IMPORTRANGE(""https://docs.google.com/spreadsheets/d/1XL5vhW3sbDhbH9Cz0tuDiY8C3ctxq1tqvaCgkFb8cCA/edit?usp=sharing"",""หนองบัวลำภู!J456"")"),24.0)</f>
        <v>24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IFERROR(__xludf.DUMMYFUNCTION("IMPORTRANGE(""https://docs.google.com/spreadsheets/d/1XL5vhW3sbDhbH9Cz0tuDiY8C3ctxq1tqvaCgkFb8cCA/edit?usp=sharing"",""หนองบัวลำภู!I457"")"),"")</f>
        <v/>
      </c>
      <c r="J562" s="238" t="str">
        <f>IFERROR(__xludf.DUMMYFUNCTION("IMPORTRANGE(""https://docs.google.com/spreadsheets/d/1XL5vhW3sbDhbH9Cz0tuDiY8C3ctxq1tqvaCgkFb8cCA/edit?usp=sharing"",""หนองบัวลำภู!J457"")"),"")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IFERROR(__xludf.DUMMYFUNCTION("IMPORTRANGE(""https://docs.google.com/spreadsheets/d/1XL5vhW3sbDhbH9Cz0tuDiY8C3ctxq1tqvaCgkFb8cCA/edit?usp=sharing"",""หนองบัวลำภู!I458"")"),"")</f>
        <v/>
      </c>
      <c r="J563" s="222" t="str">
        <f>IFERROR(__xludf.DUMMYFUNCTION("IMPORTRANGE(""https://docs.google.com/spreadsheets/d/1XL5vhW3sbDhbH9Cz0tuDiY8C3ctxq1tqvaCgkFb8cCA/edit?usp=sharing"",""หนองบัวลำภู!J458"")"),"")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IFERROR(__xludf.DUMMYFUNCTION("IMPORTRANGE(""https://docs.google.com/spreadsheets/d/1XL5vhW3sbDhbH9Cz0tuDiY8C3ctxq1tqvaCgkFb8cCA/edit?usp=sharing"",""หนองบัวลำภู!I459"")"),3800.0)</f>
        <v>3800</v>
      </c>
      <c r="J564" s="404">
        <f>IFERROR(__xludf.DUMMYFUNCTION("IMPORTRANGE(""https://docs.google.com/spreadsheets/d/1XL5vhW3sbDhbH9Cz0tuDiY8C3ctxq1tqvaCgkFb8cCA/edit?usp=sharing"",""หนองบัวลำภู!J459"")"),1182.0)</f>
        <v>1182</v>
      </c>
      <c r="K564" s="405">
        <f t="shared" si="122"/>
        <v>31.10526316</v>
      </c>
      <c r="L564" s="406">
        <f>IFERROR(__xludf.DUMMYFUNCTION("IMPORTRANGE(""https://docs.google.com/spreadsheets/d/1XL5vhW3sbDhbH9Cz0tuDiY8C3ctxq1tqvaCgkFb8cCA/edit?usp=sharing"",""หนองบัวลำภู!L459"")"),152800.0)</f>
        <v>152800</v>
      </c>
      <c r="M564" s="406"/>
      <c r="N564" s="406">
        <f>IFERROR(__xludf.DUMMYFUNCTION("IMPORTRANGE(""https://docs.google.com/spreadsheets/d/1XL5vhW3sbDhbH9Cz0tuDiY8C3ctxq1tqvaCgkFb8cCA/edit?usp=sharing"",""หนองบัวลำภู!M459"")"),32519.850000000002)</f>
        <v>32519.85</v>
      </c>
      <c r="O564" s="406">
        <f t="shared" ref="O564:O568" si="123">+IF(L564&gt;0,N564*100/L564,0)</f>
        <v>21.28262435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IFERROR(__xludf.DUMMYFUNCTION("IMPORTRANGE(""https://docs.google.com/spreadsheets/d/1XL5vhW3sbDhbH9Cz0tuDiY8C3ctxq1tqvaCgkFb8cCA/edit?usp=sharing"",""หนองบัวลำภู!L460"")"),0.0)</f>
        <v>0</v>
      </c>
      <c r="M565" s="197"/>
      <c r="N565" s="203">
        <f>IFERROR(__xludf.DUMMYFUNCTION("IMPORTRANGE(""https://docs.google.com/spreadsheets/d/1XL5vhW3sbDhbH9Cz0tuDiY8C3ctxq1tqvaCgkFb8cCA/edit?usp=sharing"",""หนองบัวลำภู!M460"")"),0.0)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IFERROR(__xludf.DUMMYFUNCTION("IMPORTRANGE(""https://docs.google.com/spreadsheets/d/1XL5vhW3sbDhbH9Cz0tuDiY8C3ctxq1tqvaCgkFb8cCA/edit?usp=sharing"",""หนองบัวลำภู!L461"")"),152800.0)</f>
        <v>152800</v>
      </c>
      <c r="M566" s="198"/>
      <c r="N566" s="203">
        <f>IFERROR(__xludf.DUMMYFUNCTION("IMPORTRANGE(""https://docs.google.com/spreadsheets/d/1XL5vhW3sbDhbH9Cz0tuDiY8C3ctxq1tqvaCgkFb8cCA/edit?usp=sharing"",""หนองบัวลำภู!M461"")"),32519.850000000002)</f>
        <v>32519.85</v>
      </c>
      <c r="O566" s="203">
        <f t="shared" si="123"/>
        <v>21.28262435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IFERROR(__xludf.DUMMYFUNCTION("IMPORTRANGE(""https://docs.google.com/spreadsheets/d/1XL5vhW3sbDhbH9Cz0tuDiY8C3ctxq1tqvaCgkFb8cCA/edit?usp=sharing"",""หนองบัวลำภู!L462"")"),0.0)</f>
        <v>0</v>
      </c>
      <c r="M567" s="203"/>
      <c r="N567" s="203">
        <f>IFERROR(__xludf.DUMMYFUNCTION("IMPORTRANGE(""https://docs.google.com/spreadsheets/d/1XL5vhW3sbDhbH9Cz0tuDiY8C3ctxq1tqvaCgkFb8cCA/edit?usp=sharing"",""หนองบัวลำภู!M462"")"),0.0)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IFERROR(__xludf.DUMMYFUNCTION("IMPORTRANGE(""https://docs.google.com/spreadsheets/d/1XL5vhW3sbDhbH9Cz0tuDiY8C3ctxq1tqvaCgkFb8cCA/edit?usp=sharing"",""หนองบัวลำภู!L463"")"),152800.0)</f>
        <v>152800</v>
      </c>
      <c r="M568" s="203"/>
      <c r="N568" s="203">
        <f>IFERROR(__xludf.DUMMYFUNCTION("IMPORTRANGE(""https://docs.google.com/spreadsheets/d/1XL5vhW3sbDhbH9Cz0tuDiY8C3ctxq1tqvaCgkFb8cCA/edit?usp=sharing"",""หนองบัวลำภู!M463"")"),32519.850000000002)</f>
        <v>32519.85</v>
      </c>
      <c r="O568" s="203">
        <f t="shared" si="123"/>
        <v>21.28262435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IFERROR(__xludf.DUMMYFUNCTION("IMPORTRANGE(""https://docs.google.com/spreadsheets/d/1XL5vhW3sbDhbH9Cz0tuDiY8C3ctxq1tqvaCgkFb8cCA/edit?usp=sharing"",""หนองบัวลำภู!M464"")"),0.0)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IFERROR(__xludf.DUMMYFUNCTION("IMPORTRANGE(""https://docs.google.com/spreadsheets/d/1XL5vhW3sbDhbH9Cz0tuDiY8C3ctxq1tqvaCgkFb8cCA/edit?usp=sharing"",""หนองบัวลำภู!M465"")"),0.0)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IFERROR(__xludf.DUMMYFUNCTION("IMPORTRANGE(""https://docs.google.com/spreadsheets/d/1XL5vhW3sbDhbH9Cz0tuDiY8C3ctxq1tqvaCgkFb8cCA/edit?usp=sharing"",""หนองบัวลำภู!M466"")"),31166.65)</f>
        <v>31166.65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IFERROR(__xludf.DUMMYFUNCTION("IMPORTRANGE(""https://docs.google.com/spreadsheets/d/1XL5vhW3sbDhbH9Cz0tuDiY8C3ctxq1tqvaCgkFb8cCA/edit?usp=sharing"",""หนองบัวลำภู!M467"")"),1353.2)</f>
        <v>1353.2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IFERROR(__xludf.DUMMYFUNCTION("IMPORTRANGE(""https://docs.google.com/spreadsheets/d/1XL5vhW3sbDhbH9Cz0tuDiY8C3ctxq1tqvaCgkFb8cCA/edit?usp=sharing"",""หนองบัวลำภู!I468"")"),3800.0)</f>
        <v>3800</v>
      </c>
      <c r="J573" s="453">
        <f>IFERROR(__xludf.DUMMYFUNCTION("IMPORTRANGE(""https://docs.google.com/spreadsheets/d/1XL5vhW3sbDhbH9Cz0tuDiY8C3ctxq1tqvaCgkFb8cCA/edit?usp=sharing"",""หนองบัวลำภู!J468"")"),1182.0)</f>
        <v>1182</v>
      </c>
      <c r="K573" s="236">
        <f>IF(I573&gt;0,J573*100/I573,0)</f>
        <v>31.10526316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IFERROR(__xludf.DUMMYFUNCTION("IMPORTRANGE(""https://docs.google.com/spreadsheets/d/1XL5vhW3sbDhbH9Cz0tuDiY8C3ctxq1tqvaCgkFb8cCA/edit?usp=sharing"",""หนองบัวลำภู!I470"")"),6.0)</f>
        <v>6</v>
      </c>
      <c r="J575" s="232">
        <f>IFERROR(__xludf.DUMMYFUNCTION("IMPORTRANGE(""https://docs.google.com/spreadsheets/d/1XL5vhW3sbDhbH9Cz0tuDiY8C3ctxq1tqvaCgkFb8cCA/edit?usp=sharing"",""หนองบัวลำภู!J470"")"),0.0)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IFERROR(__xludf.DUMMYFUNCTION("IMPORTRANGE(""https://docs.google.com/spreadsheets/d/1XL5vhW3sbDhbH9Cz0tuDiY8C3ctxq1tqvaCgkFb8cCA/edit?usp=sharing"",""หนองบัวลำภู!I471"")"),0.0)</f>
        <v>0</v>
      </c>
      <c r="J576" s="232">
        <f>IFERROR(__xludf.DUMMYFUNCTION("IMPORTRANGE(""https://docs.google.com/spreadsheets/d/1XL5vhW3sbDhbH9Cz0tuDiY8C3ctxq1tqvaCgkFb8cCA/edit?usp=sharing"",""หนองบัวลำภู!J471"")"),0.0)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IFERROR(__xludf.DUMMYFUNCTION("IMPORTRANGE(""https://docs.google.com/spreadsheets/d/1XL5vhW3sbDhbH9Cz0tuDiY8C3ctxq1tqvaCgkFb8cCA/edit?usp=sharing"",""หนองบัวลำภู!I472"")"),0.0)</f>
        <v>0</v>
      </c>
      <c r="J577" s="223">
        <f>IFERROR(__xludf.DUMMYFUNCTION("IMPORTRANGE(""https://docs.google.com/spreadsheets/d/1XL5vhW3sbDhbH9Cz0tuDiY8C3ctxq1tqvaCgkFb8cCA/edit?usp=sharing"",""หนองบัวลำภู!J472"")"),1182.0)</f>
        <v>1182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IFERROR(__xludf.DUMMYFUNCTION("IMPORTRANGE(""https://docs.google.com/spreadsheets/d/1XL5vhW3sbDhbH9Cz0tuDiY8C3ctxq1tqvaCgkFb8cCA/edit?usp=sharing"",""หนองบัวลำภู!I473"")"),0.0)</f>
        <v>0</v>
      </c>
      <c r="J578" s="232">
        <f>IFERROR(__xludf.DUMMYFUNCTION("IMPORTRANGE(""https://docs.google.com/spreadsheets/d/1XL5vhW3sbDhbH9Cz0tuDiY8C3ctxq1tqvaCgkFb8cCA/edit?usp=sharing"",""หนองบัวลำภู!J473"")"),0.0)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IFERROR(__xludf.DUMMYFUNCTION("IMPORTRANGE(""https://docs.google.com/spreadsheets/d/1XL5vhW3sbDhbH9Cz0tuDiY8C3ctxq1tqvaCgkFb8cCA/edit?usp=sharing"",""หนองบัวลำภู!I474"")"),0.0)</f>
        <v>0</v>
      </c>
      <c r="J579" s="232">
        <f>IFERROR(__xludf.DUMMYFUNCTION("IMPORTRANGE(""https://docs.google.com/spreadsheets/d/1XL5vhW3sbDhbH9Cz0tuDiY8C3ctxq1tqvaCgkFb8cCA/edit?usp=sharing"",""หนองบัวลำภู!J474"")"),0.0)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IFERROR(__xludf.DUMMYFUNCTION("IMPORTRANGE(""https://docs.google.com/spreadsheets/d/1XL5vhW3sbDhbH9Cz0tuDiY8C3ctxq1tqvaCgkFb8cCA/edit?usp=sharing"",""หนองบัวลำภู!I475"")"),150.0)</f>
        <v>150</v>
      </c>
      <c r="J580" s="404">
        <f>IFERROR(__xludf.DUMMYFUNCTION("IMPORTRANGE(""https://docs.google.com/spreadsheets/d/1XL5vhW3sbDhbH9Cz0tuDiY8C3ctxq1tqvaCgkFb8cCA/edit?usp=sharing"",""หนองบัวลำภู!J475"")"),0.0)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IFERROR(__xludf.DUMMYFUNCTION("IMPORTRANGE(""https://docs.google.com/spreadsheets/d/1XL5vhW3sbDhbH9Cz0tuDiY8C3ctxq1tqvaCgkFb8cCA/edit?usp=sharing"",""หนองบัวลำภู!L475"")"),327050.0)</f>
        <v>327050</v>
      </c>
      <c r="M580" s="406"/>
      <c r="N580" s="406">
        <f>IFERROR(__xludf.DUMMYFUNCTION("IMPORTRANGE(""https://docs.google.com/spreadsheets/d/1XL5vhW3sbDhbH9Cz0tuDiY8C3ctxq1tqvaCgkFb8cCA/edit?usp=sharing"",""หนองบัวลำภู!M475"")"),39800.03)</f>
        <v>39800.03</v>
      </c>
      <c r="O580" s="406">
        <f t="shared" ref="O580:O584" si="125">+IF(L580&gt;0,N580*100/L580,0)</f>
        <v>12.16940223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IFERROR(__xludf.DUMMYFUNCTION("IMPORTRANGE(""https://docs.google.com/spreadsheets/d/1XL5vhW3sbDhbH9Cz0tuDiY8C3ctxq1tqvaCgkFb8cCA/edit?usp=sharing"",""หนองบัวลำภู!L476"")"),0.0)</f>
        <v>0</v>
      </c>
      <c r="M581" s="197"/>
      <c r="N581" s="203">
        <f>IFERROR(__xludf.DUMMYFUNCTION("IMPORTRANGE(""https://docs.google.com/spreadsheets/d/1XL5vhW3sbDhbH9Cz0tuDiY8C3ctxq1tqvaCgkFb8cCA/edit?usp=sharing"",""หนองบัวลำภู!M476"")"),0.0)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IFERROR(__xludf.DUMMYFUNCTION("IMPORTRANGE(""https://docs.google.com/spreadsheets/d/1XL5vhW3sbDhbH9Cz0tuDiY8C3ctxq1tqvaCgkFb8cCA/edit?usp=sharing"",""หนองบัวลำภู!L477"")"),327050.0)</f>
        <v>327050</v>
      </c>
      <c r="M582" s="198"/>
      <c r="N582" s="203">
        <f>IFERROR(__xludf.DUMMYFUNCTION("IMPORTRANGE(""https://docs.google.com/spreadsheets/d/1XL5vhW3sbDhbH9Cz0tuDiY8C3ctxq1tqvaCgkFb8cCA/edit?usp=sharing"",""หนองบัวลำภู!M477"")"),39800.03)</f>
        <v>39800.03</v>
      </c>
      <c r="O582" s="203">
        <f t="shared" si="125"/>
        <v>12.16940223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IFERROR(__xludf.DUMMYFUNCTION("IMPORTRANGE(""https://docs.google.com/spreadsheets/d/1XL5vhW3sbDhbH9Cz0tuDiY8C3ctxq1tqvaCgkFb8cCA/edit?usp=sharing"",""หนองบัวลำภู!L478"")"),0.0)</f>
        <v>0</v>
      </c>
      <c r="M583" s="203"/>
      <c r="N583" s="203">
        <f>IFERROR(__xludf.DUMMYFUNCTION("IMPORTRANGE(""https://docs.google.com/spreadsheets/d/1XL5vhW3sbDhbH9Cz0tuDiY8C3ctxq1tqvaCgkFb8cCA/edit?usp=sharing"",""หนองบัวลำภู!M478"")"),0.0)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IFERROR(__xludf.DUMMYFUNCTION("IMPORTRANGE(""https://docs.google.com/spreadsheets/d/1XL5vhW3sbDhbH9Cz0tuDiY8C3ctxq1tqvaCgkFb8cCA/edit?usp=sharing"",""หนองบัวลำภู!L479"")"),327050.0)</f>
        <v>327050</v>
      </c>
      <c r="M584" s="203"/>
      <c r="N584" s="203">
        <f>IFERROR(__xludf.DUMMYFUNCTION("IMPORTRANGE(""https://docs.google.com/spreadsheets/d/1XL5vhW3sbDhbH9Cz0tuDiY8C3ctxq1tqvaCgkFb8cCA/edit?usp=sharing"",""หนองบัวลำภู!M479"")"),39800.03)</f>
        <v>39800.03</v>
      </c>
      <c r="O584" s="203">
        <f t="shared" si="125"/>
        <v>12.16940223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IFERROR(__xludf.DUMMYFUNCTION("IMPORTRANGE(""https://docs.google.com/spreadsheets/d/1XL5vhW3sbDhbH9Cz0tuDiY8C3ctxq1tqvaCgkFb8cCA/edit?usp=sharing"",""หนองบัวลำภู!M480"")"),0.0)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IFERROR(__xludf.DUMMYFUNCTION("IMPORTRANGE(""https://docs.google.com/spreadsheets/d/1XL5vhW3sbDhbH9Cz0tuDiY8C3ctxq1tqvaCgkFb8cCA/edit?usp=sharing"",""หนองบัวลำภู!M481"")"),0.0)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IFERROR(__xludf.DUMMYFUNCTION("IMPORTRANGE(""https://docs.google.com/spreadsheets/d/1XL5vhW3sbDhbH9Cz0tuDiY8C3ctxq1tqvaCgkFb8cCA/edit?usp=sharing"",""หนองบัวลำภู!M482"")"),36300.03)</f>
        <v>36300.03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IFERROR(__xludf.DUMMYFUNCTION("IMPORTRANGE(""https://docs.google.com/spreadsheets/d/1XL5vhW3sbDhbH9Cz0tuDiY8C3ctxq1tqvaCgkFb8cCA/edit?usp=sharing"",""หนองบัวลำภู!M483"")"),3500.0)</f>
        <v>3500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IFERROR(__xludf.DUMMYFUNCTION("IMPORTRANGE(""https://docs.google.com/spreadsheets/d/1XL5vhW3sbDhbH9Cz0tuDiY8C3ctxq1tqvaCgkFb8cCA/edit?usp=sharing"",""หนองบัวลำภู!I484"")"),150.0)</f>
        <v>150</v>
      </c>
      <c r="J589" s="222">
        <f>IFERROR(__xludf.DUMMYFUNCTION("IMPORTRANGE(""https://docs.google.com/spreadsheets/d/1XL5vhW3sbDhbH9Cz0tuDiY8C3ctxq1tqvaCgkFb8cCA/edit?usp=sharing"",""หนองบัวลำภู!J484"")"),15.0)</f>
        <v>15</v>
      </c>
      <c r="K589" s="196">
        <f t="shared" ref="K589:K596" si="126">IF(I589&gt;0,J589*100/I589,0)</f>
        <v>10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IFERROR(__xludf.DUMMYFUNCTION("IMPORTRANGE(""https://docs.google.com/spreadsheets/d/1XL5vhW3sbDhbH9Cz0tuDiY8C3ctxq1tqvaCgkFb8cCA/edit?usp=sharing"",""หนองบัวลำภู!I485"")"),0.0)</f>
        <v>0</v>
      </c>
      <c r="J590" s="222">
        <f>IFERROR(__xludf.DUMMYFUNCTION("IMPORTRANGE(""https://docs.google.com/spreadsheets/d/1XL5vhW3sbDhbH9Cz0tuDiY8C3ctxq1tqvaCgkFb8cCA/edit?usp=sharing"",""หนองบัวลำภู!J485"")"),17.18)</f>
        <v>17.18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IFERROR(__xludf.DUMMYFUNCTION("IMPORTRANGE(""https://docs.google.com/spreadsheets/d/1XL5vhW3sbDhbH9Cz0tuDiY8C3ctxq1tqvaCgkFb8cCA/edit?usp=sharing"",""หนองบัวลำภู!I486"")"),150.0)</f>
        <v>150</v>
      </c>
      <c r="J591" s="222">
        <f>IFERROR(__xludf.DUMMYFUNCTION("IMPORTRANGE(""https://docs.google.com/spreadsheets/d/1XL5vhW3sbDhbH9Cz0tuDiY8C3ctxq1tqvaCgkFb8cCA/edit?usp=sharing"",""หนองบัวลำภู!J486"")"),0.0)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IFERROR(__xludf.DUMMYFUNCTION("IMPORTRANGE(""https://docs.google.com/spreadsheets/d/1XL5vhW3sbDhbH9Cz0tuDiY8C3ctxq1tqvaCgkFb8cCA/edit?usp=sharing"",""หนองบัวลำภู!I487"")"),0.0)</f>
        <v>0</v>
      </c>
      <c r="J592" s="222">
        <f>IFERROR(__xludf.DUMMYFUNCTION("IMPORTRANGE(""https://docs.google.com/spreadsheets/d/1XL5vhW3sbDhbH9Cz0tuDiY8C3ctxq1tqvaCgkFb8cCA/edit?usp=sharing"",""หนองบัวลำภู!J487"")"),0.0)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IFERROR(__xludf.DUMMYFUNCTION("IMPORTRANGE(""https://docs.google.com/spreadsheets/d/1XL5vhW3sbDhbH9Cz0tuDiY8C3ctxq1tqvaCgkFb8cCA/edit?usp=sharing"",""หนองบัวลำภู!I488"")"),150.0)</f>
        <v>150</v>
      </c>
      <c r="J593" s="222">
        <f>IFERROR(__xludf.DUMMYFUNCTION("IMPORTRANGE(""https://docs.google.com/spreadsheets/d/1XL5vhW3sbDhbH9Cz0tuDiY8C3ctxq1tqvaCgkFb8cCA/edit?usp=sharing"",""หนองบัวลำภู!J488"")"),0.0)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IFERROR(__xludf.DUMMYFUNCTION("IMPORTRANGE(""https://docs.google.com/spreadsheets/d/1XL5vhW3sbDhbH9Cz0tuDiY8C3ctxq1tqvaCgkFb8cCA/edit?usp=sharing"",""หนองบัวลำภู!I489"")"),0.0)</f>
        <v>0</v>
      </c>
      <c r="J594" s="222">
        <f>IFERROR(__xludf.DUMMYFUNCTION("IMPORTRANGE(""https://docs.google.com/spreadsheets/d/1XL5vhW3sbDhbH9Cz0tuDiY8C3ctxq1tqvaCgkFb8cCA/edit?usp=sharing"",""หนองบัวลำภู!J489"")"),0.0)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IFERROR(__xludf.DUMMYFUNCTION("IMPORTRANGE(""https://docs.google.com/spreadsheets/d/1XL5vhW3sbDhbH9Cz0tuDiY8C3ctxq1tqvaCgkFb8cCA/edit?usp=sharing"",""หนองบัวลำภู!I490"")"),150.0)</f>
        <v>150</v>
      </c>
      <c r="J595" s="222">
        <f>IFERROR(__xludf.DUMMYFUNCTION("IMPORTRANGE(""https://docs.google.com/spreadsheets/d/1XL5vhW3sbDhbH9Cz0tuDiY8C3ctxq1tqvaCgkFb8cCA/edit?usp=sharing"",""หนองบัวลำภู!J490"")"),0.0)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IFERROR(__xludf.DUMMYFUNCTION("IMPORTRANGE(""https://docs.google.com/spreadsheets/d/1XL5vhW3sbDhbH9Cz0tuDiY8C3ctxq1tqvaCgkFb8cCA/edit?usp=sharing"",""หนองบัวลำภู!I491"")"),0.0)</f>
        <v>0</v>
      </c>
      <c r="J596" s="275">
        <f>IFERROR(__xludf.DUMMYFUNCTION("IMPORTRANGE(""https://docs.google.com/spreadsheets/d/1XL5vhW3sbDhbH9Cz0tuDiY8C3ctxq1tqvaCgkFb8cCA/edit?usp=sharing"",""หนองบัวลำภู!J491"")"),0.0)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IFERROR(__xludf.DUMMYFUNCTION("IMPORTRANGE(""https://docs.google.com/spreadsheets/d/1XL5vhW3sbDhbH9Cz0tuDiY8C3ctxq1tqvaCgkFb8cCA/edit?usp=sharing"",""หนองบัวลำภู!I492"")"),100.0)</f>
        <v>100</v>
      </c>
      <c r="J597" s="520">
        <f>IFERROR(__xludf.DUMMYFUNCTION("IMPORTRANGE(""https://docs.google.com/spreadsheets/d/1XL5vhW3sbDhbH9Cz0tuDiY8C3ctxq1tqvaCgkFb8cCA/edit?usp=sharing"",""หนองบัวลำภู!J492"")"),0.0)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IFERROR(__xludf.DUMMYFUNCTION("IMPORTRANGE(""https://docs.google.com/spreadsheets/d/1XL5vhW3sbDhbH9Cz0tuDiY8C3ctxq1tqvaCgkFb8cCA/edit?usp=sharing"",""หนองบัวลำภู!L492"")"),11300.0)</f>
        <v>11300</v>
      </c>
      <c r="M597" s="445"/>
      <c r="N597" s="445">
        <f>IFERROR(__xludf.DUMMYFUNCTION("IMPORTRANGE(""https://docs.google.com/spreadsheets/d/1XL5vhW3sbDhbH9Cz0tuDiY8C3ctxq1tqvaCgkFb8cCA/edit?usp=sharing"",""หนองบัวลำภู!M492"")"),2795.0)</f>
        <v>2795</v>
      </c>
      <c r="O597" s="445">
        <f t="shared" ref="O597:O601" si="127">+IF(L597&gt;0,N597*100/L597,0)</f>
        <v>24.73451327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IFERROR(__xludf.DUMMYFUNCTION("IMPORTRANGE(""https://docs.google.com/spreadsheets/d/1XL5vhW3sbDhbH9Cz0tuDiY8C3ctxq1tqvaCgkFb8cCA/edit?usp=sharing"",""หนองบัวลำภู!L493"")"),0.0)</f>
        <v>0</v>
      </c>
      <c r="M598" s="197"/>
      <c r="N598" s="203">
        <f>IFERROR(__xludf.DUMMYFUNCTION("IMPORTRANGE(""https://docs.google.com/spreadsheets/d/1XL5vhW3sbDhbH9Cz0tuDiY8C3ctxq1tqvaCgkFb8cCA/edit?usp=sharing"",""หนองบัวลำภู!M493"")"),0.0)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IFERROR(__xludf.DUMMYFUNCTION("IMPORTRANGE(""https://docs.google.com/spreadsheets/d/1XL5vhW3sbDhbH9Cz0tuDiY8C3ctxq1tqvaCgkFb8cCA/edit?usp=sharing"",""หนองบัวลำภู!L494"")"),11300.0)</f>
        <v>11300</v>
      </c>
      <c r="M599" s="198"/>
      <c r="N599" s="203">
        <f>IFERROR(__xludf.DUMMYFUNCTION("IMPORTRANGE(""https://docs.google.com/spreadsheets/d/1XL5vhW3sbDhbH9Cz0tuDiY8C3ctxq1tqvaCgkFb8cCA/edit?usp=sharing"",""หนองบัวลำภู!M494"")"),2795.0)</f>
        <v>2795</v>
      </c>
      <c r="O599" s="203">
        <f t="shared" si="127"/>
        <v>24.73451327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IFERROR(__xludf.DUMMYFUNCTION("IMPORTRANGE(""https://docs.google.com/spreadsheets/d/1XL5vhW3sbDhbH9Cz0tuDiY8C3ctxq1tqvaCgkFb8cCA/edit?usp=sharing"",""หนองบัวลำภู!L495"")"),0.0)</f>
        <v>0</v>
      </c>
      <c r="M600" s="203"/>
      <c r="N600" s="203">
        <f>IFERROR(__xludf.DUMMYFUNCTION("IMPORTRANGE(""https://docs.google.com/spreadsheets/d/1XL5vhW3sbDhbH9Cz0tuDiY8C3ctxq1tqvaCgkFb8cCA/edit?usp=sharing"",""หนองบัวลำภู!M495"")"),0.0)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IFERROR(__xludf.DUMMYFUNCTION("IMPORTRANGE(""https://docs.google.com/spreadsheets/d/1XL5vhW3sbDhbH9Cz0tuDiY8C3ctxq1tqvaCgkFb8cCA/edit?usp=sharing"",""หนองบัวลำภู!L496"")"),11300.0)</f>
        <v>11300</v>
      </c>
      <c r="M601" s="203"/>
      <c r="N601" s="203">
        <f>IFERROR(__xludf.DUMMYFUNCTION("IMPORTRANGE(""https://docs.google.com/spreadsheets/d/1XL5vhW3sbDhbH9Cz0tuDiY8C3ctxq1tqvaCgkFb8cCA/edit?usp=sharing"",""หนองบัวลำภู!M496"")"),2795.0)</f>
        <v>2795</v>
      </c>
      <c r="O601" s="203">
        <f t="shared" si="127"/>
        <v>24.73451327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IFERROR(__xludf.DUMMYFUNCTION("IMPORTRANGE(""https://docs.google.com/spreadsheets/d/1XL5vhW3sbDhbH9Cz0tuDiY8C3ctxq1tqvaCgkFb8cCA/edit?usp=sharing"",""หนองบัวลำภู!M497"")"),0.0)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IFERROR(__xludf.DUMMYFUNCTION("IMPORTRANGE(""https://docs.google.com/spreadsheets/d/1XL5vhW3sbDhbH9Cz0tuDiY8C3ctxq1tqvaCgkFb8cCA/edit?usp=sharing"",""หนองบัวลำภู!M498"")"),0.0)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IFERROR(__xludf.DUMMYFUNCTION("IMPORTRANGE(""https://docs.google.com/spreadsheets/d/1XL5vhW3sbDhbH9Cz0tuDiY8C3ctxq1tqvaCgkFb8cCA/edit?usp=sharing"",""หนองบัวลำภู!M499"")"),0.0)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IFERROR(__xludf.DUMMYFUNCTION("IMPORTRANGE(""https://docs.google.com/spreadsheets/d/1XL5vhW3sbDhbH9Cz0tuDiY8C3ctxq1tqvaCgkFb8cCA/edit?usp=sharing"",""หนองบัวลำภู!M500"")"),2795.0)</f>
        <v>2795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IFERROR(__xludf.DUMMYFUNCTION("IMPORTRANGE(""https://docs.google.com/spreadsheets/d/1XL5vhW3sbDhbH9Cz0tuDiY8C3ctxq1tqvaCgkFb8cCA/edit?usp=sharing"",""หนองบัวลำภู!J502"")"),0.0)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IFERROR(__xludf.DUMMYFUNCTION("IMPORTRANGE(""https://docs.google.com/spreadsheets/d/1XL5vhW3sbDhbH9Cz0tuDiY8C3ctxq1tqvaCgkFb8cCA/edit?usp=sharing"",""หนองบัวลำภู!J503"")"),1.0)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IFERROR(__xludf.DUMMYFUNCTION("IMPORTRANGE(""https://docs.google.com/spreadsheets/d/1XL5vhW3sbDhbH9Cz0tuDiY8C3ctxq1tqvaCgkFb8cCA/edit?usp=sharing"",""หนองบัวลำภู!J166"")"),0.0)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IFERROR(__xludf.DUMMYFUNCTION("IMPORTRANGE(""https://docs.google.com/spreadsheets/d/1XL5vhW3sbDhbH9Cz0tuDiY8C3ctxq1tqvaCgkFb8cCA/edit?usp=sharing"",""หนองบัวลำภู!J166"")"),0.0)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IFERROR(__xludf.DUMMYFUNCTION("IMPORTRANGE(""https://docs.google.com/spreadsheets/d/1XL5vhW3sbDhbH9Cz0tuDiY8C3ctxq1tqvaCgkFb8cCA/edit?usp=sharing"",""หนองบัวลำภู!I506"")"),100.0)</f>
        <v>100</v>
      </c>
      <c r="J611" s="195">
        <f>IFERROR(__xludf.DUMMYFUNCTION("IMPORTRANGE(""https://docs.google.com/spreadsheets/d/1XL5vhW3sbDhbH9Cz0tuDiY8C3ctxq1tqvaCgkFb8cCA/edit?usp=sharing"",""หนองบัวลำภู!J506"")"),0.0)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IFERROR(__xludf.DUMMYFUNCTION("IMPORTRANGE(""https://docs.google.com/spreadsheets/d/1XL5vhW3sbDhbH9Cz0tuDiY8C3ctxq1tqvaCgkFb8cCA/edit?usp=sharing"",""หนองบัวลำภู!I507"")"),0.0)</f>
        <v>0</v>
      </c>
      <c r="J612" s="232">
        <f>IFERROR(__xludf.DUMMYFUNCTION("IMPORTRANGE(""https://docs.google.com/spreadsheets/d/1XL5vhW3sbDhbH9Cz0tuDiY8C3ctxq1tqvaCgkFb8cCA/edit?usp=sharing"",""หนองบัวลำภู!J507"")"),0.0)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IFERROR(__xludf.DUMMYFUNCTION("IMPORTRANGE(""https://docs.google.com/spreadsheets/d/1XL5vhW3sbDhbH9Cz0tuDiY8C3ctxq1tqvaCgkFb8cCA/edit?usp=sharing"",""หนองบัวลำภู!I508"")"),0.0)</f>
        <v>0</v>
      </c>
      <c r="J613" s="232">
        <f>IFERROR(__xludf.DUMMYFUNCTION("IMPORTRANGE(""https://docs.google.com/spreadsheets/d/1XL5vhW3sbDhbH9Cz0tuDiY8C3ctxq1tqvaCgkFb8cCA/edit?usp=sharing"",""หนองบัวลำภู!J508"")"),0.0)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IFERROR(__xludf.DUMMYFUNCTION("IMPORTRANGE(""https://docs.google.com/spreadsheets/d/1XL5vhW3sbDhbH9Cz0tuDiY8C3ctxq1tqvaCgkFb8cCA/edit?usp=sharing"",""หนองบัวลำภู!I509"")"),0.0)</f>
        <v>0</v>
      </c>
      <c r="J614" s="232">
        <f>IFERROR(__xludf.DUMMYFUNCTION("IMPORTRANGE(""https://docs.google.com/spreadsheets/d/1XL5vhW3sbDhbH9Cz0tuDiY8C3ctxq1tqvaCgkFb8cCA/edit?usp=sharing"",""หนองบัวลำภู!J509"")"),0.0)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IFERROR(__xludf.DUMMYFUNCTION("IMPORTRANGE(""https://docs.google.com/spreadsheets/d/1XL5vhW3sbDhbH9Cz0tuDiY8C3ctxq1tqvaCgkFb8cCA/edit?usp=sharing"",""หนองบัวลำภู!I510"")"),0.0)</f>
        <v>0</v>
      </c>
      <c r="J615" s="232">
        <f>IFERROR(__xludf.DUMMYFUNCTION("IMPORTRANGE(""https://docs.google.com/spreadsheets/d/1XL5vhW3sbDhbH9Cz0tuDiY8C3ctxq1tqvaCgkFb8cCA/edit?usp=sharing"",""หนองบัวลำภู!J510"")"),0.0)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IFERROR(__xludf.DUMMYFUNCTION("IMPORTRANGE(""https://docs.google.com/spreadsheets/d/1XL5vhW3sbDhbH9Cz0tuDiY8C3ctxq1tqvaCgkFb8cCA/edit?usp=sharing"",""หนองบัวลำภู!I511"")"),0.0)</f>
        <v>0</v>
      </c>
      <c r="J616" s="232">
        <f>IFERROR(__xludf.DUMMYFUNCTION("IMPORTRANGE(""https://docs.google.com/spreadsheets/d/1XL5vhW3sbDhbH9Cz0tuDiY8C3ctxq1tqvaCgkFb8cCA/edit?usp=sharing"",""หนองบัวลำภู!J511"")"),0.0)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IFERROR(__xludf.DUMMYFUNCTION("IMPORTRANGE(""https://docs.google.com/spreadsheets/d/1XL5vhW3sbDhbH9Cz0tuDiY8C3ctxq1tqvaCgkFb8cCA/edit?usp=sharing"",""หนองบัวลำภู!I512"")"),0.0)</f>
        <v>0</v>
      </c>
      <c r="J617" s="222">
        <f>IFERROR(__xludf.DUMMYFUNCTION("IMPORTRANGE(""https://docs.google.com/spreadsheets/d/1XL5vhW3sbDhbH9Cz0tuDiY8C3ctxq1tqvaCgkFb8cCA/edit?usp=sharing"",""หนองบัวลำภู!J512"")"),0.0)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IFERROR(__xludf.DUMMYFUNCTION("IMPORTRANGE(""https://docs.google.com/spreadsheets/d/1XL5vhW3sbDhbH9Cz0tuDiY8C3ctxq1tqvaCgkFb8cCA/edit?usp=sharing"",""หนองบัวลำภู!I513"")"),0.0)</f>
        <v>0</v>
      </c>
      <c r="J618" s="223">
        <f>IFERROR(__xludf.DUMMYFUNCTION("IMPORTRANGE(""https://docs.google.com/spreadsheets/d/1XL5vhW3sbDhbH9Cz0tuDiY8C3ctxq1tqvaCgkFb8cCA/edit?usp=sharing"",""หนองบัวลำภู!J513"")"),0.0)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IFERROR(__xludf.DUMMYFUNCTION("IMPORTRANGE(""https://docs.google.com/spreadsheets/d/1XL5vhW3sbDhbH9Cz0tuDiY8C3ctxq1tqvaCgkFb8cCA/edit?usp=sharing"",""หนองบัวลำภู!I514"")"),0.0)</f>
        <v>0</v>
      </c>
      <c r="J619" s="223">
        <f>IFERROR(__xludf.DUMMYFUNCTION("IMPORTRANGE(""https://docs.google.com/spreadsheets/d/1XL5vhW3sbDhbH9Cz0tuDiY8C3ctxq1tqvaCgkFb8cCA/edit?usp=sharing"",""หนองบัวลำภู!J514"")"),0.0)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IFERROR(__xludf.DUMMYFUNCTION("IMPORTRANGE(""https://docs.google.com/spreadsheets/d/1XL5vhW3sbDhbH9Cz0tuDiY8C3ctxq1tqvaCgkFb8cCA/edit?usp=sharing"",""หนองบัวลำภู!I515"")"),0.0)</f>
        <v>0</v>
      </c>
      <c r="J620" s="237">
        <f>IFERROR(__xludf.DUMMYFUNCTION("IMPORTRANGE(""https://docs.google.com/spreadsheets/d/1XL5vhW3sbDhbH9Cz0tuDiY8C3ctxq1tqvaCgkFb8cCA/edit?usp=sharing"",""หนองบัวลำภู!J515"")"),0.0)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IFERROR(__xludf.DUMMYFUNCTION("IMPORTRANGE(""https://docs.google.com/spreadsheets/d/1XL5vhW3sbDhbH9Cz0tuDiY8C3ctxq1tqvaCgkFb8cCA/edit?usp=sharing"",""หนองบัวลำภู!I516"")"),0.0)</f>
        <v>0</v>
      </c>
      <c r="J621" s="237">
        <f>IFERROR(__xludf.DUMMYFUNCTION("IMPORTRANGE(""https://docs.google.com/spreadsheets/d/1XL5vhW3sbDhbH9Cz0tuDiY8C3ctxq1tqvaCgkFb8cCA/edit?usp=sharing"",""หนองบัวลำภู!J516"")"),0.0)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IFERROR(__xludf.DUMMYFUNCTION("IMPORTRANGE(""https://docs.google.com/spreadsheets/d/1XL5vhW3sbDhbH9Cz0tuDiY8C3ctxq1tqvaCgkFb8cCA/edit?usp=sharing"",""หนองบัวลำภู!I517"")"),0.0)</f>
        <v>0</v>
      </c>
      <c r="J622" s="223">
        <f>IFERROR(__xludf.DUMMYFUNCTION("IMPORTRANGE(""https://docs.google.com/spreadsheets/d/1XL5vhW3sbDhbH9Cz0tuDiY8C3ctxq1tqvaCgkFb8cCA/edit?usp=sharing"",""หนองบัวลำภู!J517"")"),0.0)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IFERROR(__xludf.DUMMYFUNCTION("IMPORTRANGE(""https://docs.google.com/spreadsheets/d/1XL5vhW3sbDhbH9Cz0tuDiY8C3ctxq1tqvaCgkFb8cCA/edit?usp=sharing"",""หนองบัวลำภู!I518"")"),0.0)</f>
        <v>0</v>
      </c>
      <c r="J623" s="223">
        <f>IFERROR(__xludf.DUMMYFUNCTION("IMPORTRANGE(""https://docs.google.com/spreadsheets/d/1XL5vhW3sbDhbH9Cz0tuDiY8C3ctxq1tqvaCgkFb8cCA/edit?usp=sharing"",""หนองบัวลำภู!J518"")"),0.0)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IFERROR(__xludf.DUMMYFUNCTION("IMPORTRANGE(""https://docs.google.com/spreadsheets/d/1XL5vhW3sbDhbH9Cz0tuDiY8C3ctxq1tqvaCgkFb8cCA/edit?usp=sharing"",""หนองบัวลำภู!I519"")"),0.0)</f>
        <v>0</v>
      </c>
      <c r="J624" s="222">
        <f>IFERROR(__xludf.DUMMYFUNCTION("IMPORTRANGE(""https://docs.google.com/spreadsheets/d/1XL5vhW3sbDhbH9Cz0tuDiY8C3ctxq1tqvaCgkFb8cCA/edit?usp=sharing"",""หนองบัวลำภู!J519"")"),0.0)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IFERROR(__xludf.DUMMYFUNCTION("IMPORTRANGE(""https://docs.google.com/spreadsheets/d/1XL5vhW3sbDhbH9Cz0tuDiY8C3ctxq1tqvaCgkFb8cCA/edit?usp=sharing"",""หนองบัวลำภู!I520"")"),0.0)</f>
        <v>0</v>
      </c>
      <c r="J625" s="223">
        <f>IFERROR(__xludf.DUMMYFUNCTION("IMPORTRANGE(""https://docs.google.com/spreadsheets/d/1XL5vhW3sbDhbH9Cz0tuDiY8C3ctxq1tqvaCgkFb8cCA/edit?usp=sharing"",""หนองบัวลำภู!J520"")"),0.0)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IFERROR(__xludf.DUMMYFUNCTION("IMPORTRANGE(""https://docs.google.com/spreadsheets/d/1XL5vhW3sbDhbH9Cz0tuDiY8C3ctxq1tqvaCgkFb8cCA/edit?usp=sharing"",""หนองบัวลำภู!I521"")"),0.0)</f>
        <v>0</v>
      </c>
      <c r="J626" s="223">
        <f>IFERROR(__xludf.DUMMYFUNCTION("IMPORTRANGE(""https://docs.google.com/spreadsheets/d/1XL5vhW3sbDhbH9Cz0tuDiY8C3ctxq1tqvaCgkFb8cCA/edit?usp=sharing"",""หนองบัวลำภู!J521"")"),0.0)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IFERROR(__xludf.DUMMYFUNCTION("IMPORTRANGE(""https://docs.google.com/spreadsheets/d/1XL5vhW3sbDhbH9Cz0tuDiY8C3ctxq1tqvaCgkFb8cCA/edit?usp=sharing"",""หนองบัวลำภู!I523"")"),3904564.84)</f>
        <v>3904564.84</v>
      </c>
      <c r="J628" s="374">
        <f>IFERROR(__xludf.DUMMYFUNCTION("IMPORTRANGE(""https://docs.google.com/spreadsheets/d/1XL5vhW3sbDhbH9Cz0tuDiY8C3ctxq1tqvaCgkFb8cCA/edit?usp=sharing"",""หนองบัวลำภู!J523"")"),317844.68)</f>
        <v>317844.68</v>
      </c>
      <c r="K628" s="375">
        <f t="shared" ref="K628:K635" si="130">IF(I628&gt;0,J628*100/I628,0)</f>
        <v>8.140335557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IFERROR(__xludf.DUMMYFUNCTION("IMPORTRANGE(""https://docs.google.com/spreadsheets/d/1XL5vhW3sbDhbH9Cz0tuDiY8C3ctxq1tqvaCgkFb8cCA/edit?usp=sharing"",""หนองบัวลำภู!I524"")"),256.0)</f>
        <v>256</v>
      </c>
      <c r="J629" s="374">
        <f>IFERROR(__xludf.DUMMYFUNCTION("IMPORTRANGE(""https://docs.google.com/spreadsheets/d/1XL5vhW3sbDhbH9Cz0tuDiY8C3ctxq1tqvaCgkFb8cCA/edit?usp=sharing"",""หนองบัวลำภู!J524"")"),22.0)</f>
        <v>22</v>
      </c>
      <c r="K629" s="375">
        <f t="shared" si="130"/>
        <v>8.59375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IFERROR(__xludf.DUMMYFUNCTION("IMPORTRANGE(""https://docs.google.com/spreadsheets/d/1XL5vhW3sbDhbH9Cz0tuDiY8C3ctxq1tqvaCgkFb8cCA/edit?usp=sharing"",""หนองบัวลำภู!I525"")"),2880373.47)</f>
        <v>2880373.47</v>
      </c>
      <c r="J630" s="374">
        <f>IFERROR(__xludf.DUMMYFUNCTION("IMPORTRANGE(""https://docs.google.com/spreadsheets/d/1XL5vhW3sbDhbH9Cz0tuDiY8C3ctxq1tqvaCgkFb8cCA/edit?usp=sharing"",""หนองบัวลำภู!J525"")"),482659.83)</f>
        <v>482659.83</v>
      </c>
      <c r="K630" s="375">
        <f t="shared" si="130"/>
        <v>16.7568489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IFERROR(__xludf.DUMMYFUNCTION("IMPORTRANGE(""https://docs.google.com/spreadsheets/d/1XL5vhW3sbDhbH9Cz0tuDiY8C3ctxq1tqvaCgkFb8cCA/edit?usp=sharing"",""หนองบัวลำภู!I526"")"),132.0)</f>
        <v>132</v>
      </c>
      <c r="J631" s="374">
        <f>IFERROR(__xludf.DUMMYFUNCTION("IMPORTRANGE(""https://docs.google.com/spreadsheets/d/1XL5vhW3sbDhbH9Cz0tuDiY8C3ctxq1tqvaCgkFb8cCA/edit?usp=sharing"",""หนองบัวลำภู!J526"")"),89.0)</f>
        <v>89</v>
      </c>
      <c r="K631" s="375">
        <f t="shared" si="130"/>
        <v>67.42424242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IFERROR(__xludf.DUMMYFUNCTION("IMPORTRANGE(""https://docs.google.com/spreadsheets/d/1XL5vhW3sbDhbH9Cz0tuDiY8C3ctxq1tqvaCgkFb8cCA/edit?usp=sharing"",""หนองบัวลำภู!I527"")"),0.0)</f>
        <v>0</v>
      </c>
      <c r="J632" s="374">
        <f>IFERROR(__xludf.DUMMYFUNCTION("IMPORTRANGE(""https://docs.google.com/spreadsheets/d/1XL5vhW3sbDhbH9Cz0tuDiY8C3ctxq1tqvaCgkFb8cCA/edit?usp=sharing"",""หนองบัวลำภู!J527"")"),0.0)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IFERROR(__xludf.DUMMYFUNCTION("IMPORTRANGE(""https://docs.google.com/spreadsheets/d/1XL5vhW3sbDhbH9Cz0tuDiY8C3ctxq1tqvaCgkFb8cCA/edit?usp=sharing"",""หนองบัวลำภู!I528"")"),0.0)</f>
        <v>0</v>
      </c>
      <c r="J633" s="374">
        <f>IFERROR(__xludf.DUMMYFUNCTION("IMPORTRANGE(""https://docs.google.com/spreadsheets/d/1XL5vhW3sbDhbH9Cz0tuDiY8C3ctxq1tqvaCgkFb8cCA/edit?usp=sharing"",""หนองบัวลำภู!J528"")"),0.0)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IFERROR(__xludf.DUMMYFUNCTION("IMPORTRANGE(""https://docs.google.com/spreadsheets/d/1XL5vhW3sbDhbH9Cz0tuDiY8C3ctxq1tqvaCgkFb8cCA/edit?usp=sharing"",""หนองบัวลำภู!I529"")"),2000000.0)</f>
        <v>2000000</v>
      </c>
      <c r="J634" s="374">
        <f>IFERROR(__xludf.DUMMYFUNCTION("IMPORTRANGE(""https://docs.google.com/spreadsheets/d/1XL5vhW3sbDhbH9Cz0tuDiY8C3ctxq1tqvaCgkFb8cCA/edit?usp=sharing"",""หนองบัวลำภู!J529"")"),0.0)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IFERROR(__xludf.DUMMYFUNCTION("IMPORTRANGE(""https://docs.google.com/spreadsheets/d/1XL5vhW3sbDhbH9Cz0tuDiY8C3ctxq1tqvaCgkFb8cCA/edit?usp=sharing"",""หนองบัวลำภู!I530"")"),67.0)</f>
        <v>67</v>
      </c>
      <c r="J635" s="544">
        <f>IFERROR(__xludf.DUMMYFUNCTION("IMPORTRANGE(""https://docs.google.com/spreadsheets/d/1XL5vhW3sbDhbH9Cz0tuDiY8C3ctxq1tqvaCgkFb8cCA/edit?usp=sharing"",""หนองบัวลำภู!J530"")"),0.0)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273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4094984</v>
      </c>
      <c r="M8" s="41">
        <f t="shared" si="1"/>
        <v>1416300</v>
      </c>
      <c r="N8" s="41">
        <f t="shared" si="1"/>
        <v>688067</v>
      </c>
      <c r="O8" s="40">
        <f t="shared" ref="O8:O16" si="3">IF(L8&gt;0,N8*100/L8,0)</f>
        <v>16.80267859</v>
      </c>
      <c r="P8" s="40">
        <f t="shared" ref="P8:P16" si="4">IF(M8&gt;0,N8*100/M8,0)</f>
        <v>48.58200946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4094984</v>
      </c>
      <c r="M10" s="48">
        <f t="shared" si="5"/>
        <v>1416300</v>
      </c>
      <c r="N10" s="48">
        <f t="shared" si="5"/>
        <v>688067</v>
      </c>
      <c r="O10" s="47">
        <f t="shared" si="3"/>
        <v>16.80267859</v>
      </c>
      <c r="P10" s="47">
        <f t="shared" si="4"/>
        <v>48.58200946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4057984</v>
      </c>
      <c r="M12" s="58">
        <f t="shared" si="7"/>
        <v>1416300</v>
      </c>
      <c r="N12" s="58">
        <f t="shared" si="7"/>
        <v>651567</v>
      </c>
      <c r="O12" s="58">
        <f t="shared" si="3"/>
        <v>16.05642112</v>
      </c>
      <c r="P12" s="58">
        <f t="shared" si="4"/>
        <v>46.00487185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1759000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2298984</v>
      </c>
      <c r="M14" s="58">
        <f t="shared" si="9"/>
        <v>0</v>
      </c>
      <c r="N14" s="58">
        <f t="shared" si="9"/>
        <v>72760</v>
      </c>
      <c r="O14" s="61">
        <f t="shared" si="3"/>
        <v>3.164876311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37000</v>
      </c>
      <c r="M16" s="58">
        <f t="shared" si="11"/>
        <v>0</v>
      </c>
      <c r="N16" s="58">
        <f t="shared" si="11"/>
        <v>36500</v>
      </c>
      <c r="O16" s="70">
        <f t="shared" si="3"/>
        <v>98.64864865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2716640</v>
      </c>
      <c r="M18" s="41">
        <f t="shared" si="12"/>
        <v>1416300</v>
      </c>
      <c r="N18" s="41">
        <f t="shared" si="12"/>
        <v>615307</v>
      </c>
      <c r="O18" s="40">
        <f t="shared" ref="O18:O20" si="14">IF(L18&gt;0,N18*100/L18,0)</f>
        <v>22.64955975</v>
      </c>
      <c r="P18" s="40">
        <f t="shared" ref="P18:P26" si="15">IF(M18&gt;0,N18*100/M18,0)</f>
        <v>43.4446798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2716640</v>
      </c>
      <c r="M20" s="48">
        <f t="shared" si="16"/>
        <v>1416300</v>
      </c>
      <c r="N20" s="48">
        <f t="shared" si="16"/>
        <v>615307</v>
      </c>
      <c r="O20" s="47">
        <f t="shared" si="14"/>
        <v>22.64955975</v>
      </c>
      <c r="P20" s="47">
        <f t="shared" si="15"/>
        <v>43.4446798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2679640</v>
      </c>
      <c r="M22" s="62">
        <f t="shared" si="18"/>
        <v>1416300</v>
      </c>
      <c r="N22" s="61">
        <f t="shared" si="18"/>
        <v>578807</v>
      </c>
      <c r="O22" s="61">
        <f t="shared" si="19"/>
        <v>21.60017764</v>
      </c>
      <c r="P22" s="61">
        <f t="shared" si="15"/>
        <v>40.86754219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1759000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920640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37000</v>
      </c>
      <c r="M26" s="70">
        <f t="shared" si="23"/>
        <v>0</v>
      </c>
      <c r="N26" s="70">
        <f t="shared" si="23"/>
        <v>36500</v>
      </c>
      <c r="O26" s="70">
        <f t="shared" si="19"/>
        <v>98.64864865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1378344</v>
      </c>
      <c r="M28" s="41">
        <f t="shared" si="24"/>
        <v>0</v>
      </c>
      <c r="N28" s="41">
        <f t="shared" si="24"/>
        <v>72760</v>
      </c>
      <c r="O28" s="40">
        <f t="shared" ref="O28:O30" si="26">IF(L28&gt;0,N28*100/L28,0)</f>
        <v>5.278798326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1378344</v>
      </c>
      <c r="M30" s="48">
        <f t="shared" si="28"/>
        <v>0</v>
      </c>
      <c r="N30" s="48">
        <f t="shared" si="28"/>
        <v>72760</v>
      </c>
      <c r="O30" s="47">
        <f t="shared" si="26"/>
        <v>5.278798326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1378344</v>
      </c>
      <c r="M32" s="61">
        <f t="shared" si="30"/>
        <v>0</v>
      </c>
      <c r="N32" s="61">
        <f t="shared" si="30"/>
        <v>72760</v>
      </c>
      <c r="O32" s="61">
        <f t="shared" si="31"/>
        <v>5.278798326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1378344</v>
      </c>
      <c r="M34" s="61">
        <f t="shared" si="33"/>
        <v>0</v>
      </c>
      <c r="N34" s="61">
        <f t="shared" si="33"/>
        <v>72760</v>
      </c>
      <c r="O34" s="61">
        <f t="shared" si="31"/>
        <v>5.278798326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2716640</v>
      </c>
      <c r="M37" s="75">
        <f t="shared" si="34"/>
        <v>1416300</v>
      </c>
      <c r="N37" s="75">
        <f t="shared" si="34"/>
        <v>615307</v>
      </c>
      <c r="O37" s="76">
        <f t="shared" si="31"/>
        <v>22.64955975</v>
      </c>
      <c r="P37" s="76">
        <f t="shared" si="27"/>
        <v>43.4446798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659100</v>
      </c>
      <c r="M41" s="102">
        <f t="shared" si="35"/>
        <v>329500</v>
      </c>
      <c r="N41" s="102">
        <f t="shared" si="35"/>
        <v>178017</v>
      </c>
      <c r="O41" s="101">
        <f t="shared" ref="O41:O43" si="37">IF(L41&gt;0,N41*100/L41,0)</f>
        <v>27.00910332</v>
      </c>
      <c r="P41" s="101">
        <f t="shared" ref="P41:P43" si="38">IF(M41&gt;0,N41*100/M41,0)</f>
        <v>54.02640364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659100</v>
      </c>
      <c r="M43" s="102">
        <f t="shared" si="39"/>
        <v>329500</v>
      </c>
      <c r="N43" s="102">
        <f t="shared" si="39"/>
        <v>178017</v>
      </c>
      <c r="O43" s="101">
        <f t="shared" si="37"/>
        <v>27.00910332</v>
      </c>
      <c r="P43" s="101">
        <f t="shared" si="38"/>
        <v>54.02640364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659100</v>
      </c>
      <c r="M45" s="115">
        <f>IFERROR(__xludf.DUMMYFUNCTION("IMPORTRANGE(""https://docs.google.com/spreadsheets/d/1Yj_ptqi66GCucihVvJfMjLAmec39IyEx_6qawtMGysU/edit?usp=sharing"",""สบก!Q55"")"),329500.0)</f>
        <v>329500</v>
      </c>
      <c r="N45" s="115">
        <f>IFERROR(__xludf.DUMMYFUNCTION("IMPORTRANGE(""https://docs.google.com/spreadsheets/d/1Yj_ptqi66GCucihVvJfMjLAmec39IyEx_6qawtMGysU/edit?usp=sharing"",""สบก!R55"")"),178017.0)</f>
        <v>178017</v>
      </c>
      <c r="O45" s="116">
        <f>IF(L45&gt;0,N45*100/L45,0)</f>
        <v>27.00910332</v>
      </c>
      <c r="P45" s="116">
        <f>IF(M45&gt;0,N45*100/M45,0)</f>
        <v>54.02640364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IFERROR(__xludf.DUMMYFUNCTION("IMPORTRANGE(""https://docs.google.com/spreadsheets/d/1Yj_ptqi66GCucihVvJfMjLAmec39IyEx_6qawtMGysU/edit?usp=sharing"",""สบก!M55"")"),659100.0)</f>
        <v>659100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IFERROR(__xludf.DUMMYFUNCTION("IMPORTRANGE(""https://docs.google.com/spreadsheets/d/1Yj_ptqi66GCucihVvJfMjLAmec39IyEx_6qawtMGysU/edit?usp=sharing"",""สบก!N55"")"),0.0)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IFERROR(__xludf.DUMMYFUNCTION("IMPORTRANGE(""https://docs.google.com/spreadsheets/d/1Yj_ptqi66GCucihVvJfMjLAmec39IyEx_6qawtMGysU/edit?usp=sharing"",""สบก!O55"")"),0.0)</f>
        <v>0</v>
      </c>
      <c r="M49" s="125"/>
      <c r="N49" s="115">
        <f>IFERROR(__xludf.DUMMYFUNCTION("IMPORTRANGE(""https://docs.google.com/spreadsheets/d/1Yj_ptqi66GCucihVvJfMjLAmec39IyEx_6qawtMGysU/edit?usp=sharing"",""สบก!S55"")"),0.0)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482400</v>
      </c>
      <c r="M53" s="151">
        <f t="shared" si="40"/>
        <v>241200</v>
      </c>
      <c r="N53" s="151">
        <f t="shared" si="40"/>
        <v>127100</v>
      </c>
      <c r="O53" s="150">
        <f t="shared" ref="O53:O55" si="42">IF(L53&gt;0,N53*100/L53,0)</f>
        <v>26.34742952</v>
      </c>
      <c r="P53" s="150">
        <f t="shared" ref="P53:P55" si="43">IF(M53&gt;0,N53*100/M53,0)</f>
        <v>52.69485904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482400</v>
      </c>
      <c r="M55" s="151">
        <f t="shared" si="44"/>
        <v>241200</v>
      </c>
      <c r="N55" s="151">
        <f t="shared" si="44"/>
        <v>127100</v>
      </c>
      <c r="O55" s="150">
        <f t="shared" si="42"/>
        <v>26.34742952</v>
      </c>
      <c r="P55" s="150">
        <f t="shared" si="43"/>
        <v>52.69485904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482400</v>
      </c>
      <c r="M57" s="115">
        <f>IFERROR(__xludf.DUMMYFUNCTION("IMPORTRANGE(""https://docs.google.com/spreadsheets/d/1Yj_ptqi66GCucihVvJfMjLAmec39IyEx_6qawtMGysU/edit?usp=sharing"",""สบก!Z55"")"),241200.0)</f>
        <v>241200</v>
      </c>
      <c r="N57" s="115">
        <f>IFERROR(__xludf.DUMMYFUNCTION("IMPORTRANGE(""https://docs.google.com/spreadsheets/d/1Yj_ptqi66GCucihVvJfMjLAmec39IyEx_6qawtMGysU/edit?usp=sharing"",""สบก!AA55"")"),127100.0)</f>
        <v>127100</v>
      </c>
      <c r="O57" s="116">
        <f>IF(L57&gt;0,N57*100/L57,0)</f>
        <v>26.34742952</v>
      </c>
      <c r="P57" s="116">
        <f>IF(M57&gt;0,N57*100/M57,0)</f>
        <v>52.69485904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IFERROR(__xludf.DUMMYFUNCTION("IMPORTRANGE(""https://docs.google.com/spreadsheets/d/1Yj_ptqi66GCucihVvJfMjLAmec39IyEx_6qawtMGysU/edit?usp=sharing"",""สบก!V55"")"),482400.0)</f>
        <v>482400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IFERROR(__xludf.DUMMYFUNCTION("IMPORTRANGE(""https://docs.google.com/spreadsheets/d/1Yj_ptqi66GCucihVvJfMjLAmec39IyEx_6qawtMGysU/edit?usp=sharing"",""สบก!W55"")"),0.0)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IFERROR(__xludf.DUMMYFUNCTION("IMPORTRANGE(""https://docs.google.com/spreadsheets/d/1Yj_ptqi66GCucihVvJfMjLAmec39IyEx_6qawtMGysU/edit?usp=sharing"",""สบก!X55"")"),0.0)</f>
        <v>0</v>
      </c>
      <c r="M61" s="125"/>
      <c r="N61" s="115">
        <f>IFERROR(__xludf.DUMMYFUNCTION("IMPORTRANGE(""https://docs.google.com/spreadsheets/d/1Yj_ptqi66GCucihVvJfMjLAmec39IyEx_6qawtMGysU/edit?usp=sharing"",""สบก!AB55"")"),0.0)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IFERROR(__xludf.DUMMYFUNCTION("IMPORTRANGE(""https://docs.google.com/spreadsheets/d/1XL5vhW3sbDhbH9Cz0tuDiY8C3ctxq1tqvaCgkFb8cCA/edit?usp=sharing"",""อำนาจเจริญ!I9"")"),1.0)</f>
        <v>1</v>
      </c>
      <c r="J64" s="172">
        <f>IFERROR(__xludf.DUMMYFUNCTION("IMPORTRANGE(""https://docs.google.com/spreadsheets/d/1XL5vhW3sbDhbH9Cz0tuDiY8C3ctxq1tqvaCgkFb8cCA/edit?usp=sharing"",""อำนาจเจริญ!J9"")"),1.0)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IFERROR(__xludf.DUMMYFUNCTION("IMPORTRANGE(""https://docs.google.com/spreadsheets/d/1XL5vhW3sbDhbH9Cz0tuDiY8C3ctxq1tqvaCgkFb8cCA/edit?usp=sharing"",""อำนาจเจริญ!I10"")"),48.0)</f>
        <v>48</v>
      </c>
      <c r="J65" s="172">
        <f>IFERROR(__xludf.DUMMYFUNCTION("IMPORTRANGE(""https://docs.google.com/spreadsheets/d/1XL5vhW3sbDhbH9Cz0tuDiY8C3ctxq1tqvaCgkFb8cCA/edit?usp=sharing"",""อำนาจเจริญ!J10"")"),48.0)</f>
        <v>48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777100</v>
      </c>
      <c r="M66" s="183">
        <f t="shared" si="46"/>
        <v>425120</v>
      </c>
      <c r="N66" s="183">
        <f t="shared" si="46"/>
        <v>108945</v>
      </c>
      <c r="O66" s="182">
        <f t="shared" ref="O66:O68" si="48">IF(L66&gt;0,N66*100/L66,0)</f>
        <v>14.01943122</v>
      </c>
      <c r="P66" s="182">
        <f t="shared" ref="P66:P68" si="49">IF(M66&gt;0,N66*100/M66,0)</f>
        <v>25.62688182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777100</v>
      </c>
      <c r="M68" s="188">
        <f t="shared" si="50"/>
        <v>425120</v>
      </c>
      <c r="N68" s="188">
        <f t="shared" si="50"/>
        <v>108945</v>
      </c>
      <c r="O68" s="187">
        <f t="shared" si="48"/>
        <v>14.01943122</v>
      </c>
      <c r="P68" s="187">
        <f t="shared" si="49"/>
        <v>25.62688182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777100</v>
      </c>
      <c r="M70" s="201">
        <f>IFERROR(__xludf.DUMMYFUNCTION("IMPORTRANGE(""https://docs.google.com/spreadsheets/d/1Yj_ptqi66GCucihVvJfMjLAmec39IyEx_6qawtMGysU/edit?usp=sharing"",""สบก!AI55"")"),425120.0)</f>
        <v>425120</v>
      </c>
      <c r="N70" s="202">
        <f>IFERROR(__xludf.DUMMYFUNCTION("IMPORTRANGE(""https://docs.google.com/spreadsheets/d/1Yj_ptqi66GCucihVvJfMjLAmec39IyEx_6qawtMGysU/edit?usp=sharing"",""สบก!AJ55"")"),108945.0)</f>
        <v>108945</v>
      </c>
      <c r="O70" s="203">
        <f>IF(L70&gt;0,N70*100/L70,0)</f>
        <v>14.01943122</v>
      </c>
      <c r="P70" s="203">
        <f>IF(M70&gt;0,N70*100/M70,0)</f>
        <v>25.62688182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IFERROR(__xludf.DUMMYFUNCTION("IMPORTRANGE(""https://docs.google.com/spreadsheets/d/1Yj_ptqi66GCucihVvJfMjLAmec39IyEx_6qawtMGysU/edit?usp=sharing"",""สบก!AE55"")"),311500.0)</f>
        <v>311500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IFERROR(__xludf.DUMMYFUNCTION("IMPORTRANGE(""https://docs.google.com/spreadsheets/d/1Yj_ptqi66GCucihVvJfMjLAmec39IyEx_6qawtMGysU/edit?usp=sharing"",""สบก!AF55"")"),465600.0)</f>
        <v>465600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IFERROR(__xludf.DUMMYFUNCTION("IMPORTRANGE(""https://docs.google.com/spreadsheets/d/1Yj_ptqi66GCucihVvJfMjLAmec39IyEx_6qawtMGysU/edit?usp=sharing"",""สบก!AG55"")"),0.0)</f>
        <v>0</v>
      </c>
      <c r="M74" s="125"/>
      <c r="N74" s="115">
        <f>IFERROR(__xludf.DUMMYFUNCTION("IMPORTRANGE(""https://docs.google.com/spreadsheets/d/1Yj_ptqi66GCucihVvJfMjLAmec39IyEx_6qawtMGysU/edit?usp=sharing"",""สบก!AK55"")"),0.0)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IFERROR(__xludf.DUMMYFUNCTION("IMPORTRANGE(""https://docs.google.com/spreadsheets/d/1XL5vhW3sbDhbH9Cz0tuDiY8C3ctxq1tqvaCgkFb8cCA/edit?usp=sharing"",""อำนาจเจริญ!J16"")"),0.0)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IFERROR(__xludf.DUMMYFUNCTION("IMPORTRANGE(""https://docs.google.com/spreadsheets/d/1XL5vhW3sbDhbH9Cz0tuDiY8C3ctxq1tqvaCgkFb8cCA/edit?usp=sharing"",""อำนาจเจริญ!J17"")"),1.0)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IFERROR(__xludf.DUMMYFUNCTION("IMPORTRANGE(""https://docs.google.com/spreadsheets/d/1XL5vhW3sbDhbH9Cz0tuDiY8C3ctxq1tqvaCgkFb8cCA/edit?usp=sharing"",""อำนาจเจริญ!J18"")"),1.0)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IFERROR(__xludf.DUMMYFUNCTION("IMPORTRANGE(""https://docs.google.com/spreadsheets/d/1XL5vhW3sbDhbH9Cz0tuDiY8C3ctxq1tqvaCgkFb8cCA/edit?usp=sharing"",""อำนาจเจริญ!J19"")"),1.0)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IFERROR(__xludf.DUMMYFUNCTION("IMPORTRANGE(""https://docs.google.com/spreadsheets/d/1XL5vhW3sbDhbH9Cz0tuDiY8C3ctxq1tqvaCgkFb8cCA/edit?usp=sharing"",""อำนาจเจริญ!I20"")"),1.0)</f>
        <v>1</v>
      </c>
      <c r="J80" s="235">
        <f>IFERROR(__xludf.DUMMYFUNCTION("IMPORTRANGE(""https://docs.google.com/spreadsheets/d/1XL5vhW3sbDhbH9Cz0tuDiY8C3ctxq1tqvaCgkFb8cCA/edit?usp=sharing"",""อำนาจเจริญ!J20"")"),1.0)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IFERROR(__xludf.DUMMYFUNCTION("IMPORTRANGE(""https://docs.google.com/spreadsheets/d/1XL5vhW3sbDhbH9Cz0tuDiY8C3ctxq1tqvaCgkFb8cCA/edit?usp=sharing"",""อำนาจเจริญ!I21"")"),48.0)</f>
        <v>48</v>
      </c>
      <c r="J81" s="235">
        <f>IFERROR(__xludf.DUMMYFUNCTION("IMPORTRANGE(""https://docs.google.com/spreadsheets/d/1XL5vhW3sbDhbH9Cz0tuDiY8C3ctxq1tqvaCgkFb8cCA/edit?usp=sharing"",""อำนาจเจริญ!J21"")"),48.0)</f>
        <v>48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IFERROR(__xludf.DUMMYFUNCTION("IMPORTRANGE(""https://docs.google.com/spreadsheets/d/1XL5vhW3sbDhbH9Cz0tuDiY8C3ctxq1tqvaCgkFb8cCA/edit?usp=sharing"",""อำนาจเจริญ!I22"")"),0.0)</f>
        <v>0</v>
      </c>
      <c r="J82" s="238">
        <f>IFERROR(__xludf.DUMMYFUNCTION("IMPORTRANGE(""https://docs.google.com/spreadsheets/d/1XL5vhW3sbDhbH9Cz0tuDiY8C3ctxq1tqvaCgkFb8cCA/edit?usp=sharing"",""อำนาจเจริญ!J22"")"),0.0)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IFERROR(__xludf.DUMMYFUNCTION("IMPORTRANGE(""https://docs.google.com/spreadsheets/d/1XL5vhW3sbDhbH9Cz0tuDiY8C3ctxq1tqvaCgkFb8cCA/edit?usp=sharing"",""อำนาจเจริญ!I23"")"),0.0)</f>
        <v>0</v>
      </c>
      <c r="J83" s="238">
        <f>IFERROR(__xludf.DUMMYFUNCTION("IMPORTRANGE(""https://docs.google.com/spreadsheets/d/1XL5vhW3sbDhbH9Cz0tuDiY8C3ctxq1tqvaCgkFb8cCA/edit?usp=sharing"",""อำนาจเจริญ!J23"")"),0.0)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IFERROR(__xludf.DUMMYFUNCTION("IMPORTRANGE(""https://docs.google.com/spreadsheets/d/1XL5vhW3sbDhbH9Cz0tuDiY8C3ctxq1tqvaCgkFb8cCA/edit?usp=sharing"",""อำนาจเจริญ!I24"")"),1.0)</f>
        <v>1</v>
      </c>
      <c r="J84" s="223">
        <f>IFERROR(__xludf.DUMMYFUNCTION("IMPORTRANGE(""https://docs.google.com/spreadsheets/d/1XL5vhW3sbDhbH9Cz0tuDiY8C3ctxq1tqvaCgkFb8cCA/edit?usp=sharing"",""อำนาจเจริญ!J24"")"),1.0)</f>
        <v>1</v>
      </c>
      <c r="K84" s="196">
        <f t="shared" si="51"/>
        <v>100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IFERROR(__xludf.DUMMYFUNCTION("IMPORTRANGE(""https://docs.google.com/spreadsheets/d/1XL5vhW3sbDhbH9Cz0tuDiY8C3ctxq1tqvaCgkFb8cCA/edit?usp=sharing"",""อำนาจเจริญ!I25"")"),48.0)</f>
        <v>48</v>
      </c>
      <c r="J85" s="223">
        <f>IFERROR(__xludf.DUMMYFUNCTION("IMPORTRANGE(""https://docs.google.com/spreadsheets/d/1XL5vhW3sbDhbH9Cz0tuDiY8C3ctxq1tqvaCgkFb8cCA/edit?usp=sharing"",""อำนาจเจริญ!J25"")"),48.0)</f>
        <v>48</v>
      </c>
      <c r="K85" s="196">
        <f t="shared" si="51"/>
        <v>100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IFERROR(__xludf.DUMMYFUNCTION("IMPORTRANGE(""https://docs.google.com/spreadsheets/d/1XL5vhW3sbDhbH9Cz0tuDiY8C3ctxq1tqvaCgkFb8cCA/edit?usp=sharing"",""อำนาจเจริญ!I26"")"),0.0)</f>
        <v>0</v>
      </c>
      <c r="J86" s="238">
        <f>IFERROR(__xludf.DUMMYFUNCTION("IMPORTRANGE(""https://docs.google.com/spreadsheets/d/1XL5vhW3sbDhbH9Cz0tuDiY8C3ctxq1tqvaCgkFb8cCA/edit?usp=sharing"",""อำนาจเจริญ!J26"")"),0.0)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IFERROR(__xludf.DUMMYFUNCTION("IMPORTRANGE(""https://docs.google.com/spreadsheets/d/1XL5vhW3sbDhbH9Cz0tuDiY8C3ctxq1tqvaCgkFb8cCA/edit?usp=sharing"",""อำนาจเจริญ!I27"")"),0.0)</f>
        <v>0</v>
      </c>
      <c r="J87" s="238">
        <f>IFERROR(__xludf.DUMMYFUNCTION("IMPORTRANGE(""https://docs.google.com/spreadsheets/d/1XL5vhW3sbDhbH9Cz0tuDiY8C3ctxq1tqvaCgkFb8cCA/edit?usp=sharing"",""อำนาจเจริญ!J27"")"),0.0)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IFERROR(__xludf.DUMMYFUNCTION("IMPORTRANGE(""https://docs.google.com/spreadsheets/d/1XL5vhW3sbDhbH9Cz0tuDiY8C3ctxq1tqvaCgkFb8cCA/edit?usp=sharing"",""อำนาจเจริญ!I28"")"),0.0)</f>
        <v>0</v>
      </c>
      <c r="J88" s="238">
        <f>IFERROR(__xludf.DUMMYFUNCTION("IMPORTRANGE(""https://docs.google.com/spreadsheets/d/1XL5vhW3sbDhbH9Cz0tuDiY8C3ctxq1tqvaCgkFb8cCA/edit?usp=sharing"",""อำนาจเจริญ!J28"")"),0.0)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IFERROR(__xludf.DUMMYFUNCTION("IMPORTRANGE(""https://docs.google.com/spreadsheets/d/1XL5vhW3sbDhbH9Cz0tuDiY8C3ctxq1tqvaCgkFb8cCA/edit?usp=sharing"",""อำนาจเจริญ!J29"")"),0.0)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IFERROR(__xludf.DUMMYFUNCTION("IMPORTRANGE(""https://docs.google.com/spreadsheets/d/1XL5vhW3sbDhbH9Cz0tuDiY8C3ctxq1tqvaCgkFb8cCA/edit?usp=sharing"",""อำนาจเจริญ!J30"")"),0.0)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IFERROR(__xludf.DUMMYFUNCTION("IMPORTRANGE(""https://docs.google.com/spreadsheets/d/1XL5vhW3sbDhbH9Cz0tuDiY8C3ctxq1tqvaCgkFb8cCA/edit?usp=sharing"",""อำนาจเจริญ!I32"")"),0.0)</f>
        <v>0</v>
      </c>
      <c r="J92" s="172">
        <f>IFERROR(__xludf.DUMMYFUNCTION("IMPORTRANGE(""https://docs.google.com/spreadsheets/d/1XL5vhW3sbDhbH9Cz0tuDiY8C3ctxq1tqvaCgkFb8cCA/edit?usp=sharing"",""อำนาจเจริญ!J32"")"),0.0)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IFERROR(__xludf.DUMMYFUNCTION("IMPORTRANGE(""https://docs.google.com/spreadsheets/d/1XL5vhW3sbDhbH9Cz0tuDiY8C3ctxq1tqvaCgkFb8cCA/edit?usp=sharing"",""อำนาจเจริญ!I33"")"),0.0)</f>
        <v>0</v>
      </c>
      <c r="J93" s="172">
        <f>IFERROR(__xludf.DUMMYFUNCTION("IMPORTRANGE(""https://docs.google.com/spreadsheets/d/1XL5vhW3sbDhbH9Cz0tuDiY8C3ctxq1tqvaCgkFb8cCA/edit?usp=sharing"",""อำนาจเจริญ!J33"")"),0.0)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IFERROR(__xludf.DUMMYFUNCTION("IMPORTRANGE(""https://docs.google.com/spreadsheets/d/1Yj_ptqi66GCucihVvJfMjLAmec39IyEx_6qawtMGysU/edit?usp=sharing"",""สบก!AR55"")"),0.0)</f>
        <v>0</v>
      </c>
      <c r="N98" s="202">
        <f>IFERROR(__xludf.DUMMYFUNCTION("IMPORTRANGE(""https://docs.google.com/spreadsheets/d/1Yj_ptqi66GCucihVvJfMjLAmec39IyEx_6qawtMGysU/edit?usp=sharing"",""สบก!AS55"")"),0.0)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IFERROR(__xludf.DUMMYFUNCTION("IMPORTRANGE(""https://docs.google.com/spreadsheets/d/1Yj_ptqi66GCucihVvJfMjLAmec39IyEx_6qawtMGysU/edit?usp=sharing"",""สบก!AN55"")"),0.0)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IFERROR(__xludf.DUMMYFUNCTION("IMPORTRANGE(""https://docs.google.com/spreadsheets/d/1Yj_ptqi66GCucihVvJfMjLAmec39IyEx_6qawtMGysU/edit?usp=sharing"",""สบก!AO55"")"),0.0)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IFERROR(__xludf.DUMMYFUNCTION("IMPORTRANGE(""https://docs.google.com/spreadsheets/d/1Yj_ptqi66GCucihVvJfMjLAmec39IyEx_6qawtMGysU/edit?usp=sharing"",""สบก!AP55"")"),0.0)</f>
        <v>0</v>
      </c>
      <c r="M102" s="125"/>
      <c r="N102" s="115">
        <f>IFERROR(__xludf.DUMMYFUNCTION("IMPORTRANGE(""https://docs.google.com/spreadsheets/d/1Yj_ptqi66GCucihVvJfMjLAmec39IyEx_6qawtMGysU/edit?usp=sharing"",""สบก!AT55"")"),0.0)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IFERROR(__xludf.DUMMYFUNCTION("IMPORTRANGE(""https://docs.google.com/spreadsheets/d/1XL5vhW3sbDhbH9Cz0tuDiY8C3ctxq1tqvaCgkFb8cCA/edit?usp=sharing"",""อำนาจเจริญ!J39"")"),0.0)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IFERROR(__xludf.DUMMYFUNCTION("IMPORTRANGE(""https://docs.google.com/spreadsheets/d/1XL5vhW3sbDhbH9Cz0tuDiY8C3ctxq1tqvaCgkFb8cCA/edit?usp=sharing"",""อำนาจเจริญ!J40"")"),0.0)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IFERROR(__xludf.DUMMYFUNCTION("IMPORTRANGE(""https://docs.google.com/spreadsheets/d/1XL5vhW3sbDhbH9Cz0tuDiY8C3ctxq1tqvaCgkFb8cCA/edit?usp=sharing"",""อำนาจเจริญ!J41"")"),0.0)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IFERROR(__xludf.DUMMYFUNCTION("IMPORTRANGE(""https://docs.google.com/spreadsheets/d/1XL5vhW3sbDhbH9Cz0tuDiY8C3ctxq1tqvaCgkFb8cCA/edit?usp=sharing"",""อำนาจเจริญ!J42"")"),0.0)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IFERROR(__xludf.DUMMYFUNCTION("IMPORTRANGE(""https://docs.google.com/spreadsheets/d/1XL5vhW3sbDhbH9Cz0tuDiY8C3ctxq1tqvaCgkFb8cCA/edit?usp=sharing"",""อำนาจเจริญ!I43"")"),0.0)</f>
        <v>0</v>
      </c>
      <c r="J108" s="238">
        <f>IFERROR(__xludf.DUMMYFUNCTION("IMPORTRANGE(""https://docs.google.com/spreadsheets/d/1XL5vhW3sbDhbH9Cz0tuDiY8C3ctxq1tqvaCgkFb8cCA/edit?usp=sharing"",""อำนาจเจริญ!J43"")"),0.0)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IFERROR(__xludf.DUMMYFUNCTION("IMPORTRANGE(""https://docs.google.com/spreadsheets/d/1XL5vhW3sbDhbH9Cz0tuDiY8C3ctxq1tqvaCgkFb8cCA/edit?usp=sharing"",""อำนาจเจริญ!I44"")"),0.0)</f>
        <v>0</v>
      </c>
      <c r="J109" s="238">
        <f>IFERROR(__xludf.DUMMYFUNCTION("IMPORTRANGE(""https://docs.google.com/spreadsheets/d/1XL5vhW3sbDhbH9Cz0tuDiY8C3ctxq1tqvaCgkFb8cCA/edit?usp=sharing"",""อำนาจเจริญ!J44"")"),0.0)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IFERROR(__xludf.DUMMYFUNCTION("IMPORTRANGE(""https://docs.google.com/spreadsheets/d/1XL5vhW3sbDhbH9Cz0tuDiY8C3ctxq1tqvaCgkFb8cCA/edit?usp=sharing"",""อำนาจเจริญ!I45"")"),0.0)</f>
        <v>0</v>
      </c>
      <c r="J110" s="238">
        <f>IFERROR(__xludf.DUMMYFUNCTION("IMPORTRANGE(""https://docs.google.com/spreadsheets/d/1XL5vhW3sbDhbH9Cz0tuDiY8C3ctxq1tqvaCgkFb8cCA/edit?usp=sharing"",""อำนาจเจริญ!J45"")"),0.0)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IFERROR(__xludf.DUMMYFUNCTION("IMPORTRANGE(""https://docs.google.com/spreadsheets/d/1XL5vhW3sbDhbH9Cz0tuDiY8C3ctxq1tqvaCgkFb8cCA/edit?usp=sharing"",""อำนาจเจริญ!I46"")"),0.0)</f>
        <v>0</v>
      </c>
      <c r="J111" s="238">
        <f>IFERROR(__xludf.DUMMYFUNCTION("IMPORTRANGE(""https://docs.google.com/spreadsheets/d/1XL5vhW3sbDhbH9Cz0tuDiY8C3ctxq1tqvaCgkFb8cCA/edit?usp=sharing"",""อำนาจเจริญ!J46"")"),0.0)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IFERROR(__xludf.DUMMYFUNCTION("IMPORTRANGE(""https://docs.google.com/spreadsheets/d/1XL5vhW3sbDhbH9Cz0tuDiY8C3ctxq1tqvaCgkFb8cCA/edit?usp=sharing"",""อำนาจเจริญ!I47"")"),0.0)</f>
        <v>0</v>
      </c>
      <c r="J112" s="238">
        <f>IFERROR(__xludf.DUMMYFUNCTION("IMPORTRANGE(""https://docs.google.com/spreadsheets/d/1XL5vhW3sbDhbH9Cz0tuDiY8C3ctxq1tqvaCgkFb8cCA/edit?usp=sharing"",""อำนาจเจริญ!J47"")"),0.0)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IFERROR(__xludf.DUMMYFUNCTION("IMPORTRANGE(""https://docs.google.com/spreadsheets/d/1XL5vhW3sbDhbH9Cz0tuDiY8C3ctxq1tqvaCgkFb8cCA/edit?usp=sharing"",""อำนาจเจริญ!I48"")"),0.0)</f>
        <v>0</v>
      </c>
      <c r="J113" s="238">
        <f>IFERROR(__xludf.DUMMYFUNCTION("IMPORTRANGE(""https://docs.google.com/spreadsheets/d/1XL5vhW3sbDhbH9Cz0tuDiY8C3ctxq1tqvaCgkFb8cCA/edit?usp=sharing"",""อำนาจเจริญ!J48"")"),0.0)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IFERROR(__xludf.DUMMYFUNCTION("IMPORTRANGE(""https://docs.google.com/spreadsheets/d/1XL5vhW3sbDhbH9Cz0tuDiY8C3ctxq1tqvaCgkFb8cCA/edit?usp=sharing"",""อำนาจเจริญ!J49"")"),0.0)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IFERROR(__xludf.DUMMYFUNCTION("IMPORTRANGE(""https://docs.google.com/spreadsheets/d/1XL5vhW3sbDhbH9Cz0tuDiY8C3ctxq1tqvaCgkFb8cCA/edit?usp=sharing"",""อำนาจเจริญ!J50"")"),0.0)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IFERROR(__xludf.DUMMYFUNCTION("IMPORTRANGE(""https://docs.google.com/spreadsheets/d/1XL5vhW3sbDhbH9Cz0tuDiY8C3ctxq1tqvaCgkFb8cCA/edit?usp=sharing"",""อำนาจเจริญ!I52"")"),0.0)</f>
        <v>0</v>
      </c>
      <c r="J117" s="172">
        <f>IFERROR(__xludf.DUMMYFUNCTION("IMPORTRANGE(""https://docs.google.com/spreadsheets/d/1XL5vhW3sbDhbH9Cz0tuDiY8C3ctxq1tqvaCgkFb8cCA/edit?usp=sharing"",""อำนาจเจริญ!J52"")"),0.0)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IFERROR(__xludf.DUMMYFUNCTION("IMPORTRANGE(""https://docs.google.com/spreadsheets/d/1Yj_ptqi66GCucihVvJfMjLAmec39IyEx_6qawtMGysU/edit?usp=sharing"",""สบก!BA55"")"),0.0)</f>
        <v>0</v>
      </c>
      <c r="N122" s="202">
        <f>IFERROR(__xludf.DUMMYFUNCTION("IMPORTRANGE(""https://docs.google.com/spreadsheets/d/1Yj_ptqi66GCucihVvJfMjLAmec39IyEx_6qawtMGysU/edit?usp=sharing"",""สบก!BB55"")"),0.0)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IFERROR(__xludf.DUMMYFUNCTION("IMPORTRANGE(""https://docs.google.com/spreadsheets/d/1Yj_ptqi66GCucihVvJfMjLAmec39IyEx_6qawtMGysU/edit?usp=sharing"",""สบก!AW55"")"),0.0)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IFERROR(__xludf.DUMMYFUNCTION("IMPORTRANGE(""https://docs.google.com/spreadsheets/d/1Yj_ptqi66GCucihVvJfMjLAmec39IyEx_6qawtMGysU/edit?usp=sharing"",""สบก!AX55"")"),0.0)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IFERROR(__xludf.DUMMYFUNCTION("IMPORTRANGE(""https://docs.google.com/spreadsheets/d/1Yj_ptqi66GCucihVvJfMjLAmec39IyEx_6qawtMGysU/edit?usp=sharing"",""สบก!AY55"")"),0.0)</f>
        <v>0</v>
      </c>
      <c r="M126" s="125"/>
      <c r="N126" s="115">
        <f>IFERROR(__xludf.DUMMYFUNCTION("IMPORTRANGE(""https://docs.google.com/spreadsheets/d/1Yj_ptqi66GCucihVvJfMjLAmec39IyEx_6qawtMGysU/edit?usp=sharing"",""สบก!BC55"")"),0.0)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IFERROR(__xludf.DUMMYFUNCTION("IMPORTRANGE(""https://docs.google.com/spreadsheets/d/1XL5vhW3sbDhbH9Cz0tuDiY8C3ctxq1tqvaCgkFb8cCA/edit?usp=sharing"",""อำนาจเจริญ!J58"")"),0.0)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IFERROR(__xludf.DUMMYFUNCTION("IMPORTRANGE(""https://docs.google.com/spreadsheets/d/1XL5vhW3sbDhbH9Cz0tuDiY8C3ctxq1tqvaCgkFb8cCA/edit?usp=sharing"",""อำนาจเจริญ!J59"")"),0.0)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IFERROR(__xludf.DUMMYFUNCTION("IMPORTRANGE(""https://docs.google.com/spreadsheets/d/1XL5vhW3sbDhbH9Cz0tuDiY8C3ctxq1tqvaCgkFb8cCA/edit?usp=sharing"",""อำนาจเจริญ!J60"")"),0.0)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IFERROR(__xludf.DUMMYFUNCTION("IMPORTRANGE(""https://docs.google.com/spreadsheets/d/1XL5vhW3sbDhbH9Cz0tuDiY8C3ctxq1tqvaCgkFb8cCA/edit?usp=sharing"",""อำนาจเจริญ!J61"")"),0.0)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IFERROR(__xludf.DUMMYFUNCTION("IMPORTRANGE(""https://docs.google.com/spreadsheets/d/1XL5vhW3sbDhbH9Cz0tuDiY8C3ctxq1tqvaCgkFb8cCA/edit?usp=sharing"",""อำนาจเจริญ!I62"")"),0.0)</f>
        <v>0</v>
      </c>
      <c r="J132" s="238">
        <f>IFERROR(__xludf.DUMMYFUNCTION("IMPORTRANGE(""https://docs.google.com/spreadsheets/d/1XL5vhW3sbDhbH9Cz0tuDiY8C3ctxq1tqvaCgkFb8cCA/edit?usp=sharing"",""อำนาจเจริญ!J62"")"),0.0)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IFERROR(__xludf.DUMMYFUNCTION("IMPORTRANGE(""https://docs.google.com/spreadsheets/d/1XL5vhW3sbDhbH9Cz0tuDiY8C3ctxq1tqvaCgkFb8cCA/edit?usp=sharing"",""อำนาจเจริญ!I63"")"),0.0)</f>
        <v>0</v>
      </c>
      <c r="J133" s="238">
        <f>IFERROR(__xludf.DUMMYFUNCTION("IMPORTRANGE(""https://docs.google.com/spreadsheets/d/1XL5vhW3sbDhbH9Cz0tuDiY8C3ctxq1tqvaCgkFb8cCA/edit?usp=sharing"",""อำนาจเจริญ!J63"")"),0.0)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IFERROR(__xludf.DUMMYFUNCTION("IMPORTRANGE(""https://docs.google.com/spreadsheets/d/1XL5vhW3sbDhbH9Cz0tuDiY8C3ctxq1tqvaCgkFb8cCA/edit?usp=sharing"",""อำนาจเจริญ!J64"")"),0.0)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IFERROR(__xludf.DUMMYFUNCTION("IMPORTRANGE(""https://docs.google.com/spreadsheets/d/1XL5vhW3sbDhbH9Cz0tuDiY8C3ctxq1tqvaCgkFb8cCA/edit?usp=sharing"",""อำนาจเจริญ!J65"")"),0.0)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IFERROR(__xludf.DUMMYFUNCTION("IMPORTRANGE(""https://docs.google.com/spreadsheets/d/1XL5vhW3sbDhbH9Cz0tuDiY8C3ctxq1tqvaCgkFb8cCA/edit?usp=sharing"",""อำนาจเจริญ!I68"")"),0.0)</f>
        <v>0</v>
      </c>
      <c r="J138" s="301">
        <f>IFERROR(__xludf.DUMMYFUNCTION("IMPORTRANGE(""https://docs.google.com/spreadsheets/d/1XL5vhW3sbDhbH9Cz0tuDiY8C3ctxq1tqvaCgkFb8cCA/edit?usp=sharing"",""อำนาจเจริญ!J68"")"),0.0)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77100</v>
      </c>
      <c r="M140" s="183">
        <f t="shared" si="65"/>
        <v>41750</v>
      </c>
      <c r="N140" s="183">
        <f t="shared" si="65"/>
        <v>7680</v>
      </c>
      <c r="O140" s="182">
        <f t="shared" ref="O140:O142" si="67">IF(L140&gt;0,N140*100/L140,0)</f>
        <v>9.961089494</v>
      </c>
      <c r="P140" s="182">
        <f t="shared" ref="P140:P142" si="68">IF(M140&gt;0,N140*100/M140,0)</f>
        <v>18.39520958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77100</v>
      </c>
      <c r="M142" s="188">
        <f t="shared" si="69"/>
        <v>41750</v>
      </c>
      <c r="N142" s="188">
        <f t="shared" si="69"/>
        <v>7680</v>
      </c>
      <c r="O142" s="187">
        <f t="shared" si="67"/>
        <v>9.961089494</v>
      </c>
      <c r="P142" s="187">
        <f t="shared" si="68"/>
        <v>18.39520958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77100</v>
      </c>
      <c r="M144" s="201">
        <f>IFERROR(__xludf.DUMMYFUNCTION("IMPORTRANGE(""https://docs.google.com/spreadsheets/d/1Yj_ptqi66GCucihVvJfMjLAmec39IyEx_6qawtMGysU/edit?usp=sharing"",""สบก!BJ55"")"),41750.0)</f>
        <v>41750</v>
      </c>
      <c r="N144" s="202">
        <f>IFERROR(__xludf.DUMMYFUNCTION("IMPORTRANGE(""https://docs.google.com/spreadsheets/d/1Yj_ptqi66GCucihVvJfMjLAmec39IyEx_6qawtMGysU/edit?usp=sharing"",""สบก!BK55"")"),7680.0)</f>
        <v>7680</v>
      </c>
      <c r="O144" s="203">
        <f>IF(L144&gt;0,N144*100/L144,0)</f>
        <v>9.961089494</v>
      </c>
      <c r="P144" s="203">
        <f>IF(M144&gt;0,N144*100/M144,0)</f>
        <v>18.39520958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IFERROR(__xludf.DUMMYFUNCTION("IMPORTRANGE(""https://docs.google.com/spreadsheets/d/1Yj_ptqi66GCucihVvJfMjLAmec39IyEx_6qawtMGysU/edit?usp=sharing"",""สบก!BF55"")"),0.0)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IFERROR(__xludf.DUMMYFUNCTION("IMPORTRANGE(""https://docs.google.com/spreadsheets/d/1Yj_ptqi66GCucihVvJfMjLAmec39IyEx_6qawtMGysU/edit?usp=sharing"",""สบก!BG55"")"),77100.0)</f>
        <v>77100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IFERROR(__xludf.DUMMYFUNCTION("IMPORTRANGE(""https://docs.google.com/spreadsheets/d/1Yj_ptqi66GCucihVvJfMjLAmec39IyEx_6qawtMGysU/edit?usp=sharing"",""สบก!BH55"")"),0.0)</f>
        <v>0</v>
      </c>
      <c r="M148" s="125"/>
      <c r="N148" s="115">
        <f>IFERROR(__xludf.DUMMYFUNCTION("IMPORTRANGE(""https://docs.google.com/spreadsheets/d/1Yj_ptqi66GCucihVvJfMjLAmec39IyEx_6qawtMGysU/edit?usp=sharing"",""สบก!BL55"")"),0.0)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IFERROR(__xludf.DUMMYFUNCTION("IMPORTRANGE(""https://docs.google.com/spreadsheets/d/1XL5vhW3sbDhbH9Cz0tuDiY8C3ctxq1tqvaCgkFb8cCA/edit?usp=sharing"",""อำนาจเจริญ!I74"")"),4.0)</f>
        <v>4</v>
      </c>
      <c r="J149" s="309">
        <f>IFERROR(__xludf.DUMMYFUNCTION("IMPORTRANGE(""https://docs.google.com/spreadsheets/d/1XL5vhW3sbDhbH9Cz0tuDiY8C3ctxq1tqvaCgkFb8cCA/edit?usp=sharing"",""อำนาจเจริญ!J74"")"),1.0)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IFERROR(__xludf.DUMMYFUNCTION("IMPORTRANGE(""https://docs.google.com/spreadsheets/d/1XL5vhW3sbDhbH9Cz0tuDiY8C3ctxq1tqvaCgkFb8cCA/edit?usp=sharing"",""อำนาจเจริญ!J79"")"),0.0)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IFERROR(__xludf.DUMMYFUNCTION("IMPORTRANGE(""https://docs.google.com/spreadsheets/d/1XL5vhW3sbDhbH9Cz0tuDiY8C3ctxq1tqvaCgkFb8cCA/edit?usp=sharing"",""อำนาจเจริญ!J80"")"),1.0)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IFERROR(__xludf.DUMMYFUNCTION("IMPORTRANGE(""https://docs.google.com/spreadsheets/d/1XL5vhW3sbDhbH9Cz0tuDiY8C3ctxq1tqvaCgkFb8cCA/edit?usp=sharing"",""อำนาจเจริญ!J81"")"),1.0)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IFERROR(__xludf.DUMMYFUNCTION("IMPORTRANGE(""https://docs.google.com/spreadsheets/d/1XL5vhW3sbDhbH9Cz0tuDiY8C3ctxq1tqvaCgkFb8cCA/edit?usp=sharing"",""อำนาจเจริญ!J82"")"),1.0)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IFERROR(__xludf.DUMMYFUNCTION("IMPORTRANGE(""https://docs.google.com/spreadsheets/d/1XL5vhW3sbDhbH9Cz0tuDiY8C3ctxq1tqvaCgkFb8cCA/edit?usp=sharing"",""อำนาจเจริญ!I83"")"),4.0)</f>
        <v>4</v>
      </c>
      <c r="J158" s="223">
        <f>IFERROR(__xludf.DUMMYFUNCTION("IMPORTRANGE(""https://docs.google.com/spreadsheets/d/1XL5vhW3sbDhbH9Cz0tuDiY8C3ctxq1tqvaCgkFb8cCA/edit?usp=sharing"",""อำนาจเจริญ!J83"")"),1.0)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IFERROR(__xludf.DUMMYFUNCTION("IMPORTRANGE(""https://docs.google.com/spreadsheets/d/1XL5vhW3sbDhbH9Cz0tuDiY8C3ctxq1tqvaCgkFb8cCA/edit?usp=sharing"",""อำนาจเจริญ!J84"")"),0.0)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IFERROR(__xludf.DUMMYFUNCTION("IMPORTRANGE(""https://docs.google.com/spreadsheets/d/1XL5vhW3sbDhbH9Cz0tuDiY8C3ctxq1tqvaCgkFb8cCA/edit?usp=sharing"",""อำนาจเจริญ!J85"")"),0.0)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IFERROR(__xludf.DUMMYFUNCTION("IMPORTRANGE(""https://docs.google.com/spreadsheets/d/1XL5vhW3sbDhbH9Cz0tuDiY8C3ctxq1tqvaCgkFb8cCA/edit?usp=sharing"",""อำนาจเจริญ!J86"")"),0.0)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IFERROR(__xludf.DUMMYFUNCTION("IMPORTRANGE(""https://docs.google.com/spreadsheets/d/1XL5vhW3sbDhbH9Cz0tuDiY8C3ctxq1tqvaCgkFb8cCA/edit?usp=sharing"",""อำนาจเจริญ!J87"")"),0.0)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IFERROR(__xludf.DUMMYFUNCTION("IMPORTRANGE(""https://docs.google.com/spreadsheets/d/1XL5vhW3sbDhbH9Cz0tuDiY8C3ctxq1tqvaCgkFb8cCA/edit?usp=sharing"",""อำนาจเจริญ!J88"")"),0.0)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IFERROR(__xludf.DUMMYFUNCTION("IMPORTRANGE(""https://docs.google.com/spreadsheets/d/1XL5vhW3sbDhbH9Cz0tuDiY8C3ctxq1tqvaCgkFb8cCA/edit?usp=sharing"",""อำนาจเจริญ!I89"")"),2.0)</f>
        <v>2</v>
      </c>
      <c r="J164" s="317">
        <f>IFERROR(__xludf.DUMMYFUNCTION("IMPORTRANGE(""https://docs.google.com/spreadsheets/d/1XL5vhW3sbDhbH9Cz0tuDiY8C3ctxq1tqvaCgkFb8cCA/edit?usp=sharing"",""อำนาจเจริญ!J89"")"),0.0)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IFERROR(__xludf.DUMMYFUNCTION("IMPORTRANGE(""https://docs.google.com/spreadsheets/d/1XL5vhW3sbDhbH9Cz0tuDiY8C3ctxq1tqvaCgkFb8cCA/edit?usp=sharing"",""อำนาจเจริญ!J94"")"),0.0)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IFERROR(__xludf.DUMMYFUNCTION("IMPORTRANGE(""https://docs.google.com/spreadsheets/d/1XL5vhW3sbDhbH9Cz0tuDiY8C3ctxq1tqvaCgkFb8cCA/edit?usp=sharing"",""อำนาจเจริญ!J95"")"),1.0)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IFERROR(__xludf.DUMMYFUNCTION("IMPORTRANGE(""https://docs.google.com/spreadsheets/d/1XL5vhW3sbDhbH9Cz0tuDiY8C3ctxq1tqvaCgkFb8cCA/edit?usp=sharing"",""อำนาจเจริญ!J96"")"),1.0)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IFERROR(__xludf.DUMMYFUNCTION("IMPORTRANGE(""https://docs.google.com/spreadsheets/d/1XL5vhW3sbDhbH9Cz0tuDiY8C3ctxq1tqvaCgkFb8cCA/edit?usp=sharing"",""อำนาจเจริญ!J97"")"),1.0)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IFERROR(__xludf.DUMMYFUNCTION("IMPORTRANGE(""https://docs.google.com/spreadsheets/d/1XL5vhW3sbDhbH9Cz0tuDiY8C3ctxq1tqvaCgkFb8cCA/edit?usp=sharing"",""อำนาจเจริญ!I98"")"),2.0)</f>
        <v>2</v>
      </c>
      <c r="J173" s="223">
        <f>IFERROR(__xludf.DUMMYFUNCTION("IMPORTRANGE(""https://docs.google.com/spreadsheets/d/1XL5vhW3sbDhbH9Cz0tuDiY8C3ctxq1tqvaCgkFb8cCA/edit?usp=sharing"",""อำนาจเจริญ!J98"")"),0.0)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IFERROR(__xludf.DUMMYFUNCTION("IMPORTRANGE(""https://docs.google.com/spreadsheets/d/1XL5vhW3sbDhbH9Cz0tuDiY8C3ctxq1tqvaCgkFb8cCA/edit?usp=sharing"",""อำนาจเจริญ!J99"")"),0.0)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IFERROR(__xludf.DUMMYFUNCTION("IMPORTRANGE(""https://docs.google.com/spreadsheets/d/1XL5vhW3sbDhbH9Cz0tuDiY8C3ctxq1tqvaCgkFb8cCA/edit?usp=sharing"",""อำนาจเจริญ!J100"")"),0.0)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IFERROR(__xludf.DUMMYFUNCTION("IMPORTRANGE(""https://docs.google.com/spreadsheets/d/1XL5vhW3sbDhbH9Cz0tuDiY8C3ctxq1tqvaCgkFb8cCA/edit?usp=sharing"",""อำนาจเจริญ!I101"")"),1.0)</f>
        <v>1</v>
      </c>
      <c r="J176" s="317">
        <f>IFERROR(__xludf.DUMMYFUNCTION("IMPORTRANGE(""https://docs.google.com/spreadsheets/d/1XL5vhW3sbDhbH9Cz0tuDiY8C3ctxq1tqvaCgkFb8cCA/edit?usp=sharing"",""อำนาจเจริญ!J101"")"),0.0)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IFERROR(__xludf.DUMMYFUNCTION("IMPORTRANGE(""https://docs.google.com/spreadsheets/d/1XL5vhW3sbDhbH9Cz0tuDiY8C3ctxq1tqvaCgkFb8cCA/edit?usp=sharing"",""อำนาจเจริญ!J106"")"),0.0)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IFERROR(__xludf.DUMMYFUNCTION("IMPORTRANGE(""https://docs.google.com/spreadsheets/d/1XL5vhW3sbDhbH9Cz0tuDiY8C3ctxq1tqvaCgkFb8cCA/edit?usp=sharing"",""อำนาจเจริญ!J107"")"),1.0)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IFERROR(__xludf.DUMMYFUNCTION("IMPORTRANGE(""https://docs.google.com/spreadsheets/d/1XL5vhW3sbDhbH9Cz0tuDiY8C3ctxq1tqvaCgkFb8cCA/edit?usp=sharing"",""อำนาจเจริญ!J108"")"),1.0)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IFERROR(__xludf.DUMMYFUNCTION("IMPORTRANGE(""https://docs.google.com/spreadsheets/d/1XL5vhW3sbDhbH9Cz0tuDiY8C3ctxq1tqvaCgkFb8cCA/edit?usp=sharing"",""อำนาจเจริญ!J109"")"),1.0)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IFERROR(__xludf.DUMMYFUNCTION("IMPORTRANGE(""https://docs.google.com/spreadsheets/d/1XL5vhW3sbDhbH9Cz0tuDiY8C3ctxq1tqvaCgkFb8cCA/edit?usp=sharing"",""อำนาจเจริญ!I110"")"),1.0)</f>
        <v>1</v>
      </c>
      <c r="J185" s="238">
        <f>IFERROR(__xludf.DUMMYFUNCTION("IMPORTRANGE(""https://docs.google.com/spreadsheets/d/1XL5vhW3sbDhbH9Cz0tuDiY8C3ctxq1tqvaCgkFb8cCA/edit?usp=sharing"",""อำนาจเจริญ!J110"")"),0.0)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IFERROR(__xludf.DUMMYFUNCTION("IMPORTRANGE(""https://docs.google.com/spreadsheets/d/1XL5vhW3sbDhbH9Cz0tuDiY8C3ctxq1tqvaCgkFb8cCA/edit?usp=sharing"",""อำนาจเจริญ!I111"")"),1.0)</f>
        <v>1</v>
      </c>
      <c r="J186" s="238">
        <f>IFERROR(__xludf.DUMMYFUNCTION("IMPORTRANGE(""https://docs.google.com/spreadsheets/d/1XL5vhW3sbDhbH9Cz0tuDiY8C3ctxq1tqvaCgkFb8cCA/edit?usp=sharing"",""อำนาจเจริญ!J111"")"),0.0)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IFERROR(__xludf.DUMMYFUNCTION("IMPORTRANGE(""https://docs.google.com/spreadsheets/d/1XL5vhW3sbDhbH9Cz0tuDiY8C3ctxq1tqvaCgkFb8cCA/edit?usp=sharing"",""อำนาจเจริญ!J112"")"),0.0)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IFERROR(__xludf.DUMMYFUNCTION("IMPORTRANGE(""https://docs.google.com/spreadsheets/d/1XL5vhW3sbDhbH9Cz0tuDiY8C3ctxq1tqvaCgkFb8cCA/edit?usp=sharing"",""อำนาจเจริญ!J113"")"),0.0)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IFERROR(__xludf.DUMMYFUNCTION("IMPORTRANGE(""https://docs.google.com/spreadsheets/d/1XL5vhW3sbDhbH9Cz0tuDiY8C3ctxq1tqvaCgkFb8cCA/edit?usp=sharing"",""อำนาจเจริญ!I114"")"),64000.0)</f>
        <v>64000</v>
      </c>
      <c r="J189" s="317">
        <f>IFERROR(__xludf.DUMMYFUNCTION("IMPORTRANGE(""https://docs.google.com/spreadsheets/d/1XL5vhW3sbDhbH9Cz0tuDiY8C3ctxq1tqvaCgkFb8cCA/edit?usp=sharing"",""อำนาจเจริญ!J114"")"),0.0)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IFERROR(__xludf.DUMMYFUNCTION("IMPORTRANGE(""https://docs.google.com/spreadsheets/d/1XL5vhW3sbDhbH9Cz0tuDiY8C3ctxq1tqvaCgkFb8cCA/edit?usp=sharing"",""อำนาจเจริญ!J119"")"),0.0)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IFERROR(__xludf.DUMMYFUNCTION("IMPORTRANGE(""https://docs.google.com/spreadsheets/d/1XL5vhW3sbDhbH9Cz0tuDiY8C3ctxq1tqvaCgkFb8cCA/edit?usp=sharing"",""อำนาจเจริญ!J120"")"),1.0)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IFERROR(__xludf.DUMMYFUNCTION("IMPORTRANGE(""https://docs.google.com/spreadsheets/d/1XL5vhW3sbDhbH9Cz0tuDiY8C3ctxq1tqvaCgkFb8cCA/edit?usp=sharing"",""อำนาจเจริญ!J121"")"),1.0)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IFERROR(__xludf.DUMMYFUNCTION("IMPORTRANGE(""https://docs.google.com/spreadsheets/d/1XL5vhW3sbDhbH9Cz0tuDiY8C3ctxq1tqvaCgkFb8cCA/edit?usp=sharing"",""อำนาจเจริญ!J122"")"),1.0)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IFERROR(__xludf.DUMMYFUNCTION("IMPORTRANGE(""https://docs.google.com/spreadsheets/d/1XL5vhW3sbDhbH9Cz0tuDiY8C3ctxq1tqvaCgkFb8cCA/edit?usp=sharing"",""อำนาจเจริญ!I124"")"),64000.0)</f>
        <v>64000</v>
      </c>
      <c r="J199" s="223">
        <f>IFERROR(__xludf.DUMMYFUNCTION("IMPORTRANGE(""https://docs.google.com/spreadsheets/d/1XL5vhW3sbDhbH9Cz0tuDiY8C3ctxq1tqvaCgkFb8cCA/edit?usp=sharing"",""อำนาจเจริญ!J124"")"),0.0)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IFERROR(__xludf.DUMMYFUNCTION("IMPORTRANGE(""https://docs.google.com/spreadsheets/d/1XL5vhW3sbDhbH9Cz0tuDiY8C3ctxq1tqvaCgkFb8cCA/edit?usp=sharing"",""อำนาจเจริญ!I125"")"),64000.0)</f>
        <v>64000</v>
      </c>
      <c r="J200" s="223">
        <f>IFERROR(__xludf.DUMMYFUNCTION("IMPORTRANGE(""https://docs.google.com/spreadsheets/d/1XL5vhW3sbDhbH9Cz0tuDiY8C3ctxq1tqvaCgkFb8cCA/edit?usp=sharing"",""อำนาจเจริญ!J125"")"),0.0)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IFERROR(__xludf.DUMMYFUNCTION("IMPORTRANGE(""https://docs.google.com/spreadsheets/d/1XL5vhW3sbDhbH9Cz0tuDiY8C3ctxq1tqvaCgkFb8cCA/edit?usp=sharing"",""อำนาจเจริญ!I126"")"),0.0)</f>
        <v>0</v>
      </c>
      <c r="J201" s="223">
        <f>IFERROR(__xludf.DUMMYFUNCTION("IMPORTRANGE(""https://docs.google.com/spreadsheets/d/1XL5vhW3sbDhbH9Cz0tuDiY8C3ctxq1tqvaCgkFb8cCA/edit?usp=sharing"",""อำนาจเจริญ!J126"")"),0.0)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IFERROR(__xludf.DUMMYFUNCTION("IMPORTRANGE(""https://docs.google.com/spreadsheets/d/1XL5vhW3sbDhbH9Cz0tuDiY8C3ctxq1tqvaCgkFb8cCA/edit?usp=sharing"",""อำนาจเจริญ!J127"")"),0.0)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IFERROR(__xludf.DUMMYFUNCTION("IMPORTRANGE(""https://docs.google.com/spreadsheets/d/1XL5vhW3sbDhbH9Cz0tuDiY8C3ctxq1tqvaCgkFb8cCA/edit?usp=sharing"",""อำนาจเจริญ!J128"")"),0.0)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IFERROR(__xludf.DUMMYFUNCTION("IMPORTRANGE(""https://docs.google.com/spreadsheets/d/1XL5vhW3sbDhbH9Cz0tuDiY8C3ctxq1tqvaCgkFb8cCA/edit?usp=sharing"",""อำนาจเจริญ!I129"")"),0.0)</f>
        <v>0</v>
      </c>
      <c r="J204" s="317">
        <f>IFERROR(__xludf.DUMMYFUNCTION("IMPORTRANGE(""https://docs.google.com/spreadsheets/d/1XL5vhW3sbDhbH9Cz0tuDiY8C3ctxq1tqvaCgkFb8cCA/edit?usp=sharing"",""อำนาจเจริญ!J129"")"),0.0)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IFERROR(__xludf.DUMMYFUNCTION("IMPORTRANGE(""https://docs.google.com/spreadsheets/d/1XL5vhW3sbDhbH9Cz0tuDiY8C3ctxq1tqvaCgkFb8cCA/edit?usp=sharing"",""อำนาจเจริญ!J134"")"),0.0)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IFERROR(__xludf.DUMMYFUNCTION("IMPORTRANGE(""https://docs.google.com/spreadsheets/d/1XL5vhW3sbDhbH9Cz0tuDiY8C3ctxq1tqvaCgkFb8cCA/edit?usp=sharing"",""อำนาจเจริญ!J135"")"),0.0)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IFERROR(__xludf.DUMMYFUNCTION("IMPORTRANGE(""https://docs.google.com/spreadsheets/d/1XL5vhW3sbDhbH9Cz0tuDiY8C3ctxq1tqvaCgkFb8cCA/edit?usp=sharing"",""อำนาจเจริญ!J136"")"),0.0)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IFERROR(__xludf.DUMMYFUNCTION("IMPORTRANGE(""https://docs.google.com/spreadsheets/d/1XL5vhW3sbDhbH9Cz0tuDiY8C3ctxq1tqvaCgkFb8cCA/edit?usp=sharing"",""อำนาจเจริญ!J137"")"),0.0)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IFERROR(__xludf.DUMMYFUNCTION("IMPORTRANGE(""https://docs.google.com/spreadsheets/d/1XL5vhW3sbDhbH9Cz0tuDiY8C3ctxq1tqvaCgkFb8cCA/edit?usp=sharing"",""อำนาจเจริญ!I138"")"),0.0)</f>
        <v>0</v>
      </c>
      <c r="J213" s="238">
        <f>IFERROR(__xludf.DUMMYFUNCTION("IMPORTRANGE(""https://docs.google.com/spreadsheets/d/1XL5vhW3sbDhbH9Cz0tuDiY8C3ctxq1tqvaCgkFb8cCA/edit?usp=sharing"",""อำนาจเจริญ!J138"")"),0.0)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IFERROR(__xludf.DUMMYFUNCTION("IMPORTRANGE(""https://docs.google.com/spreadsheets/d/1XL5vhW3sbDhbH9Cz0tuDiY8C3ctxq1tqvaCgkFb8cCA/edit?usp=sharing"",""อำนาจเจริญ!I140"")"),0.0)</f>
        <v>0</v>
      </c>
      <c r="J215" s="238">
        <f>IFERROR(__xludf.DUMMYFUNCTION("IMPORTRANGE(""https://docs.google.com/spreadsheets/d/1XL5vhW3sbDhbH9Cz0tuDiY8C3ctxq1tqvaCgkFb8cCA/edit?usp=sharing"",""อำนาจเจริญ!J140"")"),0.0)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IFERROR(__xludf.DUMMYFUNCTION("IMPORTRANGE(""https://docs.google.com/spreadsheets/d/1XL5vhW3sbDhbH9Cz0tuDiY8C3ctxq1tqvaCgkFb8cCA/edit?usp=sharing"",""อำนาจเจริญ!I141"")"),0.0)</f>
        <v>0</v>
      </c>
      <c r="J216" s="238">
        <f>IFERROR(__xludf.DUMMYFUNCTION("IMPORTRANGE(""https://docs.google.com/spreadsheets/d/1XL5vhW3sbDhbH9Cz0tuDiY8C3ctxq1tqvaCgkFb8cCA/edit?usp=sharing"",""อำนาจเจริญ!J141"")"),0.0)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IFERROR(__xludf.DUMMYFUNCTION("IMPORTRANGE(""https://docs.google.com/spreadsheets/d/1XL5vhW3sbDhbH9Cz0tuDiY8C3ctxq1tqvaCgkFb8cCA/edit?usp=sharing"",""อำนาจเจริญ!J142"")"),0.0)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IFERROR(__xludf.DUMMYFUNCTION("IMPORTRANGE(""https://docs.google.com/spreadsheets/d/1XL5vhW3sbDhbH9Cz0tuDiY8C3ctxq1tqvaCgkFb8cCA/edit?usp=sharing"",""อำนาจเจริญ!J143"")"),0.0)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IFERROR(__xludf.DUMMYFUNCTION("IMPORTRANGE(""https://docs.google.com/spreadsheets/d/1XL5vhW3sbDhbH9Cz0tuDiY8C3ctxq1tqvaCgkFb8cCA/edit?usp=sharing"",""อำนาจเจริญ!I144"")"),14.0)</f>
        <v>14</v>
      </c>
      <c r="J219" s="301">
        <f>IFERROR(__xludf.DUMMYFUNCTION("IMPORTRANGE(""https://docs.google.com/spreadsheets/d/1XL5vhW3sbDhbH9Cz0tuDiY8C3ctxq1tqvaCgkFb8cCA/edit?usp=sharing"",""อำนาจเจริญ!J144"")"),14.0)</f>
        <v>14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20210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20210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IFERROR(__xludf.DUMMYFUNCTION("IMPORTRANGE(""https://docs.google.com/spreadsheets/d/1Yj_ptqi66GCucihVvJfMjLAmec39IyEx_6qawtMGysU/edit?usp=sharing"",""สบก!BS55"")"),20210.0)</f>
        <v>20210</v>
      </c>
      <c r="N224" s="202">
        <f>IFERROR(__xludf.DUMMYFUNCTION("IMPORTRANGE(""https://docs.google.com/spreadsheets/d/1Yj_ptqi66GCucihVvJfMjLAmec39IyEx_6qawtMGysU/edit?usp=sharing"",""สบก!BT55"")"),20210.0)</f>
        <v>20210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IFERROR(__xludf.DUMMYFUNCTION("IMPORTRANGE(""https://docs.google.com/spreadsheets/d/1Yj_ptqi66GCucihVvJfMjLAmec39IyEx_6qawtMGysU/edit?usp=sharing"",""สบก!BO55"")"),0.0)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IFERROR(__xludf.DUMMYFUNCTION("IMPORTRANGE(""https://docs.google.com/spreadsheets/d/1Yj_ptqi66GCucihVvJfMjLAmec39IyEx_6qawtMGysU/edit?usp=sharing"",""สบก!BP55"")"),20210.0)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IFERROR(__xludf.DUMMYFUNCTION("IMPORTRANGE(""https://docs.google.com/spreadsheets/d/1Yj_ptqi66GCucihVvJfMjLAmec39IyEx_6qawtMGysU/edit?usp=sharing"",""สบก!BQ55"")"),0.0)</f>
        <v>0</v>
      </c>
      <c r="M228" s="125"/>
      <c r="N228" s="115">
        <f>IFERROR(__xludf.DUMMYFUNCTION("IMPORTRANGE(""https://docs.google.com/spreadsheets/d/1Yj_ptqi66GCucihVvJfMjLAmec39IyEx_6qawtMGysU/edit?usp=sharing"",""สบก!BU55"")"),0.0)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IFERROR(__xludf.DUMMYFUNCTION("IMPORTRANGE(""https://docs.google.com/spreadsheets/d/1XL5vhW3sbDhbH9Cz0tuDiY8C3ctxq1tqvaCgkFb8cCA/edit?usp=sharing"",""อำนาจเจริญ!I149"")"),14.0)</f>
        <v>14</v>
      </c>
      <c r="J229" s="301">
        <f>IFERROR(__xludf.DUMMYFUNCTION("IMPORTRANGE(""https://docs.google.com/spreadsheets/d/1XL5vhW3sbDhbH9Cz0tuDiY8C3ctxq1tqvaCgkFb8cCA/edit?usp=sharing"",""อำนาจเจริญ!J149"")"),14.0)</f>
        <v>14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IFERROR(__xludf.DUMMYFUNCTION("IMPORTRANGE(""https://docs.google.com/spreadsheets/d/1XL5vhW3sbDhbH9Cz0tuDiY8C3ctxq1tqvaCgkFb8cCA/edit?usp=sharing"",""อำนาจเจริญ!J151"")"),0.0)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IFERROR(__xludf.DUMMYFUNCTION("IMPORTRANGE(""https://docs.google.com/spreadsheets/d/1XL5vhW3sbDhbH9Cz0tuDiY8C3ctxq1tqvaCgkFb8cCA/edit?usp=sharing"",""อำนาจเจริญ!J152"")"),1.0)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IFERROR(__xludf.DUMMYFUNCTION("IMPORTRANGE(""https://docs.google.com/spreadsheets/d/1XL5vhW3sbDhbH9Cz0tuDiY8C3ctxq1tqvaCgkFb8cCA/edit?usp=sharing"",""อำนาจเจริญ!J153"")"),1.0)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IFERROR(__xludf.DUMMYFUNCTION("IMPORTRANGE(""https://docs.google.com/spreadsheets/d/1XL5vhW3sbDhbH9Cz0tuDiY8C3ctxq1tqvaCgkFb8cCA/edit?usp=sharing"",""อำนาจเจริญ!J154"")"),1.0)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IFERROR(__xludf.DUMMYFUNCTION("IMPORTRANGE(""https://docs.google.com/spreadsheets/d/1XL5vhW3sbDhbH9Cz0tuDiY8C3ctxq1tqvaCgkFb8cCA/edit?usp=sharing"",""อำนาจเจริญ!I155"")"),14.0)</f>
        <v>14</v>
      </c>
      <c r="J235" s="223">
        <f>IFERROR(__xludf.DUMMYFUNCTION("IMPORTRANGE(""https://docs.google.com/spreadsheets/d/1XL5vhW3sbDhbH9Cz0tuDiY8C3ctxq1tqvaCgkFb8cCA/edit?usp=sharing"",""อำนาจเจริญ!J155"")"),14.0)</f>
        <v>14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IFERROR(__xludf.DUMMYFUNCTION("IMPORTRANGE(""https://docs.google.com/spreadsheets/d/1XL5vhW3sbDhbH9Cz0tuDiY8C3ctxq1tqvaCgkFb8cCA/edit?usp=sharing"",""อำนาจเจริญ!J156"")"),0.0)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IFERROR(__xludf.DUMMYFUNCTION("IMPORTRANGE(""https://docs.google.com/spreadsheets/d/1XL5vhW3sbDhbH9Cz0tuDiY8C3ctxq1tqvaCgkFb8cCA/edit?usp=sharing"",""อำนาจเจริญ!J157"")"),0.0)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IFERROR(__xludf.DUMMYFUNCTION("IMPORTRANGE(""https://docs.google.com/spreadsheets/d/1XL5vhW3sbDhbH9Cz0tuDiY8C3ctxq1tqvaCgkFb8cCA/edit?usp=sharing"",""อำนาจเจริญ!I158"")"),0.0)</f>
        <v>0</v>
      </c>
      <c r="J238" s="301">
        <f>IFERROR(__xludf.DUMMYFUNCTION("IMPORTRANGE(""https://docs.google.com/spreadsheets/d/1XL5vhW3sbDhbH9Cz0tuDiY8C3ctxq1tqvaCgkFb8cCA/edit?usp=sharing"",""อำนาจเจริญ!J158"")"),0.0)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IFERROR(__xludf.DUMMYFUNCTION("IMPORTRANGE(""https://docs.google.com/spreadsheets/d/1XL5vhW3sbDhbH9Cz0tuDiY8C3ctxq1tqvaCgkFb8cCA/edit?usp=sharing"",""อำนาจเจริญ!J159"")"),"")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IFERROR(__xludf.DUMMYFUNCTION("IMPORTRANGE(""https://docs.google.com/spreadsheets/d/1XL5vhW3sbDhbH9Cz0tuDiY8C3ctxq1tqvaCgkFb8cCA/edit?usp=sharing"",""อำนาจเจริญ!J161"")"),0.0)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IFERROR(__xludf.DUMMYFUNCTION("IMPORTRANGE(""https://docs.google.com/spreadsheets/d/1XL5vhW3sbDhbH9Cz0tuDiY8C3ctxq1tqvaCgkFb8cCA/edit?usp=sharing"",""อำนาจเจริญ!J162"")"),0.0)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IFERROR(__xludf.DUMMYFUNCTION("IMPORTRANGE(""https://docs.google.com/spreadsheets/d/1XL5vhW3sbDhbH9Cz0tuDiY8C3ctxq1tqvaCgkFb8cCA/edit?usp=sharing"",""อำนาจเจริญ!J163"")"),0.0)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IFERROR(__xludf.DUMMYFUNCTION("IMPORTRANGE(""https://docs.google.com/spreadsheets/d/1XL5vhW3sbDhbH9Cz0tuDiY8C3ctxq1tqvaCgkFb8cCA/edit?usp=sharing"",""อำนาจเจริญ!I164"")"),0.0)</f>
        <v>0</v>
      </c>
      <c r="J244" s="222">
        <f>IFERROR(__xludf.DUMMYFUNCTION("IMPORTRANGE(""https://docs.google.com/spreadsheets/d/1XL5vhW3sbDhbH9Cz0tuDiY8C3ctxq1tqvaCgkFb8cCA/edit?usp=sharing"",""อำนาจเจริญ!J164"")"),0.0)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IFERROR(__xludf.DUMMYFUNCTION("IMPORTRANGE(""https://docs.google.com/spreadsheets/d/1XL5vhW3sbDhbH9Cz0tuDiY8C3ctxq1tqvaCgkFb8cCA/edit?usp=sharing"",""อำนาจเจริญ!J165"")"),0.0)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IFERROR(__xludf.DUMMYFUNCTION("IMPORTRANGE(""https://docs.google.com/spreadsheets/d/1XL5vhW3sbDhbH9Cz0tuDiY8C3ctxq1tqvaCgkFb8cCA/edit?usp=sharing"",""อำนาจเจริญ!J166"")"),0.0)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IFERROR(__xludf.DUMMYFUNCTION("IMPORTRANGE(""https://docs.google.com/spreadsheets/d/1XL5vhW3sbDhbH9Cz0tuDiY8C3ctxq1tqvaCgkFb8cCA/edit?usp=sharing"",""อำนาจเจริญ!I169"")"),0.0)</f>
        <v>0</v>
      </c>
      <c r="J249" s="349">
        <f>IFERROR(__xludf.DUMMYFUNCTION("IMPORTRANGE(""https://docs.google.com/spreadsheets/d/1XL5vhW3sbDhbH9Cz0tuDiY8C3ctxq1tqvaCgkFb8cCA/edit?usp=sharing"",""อำนาจเจริญ!J169"")"),0.0)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IFERROR(__xludf.DUMMYFUNCTION("IMPORTRANGE(""https://docs.google.com/spreadsheets/d/1Yj_ptqi66GCucihVvJfMjLAmec39IyEx_6qawtMGysU/edit?usp=sharing"",""สบก!CB55"")"),0.0)</f>
        <v>0</v>
      </c>
      <c r="N254" s="202">
        <f>IFERROR(__xludf.DUMMYFUNCTION("IMPORTRANGE(""https://docs.google.com/spreadsheets/d/1Yj_ptqi66GCucihVvJfMjLAmec39IyEx_6qawtMGysU/edit?usp=sharing"",""สบก!CC55"")"),0.0)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IFERROR(__xludf.DUMMYFUNCTION("IMPORTRANGE(""https://docs.google.com/spreadsheets/d/1Yj_ptqi66GCucihVvJfMjLAmec39IyEx_6qawtMGysU/edit?usp=sharing"",""สบก!BX55"")"),0.0)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IFERROR(__xludf.DUMMYFUNCTION("IMPORTRANGE(""https://docs.google.com/spreadsheets/d/1Yj_ptqi66GCucihVvJfMjLAmec39IyEx_6qawtMGysU/edit?usp=sharing"",""สบก!BY55"")"),0.0)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IFERROR(__xludf.DUMMYFUNCTION("IMPORTRANGE(""https://docs.google.com/spreadsheets/d/1Yj_ptqi66GCucihVvJfMjLAmec39IyEx_6qawtMGysU/edit?usp=sharing"",""สบก!BZ55"")"),0.0)</f>
        <v>0</v>
      </c>
      <c r="M258" s="125"/>
      <c r="N258" s="115">
        <f>IFERROR(__xludf.DUMMYFUNCTION("IMPORTRANGE(""https://docs.google.com/spreadsheets/d/1Yj_ptqi66GCucihVvJfMjLAmec39IyEx_6qawtMGysU/edit?usp=sharing"",""สบก!CD55"")"),0.0)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IFERROR(__xludf.DUMMYFUNCTION("IMPORTRANGE(""https://docs.google.com/spreadsheets/d/1XL5vhW3sbDhbH9Cz0tuDiY8C3ctxq1tqvaCgkFb8cCA/edit?usp=sharing"",""อำนาจเจริญ!J175"")"),0.0)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IFERROR(__xludf.DUMMYFUNCTION("IMPORTRANGE(""https://docs.google.com/spreadsheets/d/1XL5vhW3sbDhbH9Cz0tuDiY8C3ctxq1tqvaCgkFb8cCA/edit?usp=sharing"",""อำนาจเจริญ!J176"")"),0.0)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IFERROR(__xludf.DUMMYFUNCTION("IMPORTRANGE(""https://docs.google.com/spreadsheets/d/1XL5vhW3sbDhbH9Cz0tuDiY8C3ctxq1tqvaCgkFb8cCA/edit?usp=sharing"",""อำนาจเจริญ!J177"")"),0.0)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IFERROR(__xludf.DUMMYFUNCTION("IMPORTRANGE(""https://docs.google.com/spreadsheets/d/1XL5vhW3sbDhbH9Cz0tuDiY8C3ctxq1tqvaCgkFb8cCA/edit?usp=sharing"",""อำนาจเจริญ!J178"")"),0.0)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IFERROR(__xludf.DUMMYFUNCTION("IMPORTRANGE(""https://docs.google.com/spreadsheets/d/1XL5vhW3sbDhbH9Cz0tuDiY8C3ctxq1tqvaCgkFb8cCA/edit?usp=sharing"",""อำนาจเจริญ!I179"")"),0.0)</f>
        <v>0</v>
      </c>
      <c r="J264" s="223">
        <f>IFERROR(__xludf.DUMMYFUNCTION("IMPORTRANGE(""https://docs.google.com/spreadsheets/d/1XL5vhW3sbDhbH9Cz0tuDiY8C3ctxq1tqvaCgkFb8cCA/edit?usp=sharing"",""อำนาจเจริญ!J179"")"),0.0)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IFERROR(__xludf.DUMMYFUNCTION("IMPORTRANGE(""https://docs.google.com/spreadsheets/d/1XL5vhW3sbDhbH9Cz0tuDiY8C3ctxq1tqvaCgkFb8cCA/edit?usp=sharing"",""อำนาจเจริญ!I180"")"),0.0)</f>
        <v>0</v>
      </c>
      <c r="J265" s="223">
        <f>IFERROR(__xludf.DUMMYFUNCTION("IMPORTRANGE(""https://docs.google.com/spreadsheets/d/1XL5vhW3sbDhbH9Cz0tuDiY8C3ctxq1tqvaCgkFb8cCA/edit?usp=sharing"",""อำนาจเจริญ!J180"")"),0.0)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IFERROR(__xludf.DUMMYFUNCTION("IMPORTRANGE(""https://docs.google.com/spreadsheets/d/1XL5vhW3sbDhbH9Cz0tuDiY8C3ctxq1tqvaCgkFb8cCA/edit?usp=sharing"",""อำนาจเจริญ!I181"")"),0.0)</f>
        <v>0</v>
      </c>
      <c r="J266" s="223">
        <f>IFERROR(__xludf.DUMMYFUNCTION("IMPORTRANGE(""https://docs.google.com/spreadsheets/d/1XL5vhW3sbDhbH9Cz0tuDiY8C3ctxq1tqvaCgkFb8cCA/edit?usp=sharing"",""อำนาจเจริญ!J181"")"),0.0)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IFERROR(__xludf.DUMMYFUNCTION("IMPORTRANGE(""https://docs.google.com/spreadsheets/d/1XL5vhW3sbDhbH9Cz0tuDiY8C3ctxq1tqvaCgkFb8cCA/edit?usp=sharing"",""อำนาจเจริญ!I182"")"),0.0)</f>
        <v>0</v>
      </c>
      <c r="J267" s="223">
        <f>IFERROR(__xludf.DUMMYFUNCTION("IMPORTRANGE(""https://docs.google.com/spreadsheets/d/1XL5vhW3sbDhbH9Cz0tuDiY8C3ctxq1tqvaCgkFb8cCA/edit?usp=sharing"",""อำนาจเจริญ!J182"")"),0.0)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IFERROR(__xludf.DUMMYFUNCTION("IMPORTRANGE(""https://docs.google.com/spreadsheets/d/1XL5vhW3sbDhbH9Cz0tuDiY8C3ctxq1tqvaCgkFb8cCA/edit?usp=sharing"",""อำนาจเจริญ!J183"")"),0.0)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IFERROR(__xludf.DUMMYFUNCTION("IMPORTRANGE(""https://docs.google.com/spreadsheets/d/1XL5vhW3sbDhbH9Cz0tuDiY8C3ctxq1tqvaCgkFb8cCA/edit?usp=sharing"",""อำนาจเจริญ!J184"")"),0.0)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IFERROR(__xludf.DUMMYFUNCTION("IMPORTRANGE(""https://docs.google.com/spreadsheets/d/1XL5vhW3sbDhbH9Cz0tuDiY8C3ctxq1tqvaCgkFb8cCA/edit?usp=sharing"",""อำนาจเจริญ!I185"")"),15.0)</f>
        <v>15</v>
      </c>
      <c r="J270" s="349">
        <f>IFERROR(__xludf.DUMMYFUNCTION("IMPORTRANGE(""https://docs.google.com/spreadsheets/d/1XL5vhW3sbDhbH9Cz0tuDiY8C3ctxq1tqvaCgkFb8cCA/edit?usp=sharing"",""อำนาจเจริญ!J185"")"),0.0)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11410</v>
      </c>
      <c r="O271" s="182">
        <f t="shared" ref="O271:O273" si="86">IF(L271&gt;0,N271*100/L271,0)</f>
        <v>20.67028986</v>
      </c>
      <c r="P271" s="182">
        <f t="shared" ref="P271:P273" si="87">IF(M271&gt;0,N271*100/M271,0)</f>
        <v>35.37984496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11410</v>
      </c>
      <c r="O273" s="187">
        <f t="shared" si="86"/>
        <v>20.67028986</v>
      </c>
      <c r="P273" s="187">
        <f t="shared" si="87"/>
        <v>35.37984496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IFERROR(__xludf.DUMMYFUNCTION("IMPORTRANGE(""https://docs.google.com/spreadsheets/d/1Yj_ptqi66GCucihVvJfMjLAmec39IyEx_6qawtMGysU/edit?usp=sharing"",""สบก!CK55"")"),32250.0)</f>
        <v>32250</v>
      </c>
      <c r="N275" s="202">
        <f>IFERROR(__xludf.DUMMYFUNCTION("IMPORTRANGE(""https://docs.google.com/spreadsheets/d/1Yj_ptqi66GCucihVvJfMjLAmec39IyEx_6qawtMGysU/edit?usp=sharing"",""สบก!CL55"")"),11410.0)</f>
        <v>11410</v>
      </c>
      <c r="O275" s="203">
        <f>IF(L275&gt;0,N275*100/L275,0)</f>
        <v>20.67028986</v>
      </c>
      <c r="P275" s="203">
        <f>IF(M275&gt;0,N275*100/M275,0)</f>
        <v>35.37984496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IFERROR(__xludf.DUMMYFUNCTION("IMPORTRANGE(""https://docs.google.com/spreadsheets/d/1Yj_ptqi66GCucihVvJfMjLAmec39IyEx_6qawtMGysU/edit?usp=sharing"",""สบก!CG55"")"),0.0)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IFERROR(__xludf.DUMMYFUNCTION("IMPORTRANGE(""https://docs.google.com/spreadsheets/d/1Yj_ptqi66GCucihVvJfMjLAmec39IyEx_6qawtMGysU/edit?usp=sharing"",""สบก!CH55"")"),55200.0)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IFERROR(__xludf.DUMMYFUNCTION("IMPORTRANGE(""https://docs.google.com/spreadsheets/d/1Yj_ptqi66GCucihVvJfMjLAmec39IyEx_6qawtMGysU/edit?usp=sharing"",""สบก!CI55"")"),0.0)</f>
        <v>0</v>
      </c>
      <c r="M279" s="125"/>
      <c r="N279" s="115">
        <f>IFERROR(__xludf.DUMMYFUNCTION("IMPORTRANGE(""https://docs.google.com/spreadsheets/d/1Yj_ptqi66GCucihVvJfMjLAmec39IyEx_6qawtMGysU/edit?usp=sharing"",""สบก!CM55"")"),0.0)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IFERROR(__xludf.DUMMYFUNCTION("IMPORTRANGE(""https://docs.google.com/spreadsheets/d/1XL5vhW3sbDhbH9Cz0tuDiY8C3ctxq1tqvaCgkFb8cCA/edit?usp=sharing"",""อำนาจเจริญ!J191"")"),0.0)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IFERROR(__xludf.DUMMYFUNCTION("IMPORTRANGE(""https://docs.google.com/spreadsheets/d/1XL5vhW3sbDhbH9Cz0tuDiY8C3ctxq1tqvaCgkFb8cCA/edit?usp=sharing"",""อำนาจเจริญ!J192"")"),1.0)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IFERROR(__xludf.DUMMYFUNCTION("IMPORTRANGE(""https://docs.google.com/spreadsheets/d/1XL5vhW3sbDhbH9Cz0tuDiY8C3ctxq1tqvaCgkFb8cCA/edit?usp=sharing"",""อำนาจเจริญ!J193"")"),1.0)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IFERROR(__xludf.DUMMYFUNCTION("IMPORTRANGE(""https://docs.google.com/spreadsheets/d/1XL5vhW3sbDhbH9Cz0tuDiY8C3ctxq1tqvaCgkFb8cCA/edit?usp=sharing"",""อำนาจเจริญ!J194"")"),1.0)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IFERROR(__xludf.DUMMYFUNCTION("IMPORTRANGE(""https://docs.google.com/spreadsheets/d/1XL5vhW3sbDhbH9Cz0tuDiY8C3ctxq1tqvaCgkFb8cCA/edit?usp=sharing"",""อำนาจเจริญ!I195"")"),15.0)</f>
        <v>15</v>
      </c>
      <c r="J285" s="223">
        <f>IFERROR(__xludf.DUMMYFUNCTION("IMPORTRANGE(""https://docs.google.com/spreadsheets/d/1XL5vhW3sbDhbH9Cz0tuDiY8C3ctxq1tqvaCgkFb8cCA/edit?usp=sharing"",""อำนาจเจริญ!J195"")"),0.0)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IFERROR(__xludf.DUMMYFUNCTION("IMPORTRANGE(""https://docs.google.com/spreadsheets/d/1XL5vhW3sbDhbH9Cz0tuDiY8C3ctxq1tqvaCgkFb8cCA/edit?usp=sharing"",""อำนาจเจริญ!J196"")"),0.0)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IFERROR(__xludf.DUMMYFUNCTION("IMPORTRANGE(""https://docs.google.com/spreadsheets/d/1XL5vhW3sbDhbH9Cz0tuDiY8C3ctxq1tqvaCgkFb8cCA/edit?usp=sharing"",""อำนาจเจริญ!J197"")"),0.0)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IFERROR(__xludf.DUMMYFUNCTION("IMPORTRANGE(""https://docs.google.com/spreadsheets/d/1XL5vhW3sbDhbH9Cz0tuDiY8C3ctxq1tqvaCgkFb8cCA/edit?usp=sharing"",""อำนาจเจริญ!I199"")"),0.0)</f>
        <v>0</v>
      </c>
      <c r="J289" s="349">
        <f>IFERROR(__xludf.DUMMYFUNCTION("IMPORTRANGE(""https://docs.google.com/spreadsheets/d/1XL5vhW3sbDhbH9Cz0tuDiY8C3ctxq1tqvaCgkFb8cCA/edit?usp=sharing"",""อำนาจเจริญ!J199"")"),0.0)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IFERROR(__xludf.DUMMYFUNCTION("IMPORTRANGE(""https://docs.google.com/spreadsheets/d/1Yj_ptqi66GCucihVvJfMjLAmec39IyEx_6qawtMGysU/edit?usp=sharing"",""สบก!CT55"")"),0.0)</f>
        <v>0</v>
      </c>
      <c r="N294" s="202">
        <f>IFERROR(__xludf.DUMMYFUNCTION("IMPORTRANGE(""https://docs.google.com/spreadsheets/d/1Yj_ptqi66GCucihVvJfMjLAmec39IyEx_6qawtMGysU/edit?usp=sharing"",""สบก!CU55"")"),0.0)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IFERROR(__xludf.DUMMYFUNCTION("IMPORTRANGE(""https://docs.google.com/spreadsheets/d/1Yj_ptqi66GCucihVvJfMjLAmec39IyEx_6qawtMGysU/edit?usp=sharing"",""สบก!CP55"")"),0.0)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IFERROR(__xludf.DUMMYFUNCTION("IMPORTRANGE(""https://docs.google.com/spreadsheets/d/1Yj_ptqi66GCucihVvJfMjLAmec39IyEx_6qawtMGysU/edit?usp=sharing"",""สบก!CQ55"")"),0.0)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IFERROR(__xludf.DUMMYFUNCTION("IMPORTRANGE(""https://docs.google.com/spreadsheets/d/1Yj_ptqi66GCucihVvJfMjLAmec39IyEx_6qawtMGysU/edit?usp=sharing"",""สบก!CR55"")"),0.0)</f>
        <v>0</v>
      </c>
      <c r="M298" s="125"/>
      <c r="N298" s="115">
        <f>IFERROR(__xludf.DUMMYFUNCTION("IMPORTRANGE(""https://docs.google.com/spreadsheets/d/1Yj_ptqi66GCucihVvJfMjLAmec39IyEx_6qawtMGysU/edit?usp=sharing"",""สบก!CV55"")"),0.0)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IFERROR(__xludf.DUMMYFUNCTION("IMPORTRANGE(""https://docs.google.com/spreadsheets/d/1XL5vhW3sbDhbH9Cz0tuDiY8C3ctxq1tqvaCgkFb8cCA/edit?usp=sharing"",""อำนาจเจริญ!J205"")"),0.0)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IFERROR(__xludf.DUMMYFUNCTION("IMPORTRANGE(""https://docs.google.com/spreadsheets/d/1XL5vhW3sbDhbH9Cz0tuDiY8C3ctxq1tqvaCgkFb8cCA/edit?usp=sharing"",""อำนาจเจริญ!J206"")"),0.0)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IFERROR(__xludf.DUMMYFUNCTION("IMPORTRANGE(""https://docs.google.com/spreadsheets/d/1XL5vhW3sbDhbH9Cz0tuDiY8C3ctxq1tqvaCgkFb8cCA/edit?usp=sharing"",""อำนาจเจริญ!J207"")"),0.0)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IFERROR(__xludf.DUMMYFUNCTION("IMPORTRANGE(""https://docs.google.com/spreadsheets/d/1XL5vhW3sbDhbH9Cz0tuDiY8C3ctxq1tqvaCgkFb8cCA/edit?usp=sharing"",""อำนาจเจริญ!J208"")"),0.0)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IFERROR(__xludf.DUMMYFUNCTION("IMPORTRANGE(""https://docs.google.com/spreadsheets/d/1XL5vhW3sbDhbH9Cz0tuDiY8C3ctxq1tqvaCgkFb8cCA/edit?usp=sharing"",""อำนาจเจริญ!I209"")"),0.0)</f>
        <v>0</v>
      </c>
      <c r="J304" s="238">
        <f>IFERROR(__xludf.DUMMYFUNCTION("IMPORTRANGE(""https://docs.google.com/spreadsheets/d/1XL5vhW3sbDhbH9Cz0tuDiY8C3ctxq1tqvaCgkFb8cCA/edit?usp=sharing"",""อำนาจเจริญ!J209"")"),0.0)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IFERROR(__xludf.DUMMYFUNCTION("IMPORTRANGE(""https://docs.google.com/spreadsheets/d/1XL5vhW3sbDhbH9Cz0tuDiY8C3ctxq1tqvaCgkFb8cCA/edit?usp=sharing"",""อำนาจเจริญ!I211"")"),0.0)</f>
        <v>0</v>
      </c>
      <c r="J306" s="238">
        <f>IFERROR(__xludf.DUMMYFUNCTION("IMPORTRANGE(""https://docs.google.com/spreadsheets/d/1XL5vhW3sbDhbH9Cz0tuDiY8C3ctxq1tqvaCgkFb8cCA/edit?usp=sharing"",""อำนาจเจริญ!J211"")"),0.0)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IFERROR(__xludf.DUMMYFUNCTION("IMPORTRANGE(""https://docs.google.com/spreadsheets/d/1XL5vhW3sbDhbH9Cz0tuDiY8C3ctxq1tqvaCgkFb8cCA/edit?usp=sharing"",""อำนาจเจริญ!J212"")"),0.0)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IFERROR(__xludf.DUMMYFUNCTION("IMPORTRANGE(""https://docs.google.com/spreadsheets/d/1XL5vhW3sbDhbH9Cz0tuDiY8C3ctxq1tqvaCgkFb8cCA/edit?usp=sharing"",""อำนาจเจริญ!J213"")"),0.0)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IFERROR(__xludf.DUMMYFUNCTION("IMPORTRANGE(""https://docs.google.com/spreadsheets/d/1XL5vhW3sbDhbH9Cz0tuDiY8C3ctxq1tqvaCgkFb8cCA/edit?usp=sharing"",""อำนาจเจริญ!I214"")"),0.0)</f>
        <v>0</v>
      </c>
      <c r="J309" s="366">
        <f>IFERROR(__xludf.DUMMYFUNCTION("IMPORTRANGE(""https://docs.google.com/spreadsheets/d/1XL5vhW3sbDhbH9Cz0tuDiY8C3ctxq1tqvaCgkFb8cCA/edit?usp=sharing"",""อำนาจเจริญ!J214"")"),0.0)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IFERROR(__xludf.DUMMYFUNCTION("IMPORTRANGE(""https://docs.google.com/spreadsheets/d/1Yj_ptqi66GCucihVvJfMjLAmec39IyEx_6qawtMGysU/edit?usp=sharing"",""สบก!DC55"")"),0.0)</f>
        <v>0</v>
      </c>
      <c r="N314" s="202">
        <f>IFERROR(__xludf.DUMMYFUNCTION("IMPORTRANGE(""https://docs.google.com/spreadsheets/d/1Yj_ptqi66GCucihVvJfMjLAmec39IyEx_6qawtMGysU/edit?usp=sharing"",""สบก!DD55"")"),0.0)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IFERROR(__xludf.DUMMYFUNCTION("IMPORTRANGE(""https://docs.google.com/spreadsheets/d/1Yj_ptqi66GCucihVvJfMjLAmec39IyEx_6qawtMGysU/edit?usp=sharing"",""สบก!CY55"")"),0.0)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IFERROR(__xludf.DUMMYFUNCTION("IMPORTRANGE(""https://docs.google.com/spreadsheets/d/1Yj_ptqi66GCucihVvJfMjLAmec39IyEx_6qawtMGysU/edit?usp=sharing"",""สบก!CZ55"")"),0.0)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IFERROR(__xludf.DUMMYFUNCTION("IMPORTRANGE(""https://docs.google.com/spreadsheets/d/1Yj_ptqi66GCucihVvJfMjLAmec39IyEx_6qawtMGysU/edit?usp=sharing"",""สบก!DA55"")"),0.0)</f>
        <v>0</v>
      </c>
      <c r="M318" s="125"/>
      <c r="N318" s="115">
        <f>IFERROR(__xludf.DUMMYFUNCTION("IMPORTRANGE(""https://docs.google.com/spreadsheets/d/1Yj_ptqi66GCucihVvJfMjLAmec39IyEx_6qawtMGysU/edit?usp=sharing"",""สบก!DE55"")"),0.0)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IFERROR(__xludf.DUMMYFUNCTION("IMPORTRANGE(""https://docs.google.com/spreadsheets/d/1XL5vhW3sbDhbH9Cz0tuDiY8C3ctxq1tqvaCgkFb8cCA/edit?usp=sharing"",""อำนาจเจริญ!J220"")"),0.0)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IFERROR(__xludf.DUMMYFUNCTION("IMPORTRANGE(""https://docs.google.com/spreadsheets/d/1XL5vhW3sbDhbH9Cz0tuDiY8C3ctxq1tqvaCgkFb8cCA/edit?usp=sharing"",""อำนาจเจริญ!J221"")"),0.0)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IFERROR(__xludf.DUMMYFUNCTION("IMPORTRANGE(""https://docs.google.com/spreadsheets/d/1XL5vhW3sbDhbH9Cz0tuDiY8C3ctxq1tqvaCgkFb8cCA/edit?usp=sharing"",""อำนาจเจริญ!J222"")"),0.0)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IFERROR(__xludf.DUMMYFUNCTION("IMPORTRANGE(""https://docs.google.com/spreadsheets/d/1XL5vhW3sbDhbH9Cz0tuDiY8C3ctxq1tqvaCgkFb8cCA/edit?usp=sharing"",""อำนาจเจริญ!J223"")"),0.0)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IFERROR(__xludf.DUMMYFUNCTION("IMPORTRANGE(""https://docs.google.com/spreadsheets/d/1XL5vhW3sbDhbH9Cz0tuDiY8C3ctxq1tqvaCgkFb8cCA/edit?usp=sharing"",""อำนาจเจริญ!I224"")"),0.0)</f>
        <v>0</v>
      </c>
      <c r="J324" s="238">
        <f>IFERROR(__xludf.DUMMYFUNCTION("IMPORTRANGE(""https://docs.google.com/spreadsheets/d/1XL5vhW3sbDhbH9Cz0tuDiY8C3ctxq1tqvaCgkFb8cCA/edit?usp=sharing"",""อำนาจเจริญ!J224"")"),0.0)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IFERROR(__xludf.DUMMYFUNCTION("IMPORTRANGE(""https://docs.google.com/spreadsheets/d/1XL5vhW3sbDhbH9Cz0tuDiY8C3ctxq1tqvaCgkFb8cCA/edit?usp=sharing"",""อำนาจเจริญ!J225"")"),0.0)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IFERROR(__xludf.DUMMYFUNCTION("IMPORTRANGE(""https://docs.google.com/spreadsheets/d/1XL5vhW3sbDhbH9Cz0tuDiY8C3ctxq1tqvaCgkFb8cCA/edit?usp=sharing"",""อำนาจเจริญ!J226"")"),0.0)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IFERROR(__xludf.DUMMYFUNCTION("IMPORTRANGE(""https://docs.google.com/spreadsheets/d/1XL5vhW3sbDhbH9Cz0tuDiY8C3ctxq1tqvaCgkFb8cCA/edit?usp=sharing"",""อำนาจเจริญ!I228"")"),190.0)</f>
        <v>190</v>
      </c>
      <c r="J328" s="372">
        <f>IFERROR(__xludf.DUMMYFUNCTION("IMPORTRANGE(""https://docs.google.com/spreadsheets/d/1XL5vhW3sbDhbH9Cz0tuDiY8C3ctxq1tqvaCgkFb8cCA/edit?usp=sharing"",""อำนาจเจริญ!J228"")"),32.0)</f>
        <v>32</v>
      </c>
      <c r="K328" s="350">
        <f>IF(I328&gt;0,J328*100/I328,0)</f>
        <v>16.84210526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645530</v>
      </c>
      <c r="M329" s="183">
        <f t="shared" si="99"/>
        <v>326270</v>
      </c>
      <c r="N329" s="183">
        <f t="shared" si="99"/>
        <v>161945</v>
      </c>
      <c r="O329" s="182">
        <f t="shared" ref="O329:O331" si="101">IF(L329&gt;0,N329*100/L329,0)</f>
        <v>25.0871377</v>
      </c>
      <c r="P329" s="182">
        <f t="shared" ref="P329:P331" si="102">IF(M329&gt;0,N329*100/M329,0)</f>
        <v>49.6352714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645530</v>
      </c>
      <c r="M331" s="188">
        <f t="shared" si="103"/>
        <v>326270</v>
      </c>
      <c r="N331" s="188">
        <f t="shared" si="103"/>
        <v>161945</v>
      </c>
      <c r="O331" s="187">
        <f t="shared" si="101"/>
        <v>25.0871377</v>
      </c>
      <c r="P331" s="187">
        <f t="shared" si="102"/>
        <v>49.6352714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608530</v>
      </c>
      <c r="M333" s="201">
        <f>IFERROR(__xludf.DUMMYFUNCTION("IMPORTRANGE(""https://docs.google.com/spreadsheets/d/1Yj_ptqi66GCucihVvJfMjLAmec39IyEx_6qawtMGysU/edit?usp=sharing"",""สบก!DL55"")"),326270.0)</f>
        <v>326270</v>
      </c>
      <c r="N333" s="202">
        <f>IFERROR(__xludf.DUMMYFUNCTION("IMPORTRANGE(""https://docs.google.com/spreadsheets/d/1Yj_ptqi66GCucihVvJfMjLAmec39IyEx_6qawtMGysU/edit?usp=sharing"",""สบก!DM55"")"),125445.0)</f>
        <v>125445</v>
      </c>
      <c r="O333" s="203">
        <f>IF(L333&gt;0,N333*100/L333,0)</f>
        <v>20.6144315</v>
      </c>
      <c r="P333" s="203">
        <f>IF(M333&gt;0,N333*100/M333,0)</f>
        <v>38.44821773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IFERROR(__xludf.DUMMYFUNCTION("IMPORTRANGE(""https://docs.google.com/spreadsheets/d/1Yj_ptqi66GCucihVvJfMjLAmec39IyEx_6qawtMGysU/edit?usp=sharing"",""สบก!DH55"")"),306000.0)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IFERROR(__xludf.DUMMYFUNCTION("IMPORTRANGE(""https://docs.google.com/spreadsheets/d/1Yj_ptqi66GCucihVvJfMjLAmec39IyEx_6qawtMGysU/edit?usp=sharing"",""สบก!DI55"")"),302530.0)</f>
        <v>302530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IFERROR(__xludf.DUMMYFUNCTION("IMPORTRANGE(""https://docs.google.com/spreadsheets/d/1Yj_ptqi66GCucihVvJfMjLAmec39IyEx_6qawtMGysU/edit?usp=sharing"",""สบก!DJ55"")"),37000.0)</f>
        <v>37000</v>
      </c>
      <c r="M337" s="125"/>
      <c r="N337" s="115">
        <f>IFERROR(__xludf.DUMMYFUNCTION("IMPORTRANGE(""https://docs.google.com/spreadsheets/d/1Yj_ptqi66GCucihVvJfMjLAmec39IyEx_6qawtMGysU/edit?usp=sharing"",""สบก!DN55"")"),36500.0)</f>
        <v>36500</v>
      </c>
      <c r="O337" s="125">
        <f>IF(L337&gt;0,N337*100/L337,0)</f>
        <v>98.64864865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IFERROR(__xludf.DUMMYFUNCTION("IMPORTRANGE(""https://docs.google.com/spreadsheets/d/1XL5vhW3sbDhbH9Cz0tuDiY8C3ctxq1tqvaCgkFb8cCA/edit?usp=sharing"",""อำนาจเจริญ!I234"")"),0.0)</f>
        <v>0</v>
      </c>
      <c r="J339" s="222">
        <f>IFERROR(__xludf.DUMMYFUNCTION("IMPORTRANGE(""https://docs.google.com/spreadsheets/d/1XL5vhW3sbDhbH9Cz0tuDiY8C3ctxq1tqvaCgkFb8cCA/edit?usp=sharing"",""อำนาจเจริญ!J234"")"),79.0)</f>
        <v>79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IFERROR(__xludf.DUMMYFUNCTION("IMPORTRANGE(""https://docs.google.com/spreadsheets/d/1XL5vhW3sbDhbH9Cz0tuDiY8C3ctxq1tqvaCgkFb8cCA/edit?usp=sharing"",""อำนาจเจริญ!I235"")"),1300.0)</f>
        <v>1300</v>
      </c>
      <c r="J340" s="222">
        <f>IFERROR(__xludf.DUMMYFUNCTION("IMPORTRANGE(""https://docs.google.com/spreadsheets/d/1XL5vhW3sbDhbH9Cz0tuDiY8C3ctxq1tqvaCgkFb8cCA/edit?usp=sharing"",""อำนาจเจริญ!J235"")"),880.06)</f>
        <v>880.06</v>
      </c>
      <c r="K340" s="375">
        <f t="shared" si="104"/>
        <v>67.69692308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IFERROR(__xludf.DUMMYFUNCTION("IMPORTRANGE(""https://docs.google.com/spreadsheets/d/1XL5vhW3sbDhbH9Cz0tuDiY8C3ctxq1tqvaCgkFb8cCA/edit?usp=sharing"",""อำนาจเจริญ!I236"")"),190.0)</f>
        <v>190</v>
      </c>
      <c r="J341" s="222">
        <f>IFERROR(__xludf.DUMMYFUNCTION("IMPORTRANGE(""https://docs.google.com/spreadsheets/d/1XL5vhW3sbDhbH9Cz0tuDiY8C3ctxq1tqvaCgkFb8cCA/edit?usp=sharing"",""อำนาจเจริญ!J236"")"),78.0)</f>
        <v>78</v>
      </c>
      <c r="K341" s="375">
        <f t="shared" si="104"/>
        <v>41.05263158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IFERROR(__xludf.DUMMYFUNCTION("IMPORTRANGE(""https://docs.google.com/spreadsheets/d/1XL5vhW3sbDhbH9Cz0tuDiY8C3ctxq1tqvaCgkFb8cCA/edit?usp=sharing"",""อำนาจเจริญ!I237"")"),0.0)</f>
        <v>0</v>
      </c>
      <c r="J342" s="222">
        <f>IFERROR(__xludf.DUMMYFUNCTION("IMPORTRANGE(""https://docs.google.com/spreadsheets/d/1XL5vhW3sbDhbH9Cz0tuDiY8C3ctxq1tqvaCgkFb8cCA/edit?usp=sharing"",""อำนาจเจริญ!J237"")"),797.25)</f>
        <v>797.25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IFERROR(__xludf.DUMMYFUNCTION("IMPORTRANGE(""https://docs.google.com/spreadsheets/d/1XL5vhW3sbDhbH9Cz0tuDiY8C3ctxq1tqvaCgkFb8cCA/edit?usp=sharing"",""อำนาจเจริญ!I238"")"),190.0)</f>
        <v>190</v>
      </c>
      <c r="J343" s="222">
        <f>IFERROR(__xludf.DUMMYFUNCTION("IMPORTRANGE(""https://docs.google.com/spreadsheets/d/1XL5vhW3sbDhbH9Cz0tuDiY8C3ctxq1tqvaCgkFb8cCA/edit?usp=sharing"",""อำนาจเจริญ!J238"")"),0.0)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IFERROR(__xludf.DUMMYFUNCTION("IMPORTRANGE(""https://docs.google.com/spreadsheets/d/1XL5vhW3sbDhbH9Cz0tuDiY8C3ctxq1tqvaCgkFb8cCA/edit?usp=sharing"",""อำนาจเจริญ!I239"")"),0.0)</f>
        <v>0</v>
      </c>
      <c r="J344" s="222">
        <f>IFERROR(__xludf.DUMMYFUNCTION("IMPORTRANGE(""https://docs.google.com/spreadsheets/d/1XL5vhW3sbDhbH9Cz0tuDiY8C3ctxq1tqvaCgkFb8cCA/edit?usp=sharing"",""อำนาจเจริญ!J239"")"),0.0)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IFERROR(__xludf.DUMMYFUNCTION("IMPORTRANGE(""https://docs.google.com/spreadsheets/d/1XL5vhW3sbDhbH9Cz0tuDiY8C3ctxq1tqvaCgkFb8cCA/edit?usp=sharing"",""อำนาจเจริญ!I240"")"),190.0)</f>
        <v>190</v>
      </c>
      <c r="J345" s="222">
        <f>IFERROR(__xludf.DUMMYFUNCTION("IMPORTRANGE(""https://docs.google.com/spreadsheets/d/1XL5vhW3sbDhbH9Cz0tuDiY8C3ctxq1tqvaCgkFb8cCA/edit?usp=sharing"",""อำนาจเจริญ!J240"")"),32.0)</f>
        <v>32</v>
      </c>
      <c r="K345" s="375">
        <f t="shared" si="104"/>
        <v>16.84210526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IFERROR(__xludf.DUMMYFUNCTION("IMPORTRANGE(""https://docs.google.com/spreadsheets/d/1XL5vhW3sbDhbH9Cz0tuDiY8C3ctxq1tqvaCgkFb8cCA/edit?usp=sharing"",""อำนาจเจริญ!I241"")"),0.0)</f>
        <v>0</v>
      </c>
      <c r="J346" s="222">
        <f>IFERROR(__xludf.DUMMYFUNCTION("IMPORTRANGE(""https://docs.google.com/spreadsheets/d/1XL5vhW3sbDhbH9Cz0tuDiY8C3ctxq1tqvaCgkFb8cCA/edit?usp=sharing"",""อำนาจเจริญ!J241"")"),324.23)</f>
        <v>324.23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IFERROR(__xludf.DUMMYFUNCTION("IMPORTRANGE(""https://docs.google.com/spreadsheets/d/1XL5vhW3sbDhbH9Cz0tuDiY8C3ctxq1tqvaCgkFb8cCA/edit?usp=sharing"",""อำนาจเจริญ!L242"")"),1378344.0)</f>
        <v>1378344</v>
      </c>
      <c r="M347" s="391"/>
      <c r="N347" s="391">
        <f>IFERROR(__xludf.DUMMYFUNCTION("IMPORTRANGE(""https://docs.google.com/spreadsheets/d/1XL5vhW3sbDhbH9Cz0tuDiY8C3ctxq1tqvaCgkFb8cCA/edit?usp=sharing"",""อำนาจเจริญ!M242"")"),72760.0)</f>
        <v>72760</v>
      </c>
      <c r="O347" s="391">
        <f>+IF(L347&gt;0,N347*100/L347,0)</f>
        <v>5.278798326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IFERROR(__xludf.DUMMYFUNCTION("IMPORTRANGE(""https://docs.google.com/spreadsheets/d/1XL5vhW3sbDhbH9Cz0tuDiY8C3ctxq1tqvaCgkFb8cCA/edit?usp=sharing"",""อำนาจเจริญ!I244"")"),120.0)</f>
        <v>120</v>
      </c>
      <c r="J349" s="404">
        <f>IFERROR(__xludf.DUMMYFUNCTION("IMPORTRANGE(""https://docs.google.com/spreadsheets/d/1XL5vhW3sbDhbH9Cz0tuDiY8C3ctxq1tqvaCgkFb8cCA/edit?usp=sharing"",""อำนาจเจริญ!J244"")"),0.0)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IFERROR(__xludf.DUMMYFUNCTION("IMPORTRANGE(""https://docs.google.com/spreadsheets/d/1XL5vhW3sbDhbH9Cz0tuDiY8C3ctxq1tqvaCgkFb8cCA/edit?usp=sharing"",""อำนาจเจริญ!L244"")"),323260.0)</f>
        <v>323260</v>
      </c>
      <c r="M349" s="406"/>
      <c r="N349" s="406">
        <f>IFERROR(__xludf.DUMMYFUNCTION("IMPORTRANGE(""https://docs.google.com/spreadsheets/d/1XL5vhW3sbDhbH9Cz0tuDiY8C3ctxq1tqvaCgkFb8cCA/edit?usp=sharing"",""อำนาจเจริญ!M244"")"),33100.0)</f>
        <v>33100</v>
      </c>
      <c r="O349" s="406">
        <f>+IF(L349&gt;0,N349*100/L349,0)</f>
        <v>10.23943575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IFERROR(__xludf.DUMMYFUNCTION("IMPORTRANGE(""https://docs.google.com/spreadsheets/d/1XL5vhW3sbDhbH9Cz0tuDiY8C3ctxq1tqvaCgkFb8cCA/edit?usp=sharing"",""อำนาจเจริญ!I245"")"),30.0)</f>
        <v>30</v>
      </c>
      <c r="J350" s="404">
        <f>IFERROR(__xludf.DUMMYFUNCTION("IMPORTRANGE(""https://docs.google.com/spreadsheets/d/1XL5vhW3sbDhbH9Cz0tuDiY8C3ctxq1tqvaCgkFb8cCA/edit?usp=sharing"",""อำนาจเจริญ!J245"")"),0.0)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IFERROR(__xludf.DUMMYFUNCTION("IMPORTRANGE(""https://docs.google.com/spreadsheets/d/1XL5vhW3sbDhbH9Cz0tuDiY8C3ctxq1tqvaCgkFb8cCA/edit?usp=sharing"",""อำนาจเจริญ!L246"")"),0.0)</f>
        <v>0</v>
      </c>
      <c r="M351" s="197"/>
      <c r="N351" s="197">
        <f>IFERROR(__xludf.DUMMYFUNCTION("IMPORTRANGE(""https://docs.google.com/spreadsheets/d/1XL5vhW3sbDhbH9Cz0tuDiY8C3ctxq1tqvaCgkFb8cCA/edit?usp=sharing"",""อำนาจเจริญ!M246"")"),0.0)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IFERROR(__xludf.DUMMYFUNCTION("IMPORTRANGE(""https://docs.google.com/spreadsheets/d/1XL5vhW3sbDhbH9Cz0tuDiY8C3ctxq1tqvaCgkFb8cCA/edit?usp=sharing"",""อำนาจเจริญ!L247"")"),323260.0)</f>
        <v>323260</v>
      </c>
      <c r="M352" s="198"/>
      <c r="N352" s="197">
        <f>IFERROR(__xludf.DUMMYFUNCTION("IMPORTRANGE(""https://docs.google.com/spreadsheets/d/1XL5vhW3sbDhbH9Cz0tuDiY8C3ctxq1tqvaCgkFb8cCA/edit?usp=sharing"",""อำนาจเจริญ!M247"")"),33100.0)</f>
        <v>33100</v>
      </c>
      <c r="O352" s="198">
        <f t="shared" si="106"/>
        <v>10.23943575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IFERROR(__xludf.DUMMYFUNCTION("IMPORTRANGE(""https://docs.google.com/spreadsheets/d/1XL5vhW3sbDhbH9Cz0tuDiY8C3ctxq1tqvaCgkFb8cCA/edit?usp=sharing"",""อำนาจเจริญ!L248"")"),0.0)</f>
        <v>0</v>
      </c>
      <c r="M353" s="203"/>
      <c r="N353" s="203">
        <f>IFERROR(__xludf.DUMMYFUNCTION("IMPORTRANGE(""https://docs.google.com/spreadsheets/d/1XL5vhW3sbDhbH9Cz0tuDiY8C3ctxq1tqvaCgkFb8cCA/edit?usp=sharing"",""อำนาจเจริญ!M248"")"),0.0)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IFERROR(__xludf.DUMMYFUNCTION("IMPORTRANGE(""https://docs.google.com/spreadsheets/d/1XL5vhW3sbDhbH9Cz0tuDiY8C3ctxq1tqvaCgkFb8cCA/edit?usp=sharing"",""อำนาจเจริญ!L249"")"),323260.0)</f>
        <v>323260</v>
      </c>
      <c r="M354" s="203"/>
      <c r="N354" s="200">
        <f>IFERROR(__xludf.DUMMYFUNCTION("IMPORTRANGE(""https://docs.google.com/spreadsheets/d/1XL5vhW3sbDhbH9Cz0tuDiY8C3ctxq1tqvaCgkFb8cCA/edit?usp=sharing"",""อำนาจเจริญ!M249"")"),33100.0)</f>
        <v>33100</v>
      </c>
      <c r="O354" s="203">
        <f t="shared" si="106"/>
        <v>10.23943575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IFERROR(__xludf.DUMMYFUNCTION("IMPORTRANGE(""https://docs.google.com/spreadsheets/d/1XL5vhW3sbDhbH9Cz0tuDiY8C3ctxq1tqvaCgkFb8cCA/edit?usp=sharing"",""อำนาจเจริญ!M250"")"),4350.0)</f>
        <v>4350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IFERROR(__xludf.DUMMYFUNCTION("IMPORTRANGE(""https://docs.google.com/spreadsheets/d/1XL5vhW3sbDhbH9Cz0tuDiY8C3ctxq1tqvaCgkFb8cCA/edit?usp=sharing"",""อำนาจเจริญ!M251"")"),0.0)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IFERROR(__xludf.DUMMYFUNCTION("IMPORTRANGE(""https://docs.google.com/spreadsheets/d/1XL5vhW3sbDhbH9Cz0tuDiY8C3ctxq1tqvaCgkFb8cCA/edit?usp=sharing"",""อำนาจเจริญ!M252"")"),23750.0)</f>
        <v>23750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IFERROR(__xludf.DUMMYFUNCTION("IMPORTRANGE(""https://docs.google.com/spreadsheets/d/1XL5vhW3sbDhbH9Cz0tuDiY8C3ctxq1tqvaCgkFb8cCA/edit?usp=sharing"",""อำนาจเจริญ!M253"")"),5000.0)</f>
        <v>5000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IFERROR(__xludf.DUMMYFUNCTION("IMPORTRANGE(""https://docs.google.com/spreadsheets/d/1XL5vhW3sbDhbH9Cz0tuDiY8C3ctxq1tqvaCgkFb8cCA/edit?usp=sharing"",""อำนาจเจริญ!J255"")"),0.0)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IFERROR(__xludf.DUMMYFUNCTION("IMPORTRANGE(""https://docs.google.com/spreadsheets/d/1XL5vhW3sbDhbH9Cz0tuDiY8C3ctxq1tqvaCgkFb8cCA/edit?usp=sharing"",""อำนาจเจริญ!J256"")"),1.0)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IFERROR(__xludf.DUMMYFUNCTION("IMPORTRANGE(""https://docs.google.com/spreadsheets/d/1XL5vhW3sbDhbH9Cz0tuDiY8C3ctxq1tqvaCgkFb8cCA/edit?usp=sharing"",""อำนาจเจริญ!J257"")"),1.0)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IFERROR(__xludf.DUMMYFUNCTION("IMPORTRANGE(""https://docs.google.com/spreadsheets/d/1XL5vhW3sbDhbH9Cz0tuDiY8C3ctxq1tqvaCgkFb8cCA/edit?usp=sharing"",""อำนาจเจริญ!J258"")"),1.0)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IFERROR(__xludf.DUMMYFUNCTION("IMPORTRANGE(""https://docs.google.com/spreadsheets/d/1XL5vhW3sbDhbH9Cz0tuDiY8C3ctxq1tqvaCgkFb8cCA/edit?usp=sharing"",""อำนาจเจริญ!J166"")"),0.0)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IFERROR(__xludf.DUMMYFUNCTION("IMPORTRANGE(""https://docs.google.com/spreadsheets/d/1XL5vhW3sbDhbH9Cz0tuDiY8C3ctxq1tqvaCgkFb8cCA/edit?usp=sharing"",""อำนาจเจริญ!J166"")"),0.0)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IFERROR(__xludf.DUMMYFUNCTION("IMPORTRANGE(""https://docs.google.com/spreadsheets/d/1XL5vhW3sbDhbH9Cz0tuDiY8C3ctxq1tqvaCgkFb8cCA/edit?usp=sharing"",""อำนาจเจริญ!J166"")"),0.0)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IFERROR(__xludf.DUMMYFUNCTION("IMPORTRANGE(""https://docs.google.com/spreadsheets/d/1XL5vhW3sbDhbH9Cz0tuDiY8C3ctxq1tqvaCgkFb8cCA/edit?usp=sharing"",""อำนาจเจริญ!J166"")"),0.0)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IFERROR(__xludf.DUMMYFUNCTION("IMPORTRANGE(""https://docs.google.com/spreadsheets/d/1XL5vhW3sbDhbH9Cz0tuDiY8C3ctxq1tqvaCgkFb8cCA/edit?usp=sharing"",""อำนาจเจริญ!I263"")"),30.0)</f>
        <v>30</v>
      </c>
      <c r="J368" s="222">
        <f>IFERROR(__xludf.DUMMYFUNCTION("IMPORTRANGE(""https://docs.google.com/spreadsheets/d/1XL5vhW3sbDhbH9Cz0tuDiY8C3ctxq1tqvaCgkFb8cCA/edit?usp=sharing"",""อำนาจเจริญ!J263"")"),0.0)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IFERROR(__xludf.DUMMYFUNCTION("IMPORTRANGE(""https://docs.google.com/spreadsheets/d/1XL5vhW3sbDhbH9Cz0tuDiY8C3ctxq1tqvaCgkFb8cCA/edit?usp=sharing"",""อำนาจเจริญ!I164"")"),0.0)</f>
        <v>0</v>
      </c>
      <c r="J369" s="238">
        <f>IFERROR(__xludf.DUMMYFUNCTION("IMPORTRANGE(""https://docs.google.com/spreadsheets/d/1XL5vhW3sbDhbH9Cz0tuDiY8C3ctxq1tqvaCgkFb8cCA/edit?usp=sharing"",""อำนาจเจริญ!J164"")"),0.0)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IFERROR(__xludf.DUMMYFUNCTION("IMPORTRANGE(""https://docs.google.com/spreadsheets/d/1XL5vhW3sbDhbH9Cz0tuDiY8C3ctxq1tqvaCgkFb8cCA/edit?usp=sharing"",""อำนาจเจริญ!I265"")"),30.0)</f>
        <v>30</v>
      </c>
      <c r="J370" s="238">
        <f>IFERROR(__xludf.DUMMYFUNCTION("IMPORTRANGE(""https://docs.google.com/spreadsheets/d/1XL5vhW3sbDhbH9Cz0tuDiY8C3ctxq1tqvaCgkFb8cCA/edit?usp=sharing"",""อำนาจเจริญ!J265"")"),0.0)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IFERROR(__xludf.DUMMYFUNCTION("IMPORTRANGE(""https://docs.google.com/spreadsheets/d/1XL5vhW3sbDhbH9Cz0tuDiY8C3ctxq1tqvaCgkFb8cCA/edit?usp=sharing"",""อำนาจเจริญ!I164"")"),0.0)</f>
        <v>0</v>
      </c>
      <c r="J371" s="223">
        <f>IFERROR(__xludf.DUMMYFUNCTION("IMPORTRANGE(""https://docs.google.com/spreadsheets/d/1XL5vhW3sbDhbH9Cz0tuDiY8C3ctxq1tqvaCgkFb8cCA/edit?usp=sharing"",""อำนาจเจริญ!J164"")"),0.0)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IFERROR(__xludf.DUMMYFUNCTION("IMPORTRANGE(""https://docs.google.com/spreadsheets/d/1XL5vhW3sbDhbH9Cz0tuDiY8C3ctxq1tqvaCgkFb8cCA/edit?usp=sharing"",""อำนาจเจริญ!I267"")"),30.0)</f>
        <v>30</v>
      </c>
      <c r="J372" s="223">
        <f>IFERROR(__xludf.DUMMYFUNCTION("IMPORTRANGE(""https://docs.google.com/spreadsheets/d/1XL5vhW3sbDhbH9Cz0tuDiY8C3ctxq1tqvaCgkFb8cCA/edit?usp=sharing"",""อำนาจเจริญ!J267"")"),0.0)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IFERROR(__xludf.DUMMYFUNCTION("IMPORTRANGE(""https://docs.google.com/spreadsheets/d/1XL5vhW3sbDhbH9Cz0tuDiY8C3ctxq1tqvaCgkFb8cCA/edit?usp=sharing"",""อำนาจเจริญ!I164"")"),0.0)</f>
        <v>0</v>
      </c>
      <c r="J373" s="238">
        <f>IFERROR(__xludf.DUMMYFUNCTION("IMPORTRANGE(""https://docs.google.com/spreadsheets/d/1XL5vhW3sbDhbH9Cz0tuDiY8C3ctxq1tqvaCgkFb8cCA/edit?usp=sharing"",""อำนาจเจริญ!J164"")"),0.0)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IFERROR(__xludf.DUMMYFUNCTION("IMPORTRANGE(""https://docs.google.com/spreadsheets/d/1XL5vhW3sbDhbH9Cz0tuDiY8C3ctxq1tqvaCgkFb8cCA/edit?usp=sharing"",""อำนาจเจริญ!I164"")"),0.0)</f>
        <v>0</v>
      </c>
      <c r="J374" s="222">
        <f>IFERROR(__xludf.DUMMYFUNCTION("IMPORTRANGE(""https://docs.google.com/spreadsheets/d/1XL5vhW3sbDhbH9Cz0tuDiY8C3ctxq1tqvaCgkFb8cCA/edit?usp=sharing"",""อำนาจเจริญ!J164"")"),0.0)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IFERROR(__xludf.DUMMYFUNCTION("IMPORTRANGE(""https://docs.google.com/spreadsheets/d/1XL5vhW3sbDhbH9Cz0tuDiY8C3ctxq1tqvaCgkFb8cCA/edit?usp=sharing"",""อำนาจเจริญ!I270"")"),120.0)</f>
        <v>120</v>
      </c>
      <c r="J375" s="222">
        <f>IFERROR(__xludf.DUMMYFUNCTION("IMPORTRANGE(""https://docs.google.com/spreadsheets/d/1XL5vhW3sbDhbH9Cz0tuDiY8C3ctxq1tqvaCgkFb8cCA/edit?usp=sharing"",""อำนาจเจริญ!J270"")"),0.0)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IFERROR(__xludf.DUMMYFUNCTION("IMPORTRANGE(""https://docs.google.com/spreadsheets/d/1XL5vhW3sbDhbH9Cz0tuDiY8C3ctxq1tqvaCgkFb8cCA/edit?usp=sharing"",""อำนาจเจริญ!I271"")"),45.0)</f>
        <v>45</v>
      </c>
      <c r="J376" s="223">
        <f>IFERROR(__xludf.DUMMYFUNCTION("IMPORTRANGE(""https://docs.google.com/spreadsheets/d/1XL5vhW3sbDhbH9Cz0tuDiY8C3ctxq1tqvaCgkFb8cCA/edit?usp=sharing"",""อำนาจเจริญ!J271"")"),0.0)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IFERROR(__xludf.DUMMYFUNCTION("IMPORTRANGE(""https://docs.google.com/spreadsheets/d/1XL5vhW3sbDhbH9Cz0tuDiY8C3ctxq1tqvaCgkFb8cCA/edit?usp=sharing"",""อำนาจเจริญ!I272"")"),75.0)</f>
        <v>75</v>
      </c>
      <c r="J377" s="238">
        <f>IFERROR(__xludf.DUMMYFUNCTION("IMPORTRANGE(""https://docs.google.com/spreadsheets/d/1XL5vhW3sbDhbH9Cz0tuDiY8C3ctxq1tqvaCgkFb8cCA/edit?usp=sharing"",""อำนาจเจริญ!J272"")"),0.0)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IFERROR(__xludf.DUMMYFUNCTION("IMPORTRANGE(""https://docs.google.com/spreadsheets/d/1XL5vhW3sbDhbH9Cz0tuDiY8C3ctxq1tqvaCgkFb8cCA/edit?usp=sharing"",""อำนาจเจริญ!J273"")"),0.0)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IFERROR(__xludf.DUMMYFUNCTION("IMPORTRANGE(""https://docs.google.com/spreadsheets/d/1XL5vhW3sbDhbH9Cz0tuDiY8C3ctxq1tqvaCgkFb8cCA/edit?usp=sharing"",""อำนาจเจริญ!J274"")"),0.0)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IFERROR(__xludf.DUMMYFUNCTION("IMPORTRANGE(""https://docs.google.com/spreadsheets/d/1XL5vhW3sbDhbH9Cz0tuDiY8C3ctxq1tqvaCgkFb8cCA/edit?usp=sharing"",""อำนาจเจริญ!I275"")"),500.0)</f>
        <v>500</v>
      </c>
      <c r="J380" s="404">
        <f>IFERROR(__xludf.DUMMYFUNCTION("IMPORTRANGE(""https://docs.google.com/spreadsheets/d/1XL5vhW3sbDhbH9Cz0tuDiY8C3ctxq1tqvaCgkFb8cCA/edit?usp=sharing"",""อำนาจเจริญ!J275"")"),0.0)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IFERROR(__xludf.DUMMYFUNCTION("IMPORTRANGE(""https://docs.google.com/spreadsheets/d/1XL5vhW3sbDhbH9Cz0tuDiY8C3ctxq1tqvaCgkFb8cCA/edit?usp=sharing"",""อำนาจเจริญ!L275"")"),460140.0)</f>
        <v>460140</v>
      </c>
      <c r="M380" s="406"/>
      <c r="N380" s="406">
        <f>IFERROR(__xludf.DUMMYFUNCTION("IMPORTRANGE(""https://docs.google.com/spreadsheets/d/1XL5vhW3sbDhbH9Cz0tuDiY8C3ctxq1tqvaCgkFb8cCA/edit?usp=sharing"",""อำนาจเจริญ!M275"")"),1960.0)</f>
        <v>1960</v>
      </c>
      <c r="O380" s="406">
        <f>+IF(L380&gt;0,N380*100/L380,0)</f>
        <v>0.4259573173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IFERROR(__xludf.DUMMYFUNCTION("IMPORTRANGE(""https://docs.google.com/spreadsheets/d/1XL5vhW3sbDhbH9Cz0tuDiY8C3ctxq1tqvaCgkFb8cCA/edit?usp=sharing"",""อำนาจเจริญ!I276"")"),50.0)</f>
        <v>50</v>
      </c>
      <c r="J381" s="404">
        <f>IFERROR(__xludf.DUMMYFUNCTION("IMPORTRANGE(""https://docs.google.com/spreadsheets/d/1XL5vhW3sbDhbH9Cz0tuDiY8C3ctxq1tqvaCgkFb8cCA/edit?usp=sharing"",""อำนาจเจริญ!J276"")"),0.0)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IFERROR(__xludf.DUMMYFUNCTION("IMPORTRANGE(""https://docs.google.com/spreadsheets/d/1XL5vhW3sbDhbH9Cz0tuDiY8C3ctxq1tqvaCgkFb8cCA/edit?usp=sharing"",""อำนาจเจริญ!L277"")"),0.0)</f>
        <v>0</v>
      </c>
      <c r="M382" s="197"/>
      <c r="N382" s="197">
        <f>IFERROR(__xludf.DUMMYFUNCTION("IMPORTRANGE(""https://docs.google.com/spreadsheets/d/1XL5vhW3sbDhbH9Cz0tuDiY8C3ctxq1tqvaCgkFb8cCA/edit?usp=sharing"",""อำนาจเจริญ!M277"")"),0.0)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IFERROR(__xludf.DUMMYFUNCTION("IMPORTRANGE(""https://docs.google.com/spreadsheets/d/1XL5vhW3sbDhbH9Cz0tuDiY8C3ctxq1tqvaCgkFb8cCA/edit?usp=sharing"",""อำนาจเจริญ!L278"")"),460140.0)</f>
        <v>460140</v>
      </c>
      <c r="M383" s="198"/>
      <c r="N383" s="198">
        <f>IFERROR(__xludf.DUMMYFUNCTION("IMPORTRANGE(""https://docs.google.com/spreadsheets/d/1XL5vhW3sbDhbH9Cz0tuDiY8C3ctxq1tqvaCgkFb8cCA/edit?usp=sharing"",""อำนาจเจริญ!M278"")"),1960.0)</f>
        <v>1960</v>
      </c>
      <c r="O383" s="198">
        <f t="shared" si="110"/>
        <v>0.4259573173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IFERROR(__xludf.DUMMYFUNCTION("IMPORTRANGE(""https://docs.google.com/spreadsheets/d/1XL5vhW3sbDhbH9Cz0tuDiY8C3ctxq1tqvaCgkFb8cCA/edit?usp=sharing"",""อำนาจเจริญ!L279"")"),0.0)</f>
        <v>0</v>
      </c>
      <c r="M384" s="203"/>
      <c r="N384" s="203">
        <f>IFERROR(__xludf.DUMMYFUNCTION("IMPORTRANGE(""https://docs.google.com/spreadsheets/d/1XL5vhW3sbDhbH9Cz0tuDiY8C3ctxq1tqvaCgkFb8cCA/edit?usp=sharing"",""อำนาจเจริญ!M279"")"),0.0)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IFERROR(__xludf.DUMMYFUNCTION("IMPORTRANGE(""https://docs.google.com/spreadsheets/d/1XL5vhW3sbDhbH9Cz0tuDiY8C3ctxq1tqvaCgkFb8cCA/edit?usp=sharing"",""อำนาจเจริญ!L280"")"),460140.0)</f>
        <v>460140</v>
      </c>
      <c r="M385" s="203"/>
      <c r="N385" s="200">
        <f>IFERROR(__xludf.DUMMYFUNCTION("IMPORTRANGE(""https://docs.google.com/spreadsheets/d/1XL5vhW3sbDhbH9Cz0tuDiY8C3ctxq1tqvaCgkFb8cCA/edit?usp=sharing"",""อำนาจเจริญ!M280"")"),1960.0)</f>
        <v>1960</v>
      </c>
      <c r="O385" s="203">
        <f t="shared" si="110"/>
        <v>0.4259573173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IFERROR(__xludf.DUMMYFUNCTION("IMPORTRANGE(""https://docs.google.com/spreadsheets/d/1XL5vhW3sbDhbH9Cz0tuDiY8C3ctxq1tqvaCgkFb8cCA/edit?usp=sharing"",""อำนาจเจริญ!M281"")"),0.0)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IFERROR(__xludf.DUMMYFUNCTION("IMPORTRANGE(""https://docs.google.com/spreadsheets/d/1XL5vhW3sbDhbH9Cz0tuDiY8C3ctxq1tqvaCgkFb8cCA/edit?usp=sharing"",""อำนาจเจริญ!M282"")"),0.0)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IFERROR(__xludf.DUMMYFUNCTION("IMPORTRANGE(""https://docs.google.com/spreadsheets/d/1XL5vhW3sbDhbH9Cz0tuDiY8C3ctxq1tqvaCgkFb8cCA/edit?usp=sharing"",""อำนาจเจริญ!M283"")"),0.0)</f>
        <v>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IFERROR(__xludf.DUMMYFUNCTION("IMPORTRANGE(""https://docs.google.com/spreadsheets/d/1XL5vhW3sbDhbH9Cz0tuDiY8C3ctxq1tqvaCgkFb8cCA/edit?usp=sharing"",""อำนาจเจริญ!M284"")"),1960.0)</f>
        <v>1960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IFERROR(__xludf.DUMMYFUNCTION("IMPORTRANGE(""https://docs.google.com/spreadsheets/d/1XL5vhW3sbDhbH9Cz0tuDiY8C3ctxq1tqvaCgkFb8cCA/edit?usp=sharing"",""อำนาจเจริญ!J286"")"),0.0)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IFERROR(__xludf.DUMMYFUNCTION("IMPORTRANGE(""https://docs.google.com/spreadsheets/d/1XL5vhW3sbDhbH9Cz0tuDiY8C3ctxq1tqvaCgkFb8cCA/edit?usp=sharing"",""อำนาจเจริญ!J287"")"),1.0)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IFERROR(__xludf.DUMMYFUNCTION("IMPORTRANGE(""https://docs.google.com/spreadsheets/d/1XL5vhW3sbDhbH9Cz0tuDiY8C3ctxq1tqvaCgkFb8cCA/edit?usp=sharing"",""อำนาจเจริญ!J288"")"),1.0)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IFERROR(__xludf.DUMMYFUNCTION("IMPORTRANGE(""https://docs.google.com/spreadsheets/d/1XL5vhW3sbDhbH9Cz0tuDiY8C3ctxq1tqvaCgkFb8cCA/edit?usp=sharing"",""อำนาจเจริญ!J289"")"),1.0)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IFERROR(__xludf.DUMMYFUNCTION("IMPORTRANGE(""https://docs.google.com/spreadsheets/d/1XL5vhW3sbDhbH9Cz0tuDiY8C3ctxq1tqvaCgkFb8cCA/edit?usp=sharing"",""อำนาจเจริญ!I291"")"),50.0)</f>
        <v>50</v>
      </c>
      <c r="J396" s="232">
        <f>IFERROR(__xludf.DUMMYFUNCTION("IMPORTRANGE(""https://docs.google.com/spreadsheets/d/1XL5vhW3sbDhbH9Cz0tuDiY8C3ctxq1tqvaCgkFb8cCA/edit?usp=sharing"",""อำนาจเจริญ!J291"")"),0.0)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IFERROR(__xludf.DUMMYFUNCTION("IMPORTRANGE(""https://docs.google.com/spreadsheets/d/1XL5vhW3sbDhbH9Cz0tuDiY8C3ctxq1tqvaCgkFb8cCA/edit?usp=sharing"",""อำนาจเจริญ!I292"")"),500.0)</f>
        <v>500</v>
      </c>
      <c r="J397" s="232">
        <f>IFERROR(__xludf.DUMMYFUNCTION("IMPORTRANGE(""https://docs.google.com/spreadsheets/d/1XL5vhW3sbDhbH9Cz0tuDiY8C3ctxq1tqvaCgkFb8cCA/edit?usp=sharing"",""อำนาจเจริญ!J292"")"),0.0)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IFERROR(__xludf.DUMMYFUNCTION("IMPORTRANGE(""https://docs.google.com/spreadsheets/d/1XL5vhW3sbDhbH9Cz0tuDiY8C3ctxq1tqvaCgkFb8cCA/edit?usp=sharing"",""อำนาจเจริญ!I293"")"),50.0)</f>
        <v>50</v>
      </c>
      <c r="J398" s="232">
        <f>IFERROR(__xludf.DUMMYFUNCTION("IMPORTRANGE(""https://docs.google.com/spreadsheets/d/1XL5vhW3sbDhbH9Cz0tuDiY8C3ctxq1tqvaCgkFb8cCA/edit?usp=sharing"",""อำนาจเจริญ!J293"")"),0.0)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IFERROR(__xludf.DUMMYFUNCTION("IMPORTRANGE(""https://docs.google.com/spreadsheets/d/1XL5vhW3sbDhbH9Cz0tuDiY8C3ctxq1tqvaCgkFb8cCA/edit?usp=sharing"",""อำนาจเจริญ!J294"")"),0.0)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IFERROR(__xludf.DUMMYFUNCTION("IMPORTRANGE(""https://docs.google.com/spreadsheets/d/1XL5vhW3sbDhbH9Cz0tuDiY8C3ctxq1tqvaCgkFb8cCA/edit?usp=sharing"",""อำนาจเจริญ!J295"")"),0.0)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IFERROR(__xludf.DUMMYFUNCTION("IMPORTRANGE(""https://docs.google.com/spreadsheets/d/1XL5vhW3sbDhbH9Cz0tuDiY8C3ctxq1tqvaCgkFb8cCA/edit?usp=sharing"",""อำนาจเจริญ!I296"")"),165.0)</f>
        <v>165</v>
      </c>
      <c r="J401" s="404">
        <f>IFERROR(__xludf.DUMMYFUNCTION("IMPORTRANGE(""https://docs.google.com/spreadsheets/d/1XL5vhW3sbDhbH9Cz0tuDiY8C3ctxq1tqvaCgkFb8cCA/edit?usp=sharing"",""อำนาจเจริญ!J296"")"),0.0)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IFERROR(__xludf.DUMMYFUNCTION("IMPORTRANGE(""https://docs.google.com/spreadsheets/d/1XL5vhW3sbDhbH9Cz0tuDiY8C3ctxq1tqvaCgkFb8cCA/edit?usp=sharing"",""อำนาจเจริญ!L296"")"),172290.0)</f>
        <v>172290</v>
      </c>
      <c r="M401" s="406"/>
      <c r="N401" s="406">
        <f>IFERROR(__xludf.DUMMYFUNCTION("IMPORTRANGE(""https://docs.google.com/spreadsheets/d/1XL5vhW3sbDhbH9Cz0tuDiY8C3ctxq1tqvaCgkFb8cCA/edit?usp=sharing"",""อำนาจเจริญ!M296"")"),0.0)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IFERROR(__xludf.DUMMYFUNCTION("IMPORTRANGE(""https://docs.google.com/spreadsheets/d/1XL5vhW3sbDhbH9Cz0tuDiY8C3ctxq1tqvaCgkFb8cCA/edit?usp=sharing"",""อำนาจเจริญ!I297"")"),55.0)</f>
        <v>55</v>
      </c>
      <c r="J402" s="404">
        <f>IFERROR(__xludf.DUMMYFUNCTION("IMPORTRANGE(""https://docs.google.com/spreadsheets/d/1XL5vhW3sbDhbH9Cz0tuDiY8C3ctxq1tqvaCgkFb8cCA/edit?usp=sharing"",""อำนาจเจริญ!J297"")"),0.0)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IFERROR(__xludf.DUMMYFUNCTION("IMPORTRANGE(""https://docs.google.com/spreadsheets/d/1XL5vhW3sbDhbH9Cz0tuDiY8C3ctxq1tqvaCgkFb8cCA/edit?usp=sharing"",""อำนาจเจริญ!L298"")"),0.0)</f>
        <v>0</v>
      </c>
      <c r="M403" s="197"/>
      <c r="N403" s="203">
        <f>IFERROR(__xludf.DUMMYFUNCTION("IMPORTRANGE(""https://docs.google.com/spreadsheets/d/1XL5vhW3sbDhbH9Cz0tuDiY8C3ctxq1tqvaCgkFb8cCA/edit?usp=sharing"",""อำนาจเจริญ!M298"")"),0.0)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IFERROR(__xludf.DUMMYFUNCTION("IMPORTRANGE(""https://docs.google.com/spreadsheets/d/1XL5vhW3sbDhbH9Cz0tuDiY8C3ctxq1tqvaCgkFb8cCA/edit?usp=sharing"",""อำนาจเจริญ!L299"")"),172290.0)</f>
        <v>172290</v>
      </c>
      <c r="M404" s="198"/>
      <c r="N404" s="203">
        <f>IFERROR(__xludf.DUMMYFUNCTION("IMPORTRANGE(""https://docs.google.com/spreadsheets/d/1XL5vhW3sbDhbH9Cz0tuDiY8C3ctxq1tqvaCgkFb8cCA/edit?usp=sharing"",""อำนาจเจริญ!M299"")"),0.0)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IFERROR(__xludf.DUMMYFUNCTION("IMPORTRANGE(""https://docs.google.com/spreadsheets/d/1XL5vhW3sbDhbH9Cz0tuDiY8C3ctxq1tqvaCgkFb8cCA/edit?usp=sharing"",""อำนาจเจริญ!L300"")"),0.0)</f>
        <v>0</v>
      </c>
      <c r="M405" s="203"/>
      <c r="N405" s="203">
        <f>IFERROR(__xludf.DUMMYFUNCTION("IMPORTRANGE(""https://docs.google.com/spreadsheets/d/1XL5vhW3sbDhbH9Cz0tuDiY8C3ctxq1tqvaCgkFb8cCA/edit?usp=sharing"",""อำนาจเจริญ!M300"")"),0.0)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IFERROR(__xludf.DUMMYFUNCTION("IMPORTRANGE(""https://docs.google.com/spreadsheets/d/1XL5vhW3sbDhbH9Cz0tuDiY8C3ctxq1tqvaCgkFb8cCA/edit?usp=sharing"",""อำนาจเจริญ!L301"")"),172290.0)</f>
        <v>172290</v>
      </c>
      <c r="M406" s="203"/>
      <c r="N406" s="203">
        <f>IFERROR(__xludf.DUMMYFUNCTION("IMPORTRANGE(""https://docs.google.com/spreadsheets/d/1XL5vhW3sbDhbH9Cz0tuDiY8C3ctxq1tqvaCgkFb8cCA/edit?usp=sharing"",""อำนาจเจริญ!M301"")"),0.0)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IFERROR(__xludf.DUMMYFUNCTION("IMPORTRANGE(""https://docs.google.com/spreadsheets/d/1XL5vhW3sbDhbH9Cz0tuDiY8C3ctxq1tqvaCgkFb8cCA/edit?usp=sharing"",""อำนาจเจริญ!M302"")"),0.0)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IFERROR(__xludf.DUMMYFUNCTION("IMPORTRANGE(""https://docs.google.com/spreadsheets/d/1XL5vhW3sbDhbH9Cz0tuDiY8C3ctxq1tqvaCgkFb8cCA/edit?usp=sharing"",""อำนาจเจริญ!M303"")"),0.0)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IFERROR(__xludf.DUMMYFUNCTION("IMPORTRANGE(""https://docs.google.com/spreadsheets/d/1XL5vhW3sbDhbH9Cz0tuDiY8C3ctxq1tqvaCgkFb8cCA/edit?usp=sharing"",""อำนาจเจริญ!M304"")"),0.0)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IFERROR(__xludf.DUMMYFUNCTION("IMPORTRANGE(""https://docs.google.com/spreadsheets/d/1XL5vhW3sbDhbH9Cz0tuDiY8C3ctxq1tqvaCgkFb8cCA/edit?usp=sharing"",""อำนาจเจริญ!M305"")"),0.0)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IFERROR(__xludf.DUMMYFUNCTION("IMPORTRANGE(""https://docs.google.com/spreadsheets/d/1XL5vhW3sbDhbH9Cz0tuDiY8C3ctxq1tqvaCgkFb8cCA/edit?usp=sharing"",""อำนาจเจริญ!J307"")"),0.0)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IFERROR(__xludf.DUMMYFUNCTION("IMPORTRANGE(""https://docs.google.com/spreadsheets/d/1XL5vhW3sbDhbH9Cz0tuDiY8C3ctxq1tqvaCgkFb8cCA/edit?usp=sharing"",""อำนาจเจริญ!J308"")"),1.0)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IFERROR(__xludf.DUMMYFUNCTION("IMPORTRANGE(""https://docs.google.com/spreadsheets/d/1XL5vhW3sbDhbH9Cz0tuDiY8C3ctxq1tqvaCgkFb8cCA/edit?usp=sharing"",""อำนาจเจริญ!J309"")"),1.0)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IFERROR(__xludf.DUMMYFUNCTION("IMPORTRANGE(""https://docs.google.com/spreadsheets/d/1XL5vhW3sbDhbH9Cz0tuDiY8C3ctxq1tqvaCgkFb8cCA/edit?usp=sharing"",""อำนาจเจริญ!J310"")"),1.0)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IFERROR(__xludf.DUMMYFUNCTION("IMPORTRANGE(""https://docs.google.com/spreadsheets/d/1XL5vhW3sbDhbH9Cz0tuDiY8C3ctxq1tqvaCgkFb8cCA/edit?usp=sharing"",""อำนาจเจริญ!I311"")"),55.0)</f>
        <v>55</v>
      </c>
      <c r="J416" s="235">
        <f>IFERROR(__xludf.DUMMYFUNCTION("IMPORTRANGE(""https://docs.google.com/spreadsheets/d/1XL5vhW3sbDhbH9Cz0tuDiY8C3ctxq1tqvaCgkFb8cCA/edit?usp=sharing"",""อำนาจเจริญ!J311"")"),0.0)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IFERROR(__xludf.DUMMYFUNCTION("IMPORTRANGE(""https://docs.google.com/spreadsheets/d/1XL5vhW3sbDhbH9Cz0tuDiY8C3ctxq1tqvaCgkFb8cCA/edit?usp=sharing"",""อำนาจเจริญ!I312"")"),10.0)</f>
        <v>10</v>
      </c>
      <c r="J417" s="425">
        <f>IFERROR(__xludf.DUMMYFUNCTION("IMPORTRANGE(""https://docs.google.com/spreadsheets/d/1XL5vhW3sbDhbH9Cz0tuDiY8C3ctxq1tqvaCgkFb8cCA/edit?usp=sharing"",""อำนาจเจริญ!J312"")"),0.0)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IFERROR(__xludf.DUMMYFUNCTION("IMPORTRANGE(""https://docs.google.com/spreadsheets/d/1XL5vhW3sbDhbH9Cz0tuDiY8C3ctxq1tqvaCgkFb8cCA/edit?usp=sharing"",""อำนาจเจริญ!I313"")"),30.0)</f>
        <v>30</v>
      </c>
      <c r="J418" s="426">
        <f>IFERROR(__xludf.DUMMYFUNCTION("IMPORTRANGE(""https://docs.google.com/spreadsheets/d/1XL5vhW3sbDhbH9Cz0tuDiY8C3ctxq1tqvaCgkFb8cCA/edit?usp=sharing"",""อำนาจเจริญ!J313"")"),0.0)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IFERROR(__xludf.DUMMYFUNCTION("IMPORTRANGE(""https://docs.google.com/spreadsheets/d/1XL5vhW3sbDhbH9Cz0tuDiY8C3ctxq1tqvaCgkFb8cCA/edit?usp=sharing"",""อำนาจเจริญ!I314"")"),10.0)</f>
        <v>10</v>
      </c>
      <c r="J419" s="427">
        <f>IFERROR(__xludf.DUMMYFUNCTION("IMPORTRANGE(""https://docs.google.com/spreadsheets/d/1XL5vhW3sbDhbH9Cz0tuDiY8C3ctxq1tqvaCgkFb8cCA/edit?usp=sharing"",""อำนาจเจริญ!J314"")"),0.0)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IFERROR(__xludf.DUMMYFUNCTION("IMPORTRANGE(""https://docs.google.com/spreadsheets/d/1XL5vhW3sbDhbH9Cz0tuDiY8C3ctxq1tqvaCgkFb8cCA/edit?usp=sharing"",""อำนาจเจริญ!I315"")"),10.0)</f>
        <v>10</v>
      </c>
      <c r="J420" s="427">
        <f>IFERROR(__xludf.DUMMYFUNCTION("IMPORTRANGE(""https://docs.google.com/spreadsheets/d/1XL5vhW3sbDhbH9Cz0tuDiY8C3ctxq1tqvaCgkFb8cCA/edit?usp=sharing"",""อำนาจเจริญ!J315"")"),0.0)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IFERROR(__xludf.DUMMYFUNCTION("IMPORTRANGE(""https://docs.google.com/spreadsheets/d/1XL5vhW3sbDhbH9Cz0tuDiY8C3ctxq1tqvaCgkFb8cCA/edit?usp=sharing"",""อำนาจเจริญ!I316"")"),25.0)</f>
        <v>25</v>
      </c>
      <c r="J421" s="425">
        <f>IFERROR(__xludf.DUMMYFUNCTION("IMPORTRANGE(""https://docs.google.com/spreadsheets/d/1XL5vhW3sbDhbH9Cz0tuDiY8C3ctxq1tqvaCgkFb8cCA/edit?usp=sharing"",""อำนาจเจริญ!J316"")"),0.0)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IFERROR(__xludf.DUMMYFUNCTION("IMPORTRANGE(""https://docs.google.com/spreadsheets/d/1XL5vhW3sbDhbH9Cz0tuDiY8C3ctxq1tqvaCgkFb8cCA/edit?usp=sharing"",""อำนาจเจริญ!I317"")"),75.0)</f>
        <v>75</v>
      </c>
      <c r="J422" s="426">
        <f>IFERROR(__xludf.DUMMYFUNCTION("IMPORTRANGE(""https://docs.google.com/spreadsheets/d/1XL5vhW3sbDhbH9Cz0tuDiY8C3ctxq1tqvaCgkFb8cCA/edit?usp=sharing"",""อำนาจเจริญ!J317"")"),0.0)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IFERROR(__xludf.DUMMYFUNCTION("IMPORTRANGE(""https://docs.google.com/spreadsheets/d/1XL5vhW3sbDhbH9Cz0tuDiY8C3ctxq1tqvaCgkFb8cCA/edit?usp=sharing"",""อำนาจเจริญ!I318"")"),25.0)</f>
        <v>25</v>
      </c>
      <c r="J423" s="427">
        <f>IFERROR(__xludf.DUMMYFUNCTION("IMPORTRANGE(""https://docs.google.com/spreadsheets/d/1XL5vhW3sbDhbH9Cz0tuDiY8C3ctxq1tqvaCgkFb8cCA/edit?usp=sharing"",""อำนาจเจริญ!J318"")"),0.0)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IFERROR(__xludf.DUMMYFUNCTION("IMPORTRANGE(""https://docs.google.com/spreadsheets/d/1XL5vhW3sbDhbH9Cz0tuDiY8C3ctxq1tqvaCgkFb8cCA/edit?usp=sharing"",""อำนาจเจริญ!I319"")"),25.0)</f>
        <v>25</v>
      </c>
      <c r="J424" s="427">
        <f>IFERROR(__xludf.DUMMYFUNCTION("IMPORTRANGE(""https://docs.google.com/spreadsheets/d/1XL5vhW3sbDhbH9Cz0tuDiY8C3ctxq1tqvaCgkFb8cCA/edit?usp=sharing"",""อำนาจเจริญ!J319"")"),0.0)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IFERROR(__xludf.DUMMYFUNCTION("IMPORTRANGE(""https://docs.google.com/spreadsheets/d/1XL5vhW3sbDhbH9Cz0tuDiY8C3ctxq1tqvaCgkFb8cCA/edit?usp=sharing"",""อำนาจเจริญ!I320"")"),25.0)</f>
        <v>25</v>
      </c>
      <c r="J425" s="427">
        <f>IFERROR(__xludf.DUMMYFUNCTION("IMPORTRANGE(""https://docs.google.com/spreadsheets/d/1XL5vhW3sbDhbH9Cz0tuDiY8C3ctxq1tqvaCgkFb8cCA/edit?usp=sharing"",""อำนาจเจริญ!J320"")"),0.0)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IFERROR(__xludf.DUMMYFUNCTION("IMPORTRANGE(""https://docs.google.com/spreadsheets/d/1XL5vhW3sbDhbH9Cz0tuDiY8C3ctxq1tqvaCgkFb8cCA/edit?usp=sharing"",""อำนาจเจริญ!I321"")"),20.0)</f>
        <v>20</v>
      </c>
      <c r="J426" s="425">
        <f>IFERROR(__xludf.DUMMYFUNCTION("IMPORTRANGE(""https://docs.google.com/spreadsheets/d/1XL5vhW3sbDhbH9Cz0tuDiY8C3ctxq1tqvaCgkFb8cCA/edit?usp=sharing"",""อำนาจเจริญ!J321"")"),0.0)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IFERROR(__xludf.DUMMYFUNCTION("IMPORTRANGE(""https://docs.google.com/spreadsheets/d/1XL5vhW3sbDhbH9Cz0tuDiY8C3ctxq1tqvaCgkFb8cCA/edit?usp=sharing"",""อำนาจเจริญ!I322"")"),60.0)</f>
        <v>60</v>
      </c>
      <c r="J427" s="426">
        <f>IFERROR(__xludf.DUMMYFUNCTION("IMPORTRANGE(""https://docs.google.com/spreadsheets/d/1XL5vhW3sbDhbH9Cz0tuDiY8C3ctxq1tqvaCgkFb8cCA/edit?usp=sharing"",""อำนาจเจริญ!J322"")"),0.0)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IFERROR(__xludf.DUMMYFUNCTION("IMPORTRANGE(""https://docs.google.com/spreadsheets/d/1XL5vhW3sbDhbH9Cz0tuDiY8C3ctxq1tqvaCgkFb8cCA/edit?usp=sharing"",""อำนาจเจริญ!I323"")"),20.0)</f>
        <v>20</v>
      </c>
      <c r="J428" s="427">
        <f>IFERROR(__xludf.DUMMYFUNCTION("IMPORTRANGE(""https://docs.google.com/spreadsheets/d/1XL5vhW3sbDhbH9Cz0tuDiY8C3ctxq1tqvaCgkFb8cCA/edit?usp=sharing"",""อำนาจเจริญ!J323"")"),0.0)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IFERROR(__xludf.DUMMYFUNCTION("IMPORTRANGE(""https://docs.google.com/spreadsheets/d/1XL5vhW3sbDhbH9Cz0tuDiY8C3ctxq1tqvaCgkFb8cCA/edit?usp=sharing"",""อำนาจเจริญ!I324"")"),20.0)</f>
        <v>20</v>
      </c>
      <c r="J429" s="427">
        <f>IFERROR(__xludf.DUMMYFUNCTION("IMPORTRANGE(""https://docs.google.com/spreadsheets/d/1XL5vhW3sbDhbH9Cz0tuDiY8C3ctxq1tqvaCgkFb8cCA/edit?usp=sharing"",""อำนาจเจริญ!J324"")"),0.0)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IFERROR(__xludf.DUMMYFUNCTION("IMPORTRANGE(""https://docs.google.com/spreadsheets/d/1XL5vhW3sbDhbH9Cz0tuDiY8C3ctxq1tqvaCgkFb8cCA/edit?usp=sharing"",""อำนาจเจริญ!I325"")"),35.0)</f>
        <v>35</v>
      </c>
      <c r="J430" s="425">
        <f>IFERROR(__xludf.DUMMYFUNCTION("IMPORTRANGE(""https://docs.google.com/spreadsheets/d/1XL5vhW3sbDhbH9Cz0tuDiY8C3ctxq1tqvaCgkFb8cCA/edit?usp=sharing"",""อำนาจเจริญ!J325"")"),0.0)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IFERROR(__xludf.DUMMYFUNCTION("IMPORTRANGE(""https://docs.google.com/spreadsheets/d/1XL5vhW3sbDhbH9Cz0tuDiY8C3ctxq1tqvaCgkFb8cCA/edit?usp=sharing"",""อำนาจเจริญ!I326"")"),10.0)</f>
        <v>10</v>
      </c>
      <c r="J431" s="427">
        <f>IFERROR(__xludf.DUMMYFUNCTION("IMPORTRANGE(""https://docs.google.com/spreadsheets/d/1XL5vhW3sbDhbH9Cz0tuDiY8C3ctxq1tqvaCgkFb8cCA/edit?usp=sharing"",""อำนาจเจริญ!J326"")"),0.0)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IFERROR(__xludf.DUMMYFUNCTION("IMPORTRANGE(""https://docs.google.com/spreadsheets/d/1XL5vhW3sbDhbH9Cz0tuDiY8C3ctxq1tqvaCgkFb8cCA/edit?usp=sharing"",""อำนาจเจริญ!I327"")"),25.0)</f>
        <v>25</v>
      </c>
      <c r="J432" s="427">
        <f>IFERROR(__xludf.DUMMYFUNCTION("IMPORTRANGE(""https://docs.google.com/spreadsheets/d/1XL5vhW3sbDhbH9Cz0tuDiY8C3ctxq1tqvaCgkFb8cCA/edit?usp=sharing"",""อำนาจเจริญ!J327"")"),0.0)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IFERROR(__xludf.DUMMYFUNCTION("IMPORTRANGE(""https://docs.google.com/spreadsheets/d/1XL5vhW3sbDhbH9Cz0tuDiY8C3ctxq1tqvaCgkFb8cCA/edit?usp=sharing"",""อำนาจเจริญ!J328"")"),0.0)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IFERROR(__xludf.DUMMYFUNCTION("IMPORTRANGE(""https://docs.google.com/spreadsheets/d/1XL5vhW3sbDhbH9Cz0tuDiY8C3ctxq1tqvaCgkFb8cCA/edit?usp=sharing"",""อำนาจเจริญ!J329"")"),0.0)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IFERROR(__xludf.DUMMYFUNCTION("IMPORTRANGE(""https://docs.google.com/spreadsheets/d/1XL5vhW3sbDhbH9Cz0tuDiY8C3ctxq1tqvaCgkFb8cCA/edit?usp=sharing"",""อำนาจเจริญ!I330"")"),15.0)</f>
        <v>15</v>
      </c>
      <c r="J435" s="443">
        <f>IFERROR(__xludf.DUMMYFUNCTION("IMPORTRANGE(""https://docs.google.com/spreadsheets/d/1XL5vhW3sbDhbH9Cz0tuDiY8C3ctxq1tqvaCgkFb8cCA/edit?usp=sharing"",""อำนาจเจริญ!J330"")"),0.0)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IFERROR(__xludf.DUMMYFUNCTION("IMPORTRANGE(""https://docs.google.com/spreadsheets/d/1XL5vhW3sbDhbH9Cz0tuDiY8C3ctxq1tqvaCgkFb8cCA/edit?usp=sharing"",""อำนาจเจริญ!L330"")"),83000.0)</f>
        <v>83000</v>
      </c>
      <c r="M435" s="445"/>
      <c r="N435" s="445">
        <f>IFERROR(__xludf.DUMMYFUNCTION("IMPORTRANGE(""https://docs.google.com/spreadsheets/d/1XL5vhW3sbDhbH9Cz0tuDiY8C3ctxq1tqvaCgkFb8cCA/edit?usp=sharing"",""อำนาจเจริญ!M330"")"),600.0)</f>
        <v>600</v>
      </c>
      <c r="O435" s="445">
        <f t="shared" ref="O435:O439" si="115">+IF(L435&gt;0,N435*100/L435,0)</f>
        <v>0.7228915663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IFERROR(__xludf.DUMMYFUNCTION("IMPORTRANGE(""https://docs.google.com/spreadsheets/d/1XL5vhW3sbDhbH9Cz0tuDiY8C3ctxq1tqvaCgkFb8cCA/edit?usp=sharing"",""อำนาจเจริญ!L331"")"),0.0)</f>
        <v>0</v>
      </c>
      <c r="M436" s="197"/>
      <c r="N436" s="203">
        <f>IFERROR(__xludf.DUMMYFUNCTION("IMPORTRANGE(""https://docs.google.com/spreadsheets/d/1XL5vhW3sbDhbH9Cz0tuDiY8C3ctxq1tqvaCgkFb8cCA/edit?usp=sharing"",""อำนาจเจริญ!M331"")"),0.0)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IFERROR(__xludf.DUMMYFUNCTION("IMPORTRANGE(""https://docs.google.com/spreadsheets/d/1XL5vhW3sbDhbH9Cz0tuDiY8C3ctxq1tqvaCgkFb8cCA/edit?usp=sharing"",""อำนาจเจริญ!L332"")"),83000.0)</f>
        <v>83000</v>
      </c>
      <c r="M437" s="198"/>
      <c r="N437" s="203">
        <f>IFERROR(__xludf.DUMMYFUNCTION("IMPORTRANGE(""https://docs.google.com/spreadsheets/d/1XL5vhW3sbDhbH9Cz0tuDiY8C3ctxq1tqvaCgkFb8cCA/edit?usp=sharing"",""อำนาจเจริญ!M332"")"),600.0)</f>
        <v>600</v>
      </c>
      <c r="O437" s="203">
        <f t="shared" si="115"/>
        <v>0.7228915663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IFERROR(__xludf.DUMMYFUNCTION("IMPORTRANGE(""https://docs.google.com/spreadsheets/d/1XL5vhW3sbDhbH9Cz0tuDiY8C3ctxq1tqvaCgkFb8cCA/edit?usp=sharing"",""อำนาจเจริญ!L333"")"),0.0)</f>
        <v>0</v>
      </c>
      <c r="M438" s="203"/>
      <c r="N438" s="203">
        <f>IFERROR(__xludf.DUMMYFUNCTION("IMPORTRANGE(""https://docs.google.com/spreadsheets/d/1XL5vhW3sbDhbH9Cz0tuDiY8C3ctxq1tqvaCgkFb8cCA/edit?usp=sharing"",""อำนาจเจริญ!M333"")"),0.0)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IFERROR(__xludf.DUMMYFUNCTION("IMPORTRANGE(""https://docs.google.com/spreadsheets/d/1XL5vhW3sbDhbH9Cz0tuDiY8C3ctxq1tqvaCgkFb8cCA/edit?usp=sharing"",""อำนาจเจริญ!L334"")"),83000.0)</f>
        <v>83000</v>
      </c>
      <c r="M439" s="203"/>
      <c r="N439" s="203">
        <f>IFERROR(__xludf.DUMMYFUNCTION("IMPORTRANGE(""https://docs.google.com/spreadsheets/d/1XL5vhW3sbDhbH9Cz0tuDiY8C3ctxq1tqvaCgkFb8cCA/edit?usp=sharing"",""อำนาจเจริญ!M334"")"),600.0)</f>
        <v>600</v>
      </c>
      <c r="O439" s="203">
        <f t="shared" si="115"/>
        <v>0.7228915663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IFERROR(__xludf.DUMMYFUNCTION("IMPORTRANGE(""https://docs.google.com/spreadsheets/d/1XL5vhW3sbDhbH9Cz0tuDiY8C3ctxq1tqvaCgkFb8cCA/edit?usp=sharing"",""อำนาจเจริญ!M335"")"),0.0)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IFERROR(__xludf.DUMMYFUNCTION("IMPORTRANGE(""https://docs.google.com/spreadsheets/d/1XL5vhW3sbDhbH9Cz0tuDiY8C3ctxq1tqvaCgkFb8cCA/edit?usp=sharing"",""อำนาจเจริญ!M336"")"),0.0)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IFERROR(__xludf.DUMMYFUNCTION("IMPORTRANGE(""https://docs.google.com/spreadsheets/d/1XL5vhW3sbDhbH9Cz0tuDiY8C3ctxq1tqvaCgkFb8cCA/edit?usp=sharing"",""อำนาจเจริญ!M337"")"),0.0)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IFERROR(__xludf.DUMMYFUNCTION("IMPORTRANGE(""https://docs.google.com/spreadsheets/d/1XL5vhW3sbDhbH9Cz0tuDiY8C3ctxq1tqvaCgkFb8cCA/edit?usp=sharing"",""อำนาจเจริญ!M338"")"),600.0)</f>
        <v>600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IFERROR(__xludf.DUMMYFUNCTION("IMPORTRANGE(""https://docs.google.com/spreadsheets/d/1XL5vhW3sbDhbH9Cz0tuDiY8C3ctxq1tqvaCgkFb8cCA/edit?usp=sharing"",""อำนาจเจริญ!J340"")"),0.0)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IFERROR(__xludf.DUMMYFUNCTION("IMPORTRANGE(""https://docs.google.com/spreadsheets/d/1XL5vhW3sbDhbH9Cz0tuDiY8C3ctxq1tqvaCgkFb8cCA/edit?usp=sharing"",""อำนาจเจริญ!J341"")"),1.0)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IFERROR(__xludf.DUMMYFUNCTION("IMPORTRANGE(""https://docs.google.com/spreadsheets/d/1XL5vhW3sbDhbH9Cz0tuDiY8C3ctxq1tqvaCgkFb8cCA/edit?usp=sharing"",""อำนาจเจริญ!J342"")"),1.0)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IFERROR(__xludf.DUMMYFUNCTION("IMPORTRANGE(""https://docs.google.com/spreadsheets/d/1XL5vhW3sbDhbH9Cz0tuDiY8C3ctxq1tqvaCgkFb8cCA/edit?usp=sharing"",""อำนาจเจริญ!J343"")"),1.0)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IFERROR(__xludf.DUMMYFUNCTION("IMPORTRANGE(""https://docs.google.com/spreadsheets/d/1XL5vhW3sbDhbH9Cz0tuDiY8C3ctxq1tqvaCgkFb8cCA/edit?usp=sharing"",""อำนาจเจริญ!I344"")"),15.0)</f>
        <v>15</v>
      </c>
      <c r="J449" s="235">
        <f>IFERROR(__xludf.DUMMYFUNCTION("IMPORTRANGE(""https://docs.google.com/spreadsheets/d/1XL5vhW3sbDhbH9Cz0tuDiY8C3ctxq1tqvaCgkFb8cCA/edit?usp=sharing"",""อำนาจเจริญ!J344"")"),0.0)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IFERROR(__xludf.DUMMYFUNCTION("IMPORTRANGE(""https://docs.google.com/spreadsheets/d/1XL5vhW3sbDhbH9Cz0tuDiY8C3ctxq1tqvaCgkFb8cCA/edit?usp=sharing"",""อำนาจเจริญ!I345"")"),15.0)</f>
        <v>15</v>
      </c>
      <c r="J450" s="223">
        <f>IFERROR(__xludf.DUMMYFUNCTION("IMPORTRANGE(""https://docs.google.com/spreadsheets/d/1XL5vhW3sbDhbH9Cz0tuDiY8C3ctxq1tqvaCgkFb8cCA/edit?usp=sharing"",""อำนาจเจริญ!J345"")"),0.0)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IFERROR(__xludf.DUMMYFUNCTION("IMPORTRANGE(""https://docs.google.com/spreadsheets/d/1XL5vhW3sbDhbH9Cz0tuDiY8C3ctxq1tqvaCgkFb8cCA/edit?usp=sharing"",""อำนาจเจริญ!I346"")"),0.0)</f>
        <v>0</v>
      </c>
      <c r="J451" s="222">
        <f>IFERROR(__xludf.DUMMYFUNCTION("IMPORTRANGE(""https://docs.google.com/spreadsheets/d/1XL5vhW3sbDhbH9Cz0tuDiY8C3ctxq1tqvaCgkFb8cCA/edit?usp=sharing"",""อำนาจเจริญ!J346"")"),0.0)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IFERROR(__xludf.DUMMYFUNCTION("IMPORTRANGE(""https://docs.google.com/spreadsheets/d/1XL5vhW3sbDhbH9Cz0tuDiY8C3ctxq1tqvaCgkFb8cCA/edit?usp=sharing"",""อำนาจเจริญ!I347"")"),0.0)</f>
        <v>0</v>
      </c>
      <c r="J452" s="222">
        <f>IFERROR(__xludf.DUMMYFUNCTION("IMPORTRANGE(""https://docs.google.com/spreadsheets/d/1XL5vhW3sbDhbH9Cz0tuDiY8C3ctxq1tqvaCgkFb8cCA/edit?usp=sharing"",""อำนาจเจริญ!J347"")"),0.0)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IFERROR(__xludf.DUMMYFUNCTION("IMPORTRANGE(""https://docs.google.com/spreadsheets/d/1XL5vhW3sbDhbH9Cz0tuDiY8C3ctxq1tqvaCgkFb8cCA/edit?usp=sharing"",""อำนาจเจริญ!J348"")"),0.0)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IFERROR(__xludf.DUMMYFUNCTION("IMPORTRANGE(""https://docs.google.com/spreadsheets/d/1XL5vhW3sbDhbH9Cz0tuDiY8C3ctxq1tqvaCgkFb8cCA/edit?usp=sharing"",""อำนาจเจริญ!J349"")"),0.0)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IFERROR(__xludf.DUMMYFUNCTION("IMPORTRANGE(""https://docs.google.com/spreadsheets/d/1XL5vhW3sbDhbH9Cz0tuDiY8C3ctxq1tqvaCgkFb8cCA/edit?usp=sharing"",""อำนาจเจริญ!I350"")"),11861.0)</f>
        <v>11861</v>
      </c>
      <c r="J455" s="404">
        <f>IFERROR(__xludf.DUMMYFUNCTION("IMPORTRANGE(""https://docs.google.com/spreadsheets/d/1XL5vhW3sbDhbH9Cz0tuDiY8C3ctxq1tqvaCgkFb8cCA/edit?usp=sharing"",""อำนาจเจริญ!J350"")"),0.0)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IFERROR(__xludf.DUMMYFUNCTION("IMPORTRANGE(""https://docs.google.com/spreadsheets/d/1XL5vhW3sbDhbH9Cz0tuDiY8C3ctxq1tqvaCgkFb8cCA/edit?usp=sharing"",""อำนาจเจริญ!L350"")"),173484.0)</f>
        <v>173484</v>
      </c>
      <c r="M455" s="406"/>
      <c r="N455" s="406">
        <f>IFERROR(__xludf.DUMMYFUNCTION("IMPORTRANGE(""https://docs.google.com/spreadsheets/d/1XL5vhW3sbDhbH9Cz0tuDiY8C3ctxq1tqvaCgkFb8cCA/edit?usp=sharing"",""อำนาจเจริญ!M350"")"),2920.0)</f>
        <v>2920</v>
      </c>
      <c r="O455" s="406">
        <f t="shared" ref="O455:O459" si="117">+IF(L455&gt;0,N455*100/L455,0)</f>
        <v>1.683152337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IFERROR(__xludf.DUMMYFUNCTION("IMPORTRANGE(""https://docs.google.com/spreadsheets/d/1XL5vhW3sbDhbH9Cz0tuDiY8C3ctxq1tqvaCgkFb8cCA/edit?usp=sharing"",""อำนาจเจริญ!L351"")"),0.0)</f>
        <v>0</v>
      </c>
      <c r="M456" s="197"/>
      <c r="N456" s="203">
        <f>IFERROR(__xludf.DUMMYFUNCTION("IMPORTRANGE(""https://docs.google.com/spreadsheets/d/1XL5vhW3sbDhbH9Cz0tuDiY8C3ctxq1tqvaCgkFb8cCA/edit?usp=sharing"",""อำนาจเจริญ!M351"")"),0.0)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IFERROR(__xludf.DUMMYFUNCTION("IMPORTRANGE(""https://docs.google.com/spreadsheets/d/1XL5vhW3sbDhbH9Cz0tuDiY8C3ctxq1tqvaCgkFb8cCA/edit?usp=sharing"",""อำนาจเจริญ!L352"")"),173484.0)</f>
        <v>173484</v>
      </c>
      <c r="M457" s="198"/>
      <c r="N457" s="203">
        <f>IFERROR(__xludf.DUMMYFUNCTION("IMPORTRANGE(""https://docs.google.com/spreadsheets/d/1XL5vhW3sbDhbH9Cz0tuDiY8C3ctxq1tqvaCgkFb8cCA/edit?usp=sharing"",""อำนาจเจริญ!M352"")"),2920.0)</f>
        <v>2920</v>
      </c>
      <c r="O457" s="203">
        <f t="shared" si="117"/>
        <v>1.683152337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IFERROR(__xludf.DUMMYFUNCTION("IMPORTRANGE(""https://docs.google.com/spreadsheets/d/1XL5vhW3sbDhbH9Cz0tuDiY8C3ctxq1tqvaCgkFb8cCA/edit?usp=sharing"",""อำนาจเจริญ!L353"")"),0.0)</f>
        <v>0</v>
      </c>
      <c r="M458" s="203"/>
      <c r="N458" s="203">
        <f>IFERROR(__xludf.DUMMYFUNCTION("IMPORTRANGE(""https://docs.google.com/spreadsheets/d/1XL5vhW3sbDhbH9Cz0tuDiY8C3ctxq1tqvaCgkFb8cCA/edit?usp=sharing"",""อำนาจเจริญ!M353"")"),0.0)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IFERROR(__xludf.DUMMYFUNCTION("IMPORTRANGE(""https://docs.google.com/spreadsheets/d/1XL5vhW3sbDhbH9Cz0tuDiY8C3ctxq1tqvaCgkFb8cCA/edit?usp=sharing"",""อำนาจเจริญ!L354"")"),173484.0)</f>
        <v>173484</v>
      </c>
      <c r="M459" s="203"/>
      <c r="N459" s="203">
        <f>IFERROR(__xludf.DUMMYFUNCTION("IMPORTRANGE(""https://docs.google.com/spreadsheets/d/1XL5vhW3sbDhbH9Cz0tuDiY8C3ctxq1tqvaCgkFb8cCA/edit?usp=sharing"",""อำนาจเจริญ!M354"")"),2920.0)</f>
        <v>2920</v>
      </c>
      <c r="O459" s="203">
        <f t="shared" si="117"/>
        <v>1.683152337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IFERROR(__xludf.DUMMYFUNCTION("IMPORTRANGE(""https://docs.google.com/spreadsheets/d/1XL5vhW3sbDhbH9Cz0tuDiY8C3ctxq1tqvaCgkFb8cCA/edit?usp=sharing"",""อำนาจเจริญ!M355"")"),0.0)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IFERROR(__xludf.DUMMYFUNCTION("IMPORTRANGE(""https://docs.google.com/spreadsheets/d/1XL5vhW3sbDhbH9Cz0tuDiY8C3ctxq1tqvaCgkFb8cCA/edit?usp=sharing"",""อำนาจเจริญ!M356"")"),0.0)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IFERROR(__xludf.DUMMYFUNCTION("IMPORTRANGE(""https://docs.google.com/spreadsheets/d/1XL5vhW3sbDhbH9Cz0tuDiY8C3ctxq1tqvaCgkFb8cCA/edit?usp=sharing"",""อำนาจเจริญ!M357"")"),0.0)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IFERROR(__xludf.DUMMYFUNCTION("IMPORTRANGE(""https://docs.google.com/spreadsheets/d/1XL5vhW3sbDhbH9Cz0tuDiY8C3ctxq1tqvaCgkFb8cCA/edit?usp=sharing"",""อำนาจเจริญ!M358"")"),2920.0)</f>
        <v>2920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IFERROR(__xludf.DUMMYFUNCTION("IMPORTRANGE(""https://docs.google.com/spreadsheets/d/1XL5vhW3sbDhbH9Cz0tuDiY8C3ctxq1tqvaCgkFb8cCA/edit?usp=sharing"",""อำนาจเจริญ!I359"")"),11861.0)</f>
        <v>11861</v>
      </c>
      <c r="J464" s="301">
        <f>IFERROR(__xludf.DUMMYFUNCTION("IMPORTRANGE(""https://docs.google.com/spreadsheets/d/1XL5vhW3sbDhbH9Cz0tuDiY8C3ctxq1tqvaCgkFb8cCA/edit?usp=sharing"",""อำนาจเจริญ!J359"")"),0.0)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IFERROR(__xludf.DUMMYFUNCTION("IMPORTRANGE(""https://docs.google.com/spreadsheets/d/1XL5vhW3sbDhbH9Cz0tuDiY8C3ctxq1tqvaCgkFb8cCA/edit?usp=sharing"",""อำนาจเจริญ!I360"")"),11861.0)</f>
        <v>11861</v>
      </c>
      <c r="J465" s="453">
        <f>IFERROR(__xludf.DUMMYFUNCTION("IMPORTRANGE(""https://docs.google.com/spreadsheets/d/1XL5vhW3sbDhbH9Cz0tuDiY8C3ctxq1tqvaCgkFb8cCA/edit?usp=sharing"",""อำนาจเจริญ!J360"")"),0.0)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IFERROR(__xludf.DUMMYFUNCTION("IMPORTRANGE(""https://docs.google.com/spreadsheets/d/1XL5vhW3sbDhbH9Cz0tuDiY8C3ctxq1tqvaCgkFb8cCA/edit?usp=sharing"",""อำนาจเจริญ!I361"")"),3403.0)</f>
        <v>3403</v>
      </c>
      <c r="J466" s="453">
        <f>IFERROR(__xludf.DUMMYFUNCTION("IMPORTRANGE(""https://docs.google.com/spreadsheets/d/1XL5vhW3sbDhbH9Cz0tuDiY8C3ctxq1tqvaCgkFb8cCA/edit?usp=sharing"",""อำนาจเจริญ!J361"")"),0.0)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IFERROR(__xludf.DUMMYFUNCTION("IMPORTRANGE(""https://docs.google.com/spreadsheets/d/1XL5vhW3sbDhbH9Cz0tuDiY8C3ctxq1tqvaCgkFb8cCA/edit?usp=sharing"",""อำนาจเจริญ!I362"")"),0.0)</f>
        <v>0</v>
      </c>
      <c r="J467" s="223">
        <f>IFERROR(__xludf.DUMMYFUNCTION("IMPORTRANGE(""https://docs.google.com/spreadsheets/d/1XL5vhW3sbDhbH9Cz0tuDiY8C3ctxq1tqvaCgkFb8cCA/edit?usp=sharing"",""อำนาจเจริญ!J362"")"),0.0)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IFERROR(__xludf.DUMMYFUNCTION("IMPORTRANGE(""https://docs.google.com/spreadsheets/d/1XL5vhW3sbDhbH9Cz0tuDiY8C3ctxq1tqvaCgkFb8cCA/edit?usp=sharing"",""อำนาจเจริญ!I363"")"),0.0)</f>
        <v>0</v>
      </c>
      <c r="J468" s="223">
        <f>IFERROR(__xludf.DUMMYFUNCTION("IMPORTRANGE(""https://docs.google.com/spreadsheets/d/1XL5vhW3sbDhbH9Cz0tuDiY8C3ctxq1tqvaCgkFb8cCA/edit?usp=sharing"",""อำนาจเจริญ!J363"")"),0.0)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IFERROR(__xludf.DUMMYFUNCTION("IMPORTRANGE(""https://docs.google.com/spreadsheets/d/1XL5vhW3sbDhbH9Cz0tuDiY8C3ctxq1tqvaCgkFb8cCA/edit?usp=sharing"",""อำนาจเจริญ!I364"")"),0.0)</f>
        <v>0</v>
      </c>
      <c r="J469" s="223">
        <f>IFERROR(__xludf.DUMMYFUNCTION("IMPORTRANGE(""https://docs.google.com/spreadsheets/d/1XL5vhW3sbDhbH9Cz0tuDiY8C3ctxq1tqvaCgkFb8cCA/edit?usp=sharing"",""อำนาจเจริญ!J364"")"),0.0)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IFERROR(__xludf.DUMMYFUNCTION("IMPORTRANGE(""https://docs.google.com/spreadsheets/d/1XL5vhW3sbDhbH9Cz0tuDiY8C3ctxq1tqvaCgkFb8cCA/edit?usp=sharing"",""อำนาจเจริญ!I365"")"),0.0)</f>
        <v>0</v>
      </c>
      <c r="J470" s="223">
        <f>IFERROR(__xludf.DUMMYFUNCTION("IMPORTRANGE(""https://docs.google.com/spreadsheets/d/1XL5vhW3sbDhbH9Cz0tuDiY8C3ctxq1tqvaCgkFb8cCA/edit?usp=sharing"",""อำนาจเจริญ!J365"")"),0.0)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IFERROR(__xludf.DUMMYFUNCTION("IMPORTRANGE(""https://docs.google.com/spreadsheets/d/1XL5vhW3sbDhbH9Cz0tuDiY8C3ctxq1tqvaCgkFb8cCA/edit?usp=sharing"",""อำนาจเจริญ!I366"")"),0.0)</f>
        <v>0</v>
      </c>
      <c r="J471" s="223">
        <f>IFERROR(__xludf.DUMMYFUNCTION("IMPORTRANGE(""https://docs.google.com/spreadsheets/d/1XL5vhW3sbDhbH9Cz0tuDiY8C3ctxq1tqvaCgkFb8cCA/edit?usp=sharing"",""อำนาจเจริญ!J366"")"),0.0)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IFERROR(__xludf.DUMMYFUNCTION("IMPORTRANGE(""https://docs.google.com/spreadsheets/d/1XL5vhW3sbDhbH9Cz0tuDiY8C3ctxq1tqvaCgkFb8cCA/edit?usp=sharing"",""อำนาจเจริญ!I367"")"),0.0)</f>
        <v>0</v>
      </c>
      <c r="J472" s="223">
        <f>IFERROR(__xludf.DUMMYFUNCTION("IMPORTRANGE(""https://docs.google.com/spreadsheets/d/1XL5vhW3sbDhbH9Cz0tuDiY8C3ctxq1tqvaCgkFb8cCA/edit?usp=sharing"",""อำนาจเจริญ!J367"")"),0.0)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IFERROR(__xludf.DUMMYFUNCTION("IMPORTRANGE(""https://docs.google.com/spreadsheets/d/1XL5vhW3sbDhbH9Cz0tuDiY8C3ctxq1tqvaCgkFb8cCA/edit?usp=sharing"",""อำนาจเจริญ!I368"")"),11861.0)</f>
        <v>11861</v>
      </c>
      <c r="J473" s="453">
        <f>IFERROR(__xludf.DUMMYFUNCTION("IMPORTRANGE(""https://docs.google.com/spreadsheets/d/1XL5vhW3sbDhbH9Cz0tuDiY8C3ctxq1tqvaCgkFb8cCA/edit?usp=sharing"",""อำนาจเจริญ!J368"")"),0.0)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IFERROR(__xludf.DUMMYFUNCTION("IMPORTRANGE(""https://docs.google.com/spreadsheets/d/1XL5vhW3sbDhbH9Cz0tuDiY8C3ctxq1tqvaCgkFb8cCA/edit?usp=sharing"",""อำนาจเจริญ!I369"")"),3403.0)</f>
        <v>3403</v>
      </c>
      <c r="J474" s="453">
        <f>IFERROR(__xludf.DUMMYFUNCTION("IMPORTRANGE(""https://docs.google.com/spreadsheets/d/1XL5vhW3sbDhbH9Cz0tuDiY8C3ctxq1tqvaCgkFb8cCA/edit?usp=sharing"",""อำนาจเจริญ!J369"")"),0.0)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IFERROR(__xludf.DUMMYFUNCTION("IMPORTRANGE(""https://docs.google.com/spreadsheets/d/1XL5vhW3sbDhbH9Cz0tuDiY8C3ctxq1tqvaCgkFb8cCA/edit?usp=sharing"",""อำนาจเจริญ!I370"")"),0.0)</f>
        <v>0</v>
      </c>
      <c r="J475" s="223">
        <f>IFERROR(__xludf.DUMMYFUNCTION("IMPORTRANGE(""https://docs.google.com/spreadsheets/d/1XL5vhW3sbDhbH9Cz0tuDiY8C3ctxq1tqvaCgkFb8cCA/edit?usp=sharing"",""อำนาจเจริญ!J370"")"),0.0)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IFERROR(__xludf.DUMMYFUNCTION("IMPORTRANGE(""https://docs.google.com/spreadsheets/d/1XL5vhW3sbDhbH9Cz0tuDiY8C3ctxq1tqvaCgkFb8cCA/edit?usp=sharing"",""อำนาจเจริญ!I371"")"),0.0)</f>
        <v>0</v>
      </c>
      <c r="J476" s="223">
        <f>IFERROR(__xludf.DUMMYFUNCTION("IMPORTRANGE(""https://docs.google.com/spreadsheets/d/1XL5vhW3sbDhbH9Cz0tuDiY8C3ctxq1tqvaCgkFb8cCA/edit?usp=sharing"",""อำนาจเจริญ!J371"")"),0.0)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IFERROR(__xludf.DUMMYFUNCTION("IMPORTRANGE(""https://docs.google.com/spreadsheets/d/1XL5vhW3sbDhbH9Cz0tuDiY8C3ctxq1tqvaCgkFb8cCA/edit?usp=sharing"",""อำนาจเจริญ!I372"")"),0.0)</f>
        <v>0</v>
      </c>
      <c r="J477" s="223">
        <f>IFERROR(__xludf.DUMMYFUNCTION("IMPORTRANGE(""https://docs.google.com/spreadsheets/d/1XL5vhW3sbDhbH9Cz0tuDiY8C3ctxq1tqvaCgkFb8cCA/edit?usp=sharing"",""อำนาจเจริญ!J372"")"),0.0)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IFERROR(__xludf.DUMMYFUNCTION("IMPORTRANGE(""https://docs.google.com/spreadsheets/d/1XL5vhW3sbDhbH9Cz0tuDiY8C3ctxq1tqvaCgkFb8cCA/edit?usp=sharing"",""อำนาจเจริญ!I373"")"),0.0)</f>
        <v>0</v>
      </c>
      <c r="J478" s="223">
        <f>IFERROR(__xludf.DUMMYFUNCTION("IMPORTRANGE(""https://docs.google.com/spreadsheets/d/1XL5vhW3sbDhbH9Cz0tuDiY8C3ctxq1tqvaCgkFb8cCA/edit?usp=sharing"",""อำนาจเจริญ!J373"")"),0.0)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IFERROR(__xludf.DUMMYFUNCTION("IMPORTRANGE(""https://docs.google.com/spreadsheets/d/1XL5vhW3sbDhbH9Cz0tuDiY8C3ctxq1tqvaCgkFb8cCA/edit?usp=sharing"",""อำนาจเจริญ!I374"")"),0.0)</f>
        <v>0</v>
      </c>
      <c r="J479" s="223">
        <f>IFERROR(__xludf.DUMMYFUNCTION("IMPORTRANGE(""https://docs.google.com/spreadsheets/d/1XL5vhW3sbDhbH9Cz0tuDiY8C3ctxq1tqvaCgkFb8cCA/edit?usp=sharing"",""อำนาจเจริญ!J374"")"),0.0)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IFERROR(__xludf.DUMMYFUNCTION("IMPORTRANGE(""https://docs.google.com/spreadsheets/d/1XL5vhW3sbDhbH9Cz0tuDiY8C3ctxq1tqvaCgkFb8cCA/edit?usp=sharing"",""อำนาจเจริญ!I375"")"),0.0)</f>
        <v>0</v>
      </c>
      <c r="J480" s="223">
        <f>IFERROR(__xludf.DUMMYFUNCTION("IMPORTRANGE(""https://docs.google.com/spreadsheets/d/1XL5vhW3sbDhbH9Cz0tuDiY8C3ctxq1tqvaCgkFb8cCA/edit?usp=sharing"",""อำนาจเจริญ!J375"")"),0.0)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IFERROR(__xludf.DUMMYFUNCTION("IMPORTRANGE(""https://docs.google.com/spreadsheets/d/1XL5vhW3sbDhbH9Cz0tuDiY8C3ctxq1tqvaCgkFb8cCA/edit?usp=sharing"",""อำนาจเจริญ!I376"")"),11861.0)</f>
        <v>11861</v>
      </c>
      <c r="J481" s="453">
        <f>IFERROR(__xludf.DUMMYFUNCTION("IMPORTRANGE(""https://docs.google.com/spreadsheets/d/1XL5vhW3sbDhbH9Cz0tuDiY8C3ctxq1tqvaCgkFb8cCA/edit?usp=sharing"",""อำนาจเจริญ!J376"")"),0.0)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IFERROR(__xludf.DUMMYFUNCTION("IMPORTRANGE(""https://docs.google.com/spreadsheets/d/1XL5vhW3sbDhbH9Cz0tuDiY8C3ctxq1tqvaCgkFb8cCA/edit?usp=sharing"",""อำนาจเจริญ!I377"")"),3403.0)</f>
        <v>3403</v>
      </c>
      <c r="J482" s="453">
        <f>IFERROR(__xludf.DUMMYFUNCTION("IMPORTRANGE(""https://docs.google.com/spreadsheets/d/1XL5vhW3sbDhbH9Cz0tuDiY8C3ctxq1tqvaCgkFb8cCA/edit?usp=sharing"",""อำนาจเจริญ!J377"")"),0.0)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IFERROR(__xludf.DUMMYFUNCTION("IMPORTRANGE(""https://docs.google.com/spreadsheets/d/1XL5vhW3sbDhbH9Cz0tuDiY8C3ctxq1tqvaCgkFb8cCA/edit?usp=sharing"",""อำนาจเจริญ!I378"")"),0.0)</f>
        <v>0</v>
      </c>
      <c r="J483" s="223">
        <f>IFERROR(__xludf.DUMMYFUNCTION("IMPORTRANGE(""https://docs.google.com/spreadsheets/d/1XL5vhW3sbDhbH9Cz0tuDiY8C3ctxq1tqvaCgkFb8cCA/edit?usp=sharing"",""อำนาจเจริญ!J378"")"),0.0)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IFERROR(__xludf.DUMMYFUNCTION("IMPORTRANGE(""https://docs.google.com/spreadsheets/d/1XL5vhW3sbDhbH9Cz0tuDiY8C3ctxq1tqvaCgkFb8cCA/edit?usp=sharing"",""อำนาจเจริญ!I379"")"),0.0)</f>
        <v>0</v>
      </c>
      <c r="J484" s="223">
        <f>IFERROR(__xludf.DUMMYFUNCTION("IMPORTRANGE(""https://docs.google.com/spreadsheets/d/1XL5vhW3sbDhbH9Cz0tuDiY8C3ctxq1tqvaCgkFb8cCA/edit?usp=sharing"",""อำนาจเจริญ!J379"")"),0.0)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IFERROR(__xludf.DUMMYFUNCTION("IMPORTRANGE(""https://docs.google.com/spreadsheets/d/1XL5vhW3sbDhbH9Cz0tuDiY8C3ctxq1tqvaCgkFb8cCA/edit?usp=sharing"",""อำนาจเจริญ!I380"")"),0.0)</f>
        <v>0</v>
      </c>
      <c r="J485" s="223">
        <f>IFERROR(__xludf.DUMMYFUNCTION("IMPORTRANGE(""https://docs.google.com/spreadsheets/d/1XL5vhW3sbDhbH9Cz0tuDiY8C3ctxq1tqvaCgkFb8cCA/edit?usp=sharing"",""อำนาจเจริญ!J380"")"),0.0)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IFERROR(__xludf.DUMMYFUNCTION("IMPORTRANGE(""https://docs.google.com/spreadsheets/d/1XL5vhW3sbDhbH9Cz0tuDiY8C3ctxq1tqvaCgkFb8cCA/edit?usp=sharing"",""อำนาจเจริญ!I381"")"),0.0)</f>
        <v>0</v>
      </c>
      <c r="J486" s="223">
        <f>IFERROR(__xludf.DUMMYFUNCTION("IMPORTRANGE(""https://docs.google.com/spreadsheets/d/1XL5vhW3sbDhbH9Cz0tuDiY8C3ctxq1tqvaCgkFb8cCA/edit?usp=sharing"",""อำนาจเจริญ!J381"")"),0.0)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IFERROR(__xludf.DUMMYFUNCTION("IMPORTRANGE(""https://docs.google.com/spreadsheets/d/1XL5vhW3sbDhbH9Cz0tuDiY8C3ctxq1tqvaCgkFb8cCA/edit?usp=sharing"",""อำนาจเจริญ!I382"")"),0.0)</f>
        <v>0</v>
      </c>
      <c r="J487" s="453">
        <f>IFERROR(__xludf.DUMMYFUNCTION("IMPORTRANGE(""https://docs.google.com/spreadsheets/d/1XL5vhW3sbDhbH9Cz0tuDiY8C3ctxq1tqvaCgkFb8cCA/edit?usp=sharing"",""อำนาจเจริญ!J382"")"),0.0)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IFERROR(__xludf.DUMMYFUNCTION("IMPORTRANGE(""https://docs.google.com/spreadsheets/d/1XL5vhW3sbDhbH9Cz0tuDiY8C3ctxq1tqvaCgkFb8cCA/edit?usp=sharing"",""อำนาจเจริญ!I383"")"),0.0)</f>
        <v>0</v>
      </c>
      <c r="J488" s="453">
        <f>IFERROR(__xludf.DUMMYFUNCTION("IMPORTRANGE(""https://docs.google.com/spreadsheets/d/1XL5vhW3sbDhbH9Cz0tuDiY8C3ctxq1tqvaCgkFb8cCA/edit?usp=sharing"",""อำนาจเจริญ!J383"")"),0.0)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IFERROR(__xludf.DUMMYFUNCTION("IMPORTRANGE(""https://docs.google.com/spreadsheets/d/1XL5vhW3sbDhbH9Cz0tuDiY8C3ctxq1tqvaCgkFb8cCA/edit?usp=sharing"",""อำนาจเจริญ!I384"")"),0.0)</f>
        <v>0</v>
      </c>
      <c r="J489" s="223">
        <f>IFERROR(__xludf.DUMMYFUNCTION("IMPORTRANGE(""https://docs.google.com/spreadsheets/d/1XL5vhW3sbDhbH9Cz0tuDiY8C3ctxq1tqvaCgkFb8cCA/edit?usp=sharing"",""อำนาจเจริญ!J384"")"),0.0)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IFERROR(__xludf.DUMMYFUNCTION("IMPORTRANGE(""https://docs.google.com/spreadsheets/d/1XL5vhW3sbDhbH9Cz0tuDiY8C3ctxq1tqvaCgkFb8cCA/edit?usp=sharing"",""อำนาจเจริญ!I385"")"),0.0)</f>
        <v>0</v>
      </c>
      <c r="J490" s="223">
        <f>IFERROR(__xludf.DUMMYFUNCTION("IMPORTRANGE(""https://docs.google.com/spreadsheets/d/1XL5vhW3sbDhbH9Cz0tuDiY8C3ctxq1tqvaCgkFb8cCA/edit?usp=sharing"",""อำนาจเจริญ!J385"")"),0.0)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IFERROR(__xludf.DUMMYFUNCTION("IMPORTRANGE(""https://docs.google.com/spreadsheets/d/1XL5vhW3sbDhbH9Cz0tuDiY8C3ctxq1tqvaCgkFb8cCA/edit?usp=sharing"",""อำนาจเจริญ!I386"")"),0.0)</f>
        <v>0</v>
      </c>
      <c r="J491" s="223">
        <f>IFERROR(__xludf.DUMMYFUNCTION("IMPORTRANGE(""https://docs.google.com/spreadsheets/d/1XL5vhW3sbDhbH9Cz0tuDiY8C3ctxq1tqvaCgkFb8cCA/edit?usp=sharing"",""อำนาจเจริญ!J386"")"),0.0)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IFERROR(__xludf.DUMMYFUNCTION("IMPORTRANGE(""https://docs.google.com/spreadsheets/d/1XL5vhW3sbDhbH9Cz0tuDiY8C3ctxq1tqvaCgkFb8cCA/edit?usp=sharing"",""อำนาจเจริญ!I387"")"),0.0)</f>
        <v>0</v>
      </c>
      <c r="J492" s="223">
        <f>IFERROR(__xludf.DUMMYFUNCTION("IMPORTRANGE(""https://docs.google.com/spreadsheets/d/1XL5vhW3sbDhbH9Cz0tuDiY8C3ctxq1tqvaCgkFb8cCA/edit?usp=sharing"",""อำนาจเจริญ!J387"")"),0.0)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IFERROR(__xludf.DUMMYFUNCTION("IMPORTRANGE(""https://docs.google.com/spreadsheets/d/1XL5vhW3sbDhbH9Cz0tuDiY8C3ctxq1tqvaCgkFb8cCA/edit?usp=sharing"",""อำนาจเจริญ!I388"")"),0.0)</f>
        <v>0</v>
      </c>
      <c r="J493" s="223">
        <f>IFERROR(__xludf.DUMMYFUNCTION("IMPORTRANGE(""https://docs.google.com/spreadsheets/d/1XL5vhW3sbDhbH9Cz0tuDiY8C3ctxq1tqvaCgkFb8cCA/edit?usp=sharing"",""อำนาจเจริญ!J388"")"),0.0)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IFERROR(__xludf.DUMMYFUNCTION("IMPORTRANGE(""https://docs.google.com/spreadsheets/d/1XL5vhW3sbDhbH9Cz0tuDiY8C3ctxq1tqvaCgkFb8cCA/edit?usp=sharing"",""อำนาจเจริญ!I389"")"),0.0)</f>
        <v>0</v>
      </c>
      <c r="J494" s="469">
        <f>IFERROR(__xludf.DUMMYFUNCTION("IMPORTRANGE(""https://docs.google.com/spreadsheets/d/1XL5vhW3sbDhbH9Cz0tuDiY8C3ctxq1tqvaCgkFb8cCA/edit?usp=sharing"",""อำนาจเจริญ!J389"")"),0.0)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IFERROR(__xludf.DUMMYFUNCTION("IMPORTRANGE(""https://docs.google.com/spreadsheets/d/1XL5vhW3sbDhbH9Cz0tuDiY8C3ctxq1tqvaCgkFb8cCA/edit?usp=sharing"",""อำนาจเจริญ!I390"")"),0.0)</f>
        <v>0</v>
      </c>
      <c r="J495" s="469">
        <f>IFERROR(__xludf.DUMMYFUNCTION("IMPORTRANGE(""https://docs.google.com/spreadsheets/d/1XL5vhW3sbDhbH9Cz0tuDiY8C3ctxq1tqvaCgkFb8cCA/edit?usp=sharing"",""อำนาจเจริญ!J390"")"),0.0)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IFERROR(__xludf.DUMMYFUNCTION("IMPORTRANGE(""https://docs.google.com/spreadsheets/d/1XL5vhW3sbDhbH9Cz0tuDiY8C3ctxq1tqvaCgkFb8cCA/edit?usp=sharing"",""อำนาจเจริญ!I391"")"),0.0)</f>
        <v>0</v>
      </c>
      <c r="J496" s="469">
        <f>IFERROR(__xludf.DUMMYFUNCTION("IMPORTRANGE(""https://docs.google.com/spreadsheets/d/1XL5vhW3sbDhbH9Cz0tuDiY8C3ctxq1tqvaCgkFb8cCA/edit?usp=sharing"",""อำนาจเจริญ!J391"")"),0.0)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IFERROR(__xludf.DUMMYFUNCTION("IMPORTRANGE(""https://docs.google.com/spreadsheets/d/1XL5vhW3sbDhbH9Cz0tuDiY8C3ctxq1tqvaCgkFb8cCA/edit?usp=sharing"",""อำนาจเจริญ!I392"")"),1404.0)</f>
        <v>1404</v>
      </c>
      <c r="J497" s="476">
        <f>IFERROR(__xludf.DUMMYFUNCTION("IMPORTRANGE(""https://docs.google.com/spreadsheets/d/1XL5vhW3sbDhbH9Cz0tuDiY8C3ctxq1tqvaCgkFb8cCA/edit?usp=sharing"",""อำนาจเจริญ!J392"")"),0.0)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IFERROR(__xludf.DUMMYFUNCTION("IMPORTRANGE(""https://docs.google.com/spreadsheets/d/1XL5vhW3sbDhbH9Cz0tuDiY8C3ctxq1tqvaCgkFb8cCA/edit?usp=sharing"",""อำนาจเจริญ!I393"")"),1404.0)</f>
        <v>1404</v>
      </c>
      <c r="J498" s="453">
        <f>IFERROR(__xludf.DUMMYFUNCTION("IMPORTRANGE(""https://docs.google.com/spreadsheets/d/1XL5vhW3sbDhbH9Cz0tuDiY8C3ctxq1tqvaCgkFb8cCA/edit?usp=sharing"",""อำนาจเจริญ!J393"")"),0.0)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IFERROR(__xludf.DUMMYFUNCTION("IMPORTRANGE(""https://docs.google.com/spreadsheets/d/1XL5vhW3sbDhbH9Cz0tuDiY8C3ctxq1tqvaCgkFb8cCA/edit?usp=sharing"",""อำนาจเจริญ!I394"")"),120.0)</f>
        <v>120</v>
      </c>
      <c r="J499" s="453">
        <f>IFERROR(__xludf.DUMMYFUNCTION("IMPORTRANGE(""https://docs.google.com/spreadsheets/d/1XL5vhW3sbDhbH9Cz0tuDiY8C3ctxq1tqvaCgkFb8cCA/edit?usp=sharing"",""อำนาจเจริญ!J394"")"),0.0)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IFERROR(__xludf.DUMMYFUNCTION("IMPORTRANGE(""https://docs.google.com/spreadsheets/d/1XL5vhW3sbDhbH9Cz0tuDiY8C3ctxq1tqvaCgkFb8cCA/edit?usp=sharing"",""อำนาจเจริญ!I395"")"),0.0)</f>
        <v>0</v>
      </c>
      <c r="J500" s="195">
        <f>IFERROR(__xludf.DUMMYFUNCTION("IMPORTRANGE(""https://docs.google.com/spreadsheets/d/1XL5vhW3sbDhbH9Cz0tuDiY8C3ctxq1tqvaCgkFb8cCA/edit?usp=sharing"",""อำนาจเจริญ!J395"")"),0.0)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IFERROR(__xludf.DUMMYFUNCTION("IMPORTRANGE(""https://docs.google.com/spreadsheets/d/1XL5vhW3sbDhbH9Cz0tuDiY8C3ctxq1tqvaCgkFb8cCA/edit?usp=sharing"",""อำนาจเจริญ!I396"")"),0.0)</f>
        <v>0</v>
      </c>
      <c r="J501" s="195">
        <f>IFERROR(__xludf.DUMMYFUNCTION("IMPORTRANGE(""https://docs.google.com/spreadsheets/d/1XL5vhW3sbDhbH9Cz0tuDiY8C3ctxq1tqvaCgkFb8cCA/edit?usp=sharing"",""อำนาจเจริญ!J396"")"),0.0)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IFERROR(__xludf.DUMMYFUNCTION("IMPORTRANGE(""https://docs.google.com/spreadsheets/d/1XL5vhW3sbDhbH9Cz0tuDiY8C3ctxq1tqvaCgkFb8cCA/edit?usp=sharing"",""อำนาจเจริญ!I397"")"),0.0)</f>
        <v>0</v>
      </c>
      <c r="J502" s="223">
        <f>IFERROR(__xludf.DUMMYFUNCTION("IMPORTRANGE(""https://docs.google.com/spreadsheets/d/1XL5vhW3sbDhbH9Cz0tuDiY8C3ctxq1tqvaCgkFb8cCA/edit?usp=sharing"",""อำนาจเจริญ!J397"")"),0.0)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IFERROR(__xludf.DUMMYFUNCTION("IMPORTRANGE(""https://docs.google.com/spreadsheets/d/1XL5vhW3sbDhbH9Cz0tuDiY8C3ctxq1tqvaCgkFb8cCA/edit?usp=sharing"",""อำนาจเจริญ!I398"")"),0.0)</f>
        <v>0</v>
      </c>
      <c r="J503" s="232">
        <f>IFERROR(__xludf.DUMMYFUNCTION("IMPORTRANGE(""https://docs.google.com/spreadsheets/d/1XL5vhW3sbDhbH9Cz0tuDiY8C3ctxq1tqvaCgkFb8cCA/edit?usp=sharing"",""อำนาจเจริญ!J398"")"),0.0)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IFERROR(__xludf.DUMMYFUNCTION("IMPORTRANGE(""https://docs.google.com/spreadsheets/d/1XL5vhW3sbDhbH9Cz0tuDiY8C3ctxq1tqvaCgkFb8cCA/edit?usp=sharing"",""อำนาจเจริญ!I399"")"),0.0)</f>
        <v>0</v>
      </c>
      <c r="J504" s="223">
        <f>IFERROR(__xludf.DUMMYFUNCTION("IMPORTRANGE(""https://docs.google.com/spreadsheets/d/1XL5vhW3sbDhbH9Cz0tuDiY8C3ctxq1tqvaCgkFb8cCA/edit?usp=sharing"",""อำนาจเจริญ!J399"")"),0.0)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IFERROR(__xludf.DUMMYFUNCTION("IMPORTRANGE(""https://docs.google.com/spreadsheets/d/1XL5vhW3sbDhbH9Cz0tuDiY8C3ctxq1tqvaCgkFb8cCA/edit?usp=sharing"",""อำนาจเจริญ!I400"")"),0.0)</f>
        <v>0</v>
      </c>
      <c r="J505" s="232">
        <f>IFERROR(__xludf.DUMMYFUNCTION("IMPORTRANGE(""https://docs.google.com/spreadsheets/d/1XL5vhW3sbDhbH9Cz0tuDiY8C3ctxq1tqvaCgkFb8cCA/edit?usp=sharing"",""อำนาจเจริญ!J400"")"),0.0)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IFERROR(__xludf.DUMMYFUNCTION("IMPORTRANGE(""https://docs.google.com/spreadsheets/d/1XL5vhW3sbDhbH9Cz0tuDiY8C3ctxq1tqvaCgkFb8cCA/edit?usp=sharing"",""อำนาจเจริญ!I401"")"),0.0)</f>
        <v>0</v>
      </c>
      <c r="J506" s="223">
        <f>IFERROR(__xludf.DUMMYFUNCTION("IMPORTRANGE(""https://docs.google.com/spreadsheets/d/1XL5vhW3sbDhbH9Cz0tuDiY8C3ctxq1tqvaCgkFb8cCA/edit?usp=sharing"",""อำนาจเจริญ!J401"")"),0.0)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IFERROR(__xludf.DUMMYFUNCTION("IMPORTRANGE(""https://docs.google.com/spreadsheets/d/1XL5vhW3sbDhbH9Cz0tuDiY8C3ctxq1tqvaCgkFb8cCA/edit?usp=sharing"",""อำนาจเจริญ!I402"")"),0.0)</f>
        <v>0</v>
      </c>
      <c r="J507" s="232">
        <f>IFERROR(__xludf.DUMMYFUNCTION("IMPORTRANGE(""https://docs.google.com/spreadsheets/d/1XL5vhW3sbDhbH9Cz0tuDiY8C3ctxq1tqvaCgkFb8cCA/edit?usp=sharing"",""อำนาจเจริญ!J402"")"),0.0)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IFERROR(__xludf.DUMMYFUNCTION("IMPORTRANGE(""https://docs.google.com/spreadsheets/d/1XL5vhW3sbDhbH9Cz0tuDiY8C3ctxq1tqvaCgkFb8cCA/edit?usp=sharing"",""อำนาจเจริญ!I403"")"),0.0)</f>
        <v>0</v>
      </c>
      <c r="J508" s="195">
        <f>IFERROR(__xludf.DUMMYFUNCTION("IMPORTRANGE(""https://docs.google.com/spreadsheets/d/1XL5vhW3sbDhbH9Cz0tuDiY8C3ctxq1tqvaCgkFb8cCA/edit?usp=sharing"",""อำนาจเจริญ!J403"")"),0.0)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IFERROR(__xludf.DUMMYFUNCTION("IMPORTRANGE(""https://docs.google.com/spreadsheets/d/1XL5vhW3sbDhbH9Cz0tuDiY8C3ctxq1tqvaCgkFb8cCA/edit?usp=sharing"",""อำนาจเจริญ!I404"")"),0.0)</f>
        <v>0</v>
      </c>
      <c r="J509" s="195">
        <f>IFERROR(__xludf.DUMMYFUNCTION("IMPORTRANGE(""https://docs.google.com/spreadsheets/d/1XL5vhW3sbDhbH9Cz0tuDiY8C3ctxq1tqvaCgkFb8cCA/edit?usp=sharing"",""อำนาจเจริญ!J404"")"),0.0)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IFERROR(__xludf.DUMMYFUNCTION("IMPORTRANGE(""https://docs.google.com/spreadsheets/d/1XL5vhW3sbDhbH9Cz0tuDiY8C3ctxq1tqvaCgkFb8cCA/edit?usp=sharing"",""อำนาจเจริญ!I405"")"),0.0)</f>
        <v>0</v>
      </c>
      <c r="J510" s="232">
        <f>IFERROR(__xludf.DUMMYFUNCTION("IMPORTRANGE(""https://docs.google.com/spreadsheets/d/1XL5vhW3sbDhbH9Cz0tuDiY8C3ctxq1tqvaCgkFb8cCA/edit?usp=sharing"",""อำนาจเจริญ!J405"")"),0.0)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IFERROR(__xludf.DUMMYFUNCTION("IMPORTRANGE(""https://docs.google.com/spreadsheets/d/1XL5vhW3sbDhbH9Cz0tuDiY8C3ctxq1tqvaCgkFb8cCA/edit?usp=sharing"",""อำนาจเจริญ!I406"")"),0.0)</f>
        <v>0</v>
      </c>
      <c r="J511" s="232">
        <f>IFERROR(__xludf.DUMMYFUNCTION("IMPORTRANGE(""https://docs.google.com/spreadsheets/d/1XL5vhW3sbDhbH9Cz0tuDiY8C3ctxq1tqvaCgkFb8cCA/edit?usp=sharing"",""อำนาจเจริญ!J406"")"),0.0)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IFERROR(__xludf.DUMMYFUNCTION("IMPORTRANGE(""https://docs.google.com/spreadsheets/d/1XL5vhW3sbDhbH9Cz0tuDiY8C3ctxq1tqvaCgkFb8cCA/edit?usp=sharing"",""อำนาจเจริญ!I407"")"),0.0)</f>
        <v>0</v>
      </c>
      <c r="J512" s="232">
        <f>IFERROR(__xludf.DUMMYFUNCTION("IMPORTRANGE(""https://docs.google.com/spreadsheets/d/1XL5vhW3sbDhbH9Cz0tuDiY8C3ctxq1tqvaCgkFb8cCA/edit?usp=sharing"",""อำนาจเจริญ!J407"")"),0.0)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IFERROR(__xludf.DUMMYFUNCTION("IMPORTRANGE(""https://docs.google.com/spreadsheets/d/1XL5vhW3sbDhbH9Cz0tuDiY8C3ctxq1tqvaCgkFb8cCA/edit?usp=sharing"",""อำนาจเจริญ!I408"")"),0.0)</f>
        <v>0</v>
      </c>
      <c r="J513" s="232">
        <f>IFERROR(__xludf.DUMMYFUNCTION("IMPORTRANGE(""https://docs.google.com/spreadsheets/d/1XL5vhW3sbDhbH9Cz0tuDiY8C3ctxq1tqvaCgkFb8cCA/edit?usp=sharing"",""อำนาจเจริญ!J408"")"),0.0)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IFERROR(__xludf.DUMMYFUNCTION("IMPORTRANGE(""https://docs.google.com/spreadsheets/d/1XL5vhW3sbDhbH9Cz0tuDiY8C3ctxq1tqvaCgkFb8cCA/edit?usp=sharing"",""อำนาจเจริญ!I409"")"),0.0)</f>
        <v>0</v>
      </c>
      <c r="J514" s="232">
        <f>IFERROR(__xludf.DUMMYFUNCTION("IMPORTRANGE(""https://docs.google.com/spreadsheets/d/1XL5vhW3sbDhbH9Cz0tuDiY8C3ctxq1tqvaCgkFb8cCA/edit?usp=sharing"",""อำนาจเจริญ!J409"")"),0.0)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IFERROR(__xludf.DUMMYFUNCTION("IMPORTRANGE(""https://docs.google.com/spreadsheets/d/1XL5vhW3sbDhbH9Cz0tuDiY8C3ctxq1tqvaCgkFb8cCA/edit?usp=sharing"",""อำนาจเจริญ!I410"")"),0.0)</f>
        <v>0</v>
      </c>
      <c r="J515" s="232">
        <f>IFERROR(__xludf.DUMMYFUNCTION("IMPORTRANGE(""https://docs.google.com/spreadsheets/d/1XL5vhW3sbDhbH9Cz0tuDiY8C3ctxq1tqvaCgkFb8cCA/edit?usp=sharing"",""อำนาจเจริญ!J410"")"),0.0)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IFERROR(__xludf.DUMMYFUNCTION("IMPORTRANGE(""https://docs.google.com/spreadsheets/d/1XL5vhW3sbDhbH9Cz0tuDiY8C3ctxq1tqvaCgkFb8cCA/edit?usp=sharing"",""อำนาจเจริญ!I411"")"),0.0)</f>
        <v>0</v>
      </c>
      <c r="J516" s="301">
        <f>IFERROR(__xludf.DUMMYFUNCTION("IMPORTRANGE(""https://docs.google.com/spreadsheets/d/1XL5vhW3sbDhbH9Cz0tuDiY8C3ctxq1tqvaCgkFb8cCA/edit?usp=sharing"",""อำนาจเจริญ!J411"")"),0.0)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IFERROR(__xludf.DUMMYFUNCTION("IMPORTRANGE(""https://docs.google.com/spreadsheets/d/1XL5vhW3sbDhbH9Cz0tuDiY8C3ctxq1tqvaCgkFb8cCA/edit?usp=sharing"",""อำนาจเจริญ!I412"")"),0.0)</f>
        <v>0</v>
      </c>
      <c r="J517" s="317">
        <f>IFERROR(__xludf.DUMMYFUNCTION("IMPORTRANGE(""https://docs.google.com/spreadsheets/d/1XL5vhW3sbDhbH9Cz0tuDiY8C3ctxq1tqvaCgkFb8cCA/edit?usp=sharing"",""อำนาจเจริญ!J412"")"),0.0)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IFERROR(__xludf.DUMMYFUNCTION("IMPORTRANGE(""https://docs.google.com/spreadsheets/d/1XL5vhW3sbDhbH9Cz0tuDiY8C3ctxq1tqvaCgkFb8cCA/edit?usp=sharing"",""อำนาจเจริญ!I413"")"),0.0)</f>
        <v>0</v>
      </c>
      <c r="J518" s="317">
        <f>IFERROR(__xludf.DUMMYFUNCTION("IMPORTRANGE(""https://docs.google.com/spreadsheets/d/1XL5vhW3sbDhbH9Cz0tuDiY8C3ctxq1tqvaCgkFb8cCA/edit?usp=sharing"",""อำนาจเจริญ!J413"")"),0.0)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IFERROR(__xludf.DUMMYFUNCTION("IMPORTRANGE(""https://docs.google.com/spreadsheets/d/1XL5vhW3sbDhbH9Cz0tuDiY8C3ctxq1tqvaCgkFb8cCA/edit?usp=sharing"",""อำนาจเจริญ!I414"")"),0.0)</f>
        <v>0</v>
      </c>
      <c r="J519" s="222">
        <f>IFERROR(__xludf.DUMMYFUNCTION("IMPORTRANGE(""https://docs.google.com/spreadsheets/d/1XL5vhW3sbDhbH9Cz0tuDiY8C3ctxq1tqvaCgkFb8cCA/edit?usp=sharing"",""อำนาจเจริญ!J414"")"),0.0)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IFERROR(__xludf.DUMMYFUNCTION("IMPORTRANGE(""https://docs.google.com/spreadsheets/d/1XL5vhW3sbDhbH9Cz0tuDiY8C3ctxq1tqvaCgkFb8cCA/edit?usp=sharing"",""อำนาจเจริญ!I415"")"),0.0)</f>
        <v>0</v>
      </c>
      <c r="J520" s="222">
        <f>IFERROR(__xludf.DUMMYFUNCTION("IMPORTRANGE(""https://docs.google.com/spreadsheets/d/1XL5vhW3sbDhbH9Cz0tuDiY8C3ctxq1tqvaCgkFb8cCA/edit?usp=sharing"",""อำนาจเจริญ!J415"")"),0.0)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IFERROR(__xludf.DUMMYFUNCTION("IMPORTRANGE(""https://docs.google.com/spreadsheets/d/1XL5vhW3sbDhbH9Cz0tuDiY8C3ctxq1tqvaCgkFb8cCA/edit?usp=sharing"",""อำนาจเจริญ!I416"")"),0.0)</f>
        <v>0</v>
      </c>
      <c r="J521" s="222">
        <f>IFERROR(__xludf.DUMMYFUNCTION("IMPORTRANGE(""https://docs.google.com/spreadsheets/d/1XL5vhW3sbDhbH9Cz0tuDiY8C3ctxq1tqvaCgkFb8cCA/edit?usp=sharing"",""อำนาจเจริญ!J416"")"),0.0)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IFERROR(__xludf.DUMMYFUNCTION("IMPORTRANGE(""https://docs.google.com/spreadsheets/d/1XL5vhW3sbDhbH9Cz0tuDiY8C3ctxq1tqvaCgkFb8cCA/edit?usp=sharing"",""อำนาจเจริญ!I417"")"),0.0)</f>
        <v>0</v>
      </c>
      <c r="J522" s="222">
        <f>IFERROR(__xludf.DUMMYFUNCTION("IMPORTRANGE(""https://docs.google.com/spreadsheets/d/1XL5vhW3sbDhbH9Cz0tuDiY8C3ctxq1tqvaCgkFb8cCA/edit?usp=sharing"",""อำนาจเจริญ!J417"")"),0.0)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IFERROR(__xludf.DUMMYFUNCTION("IMPORTRANGE(""https://docs.google.com/spreadsheets/d/1XL5vhW3sbDhbH9Cz0tuDiY8C3ctxq1tqvaCgkFb8cCA/edit?usp=sharing"",""อำนาจเจริญ!I418"")"),0.0)</f>
        <v>0</v>
      </c>
      <c r="J523" s="222">
        <f>IFERROR(__xludf.DUMMYFUNCTION("IMPORTRANGE(""https://docs.google.com/spreadsheets/d/1XL5vhW3sbDhbH9Cz0tuDiY8C3ctxq1tqvaCgkFb8cCA/edit?usp=sharing"",""อำนาจเจริญ!J418"")"),0.0)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IFERROR(__xludf.DUMMYFUNCTION("IMPORTRANGE(""https://docs.google.com/spreadsheets/d/1XL5vhW3sbDhbH9Cz0tuDiY8C3ctxq1tqvaCgkFb8cCA/edit?usp=sharing"",""อำนาจเจริญ!I419"")"),0.0)</f>
        <v>0</v>
      </c>
      <c r="J524" s="222">
        <f>IFERROR(__xludf.DUMMYFUNCTION("IMPORTRANGE(""https://docs.google.com/spreadsheets/d/1XL5vhW3sbDhbH9Cz0tuDiY8C3ctxq1tqvaCgkFb8cCA/edit?usp=sharing"",""อำนาจเจริญ!J419"")"),0.0)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IFERROR(__xludf.DUMMYFUNCTION("IMPORTRANGE(""https://docs.google.com/spreadsheets/d/1XL5vhW3sbDhbH9Cz0tuDiY8C3ctxq1tqvaCgkFb8cCA/edit?usp=sharing"",""อำนาจเจริญ!I420"")"),0.0)</f>
        <v>0</v>
      </c>
      <c r="J525" s="317">
        <f>IFERROR(__xludf.DUMMYFUNCTION("IMPORTRANGE(""https://docs.google.com/spreadsheets/d/1XL5vhW3sbDhbH9Cz0tuDiY8C3ctxq1tqvaCgkFb8cCA/edit?usp=sharing"",""อำนาจเจริญ!J420"")"),0.0)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IFERROR(__xludf.DUMMYFUNCTION("IMPORTRANGE(""https://docs.google.com/spreadsheets/d/1XL5vhW3sbDhbH9Cz0tuDiY8C3ctxq1tqvaCgkFb8cCA/edit?usp=sharing"",""อำนาจเจริญ!I421"")"),0.0)</f>
        <v>0</v>
      </c>
      <c r="J526" s="317">
        <f>IFERROR(__xludf.DUMMYFUNCTION("IMPORTRANGE(""https://docs.google.com/spreadsheets/d/1XL5vhW3sbDhbH9Cz0tuDiY8C3ctxq1tqvaCgkFb8cCA/edit?usp=sharing"",""อำนาจเจริญ!J421"")"),0.0)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IFERROR(__xludf.DUMMYFUNCTION("IMPORTRANGE(""https://docs.google.com/spreadsheets/d/1XL5vhW3sbDhbH9Cz0tuDiY8C3ctxq1tqvaCgkFb8cCA/edit?usp=sharing"",""อำนาจเจริญ!I422"")"),0.0)</f>
        <v>0</v>
      </c>
      <c r="J527" s="232">
        <f>IFERROR(__xludf.DUMMYFUNCTION("IMPORTRANGE(""https://docs.google.com/spreadsheets/d/1XL5vhW3sbDhbH9Cz0tuDiY8C3ctxq1tqvaCgkFb8cCA/edit?usp=sharing"",""อำนาจเจริญ!J422"")"),0.0)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IFERROR(__xludf.DUMMYFUNCTION("IMPORTRANGE(""https://docs.google.com/spreadsheets/d/1XL5vhW3sbDhbH9Cz0tuDiY8C3ctxq1tqvaCgkFb8cCA/edit?usp=sharing"",""อำนาจเจริญ!I423"")"),0.0)</f>
        <v>0</v>
      </c>
      <c r="J528" s="232">
        <f>IFERROR(__xludf.DUMMYFUNCTION("IMPORTRANGE(""https://docs.google.com/spreadsheets/d/1XL5vhW3sbDhbH9Cz0tuDiY8C3ctxq1tqvaCgkFb8cCA/edit?usp=sharing"",""อำนาจเจริญ!J423"")"),0.0)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IFERROR(__xludf.DUMMYFUNCTION("IMPORTRANGE(""https://docs.google.com/spreadsheets/d/1XL5vhW3sbDhbH9Cz0tuDiY8C3ctxq1tqvaCgkFb8cCA/edit?usp=sharing"",""อำนาจเจริญ!I424"")"),0.0)</f>
        <v>0</v>
      </c>
      <c r="J529" s="232">
        <f>IFERROR(__xludf.DUMMYFUNCTION("IMPORTRANGE(""https://docs.google.com/spreadsheets/d/1XL5vhW3sbDhbH9Cz0tuDiY8C3ctxq1tqvaCgkFb8cCA/edit?usp=sharing"",""อำนาจเจริญ!J424"")"),0.0)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IFERROR(__xludf.DUMMYFUNCTION("IMPORTRANGE(""https://docs.google.com/spreadsheets/d/1XL5vhW3sbDhbH9Cz0tuDiY8C3ctxq1tqvaCgkFb8cCA/edit?usp=sharing"",""อำนาจเจริญ!I425"")"),0.0)</f>
        <v>0</v>
      </c>
      <c r="J530" s="232">
        <f>IFERROR(__xludf.DUMMYFUNCTION("IMPORTRANGE(""https://docs.google.com/spreadsheets/d/1XL5vhW3sbDhbH9Cz0tuDiY8C3ctxq1tqvaCgkFb8cCA/edit?usp=sharing"",""อำนาจเจริญ!J425"")"),0.0)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IFERROR(__xludf.DUMMYFUNCTION("IMPORTRANGE(""https://docs.google.com/spreadsheets/d/1XL5vhW3sbDhbH9Cz0tuDiY8C3ctxq1tqvaCgkFb8cCA/edit?usp=sharing"",""อำนาจเจริญ!I426"")"),0.0)</f>
        <v>0</v>
      </c>
      <c r="J531" s="232">
        <f>IFERROR(__xludf.DUMMYFUNCTION("IMPORTRANGE(""https://docs.google.com/spreadsheets/d/1XL5vhW3sbDhbH9Cz0tuDiY8C3ctxq1tqvaCgkFb8cCA/edit?usp=sharing"",""อำนาจเจริญ!J426"")"),0.0)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IFERROR(__xludf.DUMMYFUNCTION("IMPORTRANGE(""https://docs.google.com/spreadsheets/d/1XL5vhW3sbDhbH9Cz0tuDiY8C3ctxq1tqvaCgkFb8cCA/edit?usp=sharing"",""อำนาจเจริญ!I427"")"),0.0)</f>
        <v>0</v>
      </c>
      <c r="J532" s="499">
        <f>IFERROR(__xludf.DUMMYFUNCTION("IMPORTRANGE(""https://docs.google.com/spreadsheets/d/1XL5vhW3sbDhbH9Cz0tuDiY8C3ctxq1tqvaCgkFb8cCA/edit?usp=sharing"",""อำนาจเจริญ!J427"")"),0.0)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IFERROR(__xludf.DUMMYFUNCTION("IMPORTRANGE(""https://docs.google.com/spreadsheets/d/1XL5vhW3sbDhbH9Cz0tuDiY8C3ctxq1tqvaCgkFb8cCA/edit?usp=sharing"",""อำนาจเจริญ!I428"")"),22.0)</f>
        <v>22</v>
      </c>
      <c r="J533" s="443">
        <f>IFERROR(__xludf.DUMMYFUNCTION("IMPORTRANGE(""https://docs.google.com/spreadsheets/d/1XL5vhW3sbDhbH9Cz0tuDiY8C3ctxq1tqvaCgkFb8cCA/edit?usp=sharing"",""อำนาจเจริญ!J428"")"),22.0)</f>
        <v>22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IFERROR(__xludf.DUMMYFUNCTION("IMPORTRANGE(""https://docs.google.com/spreadsheets/d/1XL5vhW3sbDhbH9Cz0tuDiY8C3ctxq1tqvaCgkFb8cCA/edit?usp=sharing"",""อำนาจเจริญ!L428"")"),34340.0)</f>
        <v>34340</v>
      </c>
      <c r="M533" s="445"/>
      <c r="N533" s="445">
        <f>IFERROR(__xludf.DUMMYFUNCTION("IMPORTRANGE(""https://docs.google.com/spreadsheets/d/1XL5vhW3sbDhbH9Cz0tuDiY8C3ctxq1tqvaCgkFb8cCA/edit?usp=sharing"",""อำนาจเจริญ!M428"")"),22700.0)</f>
        <v>22700</v>
      </c>
      <c r="O533" s="445">
        <f t="shared" ref="O533:O537" si="119">+IF(L533&gt;0,N533*100/L533,0)</f>
        <v>66.10366919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IFERROR(__xludf.DUMMYFUNCTION("IMPORTRANGE(""https://docs.google.com/spreadsheets/d/1XL5vhW3sbDhbH9Cz0tuDiY8C3ctxq1tqvaCgkFb8cCA/edit?usp=sharing"",""อำนาจเจริญ!L429"")"),0.0)</f>
        <v>0</v>
      </c>
      <c r="M534" s="197"/>
      <c r="N534" s="203">
        <f>IFERROR(__xludf.DUMMYFUNCTION("IMPORTRANGE(""https://docs.google.com/spreadsheets/d/1XL5vhW3sbDhbH9Cz0tuDiY8C3ctxq1tqvaCgkFb8cCA/edit?usp=sharing"",""อำนาจเจริญ!M429"")"),0.0)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IFERROR(__xludf.DUMMYFUNCTION("IMPORTRANGE(""https://docs.google.com/spreadsheets/d/1XL5vhW3sbDhbH9Cz0tuDiY8C3ctxq1tqvaCgkFb8cCA/edit?usp=sharing"",""อำนาจเจริญ!L430"")"),34340.0)</f>
        <v>34340</v>
      </c>
      <c r="M535" s="198"/>
      <c r="N535" s="203">
        <f>IFERROR(__xludf.DUMMYFUNCTION("IMPORTRANGE(""https://docs.google.com/spreadsheets/d/1XL5vhW3sbDhbH9Cz0tuDiY8C3ctxq1tqvaCgkFb8cCA/edit?usp=sharing"",""อำนาจเจริญ!M430"")"),22700.0)</f>
        <v>22700</v>
      </c>
      <c r="O535" s="203">
        <f t="shared" si="119"/>
        <v>66.10366919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IFERROR(__xludf.DUMMYFUNCTION("IMPORTRANGE(""https://docs.google.com/spreadsheets/d/1XL5vhW3sbDhbH9Cz0tuDiY8C3ctxq1tqvaCgkFb8cCA/edit?usp=sharing"",""อำนาจเจริญ!L431"")"),0.0)</f>
        <v>0</v>
      </c>
      <c r="M536" s="203"/>
      <c r="N536" s="203">
        <f>IFERROR(__xludf.DUMMYFUNCTION("IMPORTRANGE(""https://docs.google.com/spreadsheets/d/1XL5vhW3sbDhbH9Cz0tuDiY8C3ctxq1tqvaCgkFb8cCA/edit?usp=sharing"",""อำนาจเจริญ!M431"")"),0.0)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IFERROR(__xludf.DUMMYFUNCTION("IMPORTRANGE(""https://docs.google.com/spreadsheets/d/1XL5vhW3sbDhbH9Cz0tuDiY8C3ctxq1tqvaCgkFb8cCA/edit?usp=sharing"",""อำนาจเจริญ!L432"")"),34340.0)</f>
        <v>34340</v>
      </c>
      <c r="M537" s="203"/>
      <c r="N537" s="203">
        <f>IFERROR(__xludf.DUMMYFUNCTION("IMPORTRANGE(""https://docs.google.com/spreadsheets/d/1XL5vhW3sbDhbH9Cz0tuDiY8C3ctxq1tqvaCgkFb8cCA/edit?usp=sharing"",""อำนาจเจริญ!M432"")"),22700.0)</f>
        <v>22700</v>
      </c>
      <c r="O537" s="203">
        <f t="shared" si="119"/>
        <v>66.10366919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IFERROR(__xludf.DUMMYFUNCTION("IMPORTRANGE(""https://docs.google.com/spreadsheets/d/1XL5vhW3sbDhbH9Cz0tuDiY8C3ctxq1tqvaCgkFb8cCA/edit?usp=sharing"",""อำนาจเจริญ!M433"")"),14980.0)</f>
        <v>14980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IFERROR(__xludf.DUMMYFUNCTION("IMPORTRANGE(""https://docs.google.com/spreadsheets/d/1XL5vhW3sbDhbH9Cz0tuDiY8C3ctxq1tqvaCgkFb8cCA/edit?usp=sharing"",""อำนาจเจริญ!M434"")"),0.0)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IFERROR(__xludf.DUMMYFUNCTION("IMPORTRANGE(""https://docs.google.com/spreadsheets/d/1XL5vhW3sbDhbH9Cz0tuDiY8C3ctxq1tqvaCgkFb8cCA/edit?usp=sharing"",""อำนาจเจริญ!M435"")"),0.0)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IFERROR(__xludf.DUMMYFUNCTION("IMPORTRANGE(""https://docs.google.com/spreadsheets/d/1XL5vhW3sbDhbH9Cz0tuDiY8C3ctxq1tqvaCgkFb8cCA/edit?usp=sharing"",""อำนาจเจริญ!M436"")"),7720.0)</f>
        <v>7720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IFERROR(__xludf.DUMMYFUNCTION("IMPORTRANGE(""https://docs.google.com/spreadsheets/d/1XL5vhW3sbDhbH9Cz0tuDiY8C3ctxq1tqvaCgkFb8cCA/edit?usp=sharing"",""อำนาจเจริญ!J438"")"),0.0)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IFERROR(__xludf.DUMMYFUNCTION("IMPORTRANGE(""https://docs.google.com/spreadsheets/d/1XL5vhW3sbDhbH9Cz0tuDiY8C3ctxq1tqvaCgkFb8cCA/edit?usp=sharing"",""อำนาจเจริญ!J439"")"),1.0)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IFERROR(__xludf.DUMMYFUNCTION("IMPORTRANGE(""https://docs.google.com/spreadsheets/d/1XL5vhW3sbDhbH9Cz0tuDiY8C3ctxq1tqvaCgkFb8cCA/edit?usp=sharing"",""อำนาจเจริญ!J440"")"),1.0)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IFERROR(__xludf.DUMMYFUNCTION("IMPORTRANGE(""https://docs.google.com/spreadsheets/d/1XL5vhW3sbDhbH9Cz0tuDiY8C3ctxq1tqvaCgkFb8cCA/edit?usp=sharing"",""อำนาจเจริญ!J441"")"),1.0)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IFERROR(__xludf.DUMMYFUNCTION("IMPORTRANGE(""https://docs.google.com/spreadsheets/d/1XL5vhW3sbDhbH9Cz0tuDiY8C3ctxq1tqvaCgkFb8cCA/edit?usp=sharing"",""อำนาจเจริญ!I442"")"),22.0)</f>
        <v>22</v>
      </c>
      <c r="J547" s="223">
        <f>IFERROR(__xludf.DUMMYFUNCTION("IMPORTRANGE(""https://docs.google.com/spreadsheets/d/1XL5vhW3sbDhbH9Cz0tuDiY8C3ctxq1tqvaCgkFb8cCA/edit?usp=sharing"",""อำนาจเจริญ!J442"")"),22.0)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IFERROR(__xludf.DUMMYFUNCTION("IMPORTRANGE(""https://docs.google.com/spreadsheets/d/1XL5vhW3sbDhbH9Cz0tuDiY8C3ctxq1tqvaCgkFb8cCA/edit?usp=sharing"",""อำนาจเจริญ!J166"")"),0.0)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IFERROR(__xludf.DUMMYFUNCTION("IMPORTRANGE(""https://docs.google.com/spreadsheets/d/1XL5vhW3sbDhbH9Cz0tuDiY8C3ctxq1tqvaCgkFb8cCA/edit?usp=sharing"",""อำนาจเจริญ!J444"")"),0.0)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IFERROR(__xludf.DUMMYFUNCTION("IMPORTRANGE(""https://docs.google.com/spreadsheets/d/1XL5vhW3sbDhbH9Cz0tuDiY8C3ctxq1tqvaCgkFb8cCA/edit?usp=sharing"",""อำนาจเจริญ!J445"")"),0.0)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IFERROR(__xludf.DUMMYFUNCTION("IMPORTRANGE(""https://docs.google.com/spreadsheets/d/1XL5vhW3sbDhbH9Cz0tuDiY8C3ctxq1tqvaCgkFb8cCA/edit?usp=sharing"",""อำนาจเจริญ!I446"")"),0.0)</f>
        <v>0</v>
      </c>
      <c r="J551" s="443">
        <f>IFERROR(__xludf.DUMMYFUNCTION("IMPORTRANGE(""https://docs.google.com/spreadsheets/d/1XL5vhW3sbDhbH9Cz0tuDiY8C3ctxq1tqvaCgkFb8cCA/edit?usp=sharing"",""อำนาจเจริญ!J446"")"),0.0)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IFERROR(__xludf.DUMMYFUNCTION("IMPORTRANGE(""https://docs.google.com/spreadsheets/d/1XL5vhW3sbDhbH9Cz0tuDiY8C3ctxq1tqvaCgkFb8cCA/edit?usp=sharing"",""อำนาจเจริญ!L446"")"),0.0)</f>
        <v>0</v>
      </c>
      <c r="M551" s="445"/>
      <c r="N551" s="445">
        <f>IFERROR(__xludf.DUMMYFUNCTION("IMPORTRANGE(""https://docs.google.com/spreadsheets/d/1XL5vhW3sbDhbH9Cz0tuDiY8C3ctxq1tqvaCgkFb8cCA/edit?usp=sharing"",""อำนาจเจริญ!M446"")"),0.0)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IFERROR(__xludf.DUMMYFUNCTION("IMPORTRANGE(""https://docs.google.com/spreadsheets/d/1XL5vhW3sbDhbH9Cz0tuDiY8C3ctxq1tqvaCgkFb8cCA/edit?usp=sharing"",""อำนาจเจริญ!L447"")"),0.0)</f>
        <v>0</v>
      </c>
      <c r="M552" s="197"/>
      <c r="N552" s="203">
        <f>IFERROR(__xludf.DUMMYFUNCTION("IMPORTRANGE(""https://docs.google.com/spreadsheets/d/1XL5vhW3sbDhbH9Cz0tuDiY8C3ctxq1tqvaCgkFb8cCA/edit?usp=sharing"",""อำนาจเจริญ!M447"")"),0.0)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IFERROR(__xludf.DUMMYFUNCTION("IMPORTRANGE(""https://docs.google.com/spreadsheets/d/1XL5vhW3sbDhbH9Cz0tuDiY8C3ctxq1tqvaCgkFb8cCA/edit?usp=sharing"",""อำนาจเจริญ!L448"")"),0.0)</f>
        <v>0</v>
      </c>
      <c r="M553" s="198"/>
      <c r="N553" s="203">
        <f>IFERROR(__xludf.DUMMYFUNCTION("IMPORTRANGE(""https://docs.google.com/spreadsheets/d/1XL5vhW3sbDhbH9Cz0tuDiY8C3ctxq1tqvaCgkFb8cCA/edit?usp=sharing"",""อำนาจเจริญ!M448"")"),0.0)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IFERROR(__xludf.DUMMYFUNCTION("IMPORTRANGE(""https://docs.google.com/spreadsheets/d/1XL5vhW3sbDhbH9Cz0tuDiY8C3ctxq1tqvaCgkFb8cCA/edit?usp=sharing"",""อำนาจเจริญ!L449"")"),0.0)</f>
        <v>0</v>
      </c>
      <c r="M554" s="203"/>
      <c r="N554" s="203">
        <f>IFERROR(__xludf.DUMMYFUNCTION("IMPORTRANGE(""https://docs.google.com/spreadsheets/d/1XL5vhW3sbDhbH9Cz0tuDiY8C3ctxq1tqvaCgkFb8cCA/edit?usp=sharing"",""อำนาจเจริญ!M449"")"),0.0)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IFERROR(__xludf.DUMMYFUNCTION("IMPORTRANGE(""https://docs.google.com/spreadsheets/d/1XL5vhW3sbDhbH9Cz0tuDiY8C3ctxq1tqvaCgkFb8cCA/edit?usp=sharing"",""อำนาจเจริญ!L450"")"),0.0)</f>
        <v>0</v>
      </c>
      <c r="M555" s="203"/>
      <c r="N555" s="203">
        <f>IFERROR(__xludf.DUMMYFUNCTION("IMPORTRANGE(""https://docs.google.com/spreadsheets/d/1XL5vhW3sbDhbH9Cz0tuDiY8C3ctxq1tqvaCgkFb8cCA/edit?usp=sharing"",""อำนาจเจริญ!M450"")"),0.0)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IFERROR(__xludf.DUMMYFUNCTION("IMPORTRANGE(""https://docs.google.com/spreadsheets/d/1XL5vhW3sbDhbH9Cz0tuDiY8C3ctxq1tqvaCgkFb8cCA/edit?usp=sharing"",""อำนาจเจริญ!M451"")"),0.0)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IFERROR(__xludf.DUMMYFUNCTION("IMPORTRANGE(""https://docs.google.com/spreadsheets/d/1XL5vhW3sbDhbH9Cz0tuDiY8C3ctxq1tqvaCgkFb8cCA/edit?usp=sharing"",""อำนาจเจริญ!M452"")"),0.0)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IFERROR(__xludf.DUMMYFUNCTION("IMPORTRANGE(""https://docs.google.com/spreadsheets/d/1XL5vhW3sbDhbH9Cz0tuDiY8C3ctxq1tqvaCgkFb8cCA/edit?usp=sharing"",""อำนาจเจริญ!M453"")"),0.0)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IFERROR(__xludf.DUMMYFUNCTION("IMPORTRANGE(""https://docs.google.com/spreadsheets/d/1XL5vhW3sbDhbH9Cz0tuDiY8C3ctxq1tqvaCgkFb8cCA/edit?usp=sharing"",""อำนาจเจริญ!M454"")"),0.0)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IFERROR(__xludf.DUMMYFUNCTION("IMPORTRANGE(""https://docs.google.com/spreadsheets/d/1XL5vhW3sbDhbH9Cz0tuDiY8C3ctxq1tqvaCgkFb8cCA/edit?usp=sharing"",""อำนาจเจริญ!I455"")"),0.0)</f>
        <v>0</v>
      </c>
      <c r="J560" s="195">
        <f>IFERROR(__xludf.DUMMYFUNCTION("IMPORTRANGE(""https://docs.google.com/spreadsheets/d/1XL5vhW3sbDhbH9Cz0tuDiY8C3ctxq1tqvaCgkFb8cCA/edit?usp=sharing"",""อำนาจเจริญ!J455"")"),0.0)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IFERROR(__xludf.DUMMYFUNCTION("IMPORTRANGE(""https://docs.google.com/spreadsheets/d/1XL5vhW3sbDhbH9Cz0tuDiY8C3ctxq1tqvaCgkFb8cCA/edit?usp=sharing"",""อำนาจเจริญ!I456"")"),0.0)</f>
        <v>0</v>
      </c>
      <c r="J561" s="238">
        <f>IFERROR(__xludf.DUMMYFUNCTION("IMPORTRANGE(""https://docs.google.com/spreadsheets/d/1XL5vhW3sbDhbH9Cz0tuDiY8C3ctxq1tqvaCgkFb8cCA/edit?usp=sharing"",""อำนาจเจริญ!J456"")"),0.0)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IFERROR(__xludf.DUMMYFUNCTION("IMPORTRANGE(""https://docs.google.com/spreadsheets/d/1XL5vhW3sbDhbH9Cz0tuDiY8C3ctxq1tqvaCgkFb8cCA/edit?usp=sharing"",""อำนาจเจริญ!I457"")"),"")</f>
        <v/>
      </c>
      <c r="J562" s="238" t="str">
        <f>IFERROR(__xludf.DUMMYFUNCTION("IMPORTRANGE(""https://docs.google.com/spreadsheets/d/1XL5vhW3sbDhbH9Cz0tuDiY8C3ctxq1tqvaCgkFb8cCA/edit?usp=sharing"",""อำนาจเจริญ!J457"")"),"")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IFERROR(__xludf.DUMMYFUNCTION("IMPORTRANGE(""https://docs.google.com/spreadsheets/d/1XL5vhW3sbDhbH9Cz0tuDiY8C3ctxq1tqvaCgkFb8cCA/edit?usp=sharing"",""อำนาจเจริญ!I458"")"),"")</f>
        <v/>
      </c>
      <c r="J563" s="222" t="str">
        <f>IFERROR(__xludf.DUMMYFUNCTION("IMPORTRANGE(""https://docs.google.com/spreadsheets/d/1XL5vhW3sbDhbH9Cz0tuDiY8C3ctxq1tqvaCgkFb8cCA/edit?usp=sharing"",""อำนาจเจริญ!J458"")"),"")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IFERROR(__xludf.DUMMYFUNCTION("IMPORTRANGE(""https://docs.google.com/spreadsheets/d/1XL5vhW3sbDhbH9Cz0tuDiY8C3ctxq1tqvaCgkFb8cCA/edit?usp=sharing"",""อำนาจเจริญ!I459"")"),1460.0)</f>
        <v>1460</v>
      </c>
      <c r="J564" s="404">
        <f>IFERROR(__xludf.DUMMYFUNCTION("IMPORTRANGE(""https://docs.google.com/spreadsheets/d/1XL5vhW3sbDhbH9Cz0tuDiY8C3ctxq1tqvaCgkFb8cCA/edit?usp=sharing"",""อำนาจเจริญ!J459"")"),0.0)</f>
        <v>0</v>
      </c>
      <c r="K564" s="405">
        <f t="shared" si="122"/>
        <v>0</v>
      </c>
      <c r="L564" s="406">
        <f>IFERROR(__xludf.DUMMYFUNCTION("IMPORTRANGE(""https://docs.google.com/spreadsheets/d/1XL5vhW3sbDhbH9Cz0tuDiY8C3ctxq1tqvaCgkFb8cCA/edit?usp=sharing"",""อำนาจเจริญ!L459"")"),127280.0)</f>
        <v>127280</v>
      </c>
      <c r="M564" s="406"/>
      <c r="N564" s="406">
        <f>IFERROR(__xludf.DUMMYFUNCTION("IMPORTRANGE(""https://docs.google.com/spreadsheets/d/1XL5vhW3sbDhbH9Cz0tuDiY8C3ctxq1tqvaCgkFb8cCA/edit?usp=sharing"",""อำนาจเจริญ!M459"")"),11480.0)</f>
        <v>11480</v>
      </c>
      <c r="O564" s="406">
        <f t="shared" ref="O564:O568" si="123">+IF(L564&gt;0,N564*100/L564,0)</f>
        <v>9.019484601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IFERROR(__xludf.DUMMYFUNCTION("IMPORTRANGE(""https://docs.google.com/spreadsheets/d/1XL5vhW3sbDhbH9Cz0tuDiY8C3ctxq1tqvaCgkFb8cCA/edit?usp=sharing"",""อำนาจเจริญ!L460"")"),0.0)</f>
        <v>0</v>
      </c>
      <c r="M565" s="197"/>
      <c r="N565" s="203">
        <f>IFERROR(__xludf.DUMMYFUNCTION("IMPORTRANGE(""https://docs.google.com/spreadsheets/d/1XL5vhW3sbDhbH9Cz0tuDiY8C3ctxq1tqvaCgkFb8cCA/edit?usp=sharing"",""อำนาจเจริญ!M460"")"),0.0)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IFERROR(__xludf.DUMMYFUNCTION("IMPORTRANGE(""https://docs.google.com/spreadsheets/d/1XL5vhW3sbDhbH9Cz0tuDiY8C3ctxq1tqvaCgkFb8cCA/edit?usp=sharing"",""อำนาจเจริญ!L461"")"),127280.0)</f>
        <v>127280</v>
      </c>
      <c r="M566" s="198"/>
      <c r="N566" s="203">
        <f>IFERROR(__xludf.DUMMYFUNCTION("IMPORTRANGE(""https://docs.google.com/spreadsheets/d/1XL5vhW3sbDhbH9Cz0tuDiY8C3ctxq1tqvaCgkFb8cCA/edit?usp=sharing"",""อำนาจเจริญ!M461"")"),11480.0)</f>
        <v>11480</v>
      </c>
      <c r="O566" s="203">
        <f t="shared" si="123"/>
        <v>9.019484601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IFERROR(__xludf.DUMMYFUNCTION("IMPORTRANGE(""https://docs.google.com/spreadsheets/d/1XL5vhW3sbDhbH9Cz0tuDiY8C3ctxq1tqvaCgkFb8cCA/edit?usp=sharing"",""อำนาจเจริญ!L462"")"),0.0)</f>
        <v>0</v>
      </c>
      <c r="M567" s="203"/>
      <c r="N567" s="203">
        <f>IFERROR(__xludf.DUMMYFUNCTION("IMPORTRANGE(""https://docs.google.com/spreadsheets/d/1XL5vhW3sbDhbH9Cz0tuDiY8C3ctxq1tqvaCgkFb8cCA/edit?usp=sharing"",""อำนาจเจริญ!M462"")"),0.0)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IFERROR(__xludf.DUMMYFUNCTION("IMPORTRANGE(""https://docs.google.com/spreadsheets/d/1XL5vhW3sbDhbH9Cz0tuDiY8C3ctxq1tqvaCgkFb8cCA/edit?usp=sharing"",""อำนาจเจริญ!L463"")"),127280.0)</f>
        <v>127280</v>
      </c>
      <c r="M568" s="203"/>
      <c r="N568" s="203">
        <f>IFERROR(__xludf.DUMMYFUNCTION("IMPORTRANGE(""https://docs.google.com/spreadsheets/d/1XL5vhW3sbDhbH9Cz0tuDiY8C3ctxq1tqvaCgkFb8cCA/edit?usp=sharing"",""อำนาจเจริญ!M463"")"),11480.0)</f>
        <v>11480</v>
      </c>
      <c r="O568" s="203">
        <f t="shared" si="123"/>
        <v>9.019484601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IFERROR(__xludf.DUMMYFUNCTION("IMPORTRANGE(""https://docs.google.com/spreadsheets/d/1XL5vhW3sbDhbH9Cz0tuDiY8C3ctxq1tqvaCgkFb8cCA/edit?usp=sharing"",""อำนาจเจริญ!M464"")"),0.0)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IFERROR(__xludf.DUMMYFUNCTION("IMPORTRANGE(""https://docs.google.com/spreadsheets/d/1XL5vhW3sbDhbH9Cz0tuDiY8C3ctxq1tqvaCgkFb8cCA/edit?usp=sharing"",""อำนาจเจริญ!M465"")"),0.0)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IFERROR(__xludf.DUMMYFUNCTION("IMPORTRANGE(""https://docs.google.com/spreadsheets/d/1XL5vhW3sbDhbH9Cz0tuDiY8C3ctxq1tqvaCgkFb8cCA/edit?usp=sharing"",""อำนาจเจริญ!M466"")"),11000.0)</f>
        <v>11000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IFERROR(__xludf.DUMMYFUNCTION("IMPORTRANGE(""https://docs.google.com/spreadsheets/d/1XL5vhW3sbDhbH9Cz0tuDiY8C3ctxq1tqvaCgkFb8cCA/edit?usp=sharing"",""อำนาจเจริญ!M467"")"),480.0)</f>
        <v>480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IFERROR(__xludf.DUMMYFUNCTION("IMPORTRANGE(""https://docs.google.com/spreadsheets/d/1XL5vhW3sbDhbH9Cz0tuDiY8C3ctxq1tqvaCgkFb8cCA/edit?usp=sharing"",""อำนาจเจริญ!I468"")"),1460.0)</f>
        <v>1460</v>
      </c>
      <c r="J573" s="453">
        <f>IFERROR(__xludf.DUMMYFUNCTION("IMPORTRANGE(""https://docs.google.com/spreadsheets/d/1XL5vhW3sbDhbH9Cz0tuDiY8C3ctxq1tqvaCgkFb8cCA/edit?usp=sharing"",""อำนาจเจริญ!J468"")"),0.0)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IFERROR(__xludf.DUMMYFUNCTION("IMPORTRANGE(""https://docs.google.com/spreadsheets/d/1XL5vhW3sbDhbH9Cz0tuDiY8C3ctxq1tqvaCgkFb8cCA/edit?usp=sharing"",""อำนาจเจริญ!I470"")"),0.0)</f>
        <v>0</v>
      </c>
      <c r="J575" s="232">
        <f>IFERROR(__xludf.DUMMYFUNCTION("IMPORTRANGE(""https://docs.google.com/spreadsheets/d/1XL5vhW3sbDhbH9Cz0tuDiY8C3ctxq1tqvaCgkFb8cCA/edit?usp=sharing"",""อำนาจเจริญ!J470"")"),0.0)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IFERROR(__xludf.DUMMYFUNCTION("IMPORTRANGE(""https://docs.google.com/spreadsheets/d/1XL5vhW3sbDhbH9Cz0tuDiY8C3ctxq1tqvaCgkFb8cCA/edit?usp=sharing"",""อำนาจเจริญ!I471"")"),0.0)</f>
        <v>0</v>
      </c>
      <c r="J576" s="232">
        <f>IFERROR(__xludf.DUMMYFUNCTION("IMPORTRANGE(""https://docs.google.com/spreadsheets/d/1XL5vhW3sbDhbH9Cz0tuDiY8C3ctxq1tqvaCgkFb8cCA/edit?usp=sharing"",""อำนาจเจริญ!J471"")"),0.0)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IFERROR(__xludf.DUMMYFUNCTION("IMPORTRANGE(""https://docs.google.com/spreadsheets/d/1XL5vhW3sbDhbH9Cz0tuDiY8C3ctxq1tqvaCgkFb8cCA/edit?usp=sharing"",""อำนาจเจริญ!I472"")"),0.0)</f>
        <v>0</v>
      </c>
      <c r="J577" s="223">
        <f>IFERROR(__xludf.DUMMYFUNCTION("IMPORTRANGE(""https://docs.google.com/spreadsheets/d/1XL5vhW3sbDhbH9Cz0tuDiY8C3ctxq1tqvaCgkFb8cCA/edit?usp=sharing"",""อำนาจเจริญ!J472"")"),0.0)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IFERROR(__xludf.DUMMYFUNCTION("IMPORTRANGE(""https://docs.google.com/spreadsheets/d/1XL5vhW3sbDhbH9Cz0tuDiY8C3ctxq1tqvaCgkFb8cCA/edit?usp=sharing"",""อำนาจเจริญ!I473"")"),0.0)</f>
        <v>0</v>
      </c>
      <c r="J578" s="232">
        <f>IFERROR(__xludf.DUMMYFUNCTION("IMPORTRANGE(""https://docs.google.com/spreadsheets/d/1XL5vhW3sbDhbH9Cz0tuDiY8C3ctxq1tqvaCgkFb8cCA/edit?usp=sharing"",""อำนาจเจริญ!J473"")"),0.0)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IFERROR(__xludf.DUMMYFUNCTION("IMPORTRANGE(""https://docs.google.com/spreadsheets/d/1XL5vhW3sbDhbH9Cz0tuDiY8C3ctxq1tqvaCgkFb8cCA/edit?usp=sharing"",""อำนาจเจริญ!I474"")"),0.0)</f>
        <v>0</v>
      </c>
      <c r="J579" s="232">
        <f>IFERROR(__xludf.DUMMYFUNCTION("IMPORTRANGE(""https://docs.google.com/spreadsheets/d/1XL5vhW3sbDhbH9Cz0tuDiY8C3ctxq1tqvaCgkFb8cCA/edit?usp=sharing"",""อำนาจเจริญ!J474"")"),0.0)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IFERROR(__xludf.DUMMYFUNCTION("IMPORTRANGE(""https://docs.google.com/spreadsheets/d/1XL5vhW3sbDhbH9Cz0tuDiY8C3ctxq1tqvaCgkFb8cCA/edit?usp=sharing"",""อำนาจเจริญ!I475"")"),0.0)</f>
        <v>0</v>
      </c>
      <c r="J580" s="404">
        <f>IFERROR(__xludf.DUMMYFUNCTION("IMPORTRANGE(""https://docs.google.com/spreadsheets/d/1XL5vhW3sbDhbH9Cz0tuDiY8C3ctxq1tqvaCgkFb8cCA/edit?usp=sharing"",""อำนาจเจริญ!J475"")"),0.0)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IFERROR(__xludf.DUMMYFUNCTION("IMPORTRANGE(""https://docs.google.com/spreadsheets/d/1XL5vhW3sbDhbH9Cz0tuDiY8C3ctxq1tqvaCgkFb8cCA/edit?usp=sharing"",""อำนาจเจริญ!L475"")"),0.0)</f>
        <v>0</v>
      </c>
      <c r="M580" s="406"/>
      <c r="N580" s="406">
        <f>IFERROR(__xludf.DUMMYFUNCTION("IMPORTRANGE(""https://docs.google.com/spreadsheets/d/1XL5vhW3sbDhbH9Cz0tuDiY8C3ctxq1tqvaCgkFb8cCA/edit?usp=sharing"",""อำนาจเจริญ!M475"")"),0.0)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IFERROR(__xludf.DUMMYFUNCTION("IMPORTRANGE(""https://docs.google.com/spreadsheets/d/1XL5vhW3sbDhbH9Cz0tuDiY8C3ctxq1tqvaCgkFb8cCA/edit?usp=sharing"",""อำนาจเจริญ!L476"")"),0.0)</f>
        <v>0</v>
      </c>
      <c r="M581" s="197"/>
      <c r="N581" s="203">
        <f>IFERROR(__xludf.DUMMYFUNCTION("IMPORTRANGE(""https://docs.google.com/spreadsheets/d/1XL5vhW3sbDhbH9Cz0tuDiY8C3ctxq1tqvaCgkFb8cCA/edit?usp=sharing"",""อำนาจเจริญ!M476"")"),0.0)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IFERROR(__xludf.DUMMYFUNCTION("IMPORTRANGE(""https://docs.google.com/spreadsheets/d/1XL5vhW3sbDhbH9Cz0tuDiY8C3ctxq1tqvaCgkFb8cCA/edit?usp=sharing"",""อำนาจเจริญ!L477"")"),0.0)</f>
        <v>0</v>
      </c>
      <c r="M582" s="198"/>
      <c r="N582" s="203">
        <f>IFERROR(__xludf.DUMMYFUNCTION("IMPORTRANGE(""https://docs.google.com/spreadsheets/d/1XL5vhW3sbDhbH9Cz0tuDiY8C3ctxq1tqvaCgkFb8cCA/edit?usp=sharing"",""อำนาจเจริญ!M477"")"),0.0)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IFERROR(__xludf.DUMMYFUNCTION("IMPORTRANGE(""https://docs.google.com/spreadsheets/d/1XL5vhW3sbDhbH9Cz0tuDiY8C3ctxq1tqvaCgkFb8cCA/edit?usp=sharing"",""อำนาจเจริญ!L478"")"),0.0)</f>
        <v>0</v>
      </c>
      <c r="M583" s="203"/>
      <c r="N583" s="203">
        <f>IFERROR(__xludf.DUMMYFUNCTION("IMPORTRANGE(""https://docs.google.com/spreadsheets/d/1XL5vhW3sbDhbH9Cz0tuDiY8C3ctxq1tqvaCgkFb8cCA/edit?usp=sharing"",""อำนาจเจริญ!M478"")"),0.0)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IFERROR(__xludf.DUMMYFUNCTION("IMPORTRANGE(""https://docs.google.com/spreadsheets/d/1XL5vhW3sbDhbH9Cz0tuDiY8C3ctxq1tqvaCgkFb8cCA/edit?usp=sharing"",""อำนาจเจริญ!L479"")"),0.0)</f>
        <v>0</v>
      </c>
      <c r="M584" s="203"/>
      <c r="N584" s="203">
        <f>IFERROR(__xludf.DUMMYFUNCTION("IMPORTRANGE(""https://docs.google.com/spreadsheets/d/1XL5vhW3sbDhbH9Cz0tuDiY8C3ctxq1tqvaCgkFb8cCA/edit?usp=sharing"",""อำนาจเจริญ!M479"")"),0.0)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IFERROR(__xludf.DUMMYFUNCTION("IMPORTRANGE(""https://docs.google.com/spreadsheets/d/1XL5vhW3sbDhbH9Cz0tuDiY8C3ctxq1tqvaCgkFb8cCA/edit?usp=sharing"",""อำนาจเจริญ!M480"")"),0.0)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IFERROR(__xludf.DUMMYFUNCTION("IMPORTRANGE(""https://docs.google.com/spreadsheets/d/1XL5vhW3sbDhbH9Cz0tuDiY8C3ctxq1tqvaCgkFb8cCA/edit?usp=sharing"",""อำนาจเจริญ!M481"")"),0.0)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IFERROR(__xludf.DUMMYFUNCTION("IMPORTRANGE(""https://docs.google.com/spreadsheets/d/1XL5vhW3sbDhbH9Cz0tuDiY8C3ctxq1tqvaCgkFb8cCA/edit?usp=sharing"",""อำนาจเจริญ!M482"")"),0.0)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IFERROR(__xludf.DUMMYFUNCTION("IMPORTRANGE(""https://docs.google.com/spreadsheets/d/1XL5vhW3sbDhbH9Cz0tuDiY8C3ctxq1tqvaCgkFb8cCA/edit?usp=sharing"",""อำนาจเจริญ!M483"")"),0.0)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IFERROR(__xludf.DUMMYFUNCTION("IMPORTRANGE(""https://docs.google.com/spreadsheets/d/1XL5vhW3sbDhbH9Cz0tuDiY8C3ctxq1tqvaCgkFb8cCA/edit?usp=sharing"",""อำนาจเจริญ!I484"")"),0.0)</f>
        <v>0</v>
      </c>
      <c r="J589" s="222">
        <f>IFERROR(__xludf.DUMMYFUNCTION("IMPORTRANGE(""https://docs.google.com/spreadsheets/d/1XL5vhW3sbDhbH9Cz0tuDiY8C3ctxq1tqvaCgkFb8cCA/edit?usp=sharing"",""อำนาจเจริญ!J484"")"),0.0)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IFERROR(__xludf.DUMMYFUNCTION("IMPORTRANGE(""https://docs.google.com/spreadsheets/d/1XL5vhW3sbDhbH9Cz0tuDiY8C3ctxq1tqvaCgkFb8cCA/edit?usp=sharing"",""อำนาจเจริญ!I485"")"),0.0)</f>
        <v>0</v>
      </c>
      <c r="J590" s="222">
        <f>IFERROR(__xludf.DUMMYFUNCTION("IMPORTRANGE(""https://docs.google.com/spreadsheets/d/1XL5vhW3sbDhbH9Cz0tuDiY8C3ctxq1tqvaCgkFb8cCA/edit?usp=sharing"",""อำนาจเจริญ!J485"")"),0.0)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IFERROR(__xludf.DUMMYFUNCTION("IMPORTRANGE(""https://docs.google.com/spreadsheets/d/1XL5vhW3sbDhbH9Cz0tuDiY8C3ctxq1tqvaCgkFb8cCA/edit?usp=sharing"",""อำนาจเจริญ!I486"")"),0.0)</f>
        <v>0</v>
      </c>
      <c r="J591" s="222">
        <f>IFERROR(__xludf.DUMMYFUNCTION("IMPORTRANGE(""https://docs.google.com/spreadsheets/d/1XL5vhW3sbDhbH9Cz0tuDiY8C3ctxq1tqvaCgkFb8cCA/edit?usp=sharing"",""อำนาจเจริญ!J486"")"),0.0)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IFERROR(__xludf.DUMMYFUNCTION("IMPORTRANGE(""https://docs.google.com/spreadsheets/d/1XL5vhW3sbDhbH9Cz0tuDiY8C3ctxq1tqvaCgkFb8cCA/edit?usp=sharing"",""อำนาจเจริญ!I487"")"),0.0)</f>
        <v>0</v>
      </c>
      <c r="J592" s="222">
        <f>IFERROR(__xludf.DUMMYFUNCTION("IMPORTRANGE(""https://docs.google.com/spreadsheets/d/1XL5vhW3sbDhbH9Cz0tuDiY8C3ctxq1tqvaCgkFb8cCA/edit?usp=sharing"",""อำนาจเจริญ!J487"")"),0.0)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IFERROR(__xludf.DUMMYFUNCTION("IMPORTRANGE(""https://docs.google.com/spreadsheets/d/1XL5vhW3sbDhbH9Cz0tuDiY8C3ctxq1tqvaCgkFb8cCA/edit?usp=sharing"",""อำนาจเจริญ!I488"")"),0.0)</f>
        <v>0</v>
      </c>
      <c r="J593" s="222">
        <f>IFERROR(__xludf.DUMMYFUNCTION("IMPORTRANGE(""https://docs.google.com/spreadsheets/d/1XL5vhW3sbDhbH9Cz0tuDiY8C3ctxq1tqvaCgkFb8cCA/edit?usp=sharing"",""อำนาจเจริญ!J488"")"),0.0)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IFERROR(__xludf.DUMMYFUNCTION("IMPORTRANGE(""https://docs.google.com/spreadsheets/d/1XL5vhW3sbDhbH9Cz0tuDiY8C3ctxq1tqvaCgkFb8cCA/edit?usp=sharing"",""อำนาจเจริญ!I489"")"),0.0)</f>
        <v>0</v>
      </c>
      <c r="J594" s="222">
        <f>IFERROR(__xludf.DUMMYFUNCTION("IMPORTRANGE(""https://docs.google.com/spreadsheets/d/1XL5vhW3sbDhbH9Cz0tuDiY8C3ctxq1tqvaCgkFb8cCA/edit?usp=sharing"",""อำนาจเจริญ!J489"")"),0.0)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IFERROR(__xludf.DUMMYFUNCTION("IMPORTRANGE(""https://docs.google.com/spreadsheets/d/1XL5vhW3sbDhbH9Cz0tuDiY8C3ctxq1tqvaCgkFb8cCA/edit?usp=sharing"",""อำนาจเจริญ!I490"")"),0.0)</f>
        <v>0</v>
      </c>
      <c r="J595" s="222">
        <f>IFERROR(__xludf.DUMMYFUNCTION("IMPORTRANGE(""https://docs.google.com/spreadsheets/d/1XL5vhW3sbDhbH9Cz0tuDiY8C3ctxq1tqvaCgkFb8cCA/edit?usp=sharing"",""อำนาจเจริญ!J490"")"),0.0)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IFERROR(__xludf.DUMMYFUNCTION("IMPORTRANGE(""https://docs.google.com/spreadsheets/d/1XL5vhW3sbDhbH9Cz0tuDiY8C3ctxq1tqvaCgkFb8cCA/edit?usp=sharing"",""อำนาจเจริญ!I491"")"),0.0)</f>
        <v>0</v>
      </c>
      <c r="J596" s="275">
        <f>IFERROR(__xludf.DUMMYFUNCTION("IMPORTRANGE(""https://docs.google.com/spreadsheets/d/1XL5vhW3sbDhbH9Cz0tuDiY8C3ctxq1tqvaCgkFb8cCA/edit?usp=sharing"",""อำนาจเจริญ!J491"")"),0.0)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IFERROR(__xludf.DUMMYFUNCTION("IMPORTRANGE(""https://docs.google.com/spreadsheets/d/1XL5vhW3sbDhbH9Cz0tuDiY8C3ctxq1tqvaCgkFb8cCA/edit?usp=sharing"",""อำนาจเจริญ!I492"")"),50.0)</f>
        <v>50</v>
      </c>
      <c r="J597" s="520">
        <f>IFERROR(__xludf.DUMMYFUNCTION("IMPORTRANGE(""https://docs.google.com/spreadsheets/d/1XL5vhW3sbDhbH9Cz0tuDiY8C3ctxq1tqvaCgkFb8cCA/edit?usp=sharing"",""อำนาจเจริญ!J492"")"),0.0)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IFERROR(__xludf.DUMMYFUNCTION("IMPORTRANGE(""https://docs.google.com/spreadsheets/d/1XL5vhW3sbDhbH9Cz0tuDiY8C3ctxq1tqvaCgkFb8cCA/edit?usp=sharing"",""อำนาจเจริญ!L492"")"),4550.0)</f>
        <v>4550</v>
      </c>
      <c r="M597" s="445"/>
      <c r="N597" s="445">
        <f>IFERROR(__xludf.DUMMYFUNCTION("IMPORTRANGE(""https://docs.google.com/spreadsheets/d/1XL5vhW3sbDhbH9Cz0tuDiY8C3ctxq1tqvaCgkFb8cCA/edit?usp=sharing"",""อำนาจเจริญ!M492"")"),0.0)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IFERROR(__xludf.DUMMYFUNCTION("IMPORTRANGE(""https://docs.google.com/spreadsheets/d/1XL5vhW3sbDhbH9Cz0tuDiY8C3ctxq1tqvaCgkFb8cCA/edit?usp=sharing"",""อำนาจเจริญ!L493"")"),0.0)</f>
        <v>0</v>
      </c>
      <c r="M598" s="197"/>
      <c r="N598" s="203">
        <f>IFERROR(__xludf.DUMMYFUNCTION("IMPORTRANGE(""https://docs.google.com/spreadsheets/d/1XL5vhW3sbDhbH9Cz0tuDiY8C3ctxq1tqvaCgkFb8cCA/edit?usp=sharing"",""อำนาจเจริญ!M493"")"),0.0)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IFERROR(__xludf.DUMMYFUNCTION("IMPORTRANGE(""https://docs.google.com/spreadsheets/d/1XL5vhW3sbDhbH9Cz0tuDiY8C3ctxq1tqvaCgkFb8cCA/edit?usp=sharing"",""อำนาจเจริญ!L494"")"),4550.0)</f>
        <v>4550</v>
      </c>
      <c r="M599" s="198"/>
      <c r="N599" s="203">
        <f>IFERROR(__xludf.DUMMYFUNCTION("IMPORTRANGE(""https://docs.google.com/spreadsheets/d/1XL5vhW3sbDhbH9Cz0tuDiY8C3ctxq1tqvaCgkFb8cCA/edit?usp=sharing"",""อำนาจเจริญ!M494"")"),0.0)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IFERROR(__xludf.DUMMYFUNCTION("IMPORTRANGE(""https://docs.google.com/spreadsheets/d/1XL5vhW3sbDhbH9Cz0tuDiY8C3ctxq1tqvaCgkFb8cCA/edit?usp=sharing"",""อำนาจเจริญ!L495"")"),0.0)</f>
        <v>0</v>
      </c>
      <c r="M600" s="203"/>
      <c r="N600" s="203">
        <f>IFERROR(__xludf.DUMMYFUNCTION("IMPORTRANGE(""https://docs.google.com/spreadsheets/d/1XL5vhW3sbDhbH9Cz0tuDiY8C3ctxq1tqvaCgkFb8cCA/edit?usp=sharing"",""อำนาจเจริญ!M495"")"),0.0)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IFERROR(__xludf.DUMMYFUNCTION("IMPORTRANGE(""https://docs.google.com/spreadsheets/d/1XL5vhW3sbDhbH9Cz0tuDiY8C3ctxq1tqvaCgkFb8cCA/edit?usp=sharing"",""อำนาจเจริญ!L496"")"),4550.0)</f>
        <v>4550</v>
      </c>
      <c r="M601" s="203"/>
      <c r="N601" s="203">
        <f>IFERROR(__xludf.DUMMYFUNCTION("IMPORTRANGE(""https://docs.google.com/spreadsheets/d/1XL5vhW3sbDhbH9Cz0tuDiY8C3ctxq1tqvaCgkFb8cCA/edit?usp=sharing"",""อำนาจเจริญ!M496"")"),0.0)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IFERROR(__xludf.DUMMYFUNCTION("IMPORTRANGE(""https://docs.google.com/spreadsheets/d/1XL5vhW3sbDhbH9Cz0tuDiY8C3ctxq1tqvaCgkFb8cCA/edit?usp=sharing"",""อำนาจเจริญ!M497"")"),0.0)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IFERROR(__xludf.DUMMYFUNCTION("IMPORTRANGE(""https://docs.google.com/spreadsheets/d/1XL5vhW3sbDhbH9Cz0tuDiY8C3ctxq1tqvaCgkFb8cCA/edit?usp=sharing"",""อำนาจเจริญ!M498"")"),0.0)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IFERROR(__xludf.DUMMYFUNCTION("IMPORTRANGE(""https://docs.google.com/spreadsheets/d/1XL5vhW3sbDhbH9Cz0tuDiY8C3ctxq1tqvaCgkFb8cCA/edit?usp=sharing"",""อำนาจเจริญ!M499"")"),0.0)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IFERROR(__xludf.DUMMYFUNCTION("IMPORTRANGE(""https://docs.google.com/spreadsheets/d/1XL5vhW3sbDhbH9Cz0tuDiY8C3ctxq1tqvaCgkFb8cCA/edit?usp=sharing"",""อำนาจเจริญ!M500"")"),0.0)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IFERROR(__xludf.DUMMYFUNCTION("IMPORTRANGE(""https://docs.google.com/spreadsheets/d/1XL5vhW3sbDhbH9Cz0tuDiY8C3ctxq1tqvaCgkFb8cCA/edit?usp=sharing"",""อำนาจเจริญ!J502"")"),0.0)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IFERROR(__xludf.DUMMYFUNCTION("IMPORTRANGE(""https://docs.google.com/spreadsheets/d/1XL5vhW3sbDhbH9Cz0tuDiY8C3ctxq1tqvaCgkFb8cCA/edit?usp=sharing"",""อำนาจเจริญ!J503"")"),1.0)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IFERROR(__xludf.DUMMYFUNCTION("IMPORTRANGE(""https://docs.google.com/spreadsheets/d/1XL5vhW3sbDhbH9Cz0tuDiY8C3ctxq1tqvaCgkFb8cCA/edit?usp=sharing"",""อำนาจเจริญ!J166"")"),0.0)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IFERROR(__xludf.DUMMYFUNCTION("IMPORTRANGE(""https://docs.google.com/spreadsheets/d/1XL5vhW3sbDhbH9Cz0tuDiY8C3ctxq1tqvaCgkFb8cCA/edit?usp=sharing"",""อำนาจเจริญ!J166"")"),0.0)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IFERROR(__xludf.DUMMYFUNCTION("IMPORTRANGE(""https://docs.google.com/spreadsheets/d/1XL5vhW3sbDhbH9Cz0tuDiY8C3ctxq1tqvaCgkFb8cCA/edit?usp=sharing"",""อำนาจเจริญ!I506"")"),50.0)</f>
        <v>50</v>
      </c>
      <c r="J611" s="195">
        <f>IFERROR(__xludf.DUMMYFUNCTION("IMPORTRANGE(""https://docs.google.com/spreadsheets/d/1XL5vhW3sbDhbH9Cz0tuDiY8C3ctxq1tqvaCgkFb8cCA/edit?usp=sharing"",""อำนาจเจริญ!J506"")"),0.0)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IFERROR(__xludf.DUMMYFUNCTION("IMPORTRANGE(""https://docs.google.com/spreadsheets/d/1XL5vhW3sbDhbH9Cz0tuDiY8C3ctxq1tqvaCgkFb8cCA/edit?usp=sharing"",""อำนาจเจริญ!I507"")"),0.0)</f>
        <v>0</v>
      </c>
      <c r="J612" s="232">
        <f>IFERROR(__xludf.DUMMYFUNCTION("IMPORTRANGE(""https://docs.google.com/spreadsheets/d/1XL5vhW3sbDhbH9Cz0tuDiY8C3ctxq1tqvaCgkFb8cCA/edit?usp=sharing"",""อำนาจเจริญ!J507"")"),0.0)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IFERROR(__xludf.DUMMYFUNCTION("IMPORTRANGE(""https://docs.google.com/spreadsheets/d/1XL5vhW3sbDhbH9Cz0tuDiY8C3ctxq1tqvaCgkFb8cCA/edit?usp=sharing"",""อำนาจเจริญ!I508"")"),0.0)</f>
        <v>0</v>
      </c>
      <c r="J613" s="232">
        <f>IFERROR(__xludf.DUMMYFUNCTION("IMPORTRANGE(""https://docs.google.com/spreadsheets/d/1XL5vhW3sbDhbH9Cz0tuDiY8C3ctxq1tqvaCgkFb8cCA/edit?usp=sharing"",""อำนาจเจริญ!J508"")"),0.0)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IFERROR(__xludf.DUMMYFUNCTION("IMPORTRANGE(""https://docs.google.com/spreadsheets/d/1XL5vhW3sbDhbH9Cz0tuDiY8C3ctxq1tqvaCgkFb8cCA/edit?usp=sharing"",""อำนาจเจริญ!I509"")"),0.0)</f>
        <v>0</v>
      </c>
      <c r="J614" s="232">
        <f>IFERROR(__xludf.DUMMYFUNCTION("IMPORTRANGE(""https://docs.google.com/spreadsheets/d/1XL5vhW3sbDhbH9Cz0tuDiY8C3ctxq1tqvaCgkFb8cCA/edit?usp=sharing"",""อำนาจเจริญ!J509"")"),0.0)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IFERROR(__xludf.DUMMYFUNCTION("IMPORTRANGE(""https://docs.google.com/spreadsheets/d/1XL5vhW3sbDhbH9Cz0tuDiY8C3ctxq1tqvaCgkFb8cCA/edit?usp=sharing"",""อำนาจเจริญ!I510"")"),0.0)</f>
        <v>0</v>
      </c>
      <c r="J615" s="232">
        <f>IFERROR(__xludf.DUMMYFUNCTION("IMPORTRANGE(""https://docs.google.com/spreadsheets/d/1XL5vhW3sbDhbH9Cz0tuDiY8C3ctxq1tqvaCgkFb8cCA/edit?usp=sharing"",""อำนาจเจริญ!J510"")"),0.0)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IFERROR(__xludf.DUMMYFUNCTION("IMPORTRANGE(""https://docs.google.com/spreadsheets/d/1XL5vhW3sbDhbH9Cz0tuDiY8C3ctxq1tqvaCgkFb8cCA/edit?usp=sharing"",""อำนาจเจริญ!I511"")"),0.0)</f>
        <v>0</v>
      </c>
      <c r="J616" s="232">
        <f>IFERROR(__xludf.DUMMYFUNCTION("IMPORTRANGE(""https://docs.google.com/spreadsheets/d/1XL5vhW3sbDhbH9Cz0tuDiY8C3ctxq1tqvaCgkFb8cCA/edit?usp=sharing"",""อำนาจเจริญ!J511"")"),0.0)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IFERROR(__xludf.DUMMYFUNCTION("IMPORTRANGE(""https://docs.google.com/spreadsheets/d/1XL5vhW3sbDhbH9Cz0tuDiY8C3ctxq1tqvaCgkFb8cCA/edit?usp=sharing"",""อำนาจเจริญ!I512"")"),0.0)</f>
        <v>0</v>
      </c>
      <c r="J617" s="222">
        <f>IFERROR(__xludf.DUMMYFUNCTION("IMPORTRANGE(""https://docs.google.com/spreadsheets/d/1XL5vhW3sbDhbH9Cz0tuDiY8C3ctxq1tqvaCgkFb8cCA/edit?usp=sharing"",""อำนาจเจริญ!J512"")"),0.0)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IFERROR(__xludf.DUMMYFUNCTION("IMPORTRANGE(""https://docs.google.com/spreadsheets/d/1XL5vhW3sbDhbH9Cz0tuDiY8C3ctxq1tqvaCgkFb8cCA/edit?usp=sharing"",""อำนาจเจริญ!I513"")"),0.0)</f>
        <v>0</v>
      </c>
      <c r="J618" s="223">
        <f>IFERROR(__xludf.DUMMYFUNCTION("IMPORTRANGE(""https://docs.google.com/spreadsheets/d/1XL5vhW3sbDhbH9Cz0tuDiY8C3ctxq1tqvaCgkFb8cCA/edit?usp=sharing"",""อำนาจเจริญ!J513"")"),0.0)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IFERROR(__xludf.DUMMYFUNCTION("IMPORTRANGE(""https://docs.google.com/spreadsheets/d/1XL5vhW3sbDhbH9Cz0tuDiY8C3ctxq1tqvaCgkFb8cCA/edit?usp=sharing"",""อำนาจเจริญ!I514"")"),0.0)</f>
        <v>0</v>
      </c>
      <c r="J619" s="223">
        <f>IFERROR(__xludf.DUMMYFUNCTION("IMPORTRANGE(""https://docs.google.com/spreadsheets/d/1XL5vhW3sbDhbH9Cz0tuDiY8C3ctxq1tqvaCgkFb8cCA/edit?usp=sharing"",""อำนาจเจริญ!J514"")"),0.0)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IFERROR(__xludf.DUMMYFUNCTION("IMPORTRANGE(""https://docs.google.com/spreadsheets/d/1XL5vhW3sbDhbH9Cz0tuDiY8C3ctxq1tqvaCgkFb8cCA/edit?usp=sharing"",""อำนาจเจริญ!I515"")"),0.0)</f>
        <v>0</v>
      </c>
      <c r="J620" s="237">
        <f>IFERROR(__xludf.DUMMYFUNCTION("IMPORTRANGE(""https://docs.google.com/spreadsheets/d/1XL5vhW3sbDhbH9Cz0tuDiY8C3ctxq1tqvaCgkFb8cCA/edit?usp=sharing"",""อำนาจเจริญ!J515"")"),0.0)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IFERROR(__xludf.DUMMYFUNCTION("IMPORTRANGE(""https://docs.google.com/spreadsheets/d/1XL5vhW3sbDhbH9Cz0tuDiY8C3ctxq1tqvaCgkFb8cCA/edit?usp=sharing"",""อำนาจเจริญ!I516"")"),0.0)</f>
        <v>0</v>
      </c>
      <c r="J621" s="237">
        <f>IFERROR(__xludf.DUMMYFUNCTION("IMPORTRANGE(""https://docs.google.com/spreadsheets/d/1XL5vhW3sbDhbH9Cz0tuDiY8C3ctxq1tqvaCgkFb8cCA/edit?usp=sharing"",""อำนาจเจริญ!J516"")"),0.0)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IFERROR(__xludf.DUMMYFUNCTION("IMPORTRANGE(""https://docs.google.com/spreadsheets/d/1XL5vhW3sbDhbH9Cz0tuDiY8C3ctxq1tqvaCgkFb8cCA/edit?usp=sharing"",""อำนาจเจริญ!I517"")"),0.0)</f>
        <v>0</v>
      </c>
      <c r="J622" s="223">
        <f>IFERROR(__xludf.DUMMYFUNCTION("IMPORTRANGE(""https://docs.google.com/spreadsheets/d/1XL5vhW3sbDhbH9Cz0tuDiY8C3ctxq1tqvaCgkFb8cCA/edit?usp=sharing"",""อำนาจเจริญ!J517"")"),0.0)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IFERROR(__xludf.DUMMYFUNCTION("IMPORTRANGE(""https://docs.google.com/spreadsheets/d/1XL5vhW3sbDhbH9Cz0tuDiY8C3ctxq1tqvaCgkFb8cCA/edit?usp=sharing"",""อำนาจเจริญ!I518"")"),0.0)</f>
        <v>0</v>
      </c>
      <c r="J623" s="223">
        <f>IFERROR(__xludf.DUMMYFUNCTION("IMPORTRANGE(""https://docs.google.com/spreadsheets/d/1XL5vhW3sbDhbH9Cz0tuDiY8C3ctxq1tqvaCgkFb8cCA/edit?usp=sharing"",""อำนาจเจริญ!J518"")"),0.0)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IFERROR(__xludf.DUMMYFUNCTION("IMPORTRANGE(""https://docs.google.com/spreadsheets/d/1XL5vhW3sbDhbH9Cz0tuDiY8C3ctxq1tqvaCgkFb8cCA/edit?usp=sharing"",""อำนาจเจริญ!I519"")"),0.0)</f>
        <v>0</v>
      </c>
      <c r="J624" s="222">
        <f>IFERROR(__xludf.DUMMYFUNCTION("IMPORTRANGE(""https://docs.google.com/spreadsheets/d/1XL5vhW3sbDhbH9Cz0tuDiY8C3ctxq1tqvaCgkFb8cCA/edit?usp=sharing"",""อำนาจเจริญ!J519"")"),0.0)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IFERROR(__xludf.DUMMYFUNCTION("IMPORTRANGE(""https://docs.google.com/spreadsheets/d/1XL5vhW3sbDhbH9Cz0tuDiY8C3ctxq1tqvaCgkFb8cCA/edit?usp=sharing"",""อำนาจเจริญ!I520"")"),0.0)</f>
        <v>0</v>
      </c>
      <c r="J625" s="223">
        <f>IFERROR(__xludf.DUMMYFUNCTION("IMPORTRANGE(""https://docs.google.com/spreadsheets/d/1XL5vhW3sbDhbH9Cz0tuDiY8C3ctxq1tqvaCgkFb8cCA/edit?usp=sharing"",""อำนาจเจริญ!J520"")"),0.0)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IFERROR(__xludf.DUMMYFUNCTION("IMPORTRANGE(""https://docs.google.com/spreadsheets/d/1XL5vhW3sbDhbH9Cz0tuDiY8C3ctxq1tqvaCgkFb8cCA/edit?usp=sharing"",""อำนาจเจริญ!I521"")"),0.0)</f>
        <v>0</v>
      </c>
      <c r="J626" s="223">
        <f>IFERROR(__xludf.DUMMYFUNCTION("IMPORTRANGE(""https://docs.google.com/spreadsheets/d/1XL5vhW3sbDhbH9Cz0tuDiY8C3ctxq1tqvaCgkFb8cCA/edit?usp=sharing"",""อำนาจเจริญ!J521"")"),0.0)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IFERROR(__xludf.DUMMYFUNCTION("IMPORTRANGE(""https://docs.google.com/spreadsheets/d/1XL5vhW3sbDhbH9Cz0tuDiY8C3ctxq1tqvaCgkFb8cCA/edit?usp=sharing"",""อำนาจเจริญ!I523"")"),4009999.29)</f>
        <v>4009999.29</v>
      </c>
      <c r="J628" s="374">
        <f>IFERROR(__xludf.DUMMYFUNCTION("IMPORTRANGE(""https://docs.google.com/spreadsheets/d/1XL5vhW3sbDhbH9Cz0tuDiY8C3ctxq1tqvaCgkFb8cCA/edit?usp=sharing"",""อำนาจเจริญ!J523"")"),670182.04)</f>
        <v>670182.04</v>
      </c>
      <c r="K628" s="375">
        <f t="shared" ref="K628:K635" si="130">IF(I628&gt;0,J628*100/I628,0)</f>
        <v>16.71277204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IFERROR(__xludf.DUMMYFUNCTION("IMPORTRANGE(""https://docs.google.com/spreadsheets/d/1XL5vhW3sbDhbH9Cz0tuDiY8C3ctxq1tqvaCgkFb8cCA/edit?usp=sharing"",""อำนาจเจริญ!I524"")"),351.0)</f>
        <v>351</v>
      </c>
      <c r="J629" s="374">
        <f>IFERROR(__xludf.DUMMYFUNCTION("IMPORTRANGE(""https://docs.google.com/spreadsheets/d/1XL5vhW3sbDhbH9Cz0tuDiY8C3ctxq1tqvaCgkFb8cCA/edit?usp=sharing"",""อำนาจเจริญ!J524"")"),55.0)</f>
        <v>55</v>
      </c>
      <c r="K629" s="375">
        <f t="shared" si="130"/>
        <v>15.66951567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IFERROR(__xludf.DUMMYFUNCTION("IMPORTRANGE(""https://docs.google.com/spreadsheets/d/1XL5vhW3sbDhbH9Cz0tuDiY8C3ctxq1tqvaCgkFb8cCA/edit?usp=sharing"",""อำนาจเจริญ!I525"")"),3896722.34)</f>
        <v>3896722.34</v>
      </c>
      <c r="J630" s="374">
        <f>IFERROR(__xludf.DUMMYFUNCTION("IMPORTRANGE(""https://docs.google.com/spreadsheets/d/1XL5vhW3sbDhbH9Cz0tuDiY8C3ctxq1tqvaCgkFb8cCA/edit?usp=sharing"",""อำนาจเจริญ!J525"")"),257979.96)</f>
        <v>257979.96</v>
      </c>
      <c r="K630" s="375">
        <f t="shared" si="130"/>
        <v>6.620434752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IFERROR(__xludf.DUMMYFUNCTION("IMPORTRANGE(""https://docs.google.com/spreadsheets/d/1XL5vhW3sbDhbH9Cz0tuDiY8C3ctxq1tqvaCgkFb8cCA/edit?usp=sharing"",""อำนาจเจริญ!I526"")"),221.0)</f>
        <v>221</v>
      </c>
      <c r="J631" s="374">
        <f>IFERROR(__xludf.DUMMYFUNCTION("IMPORTRANGE(""https://docs.google.com/spreadsheets/d/1XL5vhW3sbDhbH9Cz0tuDiY8C3ctxq1tqvaCgkFb8cCA/edit?usp=sharing"",""อำนาจเจริญ!J526"")"),60.0)</f>
        <v>60</v>
      </c>
      <c r="K631" s="375">
        <f t="shared" si="130"/>
        <v>27.14932127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IFERROR(__xludf.DUMMYFUNCTION("IMPORTRANGE(""https://docs.google.com/spreadsheets/d/1XL5vhW3sbDhbH9Cz0tuDiY8C3ctxq1tqvaCgkFb8cCA/edit?usp=sharing"",""อำนาจเจริญ!I527"")"),0.0)</f>
        <v>0</v>
      </c>
      <c r="J632" s="374">
        <f>IFERROR(__xludf.DUMMYFUNCTION("IMPORTRANGE(""https://docs.google.com/spreadsheets/d/1XL5vhW3sbDhbH9Cz0tuDiY8C3ctxq1tqvaCgkFb8cCA/edit?usp=sharing"",""อำนาจเจริญ!J527"")"),4967.45)</f>
        <v>4967.45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IFERROR(__xludf.DUMMYFUNCTION("IMPORTRANGE(""https://docs.google.com/spreadsheets/d/1XL5vhW3sbDhbH9Cz0tuDiY8C3ctxq1tqvaCgkFb8cCA/edit?usp=sharing"",""อำนาจเจริญ!I528"")"),0.0)</f>
        <v>0</v>
      </c>
      <c r="J633" s="374">
        <f>IFERROR(__xludf.DUMMYFUNCTION("IMPORTRANGE(""https://docs.google.com/spreadsheets/d/1XL5vhW3sbDhbH9Cz0tuDiY8C3ctxq1tqvaCgkFb8cCA/edit?usp=sharing"",""อำนาจเจริญ!J528"")"),1.0)</f>
        <v>1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IFERROR(__xludf.DUMMYFUNCTION("IMPORTRANGE(""https://docs.google.com/spreadsheets/d/1XL5vhW3sbDhbH9Cz0tuDiY8C3ctxq1tqvaCgkFb8cCA/edit?usp=sharing"",""อำนาจเจริญ!I529"")"),5000000.0)</f>
        <v>5000000</v>
      </c>
      <c r="J634" s="374">
        <f>IFERROR(__xludf.DUMMYFUNCTION("IMPORTRANGE(""https://docs.google.com/spreadsheets/d/1XL5vhW3sbDhbH9Cz0tuDiY8C3ctxq1tqvaCgkFb8cCA/edit?usp=sharing"",""อำนาจเจริญ!J529"")"),0.0)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IFERROR(__xludf.DUMMYFUNCTION("IMPORTRANGE(""https://docs.google.com/spreadsheets/d/1XL5vhW3sbDhbH9Cz0tuDiY8C3ctxq1tqvaCgkFb8cCA/edit?usp=sharing"",""อำนาจเจริญ!I530"")"),150.0)</f>
        <v>150</v>
      </c>
      <c r="J635" s="544">
        <f>IFERROR(__xludf.DUMMYFUNCTION("IMPORTRANGE(""https://docs.google.com/spreadsheets/d/1XL5vhW3sbDhbH9Cz0tuDiY8C3ctxq1tqvaCgkFb8cCA/edit?usp=sharing"",""อำนาจเจริญ!J530"")"),0.0)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239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5883155</v>
      </c>
      <c r="M8" s="41">
        <f t="shared" si="1"/>
        <v>1801805</v>
      </c>
      <c r="N8" s="41">
        <f t="shared" si="1"/>
        <v>1663510</v>
      </c>
      <c r="O8" s="40">
        <f t="shared" ref="O8:O16" si="3">IF(L8&gt;0,N8*100/L8,0)</f>
        <v>28.27581459</v>
      </c>
      <c r="P8" s="40">
        <f t="shared" ref="P8:P16" si="4">IF(M8&gt;0,N8*100/M8,0)</f>
        <v>92.32464112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5883155</v>
      </c>
      <c r="M10" s="48">
        <f t="shared" si="5"/>
        <v>1801805</v>
      </c>
      <c r="N10" s="48">
        <f t="shared" si="5"/>
        <v>1663510</v>
      </c>
      <c r="O10" s="47">
        <f t="shared" si="3"/>
        <v>28.27581459</v>
      </c>
      <c r="P10" s="47">
        <f t="shared" si="4"/>
        <v>92.32464112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5845355</v>
      </c>
      <c r="M12" s="58">
        <f t="shared" si="7"/>
        <v>1801805</v>
      </c>
      <c r="N12" s="58">
        <f t="shared" si="7"/>
        <v>1625710</v>
      </c>
      <c r="O12" s="58">
        <f t="shared" si="3"/>
        <v>27.81199773</v>
      </c>
      <c r="P12" s="58">
        <f t="shared" si="4"/>
        <v>90.22674485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2233000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3612355</v>
      </c>
      <c r="M14" s="58">
        <f t="shared" si="9"/>
        <v>0</v>
      </c>
      <c r="N14" s="58">
        <f t="shared" si="9"/>
        <v>505376</v>
      </c>
      <c r="O14" s="61">
        <f t="shared" si="3"/>
        <v>13.9902086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37800</v>
      </c>
      <c r="M16" s="58">
        <f t="shared" si="11"/>
        <v>0</v>
      </c>
      <c r="N16" s="58">
        <f t="shared" si="11"/>
        <v>37800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3461615</v>
      </c>
      <c r="M18" s="41">
        <f t="shared" si="12"/>
        <v>1801805</v>
      </c>
      <c r="N18" s="41">
        <f t="shared" si="12"/>
        <v>1158134</v>
      </c>
      <c r="O18" s="40">
        <f t="shared" ref="O18:O20" si="14">IF(L18&gt;0,N18*100/L18,0)</f>
        <v>33.45646468</v>
      </c>
      <c r="P18" s="40">
        <f t="shared" ref="P18:P26" si="15">IF(M18&gt;0,N18*100/M18,0)</f>
        <v>64.27632291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3461615</v>
      </c>
      <c r="M20" s="48">
        <f t="shared" si="16"/>
        <v>1801805</v>
      </c>
      <c r="N20" s="48">
        <f t="shared" si="16"/>
        <v>1158134</v>
      </c>
      <c r="O20" s="47">
        <f t="shared" si="14"/>
        <v>33.45646468</v>
      </c>
      <c r="P20" s="47">
        <f t="shared" si="15"/>
        <v>64.27632291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3423815</v>
      </c>
      <c r="M22" s="62">
        <f t="shared" si="18"/>
        <v>1801805</v>
      </c>
      <c r="N22" s="61">
        <f t="shared" si="18"/>
        <v>1120334</v>
      </c>
      <c r="O22" s="61">
        <f t="shared" si="19"/>
        <v>32.72180302</v>
      </c>
      <c r="P22" s="61">
        <f t="shared" si="15"/>
        <v>62.17842663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2233000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1190815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37800</v>
      </c>
      <c r="M26" s="70">
        <f t="shared" si="23"/>
        <v>0</v>
      </c>
      <c r="N26" s="70">
        <f t="shared" si="23"/>
        <v>37800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2421540</v>
      </c>
      <c r="M28" s="41">
        <f t="shared" si="24"/>
        <v>0</v>
      </c>
      <c r="N28" s="41">
        <f t="shared" si="24"/>
        <v>505376</v>
      </c>
      <c r="O28" s="40">
        <f t="shared" ref="O28:O30" si="26">IF(L28&gt;0,N28*100/L28,0)</f>
        <v>20.87002486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2421540</v>
      </c>
      <c r="M30" s="48">
        <f t="shared" si="28"/>
        <v>0</v>
      </c>
      <c r="N30" s="48">
        <f t="shared" si="28"/>
        <v>505376</v>
      </c>
      <c r="O30" s="47">
        <f t="shared" si="26"/>
        <v>20.87002486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2421540</v>
      </c>
      <c r="M32" s="61">
        <f t="shared" si="30"/>
        <v>0</v>
      </c>
      <c r="N32" s="61">
        <f t="shared" si="30"/>
        <v>505376</v>
      </c>
      <c r="O32" s="61">
        <f t="shared" si="31"/>
        <v>20.87002486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2421540</v>
      </c>
      <c r="M34" s="61">
        <f t="shared" si="33"/>
        <v>0</v>
      </c>
      <c r="N34" s="61">
        <f t="shared" si="33"/>
        <v>505376</v>
      </c>
      <c r="O34" s="61">
        <f t="shared" si="31"/>
        <v>20.87002486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3461615</v>
      </c>
      <c r="M37" s="75">
        <f t="shared" si="34"/>
        <v>1801805</v>
      </c>
      <c r="N37" s="75">
        <f t="shared" si="34"/>
        <v>1158134</v>
      </c>
      <c r="O37" s="76">
        <f t="shared" si="31"/>
        <v>33.45646468</v>
      </c>
      <c r="P37" s="76">
        <f t="shared" si="27"/>
        <v>64.27632291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757600</v>
      </c>
      <c r="M41" s="102">
        <f t="shared" si="35"/>
        <v>378800</v>
      </c>
      <c r="N41" s="102">
        <f t="shared" si="35"/>
        <v>260081</v>
      </c>
      <c r="O41" s="101">
        <f t="shared" ref="O41:O43" si="37">IF(L41&gt;0,N41*100/L41,0)</f>
        <v>34.32959345</v>
      </c>
      <c r="P41" s="101">
        <f t="shared" ref="P41:P43" si="38">IF(M41&gt;0,N41*100/M41,0)</f>
        <v>68.65918691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757600</v>
      </c>
      <c r="M43" s="102">
        <f t="shared" si="39"/>
        <v>378800</v>
      </c>
      <c r="N43" s="102">
        <f t="shared" si="39"/>
        <v>260081</v>
      </c>
      <c r="O43" s="101">
        <f t="shared" si="37"/>
        <v>34.32959345</v>
      </c>
      <c r="P43" s="101">
        <f t="shared" si="38"/>
        <v>68.65918691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757600</v>
      </c>
      <c r="M45" s="115">
        <f>IFERROR(__xludf.DUMMYFUNCTION("IMPORTRANGE(""https://docs.google.com/spreadsheets/d/1Yj_ptqi66GCucihVvJfMjLAmec39IyEx_6qawtMGysU/edit?usp=sharing"",""สบก!Q38"")"),378800.0)</f>
        <v>378800</v>
      </c>
      <c r="N45" s="115">
        <f>IFERROR(__xludf.DUMMYFUNCTION("IMPORTRANGE(""https://docs.google.com/spreadsheets/d/1Yj_ptqi66GCucihVvJfMjLAmec39IyEx_6qawtMGysU/edit?usp=sharing"",""สบก!R38"")"),260081.0)</f>
        <v>260081</v>
      </c>
      <c r="O45" s="116">
        <f>IF(L45&gt;0,N45*100/L45,0)</f>
        <v>34.32959345</v>
      </c>
      <c r="P45" s="116">
        <f>IF(M45&gt;0,N45*100/M45,0)</f>
        <v>68.65918691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IFERROR(__xludf.DUMMYFUNCTION("IMPORTRANGE(""https://docs.google.com/spreadsheets/d/1Yj_ptqi66GCucihVvJfMjLAmec39IyEx_6qawtMGysU/edit?usp=sharing"",""สบก!M38"")"),757600.0)</f>
        <v>757600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IFERROR(__xludf.DUMMYFUNCTION("IMPORTRANGE(""https://docs.google.com/spreadsheets/d/1Yj_ptqi66GCucihVvJfMjLAmec39IyEx_6qawtMGysU/edit?usp=sharing"",""สบก!N38"")"),0.0)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IFERROR(__xludf.DUMMYFUNCTION("IMPORTRANGE(""https://docs.google.com/spreadsheets/d/1Yj_ptqi66GCucihVvJfMjLAmec39IyEx_6qawtMGysU/edit?usp=sharing"",""สบก!O38"")"),0.0)</f>
        <v>0</v>
      </c>
      <c r="M49" s="125"/>
      <c r="N49" s="115">
        <f>IFERROR(__xludf.DUMMYFUNCTION("IMPORTRANGE(""https://docs.google.com/spreadsheets/d/1Yj_ptqi66GCucihVvJfMjLAmec39IyEx_6qawtMGysU/edit?usp=sharing"",""สบก!S38"")"),0.0)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600000</v>
      </c>
      <c r="M53" s="151">
        <f t="shared" si="40"/>
        <v>313500</v>
      </c>
      <c r="N53" s="151">
        <f t="shared" si="40"/>
        <v>304882</v>
      </c>
      <c r="O53" s="150">
        <f t="shared" ref="O53:O55" si="42">IF(L53&gt;0,N53*100/L53,0)</f>
        <v>50.81366667</v>
      </c>
      <c r="P53" s="150">
        <f t="shared" ref="P53:P55" si="43">IF(M53&gt;0,N53*100/M53,0)</f>
        <v>97.25103668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600000</v>
      </c>
      <c r="M55" s="151">
        <f t="shared" si="44"/>
        <v>313500</v>
      </c>
      <c r="N55" s="151">
        <f t="shared" si="44"/>
        <v>304882</v>
      </c>
      <c r="O55" s="150">
        <f t="shared" si="42"/>
        <v>50.81366667</v>
      </c>
      <c r="P55" s="150">
        <f t="shared" si="43"/>
        <v>97.25103668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600000</v>
      </c>
      <c r="M57" s="115">
        <f>IFERROR(__xludf.DUMMYFUNCTION("IMPORTRANGE(""https://docs.google.com/spreadsheets/d/1Yj_ptqi66GCucihVvJfMjLAmec39IyEx_6qawtMGysU/edit?usp=sharing"",""สบก!Z38"")"),313500.0)</f>
        <v>313500</v>
      </c>
      <c r="N57" s="115">
        <f>IFERROR(__xludf.DUMMYFUNCTION("IMPORTRANGE(""https://docs.google.com/spreadsheets/d/1Yj_ptqi66GCucihVvJfMjLAmec39IyEx_6qawtMGysU/edit?usp=sharing"",""สบก!AA38"")"),304882.0)</f>
        <v>304882</v>
      </c>
      <c r="O57" s="116">
        <f>IF(L57&gt;0,N57*100/L57,0)</f>
        <v>50.81366667</v>
      </c>
      <c r="P57" s="116">
        <f>IF(M57&gt;0,N57*100/M57,0)</f>
        <v>97.25103668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IFERROR(__xludf.DUMMYFUNCTION("IMPORTRANGE(""https://docs.google.com/spreadsheets/d/1Yj_ptqi66GCucihVvJfMjLAmec39IyEx_6qawtMGysU/edit?usp=sharing"",""สบก!V38"")"),600000.0)</f>
        <v>600000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IFERROR(__xludf.DUMMYFUNCTION("IMPORTRANGE(""https://docs.google.com/spreadsheets/d/1Yj_ptqi66GCucihVvJfMjLAmec39IyEx_6qawtMGysU/edit?usp=sharing"",""สบก!W38"")"),0.0)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IFERROR(__xludf.DUMMYFUNCTION("IMPORTRANGE(""https://docs.google.com/spreadsheets/d/1Yj_ptqi66GCucihVvJfMjLAmec39IyEx_6qawtMGysU/edit?usp=sharing"",""สบก!X38"")"),0.0)</f>
        <v>0</v>
      </c>
      <c r="M61" s="125"/>
      <c r="N61" s="115">
        <f>IFERROR(__xludf.DUMMYFUNCTION("IMPORTRANGE(""https://docs.google.com/spreadsheets/d/1Yj_ptqi66GCucihVvJfMjLAmec39IyEx_6qawtMGysU/edit?usp=sharing"",""สบก!AB38"")"),0.0)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IFERROR(__xludf.DUMMYFUNCTION("IMPORTRANGE(""https://docs.google.com/spreadsheets/d/1XL5vhW3sbDhbH9Cz0tuDiY8C3ctxq1tqvaCgkFb8cCA/edit?usp=sharing"",""กาฬสินธุ์!I9"")"),0.0)</f>
        <v>0</v>
      </c>
      <c r="J64" s="172">
        <f>IFERROR(__xludf.DUMMYFUNCTION("IMPORTRANGE(""https://docs.google.com/spreadsheets/d/1XL5vhW3sbDhbH9Cz0tuDiY8C3ctxq1tqvaCgkFb8cCA/edit?usp=sharing"",""กาฬสินธุ์!J9"")"),0.0)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IFERROR(__xludf.DUMMYFUNCTION("IMPORTRANGE(""https://docs.google.com/spreadsheets/d/1XL5vhW3sbDhbH9Cz0tuDiY8C3ctxq1tqvaCgkFb8cCA/edit?usp=sharing"",""กาฬสินธุ์!I10"")"),0.0)</f>
        <v>0</v>
      </c>
      <c r="J65" s="172">
        <f>IFERROR(__xludf.DUMMYFUNCTION("IMPORTRANGE(""https://docs.google.com/spreadsheets/d/1XL5vhW3sbDhbH9Cz0tuDiY8C3ctxq1tqvaCgkFb8cCA/edit?usp=sharing"",""กาฬสินธุ์!J10"")"),0.0)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IFERROR(__xludf.DUMMYFUNCTION("IMPORTRANGE(""https://docs.google.com/spreadsheets/d/1Yj_ptqi66GCucihVvJfMjLAmec39IyEx_6qawtMGysU/edit?usp=sharing"",""สบก!AI38"")"),0.0)</f>
        <v>0</v>
      </c>
      <c r="N70" s="202">
        <f>IFERROR(__xludf.DUMMYFUNCTION("IMPORTRANGE(""https://docs.google.com/spreadsheets/d/1Yj_ptqi66GCucihVvJfMjLAmec39IyEx_6qawtMGysU/edit?usp=sharing"",""สบก!AJ38"")"),0.0)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IFERROR(__xludf.DUMMYFUNCTION("IMPORTRANGE(""https://docs.google.com/spreadsheets/d/1Yj_ptqi66GCucihVvJfMjLAmec39IyEx_6qawtMGysU/edit?usp=sharing"",""สบก!AE38"")"),0.0)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IFERROR(__xludf.DUMMYFUNCTION("IMPORTRANGE(""https://docs.google.com/spreadsheets/d/1Yj_ptqi66GCucihVvJfMjLAmec39IyEx_6qawtMGysU/edit?usp=sharing"",""สบก!AF38"")"),0.0)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IFERROR(__xludf.DUMMYFUNCTION("IMPORTRANGE(""https://docs.google.com/spreadsheets/d/1Yj_ptqi66GCucihVvJfMjLAmec39IyEx_6qawtMGysU/edit?usp=sharing"",""สบก!AG38"")"),0.0)</f>
        <v>0</v>
      </c>
      <c r="M74" s="125"/>
      <c r="N74" s="115">
        <f>IFERROR(__xludf.DUMMYFUNCTION("IMPORTRANGE(""https://docs.google.com/spreadsheets/d/1Yj_ptqi66GCucihVvJfMjLAmec39IyEx_6qawtMGysU/edit?usp=sharing"",""สบก!AK38"")"),0.0)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IFERROR(__xludf.DUMMYFUNCTION("IMPORTRANGE(""https://docs.google.com/spreadsheets/d/1XL5vhW3sbDhbH9Cz0tuDiY8C3ctxq1tqvaCgkFb8cCA/edit?usp=sharing"",""กาฬสินธุ์!J16"")"),0.0)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IFERROR(__xludf.DUMMYFUNCTION("IMPORTRANGE(""https://docs.google.com/spreadsheets/d/1XL5vhW3sbDhbH9Cz0tuDiY8C3ctxq1tqvaCgkFb8cCA/edit?usp=sharing"",""กาฬสินธุ์!J17"")"),0.0)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IFERROR(__xludf.DUMMYFUNCTION("IMPORTRANGE(""https://docs.google.com/spreadsheets/d/1XL5vhW3sbDhbH9Cz0tuDiY8C3ctxq1tqvaCgkFb8cCA/edit?usp=sharing"",""กาฬสินธุ์!J18"")"),0.0)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IFERROR(__xludf.DUMMYFUNCTION("IMPORTRANGE(""https://docs.google.com/spreadsheets/d/1XL5vhW3sbDhbH9Cz0tuDiY8C3ctxq1tqvaCgkFb8cCA/edit?usp=sharing"",""กาฬสินธุ์!J19"")"),0.0)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IFERROR(__xludf.DUMMYFUNCTION("IMPORTRANGE(""https://docs.google.com/spreadsheets/d/1XL5vhW3sbDhbH9Cz0tuDiY8C3ctxq1tqvaCgkFb8cCA/edit?usp=sharing"",""กาฬสินธุ์!I20"")"),0.0)</f>
        <v>0</v>
      </c>
      <c r="J80" s="235">
        <f>IFERROR(__xludf.DUMMYFUNCTION("IMPORTRANGE(""https://docs.google.com/spreadsheets/d/1XL5vhW3sbDhbH9Cz0tuDiY8C3ctxq1tqvaCgkFb8cCA/edit?usp=sharing"",""กาฬสินธุ์!J20"")"),0.0)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IFERROR(__xludf.DUMMYFUNCTION("IMPORTRANGE(""https://docs.google.com/spreadsheets/d/1XL5vhW3sbDhbH9Cz0tuDiY8C3ctxq1tqvaCgkFb8cCA/edit?usp=sharing"",""กาฬสินธุ์!I21"")"),0.0)</f>
        <v>0</v>
      </c>
      <c r="J81" s="235">
        <f>IFERROR(__xludf.DUMMYFUNCTION("IMPORTRANGE(""https://docs.google.com/spreadsheets/d/1XL5vhW3sbDhbH9Cz0tuDiY8C3ctxq1tqvaCgkFb8cCA/edit?usp=sharing"",""กาฬสินธุ์!J21"")"),0.0)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IFERROR(__xludf.DUMMYFUNCTION("IMPORTRANGE(""https://docs.google.com/spreadsheets/d/1XL5vhW3sbDhbH9Cz0tuDiY8C3ctxq1tqvaCgkFb8cCA/edit?usp=sharing"",""กาฬสินธุ์!I22"")"),0.0)</f>
        <v>0</v>
      </c>
      <c r="J82" s="238">
        <f>IFERROR(__xludf.DUMMYFUNCTION("IMPORTRANGE(""https://docs.google.com/spreadsheets/d/1XL5vhW3sbDhbH9Cz0tuDiY8C3ctxq1tqvaCgkFb8cCA/edit?usp=sharing"",""กาฬสินธุ์!J22"")"),0.0)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IFERROR(__xludf.DUMMYFUNCTION("IMPORTRANGE(""https://docs.google.com/spreadsheets/d/1XL5vhW3sbDhbH9Cz0tuDiY8C3ctxq1tqvaCgkFb8cCA/edit?usp=sharing"",""กาฬสินธุ์!I23"")"),0.0)</f>
        <v>0</v>
      </c>
      <c r="J83" s="238">
        <f>IFERROR(__xludf.DUMMYFUNCTION("IMPORTRANGE(""https://docs.google.com/spreadsheets/d/1XL5vhW3sbDhbH9Cz0tuDiY8C3ctxq1tqvaCgkFb8cCA/edit?usp=sharing"",""กาฬสินธุ์!J23"")"),0.0)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IFERROR(__xludf.DUMMYFUNCTION("IMPORTRANGE(""https://docs.google.com/spreadsheets/d/1XL5vhW3sbDhbH9Cz0tuDiY8C3ctxq1tqvaCgkFb8cCA/edit?usp=sharing"",""กาฬสินธุ์!I24"")"),0.0)</f>
        <v>0</v>
      </c>
      <c r="J84" s="223">
        <f>IFERROR(__xludf.DUMMYFUNCTION("IMPORTRANGE(""https://docs.google.com/spreadsheets/d/1XL5vhW3sbDhbH9Cz0tuDiY8C3ctxq1tqvaCgkFb8cCA/edit?usp=sharing"",""กาฬสินธุ์!J24"")"),0.0)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IFERROR(__xludf.DUMMYFUNCTION("IMPORTRANGE(""https://docs.google.com/spreadsheets/d/1XL5vhW3sbDhbH9Cz0tuDiY8C3ctxq1tqvaCgkFb8cCA/edit?usp=sharing"",""กาฬสินธุ์!I25"")"),0.0)</f>
        <v>0</v>
      </c>
      <c r="J85" s="223">
        <f>IFERROR(__xludf.DUMMYFUNCTION("IMPORTRANGE(""https://docs.google.com/spreadsheets/d/1XL5vhW3sbDhbH9Cz0tuDiY8C3ctxq1tqvaCgkFb8cCA/edit?usp=sharing"",""กาฬสินธุ์!J25"")"),0.0)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IFERROR(__xludf.DUMMYFUNCTION("IMPORTRANGE(""https://docs.google.com/spreadsheets/d/1XL5vhW3sbDhbH9Cz0tuDiY8C3ctxq1tqvaCgkFb8cCA/edit?usp=sharing"",""กาฬสินธุ์!I26"")"),0.0)</f>
        <v>0</v>
      </c>
      <c r="J86" s="238">
        <f>IFERROR(__xludf.DUMMYFUNCTION("IMPORTRANGE(""https://docs.google.com/spreadsheets/d/1XL5vhW3sbDhbH9Cz0tuDiY8C3ctxq1tqvaCgkFb8cCA/edit?usp=sharing"",""กาฬสินธุ์!J26"")"),0.0)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IFERROR(__xludf.DUMMYFUNCTION("IMPORTRANGE(""https://docs.google.com/spreadsheets/d/1XL5vhW3sbDhbH9Cz0tuDiY8C3ctxq1tqvaCgkFb8cCA/edit?usp=sharing"",""กาฬสินธุ์!I27"")"),0.0)</f>
        <v>0</v>
      </c>
      <c r="J87" s="238">
        <f>IFERROR(__xludf.DUMMYFUNCTION("IMPORTRANGE(""https://docs.google.com/spreadsheets/d/1XL5vhW3sbDhbH9Cz0tuDiY8C3ctxq1tqvaCgkFb8cCA/edit?usp=sharing"",""กาฬสินธุ์!J27"")"),0.0)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IFERROR(__xludf.DUMMYFUNCTION("IMPORTRANGE(""https://docs.google.com/spreadsheets/d/1XL5vhW3sbDhbH9Cz0tuDiY8C3ctxq1tqvaCgkFb8cCA/edit?usp=sharing"",""กาฬสินธุ์!I28"")"),0.0)</f>
        <v>0</v>
      </c>
      <c r="J88" s="238">
        <f>IFERROR(__xludf.DUMMYFUNCTION("IMPORTRANGE(""https://docs.google.com/spreadsheets/d/1XL5vhW3sbDhbH9Cz0tuDiY8C3ctxq1tqvaCgkFb8cCA/edit?usp=sharing"",""กาฬสินธุ์!J28"")"),0.0)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IFERROR(__xludf.DUMMYFUNCTION("IMPORTRANGE(""https://docs.google.com/spreadsheets/d/1XL5vhW3sbDhbH9Cz0tuDiY8C3ctxq1tqvaCgkFb8cCA/edit?usp=sharing"",""กาฬสินธุ์!J29"")"),0.0)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IFERROR(__xludf.DUMMYFUNCTION("IMPORTRANGE(""https://docs.google.com/spreadsheets/d/1XL5vhW3sbDhbH9Cz0tuDiY8C3ctxq1tqvaCgkFb8cCA/edit?usp=sharing"",""กาฬสินธุ์!J30"")"),0.0)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IFERROR(__xludf.DUMMYFUNCTION("IMPORTRANGE(""https://docs.google.com/spreadsheets/d/1XL5vhW3sbDhbH9Cz0tuDiY8C3ctxq1tqvaCgkFb8cCA/edit?usp=sharing"",""กาฬสินธุ์!I32"")"),0.0)</f>
        <v>0</v>
      </c>
      <c r="J92" s="172">
        <f>IFERROR(__xludf.DUMMYFUNCTION("IMPORTRANGE(""https://docs.google.com/spreadsheets/d/1XL5vhW3sbDhbH9Cz0tuDiY8C3ctxq1tqvaCgkFb8cCA/edit?usp=sharing"",""กาฬสินธุ์!J32"")"),0.0)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IFERROR(__xludf.DUMMYFUNCTION("IMPORTRANGE(""https://docs.google.com/spreadsheets/d/1XL5vhW3sbDhbH9Cz0tuDiY8C3ctxq1tqvaCgkFb8cCA/edit?usp=sharing"",""กาฬสินธุ์!I33"")"),0.0)</f>
        <v>0</v>
      </c>
      <c r="J93" s="172">
        <f>IFERROR(__xludf.DUMMYFUNCTION("IMPORTRANGE(""https://docs.google.com/spreadsheets/d/1XL5vhW3sbDhbH9Cz0tuDiY8C3ctxq1tqvaCgkFb8cCA/edit?usp=sharing"",""กาฬสินธุ์!J33"")"),0.0)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IFERROR(__xludf.DUMMYFUNCTION("IMPORTRANGE(""https://docs.google.com/spreadsheets/d/1Yj_ptqi66GCucihVvJfMjLAmec39IyEx_6qawtMGysU/edit?usp=sharing"",""สบก!AR38"")"),0.0)</f>
        <v>0</v>
      </c>
      <c r="N98" s="202">
        <f>IFERROR(__xludf.DUMMYFUNCTION("IMPORTRANGE(""https://docs.google.com/spreadsheets/d/1Yj_ptqi66GCucihVvJfMjLAmec39IyEx_6qawtMGysU/edit?usp=sharing"",""สบก!AS38"")"),0.0)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IFERROR(__xludf.DUMMYFUNCTION("IMPORTRANGE(""https://docs.google.com/spreadsheets/d/1Yj_ptqi66GCucihVvJfMjLAmec39IyEx_6qawtMGysU/edit?usp=sharing"",""สบก!AN38"")"),0.0)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IFERROR(__xludf.DUMMYFUNCTION("IMPORTRANGE(""https://docs.google.com/spreadsheets/d/1Yj_ptqi66GCucihVvJfMjLAmec39IyEx_6qawtMGysU/edit?usp=sharing"",""สบก!AO38"")"),0.0)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IFERROR(__xludf.DUMMYFUNCTION("IMPORTRANGE(""https://docs.google.com/spreadsheets/d/1Yj_ptqi66GCucihVvJfMjLAmec39IyEx_6qawtMGysU/edit?usp=sharing"",""สบก!AP38"")"),0.0)</f>
        <v>0</v>
      </c>
      <c r="M102" s="125"/>
      <c r="N102" s="115">
        <f>IFERROR(__xludf.DUMMYFUNCTION("IMPORTRANGE(""https://docs.google.com/spreadsheets/d/1Yj_ptqi66GCucihVvJfMjLAmec39IyEx_6qawtMGysU/edit?usp=sharing"",""สบก!AT38"")"),0.0)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IFERROR(__xludf.DUMMYFUNCTION("IMPORTRANGE(""https://docs.google.com/spreadsheets/d/1XL5vhW3sbDhbH9Cz0tuDiY8C3ctxq1tqvaCgkFb8cCA/edit?usp=sharing"",""กาฬสินธุ์!J39"")"),0.0)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IFERROR(__xludf.DUMMYFUNCTION("IMPORTRANGE(""https://docs.google.com/spreadsheets/d/1XL5vhW3sbDhbH9Cz0tuDiY8C3ctxq1tqvaCgkFb8cCA/edit?usp=sharing"",""กาฬสินธุ์!J40"")"),0.0)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IFERROR(__xludf.DUMMYFUNCTION("IMPORTRANGE(""https://docs.google.com/spreadsheets/d/1XL5vhW3sbDhbH9Cz0tuDiY8C3ctxq1tqvaCgkFb8cCA/edit?usp=sharing"",""กาฬสินธุ์!J41"")"),0.0)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IFERROR(__xludf.DUMMYFUNCTION("IMPORTRANGE(""https://docs.google.com/spreadsheets/d/1XL5vhW3sbDhbH9Cz0tuDiY8C3ctxq1tqvaCgkFb8cCA/edit?usp=sharing"",""กาฬสินธุ์!J42"")"),0.0)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IFERROR(__xludf.DUMMYFUNCTION("IMPORTRANGE(""https://docs.google.com/spreadsheets/d/1XL5vhW3sbDhbH9Cz0tuDiY8C3ctxq1tqvaCgkFb8cCA/edit?usp=sharing"",""กาฬสินธุ์!I43"")"),0.0)</f>
        <v>0</v>
      </c>
      <c r="J108" s="238">
        <f>IFERROR(__xludf.DUMMYFUNCTION("IMPORTRANGE(""https://docs.google.com/spreadsheets/d/1XL5vhW3sbDhbH9Cz0tuDiY8C3ctxq1tqvaCgkFb8cCA/edit?usp=sharing"",""กาฬสินธุ์!J43"")"),0.0)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IFERROR(__xludf.DUMMYFUNCTION("IMPORTRANGE(""https://docs.google.com/spreadsheets/d/1XL5vhW3sbDhbH9Cz0tuDiY8C3ctxq1tqvaCgkFb8cCA/edit?usp=sharing"",""กาฬสินธุ์!I44"")"),0.0)</f>
        <v>0</v>
      </c>
      <c r="J109" s="238">
        <f>IFERROR(__xludf.DUMMYFUNCTION("IMPORTRANGE(""https://docs.google.com/spreadsheets/d/1XL5vhW3sbDhbH9Cz0tuDiY8C3ctxq1tqvaCgkFb8cCA/edit?usp=sharing"",""กาฬสินธุ์!J44"")"),0.0)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IFERROR(__xludf.DUMMYFUNCTION("IMPORTRANGE(""https://docs.google.com/spreadsheets/d/1XL5vhW3sbDhbH9Cz0tuDiY8C3ctxq1tqvaCgkFb8cCA/edit?usp=sharing"",""กาฬสินธุ์!I45"")"),0.0)</f>
        <v>0</v>
      </c>
      <c r="J110" s="238">
        <f>IFERROR(__xludf.DUMMYFUNCTION("IMPORTRANGE(""https://docs.google.com/spreadsheets/d/1XL5vhW3sbDhbH9Cz0tuDiY8C3ctxq1tqvaCgkFb8cCA/edit?usp=sharing"",""กาฬสินธุ์!J45"")"),0.0)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IFERROR(__xludf.DUMMYFUNCTION("IMPORTRANGE(""https://docs.google.com/spreadsheets/d/1XL5vhW3sbDhbH9Cz0tuDiY8C3ctxq1tqvaCgkFb8cCA/edit?usp=sharing"",""กาฬสินธุ์!I46"")"),0.0)</f>
        <v>0</v>
      </c>
      <c r="J111" s="238">
        <f>IFERROR(__xludf.DUMMYFUNCTION("IMPORTRANGE(""https://docs.google.com/spreadsheets/d/1XL5vhW3sbDhbH9Cz0tuDiY8C3ctxq1tqvaCgkFb8cCA/edit?usp=sharing"",""กาฬสินธุ์!J46"")"),0.0)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IFERROR(__xludf.DUMMYFUNCTION("IMPORTRANGE(""https://docs.google.com/spreadsheets/d/1XL5vhW3sbDhbH9Cz0tuDiY8C3ctxq1tqvaCgkFb8cCA/edit?usp=sharing"",""กาฬสินธุ์!I47"")"),0.0)</f>
        <v>0</v>
      </c>
      <c r="J112" s="238">
        <f>IFERROR(__xludf.DUMMYFUNCTION("IMPORTRANGE(""https://docs.google.com/spreadsheets/d/1XL5vhW3sbDhbH9Cz0tuDiY8C3ctxq1tqvaCgkFb8cCA/edit?usp=sharing"",""กาฬสินธุ์!J47"")"),0.0)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IFERROR(__xludf.DUMMYFUNCTION("IMPORTRANGE(""https://docs.google.com/spreadsheets/d/1XL5vhW3sbDhbH9Cz0tuDiY8C3ctxq1tqvaCgkFb8cCA/edit?usp=sharing"",""กาฬสินธุ์!I48"")"),0.0)</f>
        <v>0</v>
      </c>
      <c r="J113" s="238">
        <f>IFERROR(__xludf.DUMMYFUNCTION("IMPORTRANGE(""https://docs.google.com/spreadsheets/d/1XL5vhW3sbDhbH9Cz0tuDiY8C3ctxq1tqvaCgkFb8cCA/edit?usp=sharing"",""กาฬสินธุ์!J48"")"),0.0)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IFERROR(__xludf.DUMMYFUNCTION("IMPORTRANGE(""https://docs.google.com/spreadsheets/d/1XL5vhW3sbDhbH9Cz0tuDiY8C3ctxq1tqvaCgkFb8cCA/edit?usp=sharing"",""กาฬสินธุ์!J49"")"),0.0)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IFERROR(__xludf.DUMMYFUNCTION("IMPORTRANGE(""https://docs.google.com/spreadsheets/d/1XL5vhW3sbDhbH9Cz0tuDiY8C3ctxq1tqvaCgkFb8cCA/edit?usp=sharing"",""กาฬสินธุ์!J50"")"),0.0)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IFERROR(__xludf.DUMMYFUNCTION("IMPORTRANGE(""https://docs.google.com/spreadsheets/d/1XL5vhW3sbDhbH9Cz0tuDiY8C3ctxq1tqvaCgkFb8cCA/edit?usp=sharing"",""กาฬสินธุ์!I52"")"),20.0)</f>
        <v>20</v>
      </c>
      <c r="J117" s="172">
        <f>IFERROR(__xludf.DUMMYFUNCTION("IMPORTRANGE(""https://docs.google.com/spreadsheets/d/1XL5vhW3sbDhbH9Cz0tuDiY8C3ctxq1tqvaCgkFb8cCA/edit?usp=sharing"",""กาฬสินธุ์!J52"")"),20.0)</f>
        <v>20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82440</v>
      </c>
      <c r="M118" s="183">
        <f t="shared" si="59"/>
        <v>66440</v>
      </c>
      <c r="N118" s="183">
        <f t="shared" si="59"/>
        <v>18385</v>
      </c>
      <c r="O118" s="182">
        <f t="shared" ref="O118:O120" si="61">IF(L118&gt;0,N118*100/L118,0)</f>
        <v>22.30106744</v>
      </c>
      <c r="P118" s="182">
        <f t="shared" ref="P118:P120" si="62">IF(M118&gt;0,N118*100/M118,0)</f>
        <v>27.67158338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82440</v>
      </c>
      <c r="M120" s="188">
        <f t="shared" si="63"/>
        <v>66440</v>
      </c>
      <c r="N120" s="188">
        <f t="shared" si="63"/>
        <v>18385</v>
      </c>
      <c r="O120" s="187">
        <f t="shared" si="61"/>
        <v>22.30106744</v>
      </c>
      <c r="P120" s="187">
        <f t="shared" si="62"/>
        <v>27.67158338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82440</v>
      </c>
      <c r="M122" s="201">
        <f>IFERROR(__xludf.DUMMYFUNCTION("IMPORTRANGE(""https://docs.google.com/spreadsheets/d/1Yj_ptqi66GCucihVvJfMjLAmec39IyEx_6qawtMGysU/edit?usp=sharing"",""สบก!BA38"")"),66440.0)</f>
        <v>66440</v>
      </c>
      <c r="N122" s="202">
        <f>IFERROR(__xludf.DUMMYFUNCTION("IMPORTRANGE(""https://docs.google.com/spreadsheets/d/1Yj_ptqi66GCucihVvJfMjLAmec39IyEx_6qawtMGysU/edit?usp=sharing"",""สบก!BB38"")"),18385.0)</f>
        <v>18385</v>
      </c>
      <c r="O122" s="203">
        <f>IF(L122&gt;0,N122*100/L122,0)</f>
        <v>22.30106744</v>
      </c>
      <c r="P122" s="203">
        <f>IF(M122&gt;0,N122*100/M122,0)</f>
        <v>27.67158338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IFERROR(__xludf.DUMMYFUNCTION("IMPORTRANGE(""https://docs.google.com/spreadsheets/d/1Yj_ptqi66GCucihVvJfMjLAmec39IyEx_6qawtMGysU/edit?usp=sharing"",""สบก!AW38"")"),0.0)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IFERROR(__xludf.DUMMYFUNCTION("IMPORTRANGE(""https://docs.google.com/spreadsheets/d/1Yj_ptqi66GCucihVvJfMjLAmec39IyEx_6qawtMGysU/edit?usp=sharing"",""สบก!AX38"")"),82440.0)</f>
        <v>82440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IFERROR(__xludf.DUMMYFUNCTION("IMPORTRANGE(""https://docs.google.com/spreadsheets/d/1Yj_ptqi66GCucihVvJfMjLAmec39IyEx_6qawtMGysU/edit?usp=sharing"",""สบก!AY38"")"),0.0)</f>
        <v>0</v>
      </c>
      <c r="M126" s="125"/>
      <c r="N126" s="115">
        <f>IFERROR(__xludf.DUMMYFUNCTION("IMPORTRANGE(""https://docs.google.com/spreadsheets/d/1Yj_ptqi66GCucihVvJfMjLAmec39IyEx_6qawtMGysU/edit?usp=sharing"",""สบก!BC38"")"),0.0)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IFERROR(__xludf.DUMMYFUNCTION("IMPORTRANGE(""https://docs.google.com/spreadsheets/d/1XL5vhW3sbDhbH9Cz0tuDiY8C3ctxq1tqvaCgkFb8cCA/edit?usp=sharing"",""กาฬสินธุ์!J58"")"),0.0)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IFERROR(__xludf.DUMMYFUNCTION("IMPORTRANGE(""https://docs.google.com/spreadsheets/d/1XL5vhW3sbDhbH9Cz0tuDiY8C3ctxq1tqvaCgkFb8cCA/edit?usp=sharing"",""กาฬสินธุ์!J59"")"),1.0)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IFERROR(__xludf.DUMMYFUNCTION("IMPORTRANGE(""https://docs.google.com/spreadsheets/d/1XL5vhW3sbDhbH9Cz0tuDiY8C3ctxq1tqvaCgkFb8cCA/edit?usp=sharing"",""กาฬสินธุ์!J60"")"),1.0)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IFERROR(__xludf.DUMMYFUNCTION("IMPORTRANGE(""https://docs.google.com/spreadsheets/d/1XL5vhW3sbDhbH9Cz0tuDiY8C3ctxq1tqvaCgkFb8cCA/edit?usp=sharing"",""กาฬสินธุ์!J61"")"),1.0)</f>
        <v>1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IFERROR(__xludf.DUMMYFUNCTION("IMPORTRANGE(""https://docs.google.com/spreadsheets/d/1XL5vhW3sbDhbH9Cz0tuDiY8C3ctxq1tqvaCgkFb8cCA/edit?usp=sharing"",""กาฬสินธุ์!I62"")"),20.0)</f>
        <v>20</v>
      </c>
      <c r="J132" s="238">
        <f>IFERROR(__xludf.DUMMYFUNCTION("IMPORTRANGE(""https://docs.google.com/spreadsheets/d/1XL5vhW3sbDhbH9Cz0tuDiY8C3ctxq1tqvaCgkFb8cCA/edit?usp=sharing"",""กาฬสินธุ์!J62"")"),20.0)</f>
        <v>20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IFERROR(__xludf.DUMMYFUNCTION("IMPORTRANGE(""https://docs.google.com/spreadsheets/d/1XL5vhW3sbDhbH9Cz0tuDiY8C3ctxq1tqvaCgkFb8cCA/edit?usp=sharing"",""กาฬสินธุ์!I63"")"),20.0)</f>
        <v>20</v>
      </c>
      <c r="J133" s="238">
        <f>IFERROR(__xludf.DUMMYFUNCTION("IMPORTRANGE(""https://docs.google.com/spreadsheets/d/1XL5vhW3sbDhbH9Cz0tuDiY8C3ctxq1tqvaCgkFb8cCA/edit?usp=sharing"",""กาฬสินธุ์!J63"")"),20.0)</f>
        <v>20</v>
      </c>
      <c r="K133" s="258">
        <f t="shared" si="64"/>
        <v>100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IFERROR(__xludf.DUMMYFUNCTION("IMPORTRANGE(""https://docs.google.com/spreadsheets/d/1XL5vhW3sbDhbH9Cz0tuDiY8C3ctxq1tqvaCgkFb8cCA/edit?usp=sharing"",""กาฬสินธุ์!J64"")"),0.0)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IFERROR(__xludf.DUMMYFUNCTION("IMPORTRANGE(""https://docs.google.com/spreadsheets/d/1XL5vhW3sbDhbH9Cz0tuDiY8C3ctxq1tqvaCgkFb8cCA/edit?usp=sharing"",""กาฬสินธุ์!J65"")"),0.0)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IFERROR(__xludf.DUMMYFUNCTION("IMPORTRANGE(""https://docs.google.com/spreadsheets/d/1XL5vhW3sbDhbH9Cz0tuDiY8C3ctxq1tqvaCgkFb8cCA/edit?usp=sharing"",""กาฬสินธุ์!I68"")"),0.0)</f>
        <v>0</v>
      </c>
      <c r="J138" s="301">
        <f>IFERROR(__xludf.DUMMYFUNCTION("IMPORTRANGE(""https://docs.google.com/spreadsheets/d/1XL5vhW3sbDhbH9Cz0tuDiY8C3ctxq1tqvaCgkFb8cCA/edit?usp=sharing"",""กาฬสินธุ์!J68"")"),0.0)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83500</v>
      </c>
      <c r="M140" s="183">
        <f t="shared" si="65"/>
        <v>45750</v>
      </c>
      <c r="N140" s="183">
        <f t="shared" si="65"/>
        <v>470</v>
      </c>
      <c r="O140" s="182">
        <f t="shared" ref="O140:O142" si="67">IF(L140&gt;0,N140*100/L140,0)</f>
        <v>0.5628742515</v>
      </c>
      <c r="P140" s="182">
        <f t="shared" ref="P140:P142" si="68">IF(M140&gt;0,N140*100/M140,0)</f>
        <v>1.027322404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83500</v>
      </c>
      <c r="M142" s="188">
        <f t="shared" si="69"/>
        <v>45750</v>
      </c>
      <c r="N142" s="188">
        <f t="shared" si="69"/>
        <v>470</v>
      </c>
      <c r="O142" s="187">
        <f t="shared" si="67"/>
        <v>0.5628742515</v>
      </c>
      <c r="P142" s="187">
        <f t="shared" si="68"/>
        <v>1.027322404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83500</v>
      </c>
      <c r="M144" s="201">
        <f>IFERROR(__xludf.DUMMYFUNCTION("IMPORTRANGE(""https://docs.google.com/spreadsheets/d/1Yj_ptqi66GCucihVvJfMjLAmec39IyEx_6qawtMGysU/edit?usp=sharing"",""สบก!BJ38"")"),45750.0)</f>
        <v>45750</v>
      </c>
      <c r="N144" s="202">
        <f>IFERROR(__xludf.DUMMYFUNCTION("IMPORTRANGE(""https://docs.google.com/spreadsheets/d/1Yj_ptqi66GCucihVvJfMjLAmec39IyEx_6qawtMGysU/edit?usp=sharing"",""สบก!BK38"")"),470.0)</f>
        <v>470</v>
      </c>
      <c r="O144" s="203">
        <f>IF(L144&gt;0,N144*100/L144,0)</f>
        <v>0.5628742515</v>
      </c>
      <c r="P144" s="203">
        <f>IF(M144&gt;0,N144*100/M144,0)</f>
        <v>1.027322404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IFERROR(__xludf.DUMMYFUNCTION("IMPORTRANGE(""https://docs.google.com/spreadsheets/d/1Yj_ptqi66GCucihVvJfMjLAmec39IyEx_6qawtMGysU/edit?usp=sharing"",""สบก!BF38"")"),0.0)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IFERROR(__xludf.DUMMYFUNCTION("IMPORTRANGE(""https://docs.google.com/spreadsheets/d/1Yj_ptqi66GCucihVvJfMjLAmec39IyEx_6qawtMGysU/edit?usp=sharing"",""สบก!BG38"")"),83500.0)</f>
        <v>83500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IFERROR(__xludf.DUMMYFUNCTION("IMPORTRANGE(""https://docs.google.com/spreadsheets/d/1Yj_ptqi66GCucihVvJfMjLAmec39IyEx_6qawtMGysU/edit?usp=sharing"",""สบก!BH38"")"),0.0)</f>
        <v>0</v>
      </c>
      <c r="M148" s="125"/>
      <c r="N148" s="115">
        <f>IFERROR(__xludf.DUMMYFUNCTION("IMPORTRANGE(""https://docs.google.com/spreadsheets/d/1Yj_ptqi66GCucihVvJfMjLAmec39IyEx_6qawtMGysU/edit?usp=sharing"",""สบก!BL38"")"),0.0)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IFERROR(__xludf.DUMMYFUNCTION("IMPORTRANGE(""https://docs.google.com/spreadsheets/d/1XL5vhW3sbDhbH9Cz0tuDiY8C3ctxq1tqvaCgkFb8cCA/edit?usp=sharing"",""กาฬสินธุ์!I74"")"),4.0)</f>
        <v>4</v>
      </c>
      <c r="J149" s="309">
        <f>IFERROR(__xludf.DUMMYFUNCTION("IMPORTRANGE(""https://docs.google.com/spreadsheets/d/1XL5vhW3sbDhbH9Cz0tuDiY8C3ctxq1tqvaCgkFb8cCA/edit?usp=sharing"",""กาฬสินธุ์!J74"")"),0.0)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IFERROR(__xludf.DUMMYFUNCTION("IMPORTRANGE(""https://docs.google.com/spreadsheets/d/1XL5vhW3sbDhbH9Cz0tuDiY8C3ctxq1tqvaCgkFb8cCA/edit?usp=sharing"",""กาฬสินธุ์!J79"")"),0.0)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IFERROR(__xludf.DUMMYFUNCTION("IMPORTRANGE(""https://docs.google.com/spreadsheets/d/1XL5vhW3sbDhbH9Cz0tuDiY8C3ctxq1tqvaCgkFb8cCA/edit?usp=sharing"",""กาฬสินธุ์!J80"")"),1.0)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IFERROR(__xludf.DUMMYFUNCTION("IMPORTRANGE(""https://docs.google.com/spreadsheets/d/1XL5vhW3sbDhbH9Cz0tuDiY8C3ctxq1tqvaCgkFb8cCA/edit?usp=sharing"",""กาฬสินธุ์!J81"")"),1.0)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IFERROR(__xludf.DUMMYFUNCTION("IMPORTRANGE(""https://docs.google.com/spreadsheets/d/1XL5vhW3sbDhbH9Cz0tuDiY8C3ctxq1tqvaCgkFb8cCA/edit?usp=sharing"",""กาฬสินธุ์!J82"")"),0.0)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IFERROR(__xludf.DUMMYFUNCTION("IMPORTRANGE(""https://docs.google.com/spreadsheets/d/1XL5vhW3sbDhbH9Cz0tuDiY8C3ctxq1tqvaCgkFb8cCA/edit?usp=sharing"",""กาฬสินธุ์!I83"")"),4.0)</f>
        <v>4</v>
      </c>
      <c r="J158" s="223">
        <f>IFERROR(__xludf.DUMMYFUNCTION("IMPORTRANGE(""https://docs.google.com/spreadsheets/d/1XL5vhW3sbDhbH9Cz0tuDiY8C3ctxq1tqvaCgkFb8cCA/edit?usp=sharing"",""กาฬสินธุ์!J83"")"),0.0)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IFERROR(__xludf.DUMMYFUNCTION("IMPORTRANGE(""https://docs.google.com/spreadsheets/d/1XL5vhW3sbDhbH9Cz0tuDiY8C3ctxq1tqvaCgkFb8cCA/edit?usp=sharing"",""กาฬสินธุ์!J84"")"),0.0)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IFERROR(__xludf.DUMMYFUNCTION("IMPORTRANGE(""https://docs.google.com/spreadsheets/d/1XL5vhW3sbDhbH9Cz0tuDiY8C3ctxq1tqvaCgkFb8cCA/edit?usp=sharing"",""กาฬสินธุ์!J85"")"),0.0)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IFERROR(__xludf.DUMMYFUNCTION("IMPORTRANGE(""https://docs.google.com/spreadsheets/d/1XL5vhW3sbDhbH9Cz0tuDiY8C3ctxq1tqvaCgkFb8cCA/edit?usp=sharing"",""กาฬสินธุ์!J86"")"),0.0)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IFERROR(__xludf.DUMMYFUNCTION("IMPORTRANGE(""https://docs.google.com/spreadsheets/d/1XL5vhW3sbDhbH9Cz0tuDiY8C3ctxq1tqvaCgkFb8cCA/edit?usp=sharing"",""กาฬสินธุ์!J87"")"),0.0)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IFERROR(__xludf.DUMMYFUNCTION("IMPORTRANGE(""https://docs.google.com/spreadsheets/d/1XL5vhW3sbDhbH9Cz0tuDiY8C3ctxq1tqvaCgkFb8cCA/edit?usp=sharing"",""กาฬสินธุ์!J88"")"),0.0)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IFERROR(__xludf.DUMMYFUNCTION("IMPORTRANGE(""https://docs.google.com/spreadsheets/d/1XL5vhW3sbDhbH9Cz0tuDiY8C3ctxq1tqvaCgkFb8cCA/edit?usp=sharing"",""กาฬสินธุ์!I89"")"),3.0)</f>
        <v>3</v>
      </c>
      <c r="J164" s="317">
        <f>IFERROR(__xludf.DUMMYFUNCTION("IMPORTRANGE(""https://docs.google.com/spreadsheets/d/1XL5vhW3sbDhbH9Cz0tuDiY8C3ctxq1tqvaCgkFb8cCA/edit?usp=sharing"",""กาฬสินธุ์!J89"")"),0.0)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IFERROR(__xludf.DUMMYFUNCTION("IMPORTRANGE(""https://docs.google.com/spreadsheets/d/1XL5vhW3sbDhbH9Cz0tuDiY8C3ctxq1tqvaCgkFb8cCA/edit?usp=sharing"",""กาฬสินธุ์!J94"")"),0.0)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IFERROR(__xludf.DUMMYFUNCTION("IMPORTRANGE(""https://docs.google.com/spreadsheets/d/1XL5vhW3sbDhbH9Cz0tuDiY8C3ctxq1tqvaCgkFb8cCA/edit?usp=sharing"",""กาฬสินธุ์!J95"")"),1.0)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IFERROR(__xludf.DUMMYFUNCTION("IMPORTRANGE(""https://docs.google.com/spreadsheets/d/1XL5vhW3sbDhbH9Cz0tuDiY8C3ctxq1tqvaCgkFb8cCA/edit?usp=sharing"",""กาฬสินธุ์!J96"")"),1.0)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IFERROR(__xludf.DUMMYFUNCTION("IMPORTRANGE(""https://docs.google.com/spreadsheets/d/1XL5vhW3sbDhbH9Cz0tuDiY8C3ctxq1tqvaCgkFb8cCA/edit?usp=sharing"",""กาฬสินธุ์!J97"")"),0.0)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IFERROR(__xludf.DUMMYFUNCTION("IMPORTRANGE(""https://docs.google.com/spreadsheets/d/1XL5vhW3sbDhbH9Cz0tuDiY8C3ctxq1tqvaCgkFb8cCA/edit?usp=sharing"",""กาฬสินธุ์!I98"")"),3.0)</f>
        <v>3</v>
      </c>
      <c r="J173" s="223">
        <f>IFERROR(__xludf.DUMMYFUNCTION("IMPORTRANGE(""https://docs.google.com/spreadsheets/d/1XL5vhW3sbDhbH9Cz0tuDiY8C3ctxq1tqvaCgkFb8cCA/edit?usp=sharing"",""กาฬสินธุ์!J98"")"),0.0)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IFERROR(__xludf.DUMMYFUNCTION("IMPORTRANGE(""https://docs.google.com/spreadsheets/d/1XL5vhW3sbDhbH9Cz0tuDiY8C3ctxq1tqvaCgkFb8cCA/edit?usp=sharing"",""กาฬสินธุ์!J99"")"),0.0)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IFERROR(__xludf.DUMMYFUNCTION("IMPORTRANGE(""https://docs.google.com/spreadsheets/d/1XL5vhW3sbDhbH9Cz0tuDiY8C3ctxq1tqvaCgkFb8cCA/edit?usp=sharing"",""กาฬสินธุ์!J100"")"),0.0)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IFERROR(__xludf.DUMMYFUNCTION("IMPORTRANGE(""https://docs.google.com/spreadsheets/d/1XL5vhW3sbDhbH9Cz0tuDiY8C3ctxq1tqvaCgkFb8cCA/edit?usp=sharing"",""กาฬสินธุ์!I101"")"),0.0)</f>
        <v>0</v>
      </c>
      <c r="J176" s="317">
        <f>IFERROR(__xludf.DUMMYFUNCTION("IMPORTRANGE(""https://docs.google.com/spreadsheets/d/1XL5vhW3sbDhbH9Cz0tuDiY8C3ctxq1tqvaCgkFb8cCA/edit?usp=sharing"",""กาฬสินธุ์!J101"")"),0.0)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IFERROR(__xludf.DUMMYFUNCTION("IMPORTRANGE(""https://docs.google.com/spreadsheets/d/1XL5vhW3sbDhbH9Cz0tuDiY8C3ctxq1tqvaCgkFb8cCA/edit?usp=sharing"",""กาฬสินธุ์!J106"")"),0.0)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IFERROR(__xludf.DUMMYFUNCTION("IMPORTRANGE(""https://docs.google.com/spreadsheets/d/1XL5vhW3sbDhbH9Cz0tuDiY8C3ctxq1tqvaCgkFb8cCA/edit?usp=sharing"",""กาฬสินธุ์!J107"")"),0.0)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IFERROR(__xludf.DUMMYFUNCTION("IMPORTRANGE(""https://docs.google.com/spreadsheets/d/1XL5vhW3sbDhbH9Cz0tuDiY8C3ctxq1tqvaCgkFb8cCA/edit?usp=sharing"",""กาฬสินธุ์!J108"")"),0.0)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IFERROR(__xludf.DUMMYFUNCTION("IMPORTRANGE(""https://docs.google.com/spreadsheets/d/1XL5vhW3sbDhbH9Cz0tuDiY8C3ctxq1tqvaCgkFb8cCA/edit?usp=sharing"",""กาฬสินธุ์!J109"")"),0.0)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IFERROR(__xludf.DUMMYFUNCTION("IMPORTRANGE(""https://docs.google.com/spreadsheets/d/1XL5vhW3sbDhbH9Cz0tuDiY8C3ctxq1tqvaCgkFb8cCA/edit?usp=sharing"",""กาฬสินธุ์!I110"")"),0.0)</f>
        <v>0</v>
      </c>
      <c r="J185" s="238">
        <f>IFERROR(__xludf.DUMMYFUNCTION("IMPORTRANGE(""https://docs.google.com/spreadsheets/d/1XL5vhW3sbDhbH9Cz0tuDiY8C3ctxq1tqvaCgkFb8cCA/edit?usp=sharing"",""กาฬสินธุ์!J110"")"),0.0)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IFERROR(__xludf.DUMMYFUNCTION("IMPORTRANGE(""https://docs.google.com/spreadsheets/d/1XL5vhW3sbDhbH9Cz0tuDiY8C3ctxq1tqvaCgkFb8cCA/edit?usp=sharing"",""กาฬสินธุ์!I111"")"),0.0)</f>
        <v>0</v>
      </c>
      <c r="J186" s="238">
        <f>IFERROR(__xludf.DUMMYFUNCTION("IMPORTRANGE(""https://docs.google.com/spreadsheets/d/1XL5vhW3sbDhbH9Cz0tuDiY8C3ctxq1tqvaCgkFb8cCA/edit?usp=sharing"",""กาฬสินธุ์!J111"")"),0.0)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IFERROR(__xludf.DUMMYFUNCTION("IMPORTRANGE(""https://docs.google.com/spreadsheets/d/1XL5vhW3sbDhbH9Cz0tuDiY8C3ctxq1tqvaCgkFb8cCA/edit?usp=sharing"",""กาฬสินธุ์!J112"")"),0.0)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IFERROR(__xludf.DUMMYFUNCTION("IMPORTRANGE(""https://docs.google.com/spreadsheets/d/1XL5vhW3sbDhbH9Cz0tuDiY8C3ctxq1tqvaCgkFb8cCA/edit?usp=sharing"",""กาฬสินธุ์!J113"")"),0.0)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IFERROR(__xludf.DUMMYFUNCTION("IMPORTRANGE(""https://docs.google.com/spreadsheets/d/1XL5vhW3sbDhbH9Cz0tuDiY8C3ctxq1tqvaCgkFb8cCA/edit?usp=sharing"",""กาฬสินธุ์!I114"")"),100000.0)</f>
        <v>100000</v>
      </c>
      <c r="J189" s="317">
        <f>IFERROR(__xludf.DUMMYFUNCTION("IMPORTRANGE(""https://docs.google.com/spreadsheets/d/1XL5vhW3sbDhbH9Cz0tuDiY8C3ctxq1tqvaCgkFb8cCA/edit?usp=sharing"",""กาฬสินธุ์!J114"")"),0.0)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IFERROR(__xludf.DUMMYFUNCTION("IMPORTRANGE(""https://docs.google.com/spreadsheets/d/1XL5vhW3sbDhbH9Cz0tuDiY8C3ctxq1tqvaCgkFb8cCA/edit?usp=sharing"",""กาฬสินธุ์!J119"")"),0.0)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IFERROR(__xludf.DUMMYFUNCTION("IMPORTRANGE(""https://docs.google.com/spreadsheets/d/1XL5vhW3sbDhbH9Cz0tuDiY8C3ctxq1tqvaCgkFb8cCA/edit?usp=sharing"",""กาฬสินธุ์!J120"")"),1.0)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IFERROR(__xludf.DUMMYFUNCTION("IMPORTRANGE(""https://docs.google.com/spreadsheets/d/1XL5vhW3sbDhbH9Cz0tuDiY8C3ctxq1tqvaCgkFb8cCA/edit?usp=sharing"",""กาฬสินธุ์!J121"")"),1.0)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IFERROR(__xludf.DUMMYFUNCTION("IMPORTRANGE(""https://docs.google.com/spreadsheets/d/1XL5vhW3sbDhbH9Cz0tuDiY8C3ctxq1tqvaCgkFb8cCA/edit?usp=sharing"",""กาฬสินธุ์!J122"")"),0.0)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IFERROR(__xludf.DUMMYFUNCTION("IMPORTRANGE(""https://docs.google.com/spreadsheets/d/1XL5vhW3sbDhbH9Cz0tuDiY8C3ctxq1tqvaCgkFb8cCA/edit?usp=sharing"",""กาฬสินธุ์!I124"")"),100000.0)</f>
        <v>100000</v>
      </c>
      <c r="J199" s="223">
        <f>IFERROR(__xludf.DUMMYFUNCTION("IMPORTRANGE(""https://docs.google.com/spreadsheets/d/1XL5vhW3sbDhbH9Cz0tuDiY8C3ctxq1tqvaCgkFb8cCA/edit?usp=sharing"",""กาฬสินธุ์!J124"")"),0.0)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IFERROR(__xludf.DUMMYFUNCTION("IMPORTRANGE(""https://docs.google.com/spreadsheets/d/1XL5vhW3sbDhbH9Cz0tuDiY8C3ctxq1tqvaCgkFb8cCA/edit?usp=sharing"",""กาฬสินธุ์!I125"")"),100000.0)</f>
        <v>100000</v>
      </c>
      <c r="J200" s="223">
        <f>IFERROR(__xludf.DUMMYFUNCTION("IMPORTRANGE(""https://docs.google.com/spreadsheets/d/1XL5vhW3sbDhbH9Cz0tuDiY8C3ctxq1tqvaCgkFb8cCA/edit?usp=sharing"",""กาฬสินธุ์!J125"")"),0.0)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IFERROR(__xludf.DUMMYFUNCTION("IMPORTRANGE(""https://docs.google.com/spreadsheets/d/1XL5vhW3sbDhbH9Cz0tuDiY8C3ctxq1tqvaCgkFb8cCA/edit?usp=sharing"",""กาฬสินธุ์!I126"")"),0.0)</f>
        <v>0</v>
      </c>
      <c r="J201" s="223">
        <f>IFERROR(__xludf.DUMMYFUNCTION("IMPORTRANGE(""https://docs.google.com/spreadsheets/d/1XL5vhW3sbDhbH9Cz0tuDiY8C3ctxq1tqvaCgkFb8cCA/edit?usp=sharing"",""กาฬสินธุ์!J126"")"),0.0)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IFERROR(__xludf.DUMMYFUNCTION("IMPORTRANGE(""https://docs.google.com/spreadsheets/d/1XL5vhW3sbDhbH9Cz0tuDiY8C3ctxq1tqvaCgkFb8cCA/edit?usp=sharing"",""กาฬสินธุ์!J127"")"),0.0)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IFERROR(__xludf.DUMMYFUNCTION("IMPORTRANGE(""https://docs.google.com/spreadsheets/d/1XL5vhW3sbDhbH9Cz0tuDiY8C3ctxq1tqvaCgkFb8cCA/edit?usp=sharing"",""กาฬสินธุ์!J128"")"),0.0)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IFERROR(__xludf.DUMMYFUNCTION("IMPORTRANGE(""https://docs.google.com/spreadsheets/d/1XL5vhW3sbDhbH9Cz0tuDiY8C3ctxq1tqvaCgkFb8cCA/edit?usp=sharing"",""กาฬสินธุ์!I129"")"),0.0)</f>
        <v>0</v>
      </c>
      <c r="J204" s="317">
        <f>IFERROR(__xludf.DUMMYFUNCTION("IMPORTRANGE(""https://docs.google.com/spreadsheets/d/1XL5vhW3sbDhbH9Cz0tuDiY8C3ctxq1tqvaCgkFb8cCA/edit?usp=sharing"",""กาฬสินธุ์!J129"")"),0.0)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IFERROR(__xludf.DUMMYFUNCTION("IMPORTRANGE(""https://docs.google.com/spreadsheets/d/1XL5vhW3sbDhbH9Cz0tuDiY8C3ctxq1tqvaCgkFb8cCA/edit?usp=sharing"",""กาฬสินธุ์!J134"")"),0.0)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IFERROR(__xludf.DUMMYFUNCTION("IMPORTRANGE(""https://docs.google.com/spreadsheets/d/1XL5vhW3sbDhbH9Cz0tuDiY8C3ctxq1tqvaCgkFb8cCA/edit?usp=sharing"",""กาฬสินธุ์!J135"")"),0.0)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IFERROR(__xludf.DUMMYFUNCTION("IMPORTRANGE(""https://docs.google.com/spreadsheets/d/1XL5vhW3sbDhbH9Cz0tuDiY8C3ctxq1tqvaCgkFb8cCA/edit?usp=sharing"",""กาฬสินธุ์!J136"")"),0.0)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IFERROR(__xludf.DUMMYFUNCTION("IMPORTRANGE(""https://docs.google.com/spreadsheets/d/1XL5vhW3sbDhbH9Cz0tuDiY8C3ctxq1tqvaCgkFb8cCA/edit?usp=sharing"",""กาฬสินธุ์!J137"")"),0.0)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IFERROR(__xludf.DUMMYFUNCTION("IMPORTRANGE(""https://docs.google.com/spreadsheets/d/1XL5vhW3sbDhbH9Cz0tuDiY8C3ctxq1tqvaCgkFb8cCA/edit?usp=sharing"",""กาฬสินธุ์!I138"")"),0.0)</f>
        <v>0</v>
      </c>
      <c r="J213" s="238">
        <f>IFERROR(__xludf.DUMMYFUNCTION("IMPORTRANGE(""https://docs.google.com/spreadsheets/d/1XL5vhW3sbDhbH9Cz0tuDiY8C3ctxq1tqvaCgkFb8cCA/edit?usp=sharing"",""กาฬสินธุ์!J138"")"),0.0)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IFERROR(__xludf.DUMMYFUNCTION("IMPORTRANGE(""https://docs.google.com/spreadsheets/d/1XL5vhW3sbDhbH9Cz0tuDiY8C3ctxq1tqvaCgkFb8cCA/edit?usp=sharing"",""กาฬสินธุ์!I140"")"),0.0)</f>
        <v>0</v>
      </c>
      <c r="J215" s="238">
        <f>IFERROR(__xludf.DUMMYFUNCTION("IMPORTRANGE(""https://docs.google.com/spreadsheets/d/1XL5vhW3sbDhbH9Cz0tuDiY8C3ctxq1tqvaCgkFb8cCA/edit?usp=sharing"",""กาฬสินธุ์!J140"")"),0.0)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IFERROR(__xludf.DUMMYFUNCTION("IMPORTRANGE(""https://docs.google.com/spreadsheets/d/1XL5vhW3sbDhbH9Cz0tuDiY8C3ctxq1tqvaCgkFb8cCA/edit?usp=sharing"",""กาฬสินธุ์!I141"")"),0.0)</f>
        <v>0</v>
      </c>
      <c r="J216" s="238">
        <f>IFERROR(__xludf.DUMMYFUNCTION("IMPORTRANGE(""https://docs.google.com/spreadsheets/d/1XL5vhW3sbDhbH9Cz0tuDiY8C3ctxq1tqvaCgkFb8cCA/edit?usp=sharing"",""กาฬสินธุ์!J141"")"),0.0)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IFERROR(__xludf.DUMMYFUNCTION("IMPORTRANGE(""https://docs.google.com/spreadsheets/d/1XL5vhW3sbDhbH9Cz0tuDiY8C3ctxq1tqvaCgkFb8cCA/edit?usp=sharing"",""กาฬสินธุ์!J142"")"),0.0)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IFERROR(__xludf.DUMMYFUNCTION("IMPORTRANGE(""https://docs.google.com/spreadsheets/d/1XL5vhW3sbDhbH9Cz0tuDiY8C3ctxq1tqvaCgkFb8cCA/edit?usp=sharing"",""กาฬสินธุ์!J143"")"),0.0)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IFERROR(__xludf.DUMMYFUNCTION("IMPORTRANGE(""https://docs.google.com/spreadsheets/d/1XL5vhW3sbDhbH9Cz0tuDiY8C3ctxq1tqvaCgkFb8cCA/edit?usp=sharing"",""กาฬสินธุ์!I144"")"),15.0)</f>
        <v>15</v>
      </c>
      <c r="J219" s="301">
        <f>IFERROR(__xludf.DUMMYFUNCTION("IMPORTRANGE(""https://docs.google.com/spreadsheets/d/1XL5vhW3sbDhbH9Cz0tuDiY8C3ctxq1tqvaCgkFb8cCA/edit?usp=sharing"",""กาฬสินธุ์!J144"")"),15.0)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20675</v>
      </c>
      <c r="O220" s="182">
        <f t="shared" ref="O220:O222" si="75">IF(L220&gt;0,N220*100/L220,0)</f>
        <v>97.86982249</v>
      </c>
      <c r="P220" s="182">
        <f t="shared" ref="P220:P222" si="76">IF(M220&gt;0,N220*100/M220,0)</f>
        <v>97.86982249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20675</v>
      </c>
      <c r="O222" s="187">
        <f t="shared" si="75"/>
        <v>97.86982249</v>
      </c>
      <c r="P222" s="187">
        <f t="shared" si="76"/>
        <v>97.86982249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IFERROR(__xludf.DUMMYFUNCTION("IMPORTRANGE(""https://docs.google.com/spreadsheets/d/1Yj_ptqi66GCucihVvJfMjLAmec39IyEx_6qawtMGysU/edit?usp=sharing"",""สบก!BS38"")"),21125.0)</f>
        <v>21125</v>
      </c>
      <c r="N224" s="202">
        <f>IFERROR(__xludf.DUMMYFUNCTION("IMPORTRANGE(""https://docs.google.com/spreadsheets/d/1Yj_ptqi66GCucihVvJfMjLAmec39IyEx_6qawtMGysU/edit?usp=sharing"",""สบก!BT38"")"),20675.0)</f>
        <v>20675</v>
      </c>
      <c r="O224" s="203">
        <f>IF(L224&gt;0,N224*100/L224,0)</f>
        <v>97.86982249</v>
      </c>
      <c r="P224" s="203">
        <f>IF(M224&gt;0,N224*100/M224,0)</f>
        <v>97.86982249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IFERROR(__xludf.DUMMYFUNCTION("IMPORTRANGE(""https://docs.google.com/spreadsheets/d/1Yj_ptqi66GCucihVvJfMjLAmec39IyEx_6qawtMGysU/edit?usp=sharing"",""สบก!BO38"")"),0.0)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IFERROR(__xludf.DUMMYFUNCTION("IMPORTRANGE(""https://docs.google.com/spreadsheets/d/1Yj_ptqi66GCucihVvJfMjLAmec39IyEx_6qawtMGysU/edit?usp=sharing"",""สบก!BP38"")"),21125.0)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IFERROR(__xludf.DUMMYFUNCTION("IMPORTRANGE(""https://docs.google.com/spreadsheets/d/1Yj_ptqi66GCucihVvJfMjLAmec39IyEx_6qawtMGysU/edit?usp=sharing"",""สบก!BQ38"")"),0.0)</f>
        <v>0</v>
      </c>
      <c r="M228" s="125"/>
      <c r="N228" s="115">
        <f>IFERROR(__xludf.DUMMYFUNCTION("IMPORTRANGE(""https://docs.google.com/spreadsheets/d/1Yj_ptqi66GCucihVvJfMjLAmec39IyEx_6qawtMGysU/edit?usp=sharing"",""สบก!BU38"")"),0.0)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IFERROR(__xludf.DUMMYFUNCTION("IMPORTRANGE(""https://docs.google.com/spreadsheets/d/1XL5vhW3sbDhbH9Cz0tuDiY8C3ctxq1tqvaCgkFb8cCA/edit?usp=sharing"",""กาฬสินธุ์!I149"")"),15.0)</f>
        <v>15</v>
      </c>
      <c r="J229" s="301">
        <f>IFERROR(__xludf.DUMMYFUNCTION("IMPORTRANGE(""https://docs.google.com/spreadsheets/d/1XL5vhW3sbDhbH9Cz0tuDiY8C3ctxq1tqvaCgkFb8cCA/edit?usp=sharing"",""กาฬสินธุ์!J149"")"),15.0)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IFERROR(__xludf.DUMMYFUNCTION("IMPORTRANGE(""https://docs.google.com/spreadsheets/d/1XL5vhW3sbDhbH9Cz0tuDiY8C3ctxq1tqvaCgkFb8cCA/edit?usp=sharing"",""กาฬสินธุ์!J151"")"),0.0)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IFERROR(__xludf.DUMMYFUNCTION("IMPORTRANGE(""https://docs.google.com/spreadsheets/d/1XL5vhW3sbDhbH9Cz0tuDiY8C3ctxq1tqvaCgkFb8cCA/edit?usp=sharing"",""กาฬสินธุ์!J152"")"),1.0)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IFERROR(__xludf.DUMMYFUNCTION("IMPORTRANGE(""https://docs.google.com/spreadsheets/d/1XL5vhW3sbDhbH9Cz0tuDiY8C3ctxq1tqvaCgkFb8cCA/edit?usp=sharing"",""กาฬสินธุ์!J153"")"),1.0)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IFERROR(__xludf.DUMMYFUNCTION("IMPORTRANGE(""https://docs.google.com/spreadsheets/d/1XL5vhW3sbDhbH9Cz0tuDiY8C3ctxq1tqvaCgkFb8cCA/edit?usp=sharing"",""กาฬสินธุ์!J154"")"),1.0)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IFERROR(__xludf.DUMMYFUNCTION("IMPORTRANGE(""https://docs.google.com/spreadsheets/d/1XL5vhW3sbDhbH9Cz0tuDiY8C3ctxq1tqvaCgkFb8cCA/edit?usp=sharing"",""กาฬสินธุ์!I155"")"),15.0)</f>
        <v>15</v>
      </c>
      <c r="J235" s="223">
        <f>IFERROR(__xludf.DUMMYFUNCTION("IMPORTRANGE(""https://docs.google.com/spreadsheets/d/1XL5vhW3sbDhbH9Cz0tuDiY8C3ctxq1tqvaCgkFb8cCA/edit?usp=sharing"",""กาฬสินธุ์!J155"")"),15.0)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IFERROR(__xludf.DUMMYFUNCTION("IMPORTRANGE(""https://docs.google.com/spreadsheets/d/1XL5vhW3sbDhbH9Cz0tuDiY8C3ctxq1tqvaCgkFb8cCA/edit?usp=sharing"",""กาฬสินธุ์!J156"")"),0.0)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IFERROR(__xludf.DUMMYFUNCTION("IMPORTRANGE(""https://docs.google.com/spreadsheets/d/1XL5vhW3sbDhbH9Cz0tuDiY8C3ctxq1tqvaCgkFb8cCA/edit?usp=sharing"",""กาฬสินธุ์!J157"")"),0.0)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IFERROR(__xludf.DUMMYFUNCTION("IMPORTRANGE(""https://docs.google.com/spreadsheets/d/1XL5vhW3sbDhbH9Cz0tuDiY8C3ctxq1tqvaCgkFb8cCA/edit?usp=sharing"",""กาฬสินธุ์!I158"")"),0.0)</f>
        <v>0</v>
      </c>
      <c r="J238" s="301">
        <f>IFERROR(__xludf.DUMMYFUNCTION("IMPORTRANGE(""https://docs.google.com/spreadsheets/d/1XL5vhW3sbDhbH9Cz0tuDiY8C3ctxq1tqvaCgkFb8cCA/edit?usp=sharing"",""กาฬสินธุ์!J158"")"),0.0)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IFERROR(__xludf.DUMMYFUNCTION("IMPORTRANGE(""https://docs.google.com/spreadsheets/d/1XL5vhW3sbDhbH9Cz0tuDiY8C3ctxq1tqvaCgkFb8cCA/edit?usp=sharing"",""กาฬสินธุ์!J159"")"),"")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IFERROR(__xludf.DUMMYFUNCTION("IMPORTRANGE(""https://docs.google.com/spreadsheets/d/1XL5vhW3sbDhbH9Cz0tuDiY8C3ctxq1tqvaCgkFb8cCA/edit?usp=sharing"",""กาฬสินธุ์!J161"")"),0.0)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IFERROR(__xludf.DUMMYFUNCTION("IMPORTRANGE(""https://docs.google.com/spreadsheets/d/1XL5vhW3sbDhbH9Cz0tuDiY8C3ctxq1tqvaCgkFb8cCA/edit?usp=sharing"",""กาฬสินธุ์!J162"")"),0.0)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IFERROR(__xludf.DUMMYFUNCTION("IMPORTRANGE(""https://docs.google.com/spreadsheets/d/1XL5vhW3sbDhbH9Cz0tuDiY8C3ctxq1tqvaCgkFb8cCA/edit?usp=sharing"",""กาฬสินธุ์!J163"")"),0.0)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IFERROR(__xludf.DUMMYFUNCTION("IMPORTRANGE(""https://docs.google.com/spreadsheets/d/1XL5vhW3sbDhbH9Cz0tuDiY8C3ctxq1tqvaCgkFb8cCA/edit?usp=sharing"",""กาฬสินธุ์!I164"")"),0.0)</f>
        <v>0</v>
      </c>
      <c r="J244" s="222">
        <f>IFERROR(__xludf.DUMMYFUNCTION("IMPORTRANGE(""https://docs.google.com/spreadsheets/d/1XL5vhW3sbDhbH9Cz0tuDiY8C3ctxq1tqvaCgkFb8cCA/edit?usp=sharing"",""กาฬสินธุ์!J164"")"),0.0)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IFERROR(__xludf.DUMMYFUNCTION("IMPORTRANGE(""https://docs.google.com/spreadsheets/d/1XL5vhW3sbDhbH9Cz0tuDiY8C3ctxq1tqvaCgkFb8cCA/edit?usp=sharing"",""กาฬสินธุ์!J165"")"),0.0)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IFERROR(__xludf.DUMMYFUNCTION("IMPORTRANGE(""https://docs.google.com/spreadsheets/d/1XL5vhW3sbDhbH9Cz0tuDiY8C3ctxq1tqvaCgkFb8cCA/edit?usp=sharing"",""กาฬสินธุ์!J166"")"),0.0)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IFERROR(__xludf.DUMMYFUNCTION("IMPORTRANGE(""https://docs.google.com/spreadsheets/d/1XL5vhW3sbDhbH9Cz0tuDiY8C3ctxq1tqvaCgkFb8cCA/edit?usp=sharing"",""กาฬสินธุ์!I169"")"),20.0)</f>
        <v>20</v>
      </c>
      <c r="J249" s="349">
        <f>IFERROR(__xludf.DUMMYFUNCTION("IMPORTRANGE(""https://docs.google.com/spreadsheets/d/1XL5vhW3sbDhbH9Cz0tuDiY8C3ctxq1tqvaCgkFb8cCA/edit?usp=sharing"",""กาฬสินธุ์!J169"")"),20.0)</f>
        <v>20</v>
      </c>
      <c r="K249" s="350">
        <f>IF(I249&gt;0,J249*100/I249,0)</f>
        <v>100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335400</v>
      </c>
      <c r="M250" s="183">
        <f t="shared" si="78"/>
        <v>169000</v>
      </c>
      <c r="N250" s="183">
        <f t="shared" si="78"/>
        <v>78130</v>
      </c>
      <c r="O250" s="182">
        <f t="shared" ref="O250:O252" si="80">IF(L250&gt;0,N250*100/L250,0)</f>
        <v>23.29457364</v>
      </c>
      <c r="P250" s="182">
        <f t="shared" ref="P250:P252" si="81">IF(M250&gt;0,N250*100/M250,0)</f>
        <v>46.23076923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335400</v>
      </c>
      <c r="M252" s="188">
        <f t="shared" si="82"/>
        <v>169000</v>
      </c>
      <c r="N252" s="188">
        <f t="shared" si="82"/>
        <v>78130</v>
      </c>
      <c r="O252" s="187">
        <f t="shared" si="80"/>
        <v>23.29457364</v>
      </c>
      <c r="P252" s="187">
        <f t="shared" si="81"/>
        <v>46.23076923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335400</v>
      </c>
      <c r="M254" s="201">
        <f>IFERROR(__xludf.DUMMYFUNCTION("IMPORTRANGE(""https://docs.google.com/spreadsheets/d/1Yj_ptqi66GCucihVvJfMjLAmec39IyEx_6qawtMGysU/edit?usp=sharing"",""สบก!CB38"")"),169000.0)</f>
        <v>169000</v>
      </c>
      <c r="N254" s="202">
        <f>IFERROR(__xludf.DUMMYFUNCTION("IMPORTRANGE(""https://docs.google.com/spreadsheets/d/1Yj_ptqi66GCucihVvJfMjLAmec39IyEx_6qawtMGysU/edit?usp=sharing"",""สบก!CC38"")"),78130.0)</f>
        <v>78130</v>
      </c>
      <c r="O254" s="203">
        <f>IF(L254&gt;0,N254*100/L254,0)</f>
        <v>23.29457364</v>
      </c>
      <c r="P254" s="203">
        <f>IF(M254&gt;0,N254*100/M254,0)</f>
        <v>46.23076923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IFERROR(__xludf.DUMMYFUNCTION("IMPORTRANGE(""https://docs.google.com/spreadsheets/d/1Yj_ptqi66GCucihVvJfMjLAmec39IyEx_6qawtMGysU/edit?usp=sharing"",""สบก!BX38"")"),264000.0)</f>
        <v>264000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IFERROR(__xludf.DUMMYFUNCTION("IMPORTRANGE(""https://docs.google.com/spreadsheets/d/1Yj_ptqi66GCucihVvJfMjLAmec39IyEx_6qawtMGysU/edit?usp=sharing"",""สบก!BY38"")"),71400.0)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IFERROR(__xludf.DUMMYFUNCTION("IMPORTRANGE(""https://docs.google.com/spreadsheets/d/1Yj_ptqi66GCucihVvJfMjLAmec39IyEx_6qawtMGysU/edit?usp=sharing"",""สบก!BZ38"")"),0.0)</f>
        <v>0</v>
      </c>
      <c r="M258" s="125"/>
      <c r="N258" s="115">
        <f>IFERROR(__xludf.DUMMYFUNCTION("IMPORTRANGE(""https://docs.google.com/spreadsheets/d/1Yj_ptqi66GCucihVvJfMjLAmec39IyEx_6qawtMGysU/edit?usp=sharing"",""สบก!CD38"")"),0.0)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IFERROR(__xludf.DUMMYFUNCTION("IMPORTRANGE(""https://docs.google.com/spreadsheets/d/1XL5vhW3sbDhbH9Cz0tuDiY8C3ctxq1tqvaCgkFb8cCA/edit?usp=sharing"",""กาฬสินธุ์!J175"")"),0.0)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IFERROR(__xludf.DUMMYFUNCTION("IMPORTRANGE(""https://docs.google.com/spreadsheets/d/1XL5vhW3sbDhbH9Cz0tuDiY8C3ctxq1tqvaCgkFb8cCA/edit?usp=sharing"",""กาฬสินธุ์!J176"")"),1.0)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IFERROR(__xludf.DUMMYFUNCTION("IMPORTRANGE(""https://docs.google.com/spreadsheets/d/1XL5vhW3sbDhbH9Cz0tuDiY8C3ctxq1tqvaCgkFb8cCA/edit?usp=sharing"",""กาฬสินธุ์!J177"")"),1.0)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IFERROR(__xludf.DUMMYFUNCTION("IMPORTRANGE(""https://docs.google.com/spreadsheets/d/1XL5vhW3sbDhbH9Cz0tuDiY8C3ctxq1tqvaCgkFb8cCA/edit?usp=sharing"",""กาฬสินธุ์!J178"")"),0.0)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IFERROR(__xludf.DUMMYFUNCTION("IMPORTRANGE(""https://docs.google.com/spreadsheets/d/1XL5vhW3sbDhbH9Cz0tuDiY8C3ctxq1tqvaCgkFb8cCA/edit?usp=sharing"",""กาฬสินธุ์!I179"")"),1.0)</f>
        <v>1</v>
      </c>
      <c r="J264" s="223" t="str">
        <f>IFERROR(__xludf.DUMMYFUNCTION("IMPORTRANGE(""https://docs.google.com/spreadsheets/d/1XL5vhW3sbDhbH9Cz0tuDiY8C3ctxq1tqvaCgkFb8cCA/edit?usp=sharing"",""กาฬสินธุ์!J179"")"),"")</f>
        <v/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IFERROR(__xludf.DUMMYFUNCTION("IMPORTRANGE(""https://docs.google.com/spreadsheets/d/1XL5vhW3sbDhbH9Cz0tuDiY8C3ctxq1tqvaCgkFb8cCA/edit?usp=sharing"",""กาฬสินธุ์!I180"")"),20.0)</f>
        <v>20</v>
      </c>
      <c r="J265" s="223">
        <f>IFERROR(__xludf.DUMMYFUNCTION("IMPORTRANGE(""https://docs.google.com/spreadsheets/d/1XL5vhW3sbDhbH9Cz0tuDiY8C3ctxq1tqvaCgkFb8cCA/edit?usp=sharing"",""กาฬสินธุ์!J180"")"),20.0)</f>
        <v>20</v>
      </c>
      <c r="K265" s="196">
        <f t="shared" si="83"/>
        <v>100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IFERROR(__xludf.DUMMYFUNCTION("IMPORTRANGE(""https://docs.google.com/spreadsheets/d/1XL5vhW3sbDhbH9Cz0tuDiY8C3ctxq1tqvaCgkFb8cCA/edit?usp=sharing"",""กาฬสินธุ์!I181"")"),20.0)</f>
        <v>20</v>
      </c>
      <c r="J266" s="223">
        <f>IFERROR(__xludf.DUMMYFUNCTION("IMPORTRANGE(""https://docs.google.com/spreadsheets/d/1XL5vhW3sbDhbH9Cz0tuDiY8C3ctxq1tqvaCgkFb8cCA/edit?usp=sharing"",""กาฬสินธุ์!J181"")"),0.0)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IFERROR(__xludf.DUMMYFUNCTION("IMPORTRANGE(""https://docs.google.com/spreadsheets/d/1XL5vhW3sbDhbH9Cz0tuDiY8C3ctxq1tqvaCgkFb8cCA/edit?usp=sharing"",""กาฬสินธุ์!I182"")"),1.0)</f>
        <v>1</v>
      </c>
      <c r="J267" s="223">
        <f>IFERROR(__xludf.DUMMYFUNCTION("IMPORTRANGE(""https://docs.google.com/spreadsheets/d/1XL5vhW3sbDhbH9Cz0tuDiY8C3ctxq1tqvaCgkFb8cCA/edit?usp=sharing"",""กาฬสินธุ์!J182"")"),1.0)</f>
        <v>1</v>
      </c>
      <c r="K267" s="196">
        <f t="shared" si="83"/>
        <v>100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IFERROR(__xludf.DUMMYFUNCTION("IMPORTRANGE(""https://docs.google.com/spreadsheets/d/1XL5vhW3sbDhbH9Cz0tuDiY8C3ctxq1tqvaCgkFb8cCA/edit?usp=sharing"",""กาฬสินธุ์!J183"")"),0.0)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IFERROR(__xludf.DUMMYFUNCTION("IMPORTRANGE(""https://docs.google.com/spreadsheets/d/1XL5vhW3sbDhbH9Cz0tuDiY8C3ctxq1tqvaCgkFb8cCA/edit?usp=sharing"",""กาฬสินธุ์!J184"")"),0.0)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IFERROR(__xludf.DUMMYFUNCTION("IMPORTRANGE(""https://docs.google.com/spreadsheets/d/1XL5vhW3sbDhbH9Cz0tuDiY8C3ctxq1tqvaCgkFb8cCA/edit?usp=sharing"",""กาฬสินธุ์!I185"")"),20.0)</f>
        <v>20</v>
      </c>
      <c r="J270" s="349">
        <f>IFERROR(__xludf.DUMMYFUNCTION("IMPORTRANGE(""https://docs.google.com/spreadsheets/d/1XL5vhW3sbDhbH9Cz0tuDiY8C3ctxq1tqvaCgkFb8cCA/edit?usp=sharing"",""กาฬสินธุ์!J185"")"),0.0)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183600</v>
      </c>
      <c r="M271" s="183">
        <f t="shared" si="84"/>
        <v>88000</v>
      </c>
      <c r="N271" s="183">
        <f t="shared" si="84"/>
        <v>28387</v>
      </c>
      <c r="O271" s="182">
        <f t="shared" ref="O271:O273" si="86">IF(L271&gt;0,N271*100/L271,0)</f>
        <v>15.46132898</v>
      </c>
      <c r="P271" s="182">
        <f t="shared" ref="P271:P273" si="87">IF(M271&gt;0,N271*100/M271,0)</f>
        <v>32.25795455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183600</v>
      </c>
      <c r="M273" s="188">
        <f t="shared" si="88"/>
        <v>88000</v>
      </c>
      <c r="N273" s="188">
        <f t="shared" si="88"/>
        <v>28387</v>
      </c>
      <c r="O273" s="187">
        <f t="shared" si="86"/>
        <v>15.46132898</v>
      </c>
      <c r="P273" s="187">
        <f t="shared" si="87"/>
        <v>32.25795455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183600</v>
      </c>
      <c r="M275" s="201">
        <f>IFERROR(__xludf.DUMMYFUNCTION("IMPORTRANGE(""https://docs.google.com/spreadsheets/d/1Yj_ptqi66GCucihVvJfMjLAmec39IyEx_6qawtMGysU/edit?usp=sharing"",""สบก!CK38"")"),88000.0)</f>
        <v>88000</v>
      </c>
      <c r="N275" s="202">
        <f>IFERROR(__xludf.DUMMYFUNCTION("IMPORTRANGE(""https://docs.google.com/spreadsheets/d/1Yj_ptqi66GCucihVvJfMjLAmec39IyEx_6qawtMGysU/edit?usp=sharing"",""สบก!CL38"")"),28387.0)</f>
        <v>28387</v>
      </c>
      <c r="O275" s="203">
        <f>IF(L275&gt;0,N275*100/L275,0)</f>
        <v>15.46132898</v>
      </c>
      <c r="P275" s="203">
        <f>IF(M275&gt;0,N275*100/M275,0)</f>
        <v>32.25795455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IFERROR(__xludf.DUMMYFUNCTION("IMPORTRANGE(""https://docs.google.com/spreadsheets/d/1Yj_ptqi66GCucihVvJfMjLAmec39IyEx_6qawtMGysU/edit?usp=sharing"",""สบก!CG38"")"),0.0)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IFERROR(__xludf.DUMMYFUNCTION("IMPORTRANGE(""https://docs.google.com/spreadsheets/d/1Yj_ptqi66GCucihVvJfMjLAmec39IyEx_6qawtMGysU/edit?usp=sharing"",""สบก!CH38"")"),183600.0)</f>
        <v>183600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IFERROR(__xludf.DUMMYFUNCTION("IMPORTRANGE(""https://docs.google.com/spreadsheets/d/1Yj_ptqi66GCucihVvJfMjLAmec39IyEx_6qawtMGysU/edit?usp=sharing"",""สบก!CI38"")"),0.0)</f>
        <v>0</v>
      </c>
      <c r="M279" s="125"/>
      <c r="N279" s="115">
        <f>IFERROR(__xludf.DUMMYFUNCTION("IMPORTRANGE(""https://docs.google.com/spreadsheets/d/1Yj_ptqi66GCucihVvJfMjLAmec39IyEx_6qawtMGysU/edit?usp=sharing"",""สบก!CM38"")"),0.0)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IFERROR(__xludf.DUMMYFUNCTION("IMPORTRANGE(""https://docs.google.com/spreadsheets/d/1XL5vhW3sbDhbH9Cz0tuDiY8C3ctxq1tqvaCgkFb8cCA/edit?usp=sharing"",""กาฬสินธุ์!J191"")"),0.0)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IFERROR(__xludf.DUMMYFUNCTION("IMPORTRANGE(""https://docs.google.com/spreadsheets/d/1XL5vhW3sbDhbH9Cz0tuDiY8C3ctxq1tqvaCgkFb8cCA/edit?usp=sharing"",""กาฬสินธุ์!J192"")"),1.0)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IFERROR(__xludf.DUMMYFUNCTION("IMPORTRANGE(""https://docs.google.com/spreadsheets/d/1XL5vhW3sbDhbH9Cz0tuDiY8C3ctxq1tqvaCgkFb8cCA/edit?usp=sharing"",""กาฬสินธุ์!J193"")"),1.0)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IFERROR(__xludf.DUMMYFUNCTION("IMPORTRANGE(""https://docs.google.com/spreadsheets/d/1XL5vhW3sbDhbH9Cz0tuDiY8C3ctxq1tqvaCgkFb8cCA/edit?usp=sharing"",""กาฬสินธุ์!J194"")"),0.0)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IFERROR(__xludf.DUMMYFUNCTION("IMPORTRANGE(""https://docs.google.com/spreadsheets/d/1XL5vhW3sbDhbH9Cz0tuDiY8C3ctxq1tqvaCgkFb8cCA/edit?usp=sharing"",""กาฬสินธุ์!I195"")"),20.0)</f>
        <v>20</v>
      </c>
      <c r="J285" s="223">
        <f>IFERROR(__xludf.DUMMYFUNCTION("IMPORTRANGE(""https://docs.google.com/spreadsheets/d/1XL5vhW3sbDhbH9Cz0tuDiY8C3ctxq1tqvaCgkFb8cCA/edit?usp=sharing"",""กาฬสินธุ์!J195"")"),0.0)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IFERROR(__xludf.DUMMYFUNCTION("IMPORTRANGE(""https://docs.google.com/spreadsheets/d/1XL5vhW3sbDhbH9Cz0tuDiY8C3ctxq1tqvaCgkFb8cCA/edit?usp=sharing"",""กาฬสินธุ์!J196"")"),0.0)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IFERROR(__xludf.DUMMYFUNCTION("IMPORTRANGE(""https://docs.google.com/spreadsheets/d/1XL5vhW3sbDhbH9Cz0tuDiY8C3ctxq1tqvaCgkFb8cCA/edit?usp=sharing"",""กาฬสินธุ์!J197"")"),0.0)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IFERROR(__xludf.DUMMYFUNCTION("IMPORTRANGE(""https://docs.google.com/spreadsheets/d/1XL5vhW3sbDhbH9Cz0tuDiY8C3ctxq1tqvaCgkFb8cCA/edit?usp=sharing"",""กาฬสินธุ์!I199"")"),15.0)</f>
        <v>15</v>
      </c>
      <c r="J289" s="349">
        <f>IFERROR(__xludf.DUMMYFUNCTION("IMPORTRANGE(""https://docs.google.com/spreadsheets/d/1XL5vhW3sbDhbH9Cz0tuDiY8C3ctxq1tqvaCgkFb8cCA/edit?usp=sharing"",""กาฬสินธุ์!J199"")"),0.0)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72260</v>
      </c>
      <c r="M290" s="183">
        <f t="shared" si="89"/>
        <v>29980</v>
      </c>
      <c r="N290" s="183">
        <f t="shared" si="89"/>
        <v>4160</v>
      </c>
      <c r="O290" s="182">
        <f t="shared" ref="O290:O292" si="91">IF(L290&gt;0,N290*100/L290,0)</f>
        <v>5.756988652</v>
      </c>
      <c r="P290" s="182">
        <f t="shared" ref="P290:P292" si="92">IF(M290&gt;0,N290*100/M290,0)</f>
        <v>13.87591728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72260</v>
      </c>
      <c r="M292" s="188">
        <f t="shared" si="93"/>
        <v>29980</v>
      </c>
      <c r="N292" s="188">
        <f t="shared" si="93"/>
        <v>4160</v>
      </c>
      <c r="O292" s="187">
        <f t="shared" si="91"/>
        <v>5.756988652</v>
      </c>
      <c r="P292" s="187">
        <f t="shared" si="92"/>
        <v>13.87591728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72260</v>
      </c>
      <c r="M294" s="201">
        <f>IFERROR(__xludf.DUMMYFUNCTION("IMPORTRANGE(""https://docs.google.com/spreadsheets/d/1Yj_ptqi66GCucihVvJfMjLAmec39IyEx_6qawtMGysU/edit?usp=sharing"",""สบก!CT38"")"),29980.0)</f>
        <v>29980</v>
      </c>
      <c r="N294" s="202">
        <f>IFERROR(__xludf.DUMMYFUNCTION("IMPORTRANGE(""https://docs.google.com/spreadsheets/d/1Yj_ptqi66GCucihVvJfMjLAmec39IyEx_6qawtMGysU/edit?usp=sharing"",""สบก!CU38"")"),4160.0)</f>
        <v>4160</v>
      </c>
      <c r="O294" s="203">
        <f>IF(L294&gt;0,N294*100/L294,0)</f>
        <v>5.756988652</v>
      </c>
      <c r="P294" s="203">
        <f>IF(M294&gt;0,N294*100/M294,0)</f>
        <v>13.87591728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IFERROR(__xludf.DUMMYFUNCTION("IMPORTRANGE(""https://docs.google.com/spreadsheets/d/1Yj_ptqi66GCucihVvJfMjLAmec39IyEx_6qawtMGysU/edit?usp=sharing"",""สบก!CP38"")"),0.0)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IFERROR(__xludf.DUMMYFUNCTION("IMPORTRANGE(""https://docs.google.com/spreadsheets/d/1Yj_ptqi66GCucihVvJfMjLAmec39IyEx_6qawtMGysU/edit?usp=sharing"",""สบก!CQ38"")"),72260.0)</f>
        <v>72260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IFERROR(__xludf.DUMMYFUNCTION("IMPORTRANGE(""https://docs.google.com/spreadsheets/d/1Yj_ptqi66GCucihVvJfMjLAmec39IyEx_6qawtMGysU/edit?usp=sharing"",""สบก!CR38"")"),0.0)</f>
        <v>0</v>
      </c>
      <c r="M298" s="125"/>
      <c r="N298" s="115">
        <f>IFERROR(__xludf.DUMMYFUNCTION("IMPORTRANGE(""https://docs.google.com/spreadsheets/d/1Yj_ptqi66GCucihVvJfMjLAmec39IyEx_6qawtMGysU/edit?usp=sharing"",""สบก!CV38"")"),0.0)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IFERROR(__xludf.DUMMYFUNCTION("IMPORTRANGE(""https://docs.google.com/spreadsheets/d/1XL5vhW3sbDhbH9Cz0tuDiY8C3ctxq1tqvaCgkFb8cCA/edit?usp=sharing"",""กาฬสินธุ์!J205"")"),0.0)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IFERROR(__xludf.DUMMYFUNCTION("IMPORTRANGE(""https://docs.google.com/spreadsheets/d/1XL5vhW3sbDhbH9Cz0tuDiY8C3ctxq1tqvaCgkFb8cCA/edit?usp=sharing"",""กาฬสินธุ์!J206"")"),1.0)</f>
        <v>1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IFERROR(__xludf.DUMMYFUNCTION("IMPORTRANGE(""https://docs.google.com/spreadsheets/d/1XL5vhW3sbDhbH9Cz0tuDiY8C3ctxq1tqvaCgkFb8cCA/edit?usp=sharing"",""กาฬสินธุ์!J207"")"),1.0)</f>
        <v>1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IFERROR(__xludf.DUMMYFUNCTION("IMPORTRANGE(""https://docs.google.com/spreadsheets/d/1XL5vhW3sbDhbH9Cz0tuDiY8C3ctxq1tqvaCgkFb8cCA/edit?usp=sharing"",""กาฬสินธุ์!J208"")"),0.0)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IFERROR(__xludf.DUMMYFUNCTION("IMPORTRANGE(""https://docs.google.com/spreadsheets/d/1XL5vhW3sbDhbH9Cz0tuDiY8C3ctxq1tqvaCgkFb8cCA/edit?usp=sharing"",""กาฬสินธุ์!I209"")"),15.0)</f>
        <v>15</v>
      </c>
      <c r="J304" s="238">
        <f>IFERROR(__xludf.DUMMYFUNCTION("IMPORTRANGE(""https://docs.google.com/spreadsheets/d/1XL5vhW3sbDhbH9Cz0tuDiY8C3ctxq1tqvaCgkFb8cCA/edit?usp=sharing"",""กาฬสินธุ์!J209"")"),0.0)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IFERROR(__xludf.DUMMYFUNCTION("IMPORTRANGE(""https://docs.google.com/spreadsheets/d/1XL5vhW3sbDhbH9Cz0tuDiY8C3ctxq1tqvaCgkFb8cCA/edit?usp=sharing"",""กาฬสินธุ์!I211"")"),15.0)</f>
        <v>15</v>
      </c>
      <c r="J306" s="238">
        <f>IFERROR(__xludf.DUMMYFUNCTION("IMPORTRANGE(""https://docs.google.com/spreadsheets/d/1XL5vhW3sbDhbH9Cz0tuDiY8C3ctxq1tqvaCgkFb8cCA/edit?usp=sharing"",""กาฬสินธุ์!J211"")"),0.0)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IFERROR(__xludf.DUMMYFUNCTION("IMPORTRANGE(""https://docs.google.com/spreadsheets/d/1XL5vhW3sbDhbH9Cz0tuDiY8C3ctxq1tqvaCgkFb8cCA/edit?usp=sharing"",""กาฬสินธุ์!J212"")"),0.0)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IFERROR(__xludf.DUMMYFUNCTION("IMPORTRANGE(""https://docs.google.com/spreadsheets/d/1XL5vhW3sbDhbH9Cz0tuDiY8C3ctxq1tqvaCgkFb8cCA/edit?usp=sharing"",""กาฬสินธุ์!J213"")"),0.0)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IFERROR(__xludf.DUMMYFUNCTION("IMPORTRANGE(""https://docs.google.com/spreadsheets/d/1XL5vhW3sbDhbH9Cz0tuDiY8C3ctxq1tqvaCgkFb8cCA/edit?usp=sharing"",""กาฬสินธุ์!I214"")"),1.0)</f>
        <v>1</v>
      </c>
      <c r="J309" s="366">
        <f>IFERROR(__xludf.DUMMYFUNCTION("IMPORTRANGE(""https://docs.google.com/spreadsheets/d/1XL5vhW3sbDhbH9Cz0tuDiY8C3ctxq1tqvaCgkFb8cCA/edit?usp=sharing"",""กาฬสินธุ์!J214"")"),0.0)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217600</v>
      </c>
      <c r="M310" s="183">
        <f t="shared" si="94"/>
        <v>108800</v>
      </c>
      <c r="N310" s="183">
        <f t="shared" si="94"/>
        <v>34875</v>
      </c>
      <c r="O310" s="182">
        <f t="shared" ref="O310:O312" si="96">IF(L310&gt;0,N310*100/L310,0)</f>
        <v>16.02711397</v>
      </c>
      <c r="P310" s="182">
        <f t="shared" ref="P310:P312" si="97">IF(M310&gt;0,N310*100/M310,0)</f>
        <v>32.05422794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217600</v>
      </c>
      <c r="M312" s="188">
        <f t="shared" si="98"/>
        <v>108800</v>
      </c>
      <c r="N312" s="188">
        <f t="shared" si="98"/>
        <v>34875</v>
      </c>
      <c r="O312" s="187">
        <f t="shared" si="96"/>
        <v>16.02711397</v>
      </c>
      <c r="P312" s="187">
        <f t="shared" si="97"/>
        <v>32.05422794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217600</v>
      </c>
      <c r="M314" s="201">
        <f>IFERROR(__xludf.DUMMYFUNCTION("IMPORTRANGE(""https://docs.google.com/spreadsheets/d/1Yj_ptqi66GCucihVvJfMjLAmec39IyEx_6qawtMGysU/edit?usp=sharing"",""สบก!DC38"")"),108800.0)</f>
        <v>108800</v>
      </c>
      <c r="N314" s="202">
        <f>IFERROR(__xludf.DUMMYFUNCTION("IMPORTRANGE(""https://docs.google.com/spreadsheets/d/1Yj_ptqi66GCucihVvJfMjLAmec39IyEx_6qawtMGysU/edit?usp=sharing"",""สบก!DD38"")"),34875.0)</f>
        <v>34875</v>
      </c>
      <c r="O314" s="203">
        <f>IF(L314&gt;0,N314*100/L314,0)</f>
        <v>16.02711397</v>
      </c>
      <c r="P314" s="203">
        <f>IF(M314&gt;0,N314*100/M314,0)</f>
        <v>32.05422794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IFERROR(__xludf.DUMMYFUNCTION("IMPORTRANGE(""https://docs.google.com/spreadsheets/d/1Yj_ptqi66GCucihVvJfMjLAmec39IyEx_6qawtMGysU/edit?usp=sharing"",""สบก!CY38"")"),0.0)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IFERROR(__xludf.DUMMYFUNCTION("IMPORTRANGE(""https://docs.google.com/spreadsheets/d/1Yj_ptqi66GCucihVvJfMjLAmec39IyEx_6qawtMGysU/edit?usp=sharing"",""สบก!CZ38"")"),217600.0)</f>
        <v>217600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IFERROR(__xludf.DUMMYFUNCTION("IMPORTRANGE(""https://docs.google.com/spreadsheets/d/1Yj_ptqi66GCucihVvJfMjLAmec39IyEx_6qawtMGysU/edit?usp=sharing"",""สบก!DA38"")"),0.0)</f>
        <v>0</v>
      </c>
      <c r="M318" s="125"/>
      <c r="N318" s="115">
        <f>IFERROR(__xludf.DUMMYFUNCTION("IMPORTRANGE(""https://docs.google.com/spreadsheets/d/1Yj_ptqi66GCucihVvJfMjLAmec39IyEx_6qawtMGysU/edit?usp=sharing"",""สบก!DE38"")"),0.0)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IFERROR(__xludf.DUMMYFUNCTION("IMPORTRANGE(""https://docs.google.com/spreadsheets/d/1XL5vhW3sbDhbH9Cz0tuDiY8C3ctxq1tqvaCgkFb8cCA/edit?usp=sharing"",""กาฬสินธุ์!J220"")"),0.0)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IFERROR(__xludf.DUMMYFUNCTION("IMPORTRANGE(""https://docs.google.com/spreadsheets/d/1XL5vhW3sbDhbH9Cz0tuDiY8C3ctxq1tqvaCgkFb8cCA/edit?usp=sharing"",""กาฬสินธุ์!J221"")"),1.0)</f>
        <v>1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IFERROR(__xludf.DUMMYFUNCTION("IMPORTRANGE(""https://docs.google.com/spreadsheets/d/1XL5vhW3sbDhbH9Cz0tuDiY8C3ctxq1tqvaCgkFb8cCA/edit?usp=sharing"",""กาฬสินธุ์!J222"")"),1.0)</f>
        <v>1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IFERROR(__xludf.DUMMYFUNCTION("IMPORTRANGE(""https://docs.google.com/spreadsheets/d/1XL5vhW3sbDhbH9Cz0tuDiY8C3ctxq1tqvaCgkFb8cCA/edit?usp=sharing"",""กาฬสินธุ์!J223"")"),0.0)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IFERROR(__xludf.DUMMYFUNCTION("IMPORTRANGE(""https://docs.google.com/spreadsheets/d/1XL5vhW3sbDhbH9Cz0tuDiY8C3ctxq1tqvaCgkFb8cCA/edit?usp=sharing"",""กาฬสินธุ์!I224"")"),1.0)</f>
        <v>1</v>
      </c>
      <c r="J324" s="238">
        <f>IFERROR(__xludf.DUMMYFUNCTION("IMPORTRANGE(""https://docs.google.com/spreadsheets/d/1XL5vhW3sbDhbH9Cz0tuDiY8C3ctxq1tqvaCgkFb8cCA/edit?usp=sharing"",""กาฬสินธุ์!J224"")"),0.0)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IFERROR(__xludf.DUMMYFUNCTION("IMPORTRANGE(""https://docs.google.com/spreadsheets/d/1XL5vhW3sbDhbH9Cz0tuDiY8C3ctxq1tqvaCgkFb8cCA/edit?usp=sharing"",""กาฬสินธุ์!J225"")"),0.0)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IFERROR(__xludf.DUMMYFUNCTION("IMPORTRANGE(""https://docs.google.com/spreadsheets/d/1XL5vhW3sbDhbH9Cz0tuDiY8C3ctxq1tqvaCgkFb8cCA/edit?usp=sharing"",""กาฬสินธุ์!J226"")"),0.0)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IFERROR(__xludf.DUMMYFUNCTION("IMPORTRANGE(""https://docs.google.com/spreadsheets/d/1XL5vhW3sbDhbH9Cz0tuDiY8C3ctxq1tqvaCgkFb8cCA/edit?usp=sharing"",""กาฬสินธุ์!I228"")"),345.0)</f>
        <v>345</v>
      </c>
      <c r="J328" s="372">
        <f>IFERROR(__xludf.DUMMYFUNCTION("IMPORTRANGE(""https://docs.google.com/spreadsheets/d/1XL5vhW3sbDhbH9Cz0tuDiY8C3ctxq1tqvaCgkFb8cCA/edit?usp=sharing"",""กาฬสินธุ์!J228"")"),3.0)</f>
        <v>3</v>
      </c>
      <c r="K328" s="350">
        <f>IF(I328&gt;0,J328*100/I328,0)</f>
        <v>0.8695652174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1108090</v>
      </c>
      <c r="M329" s="183">
        <f t="shared" si="99"/>
        <v>580410</v>
      </c>
      <c r="N329" s="183">
        <f t="shared" si="99"/>
        <v>408089</v>
      </c>
      <c r="O329" s="182">
        <f t="shared" ref="O329:O331" si="101">IF(L329&gt;0,N329*100/L329,0)</f>
        <v>36.82814573</v>
      </c>
      <c r="P329" s="182">
        <f t="shared" ref="P329:P331" si="102">IF(M329&gt;0,N329*100/M329,0)</f>
        <v>70.31047018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1108090</v>
      </c>
      <c r="M331" s="188">
        <f t="shared" si="103"/>
        <v>580410</v>
      </c>
      <c r="N331" s="188">
        <f t="shared" si="103"/>
        <v>408089</v>
      </c>
      <c r="O331" s="187">
        <f t="shared" si="101"/>
        <v>36.82814573</v>
      </c>
      <c r="P331" s="187">
        <f t="shared" si="102"/>
        <v>70.31047018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1070290</v>
      </c>
      <c r="M333" s="201">
        <f>IFERROR(__xludf.DUMMYFUNCTION("IMPORTRANGE(""https://docs.google.com/spreadsheets/d/1Yj_ptqi66GCucihVvJfMjLAmec39IyEx_6qawtMGysU/edit?usp=sharing"",""สบก!DL38"")"),580410.0)</f>
        <v>580410</v>
      </c>
      <c r="N333" s="202">
        <f>IFERROR(__xludf.DUMMYFUNCTION("IMPORTRANGE(""https://docs.google.com/spreadsheets/d/1Yj_ptqi66GCucihVvJfMjLAmec39IyEx_6qawtMGysU/edit?usp=sharing"",""สบก!DM38"")"),370289.0)</f>
        <v>370289</v>
      </c>
      <c r="O333" s="203">
        <f>IF(L333&gt;0,N333*100/L333,0)</f>
        <v>34.59707182</v>
      </c>
      <c r="P333" s="203">
        <f>IF(M333&gt;0,N333*100/M333,0)</f>
        <v>63.79783257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IFERROR(__xludf.DUMMYFUNCTION("IMPORTRANGE(""https://docs.google.com/spreadsheets/d/1Yj_ptqi66GCucihVvJfMjLAmec39IyEx_6qawtMGysU/edit?usp=sharing"",""สบก!DH38"")"),611400.0)</f>
        <v>611400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IFERROR(__xludf.DUMMYFUNCTION("IMPORTRANGE(""https://docs.google.com/spreadsheets/d/1Yj_ptqi66GCucihVvJfMjLAmec39IyEx_6qawtMGysU/edit?usp=sharing"",""สบก!DI38"")"),458890.0)</f>
        <v>458890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IFERROR(__xludf.DUMMYFUNCTION("IMPORTRANGE(""https://docs.google.com/spreadsheets/d/1Yj_ptqi66GCucihVvJfMjLAmec39IyEx_6qawtMGysU/edit?usp=sharing"",""สบก!DJ38"")"),37800.0)</f>
        <v>37800</v>
      </c>
      <c r="M337" s="125"/>
      <c r="N337" s="115">
        <f>IFERROR(__xludf.DUMMYFUNCTION("IMPORTRANGE(""https://docs.google.com/spreadsheets/d/1Yj_ptqi66GCucihVvJfMjLAmec39IyEx_6qawtMGysU/edit?usp=sharing"",""สบก!DN38"")"),37800.0)</f>
        <v>37800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IFERROR(__xludf.DUMMYFUNCTION("IMPORTRANGE(""https://docs.google.com/spreadsheets/d/1XL5vhW3sbDhbH9Cz0tuDiY8C3ctxq1tqvaCgkFb8cCA/edit?usp=sharing"",""กาฬสินธุ์!I234"")"),0.0)</f>
        <v>0</v>
      </c>
      <c r="J339" s="222">
        <f>IFERROR(__xludf.DUMMYFUNCTION("IMPORTRANGE(""https://docs.google.com/spreadsheets/d/1XL5vhW3sbDhbH9Cz0tuDiY8C3ctxq1tqvaCgkFb8cCA/edit?usp=sharing"",""กาฬสินธุ์!J234"")"),153.0)</f>
        <v>153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IFERROR(__xludf.DUMMYFUNCTION("IMPORTRANGE(""https://docs.google.com/spreadsheets/d/1XL5vhW3sbDhbH9Cz0tuDiY8C3ctxq1tqvaCgkFb8cCA/edit?usp=sharing"",""กาฬสินธุ์!I235"")"),2740.0)</f>
        <v>2740</v>
      </c>
      <c r="J340" s="222">
        <f>IFERROR(__xludf.DUMMYFUNCTION("IMPORTRANGE(""https://docs.google.com/spreadsheets/d/1XL5vhW3sbDhbH9Cz0tuDiY8C3ctxq1tqvaCgkFb8cCA/edit?usp=sharing"",""กาฬสินธุ์!J235"")"),1487.92)</f>
        <v>1487.92</v>
      </c>
      <c r="K340" s="375">
        <f t="shared" si="104"/>
        <v>54.30364964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IFERROR(__xludf.DUMMYFUNCTION("IMPORTRANGE(""https://docs.google.com/spreadsheets/d/1XL5vhW3sbDhbH9Cz0tuDiY8C3ctxq1tqvaCgkFb8cCA/edit?usp=sharing"",""กาฬสินธุ์!I236"")"),345.0)</f>
        <v>345</v>
      </c>
      <c r="J341" s="222">
        <f>IFERROR(__xludf.DUMMYFUNCTION("IMPORTRANGE(""https://docs.google.com/spreadsheets/d/1XL5vhW3sbDhbH9Cz0tuDiY8C3ctxq1tqvaCgkFb8cCA/edit?usp=sharing"",""กาฬสินธุ์!J236"")"),172.0)</f>
        <v>172</v>
      </c>
      <c r="K341" s="375">
        <f t="shared" si="104"/>
        <v>49.85507246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IFERROR(__xludf.DUMMYFUNCTION("IMPORTRANGE(""https://docs.google.com/spreadsheets/d/1XL5vhW3sbDhbH9Cz0tuDiY8C3ctxq1tqvaCgkFb8cCA/edit?usp=sharing"",""กาฬสินธุ์!I237"")"),0.0)</f>
        <v>0</v>
      </c>
      <c r="J342" s="222">
        <f>IFERROR(__xludf.DUMMYFUNCTION("IMPORTRANGE(""https://docs.google.com/spreadsheets/d/1XL5vhW3sbDhbH9Cz0tuDiY8C3ctxq1tqvaCgkFb8cCA/edit?usp=sharing"",""กาฬสินธุ์!J237"")"),1642.8)</f>
        <v>1642.8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IFERROR(__xludf.DUMMYFUNCTION("IMPORTRANGE(""https://docs.google.com/spreadsheets/d/1XL5vhW3sbDhbH9Cz0tuDiY8C3ctxq1tqvaCgkFb8cCA/edit?usp=sharing"",""กาฬสินธุ์!I238"")"),345.0)</f>
        <v>345</v>
      </c>
      <c r="J343" s="222">
        <f>IFERROR(__xludf.DUMMYFUNCTION("IMPORTRANGE(""https://docs.google.com/spreadsheets/d/1XL5vhW3sbDhbH9Cz0tuDiY8C3ctxq1tqvaCgkFb8cCA/edit?usp=sharing"",""กาฬสินธุ์!J238"")"),0.0)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IFERROR(__xludf.DUMMYFUNCTION("IMPORTRANGE(""https://docs.google.com/spreadsheets/d/1XL5vhW3sbDhbH9Cz0tuDiY8C3ctxq1tqvaCgkFb8cCA/edit?usp=sharing"",""กาฬสินธุ์!I239"")"),0.0)</f>
        <v>0</v>
      </c>
      <c r="J344" s="222">
        <f>IFERROR(__xludf.DUMMYFUNCTION("IMPORTRANGE(""https://docs.google.com/spreadsheets/d/1XL5vhW3sbDhbH9Cz0tuDiY8C3ctxq1tqvaCgkFb8cCA/edit?usp=sharing"",""กาฬสินธุ์!J239"")"),0.0)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IFERROR(__xludf.DUMMYFUNCTION("IMPORTRANGE(""https://docs.google.com/spreadsheets/d/1XL5vhW3sbDhbH9Cz0tuDiY8C3ctxq1tqvaCgkFb8cCA/edit?usp=sharing"",""กาฬสินธุ์!I240"")"),345.0)</f>
        <v>345</v>
      </c>
      <c r="J345" s="222">
        <f>IFERROR(__xludf.DUMMYFUNCTION("IMPORTRANGE(""https://docs.google.com/spreadsheets/d/1XL5vhW3sbDhbH9Cz0tuDiY8C3ctxq1tqvaCgkFb8cCA/edit?usp=sharing"",""กาฬสินธุ์!J240"")"),3.0)</f>
        <v>3</v>
      </c>
      <c r="K345" s="375">
        <f t="shared" si="104"/>
        <v>0.8695652174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IFERROR(__xludf.DUMMYFUNCTION("IMPORTRANGE(""https://docs.google.com/spreadsheets/d/1XL5vhW3sbDhbH9Cz0tuDiY8C3ctxq1tqvaCgkFb8cCA/edit?usp=sharing"",""กาฬสินธุ์!I241"")"),0.0)</f>
        <v>0</v>
      </c>
      <c r="J346" s="222">
        <f>IFERROR(__xludf.DUMMYFUNCTION("IMPORTRANGE(""https://docs.google.com/spreadsheets/d/1XL5vhW3sbDhbH9Cz0tuDiY8C3ctxq1tqvaCgkFb8cCA/edit?usp=sharing"",""กาฬสินธุ์!J241"")"),79.22)</f>
        <v>79.22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IFERROR(__xludf.DUMMYFUNCTION("IMPORTRANGE(""https://docs.google.com/spreadsheets/d/1XL5vhW3sbDhbH9Cz0tuDiY8C3ctxq1tqvaCgkFb8cCA/edit?usp=sharing"",""กาฬสินธุ์!L242"")"),2421540.0)</f>
        <v>2421540</v>
      </c>
      <c r="M347" s="391"/>
      <c r="N347" s="391">
        <f>IFERROR(__xludf.DUMMYFUNCTION("IMPORTRANGE(""https://docs.google.com/spreadsheets/d/1XL5vhW3sbDhbH9Cz0tuDiY8C3ctxq1tqvaCgkFb8cCA/edit?usp=sharing"",""กาฬสินธุ์!M242"")"),505376.0)</f>
        <v>505376</v>
      </c>
      <c r="O347" s="391">
        <f>+IF(L347&gt;0,N347*100/L347,0)</f>
        <v>20.87002486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IFERROR(__xludf.DUMMYFUNCTION("IMPORTRANGE(""https://docs.google.com/spreadsheets/d/1XL5vhW3sbDhbH9Cz0tuDiY8C3ctxq1tqvaCgkFb8cCA/edit?usp=sharing"",""กาฬสินธุ์!I244"")"),300.0)</f>
        <v>300</v>
      </c>
      <c r="J349" s="404">
        <f>IFERROR(__xludf.DUMMYFUNCTION("IMPORTRANGE(""https://docs.google.com/spreadsheets/d/1XL5vhW3sbDhbH9Cz0tuDiY8C3ctxq1tqvaCgkFb8cCA/edit?usp=sharing"",""กาฬสินธุ์!J244"")"),0.0)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IFERROR(__xludf.DUMMYFUNCTION("IMPORTRANGE(""https://docs.google.com/spreadsheets/d/1XL5vhW3sbDhbH9Cz0tuDiY8C3ctxq1tqvaCgkFb8cCA/edit?usp=sharing"",""กาฬสินธุ์!L244"")"),576480.0)</f>
        <v>576480</v>
      </c>
      <c r="M349" s="406"/>
      <c r="N349" s="406">
        <f>IFERROR(__xludf.DUMMYFUNCTION("IMPORTRANGE(""https://docs.google.com/spreadsheets/d/1XL5vhW3sbDhbH9Cz0tuDiY8C3ctxq1tqvaCgkFb8cCA/edit?usp=sharing"",""กาฬสินธุ์!M244"")"),92545.0)</f>
        <v>92545</v>
      </c>
      <c r="O349" s="406">
        <f>+IF(L349&gt;0,N349*100/L349,0)</f>
        <v>16.05346239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IFERROR(__xludf.DUMMYFUNCTION("IMPORTRANGE(""https://docs.google.com/spreadsheets/d/1XL5vhW3sbDhbH9Cz0tuDiY8C3ctxq1tqvaCgkFb8cCA/edit?usp=sharing"",""กาฬสินธุ์!I245"")"),60.0)</f>
        <v>60</v>
      </c>
      <c r="J350" s="404">
        <f>IFERROR(__xludf.DUMMYFUNCTION("IMPORTRANGE(""https://docs.google.com/spreadsheets/d/1XL5vhW3sbDhbH9Cz0tuDiY8C3ctxq1tqvaCgkFb8cCA/edit?usp=sharing"",""กาฬสินธุ์!J245"")"),0.0)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IFERROR(__xludf.DUMMYFUNCTION("IMPORTRANGE(""https://docs.google.com/spreadsheets/d/1XL5vhW3sbDhbH9Cz0tuDiY8C3ctxq1tqvaCgkFb8cCA/edit?usp=sharing"",""กาฬสินธุ์!L246"")"),0.0)</f>
        <v>0</v>
      </c>
      <c r="M351" s="197"/>
      <c r="N351" s="197">
        <f>IFERROR(__xludf.DUMMYFUNCTION("IMPORTRANGE(""https://docs.google.com/spreadsheets/d/1XL5vhW3sbDhbH9Cz0tuDiY8C3ctxq1tqvaCgkFb8cCA/edit?usp=sharing"",""กาฬสินธุ์!M246"")"),0.0)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IFERROR(__xludf.DUMMYFUNCTION("IMPORTRANGE(""https://docs.google.com/spreadsheets/d/1XL5vhW3sbDhbH9Cz0tuDiY8C3ctxq1tqvaCgkFb8cCA/edit?usp=sharing"",""กาฬสินธุ์!L247"")"),576480.0)</f>
        <v>576480</v>
      </c>
      <c r="M352" s="198"/>
      <c r="N352" s="197">
        <f>IFERROR(__xludf.DUMMYFUNCTION("IMPORTRANGE(""https://docs.google.com/spreadsheets/d/1XL5vhW3sbDhbH9Cz0tuDiY8C3ctxq1tqvaCgkFb8cCA/edit?usp=sharing"",""กาฬสินธุ์!M247"")"),92545.0)</f>
        <v>92545</v>
      </c>
      <c r="O352" s="198">
        <f t="shared" si="106"/>
        <v>16.05346239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IFERROR(__xludf.DUMMYFUNCTION("IMPORTRANGE(""https://docs.google.com/spreadsheets/d/1XL5vhW3sbDhbH9Cz0tuDiY8C3ctxq1tqvaCgkFb8cCA/edit?usp=sharing"",""กาฬสินธุ์!L248"")"),0.0)</f>
        <v>0</v>
      </c>
      <c r="M353" s="203"/>
      <c r="N353" s="203">
        <f>IFERROR(__xludf.DUMMYFUNCTION("IMPORTRANGE(""https://docs.google.com/spreadsheets/d/1XL5vhW3sbDhbH9Cz0tuDiY8C3ctxq1tqvaCgkFb8cCA/edit?usp=sharing"",""กาฬสินธุ์!M248"")"),0.0)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IFERROR(__xludf.DUMMYFUNCTION("IMPORTRANGE(""https://docs.google.com/spreadsheets/d/1XL5vhW3sbDhbH9Cz0tuDiY8C3ctxq1tqvaCgkFb8cCA/edit?usp=sharing"",""กาฬสินธุ์!L249"")"),576480.0)</f>
        <v>576480</v>
      </c>
      <c r="M354" s="203"/>
      <c r="N354" s="200">
        <f>IFERROR(__xludf.DUMMYFUNCTION("IMPORTRANGE(""https://docs.google.com/spreadsheets/d/1XL5vhW3sbDhbH9Cz0tuDiY8C3ctxq1tqvaCgkFb8cCA/edit?usp=sharing"",""กาฬสินธุ์!M249"")"),92545.0)</f>
        <v>92545</v>
      </c>
      <c r="O354" s="203">
        <f t="shared" si="106"/>
        <v>16.05346239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IFERROR(__xludf.DUMMYFUNCTION("IMPORTRANGE(""https://docs.google.com/spreadsheets/d/1XL5vhW3sbDhbH9Cz0tuDiY8C3ctxq1tqvaCgkFb8cCA/edit?usp=sharing"",""กาฬสินธุ์!M250"")"),60610.0)</f>
        <v>60610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IFERROR(__xludf.DUMMYFUNCTION("IMPORTRANGE(""https://docs.google.com/spreadsheets/d/1XL5vhW3sbDhbH9Cz0tuDiY8C3ctxq1tqvaCgkFb8cCA/edit?usp=sharing"",""กาฬสินธุ์!M251"")"),0.0)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IFERROR(__xludf.DUMMYFUNCTION("IMPORTRANGE(""https://docs.google.com/spreadsheets/d/1XL5vhW3sbDhbH9Cz0tuDiY8C3ctxq1tqvaCgkFb8cCA/edit?usp=sharing"",""กาฬสินธุ์!M252"")"),31935.0)</f>
        <v>31935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IFERROR(__xludf.DUMMYFUNCTION("IMPORTRANGE(""https://docs.google.com/spreadsheets/d/1XL5vhW3sbDhbH9Cz0tuDiY8C3ctxq1tqvaCgkFb8cCA/edit?usp=sharing"",""กาฬสินธุ์!M253"")"),0.0)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IFERROR(__xludf.DUMMYFUNCTION("IMPORTRANGE(""https://docs.google.com/spreadsheets/d/1XL5vhW3sbDhbH9Cz0tuDiY8C3ctxq1tqvaCgkFb8cCA/edit?usp=sharing"",""กาฬสินธุ์!J255"")"),0.0)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IFERROR(__xludf.DUMMYFUNCTION("IMPORTRANGE(""https://docs.google.com/spreadsheets/d/1XL5vhW3sbDhbH9Cz0tuDiY8C3ctxq1tqvaCgkFb8cCA/edit?usp=sharing"",""กาฬสินธุ์!J256"")"),1.0)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IFERROR(__xludf.DUMMYFUNCTION("IMPORTRANGE(""https://docs.google.com/spreadsheets/d/1XL5vhW3sbDhbH9Cz0tuDiY8C3ctxq1tqvaCgkFb8cCA/edit?usp=sharing"",""กาฬสินธุ์!J257"")"),1.0)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IFERROR(__xludf.DUMMYFUNCTION("IMPORTRANGE(""https://docs.google.com/spreadsheets/d/1XL5vhW3sbDhbH9Cz0tuDiY8C3ctxq1tqvaCgkFb8cCA/edit?usp=sharing"",""กาฬสินธุ์!J258"")"),0.0)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IFERROR(__xludf.DUMMYFUNCTION("IMPORTRANGE(""https://docs.google.com/spreadsheets/d/1XL5vhW3sbDhbH9Cz0tuDiY8C3ctxq1tqvaCgkFb8cCA/edit?usp=sharing"",""กาฬสินธุ์!J166"")"),0.0)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IFERROR(__xludf.DUMMYFUNCTION("IMPORTRANGE(""https://docs.google.com/spreadsheets/d/1XL5vhW3sbDhbH9Cz0tuDiY8C3ctxq1tqvaCgkFb8cCA/edit?usp=sharing"",""กาฬสินธุ์!J166"")"),0.0)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IFERROR(__xludf.DUMMYFUNCTION("IMPORTRANGE(""https://docs.google.com/spreadsheets/d/1XL5vhW3sbDhbH9Cz0tuDiY8C3ctxq1tqvaCgkFb8cCA/edit?usp=sharing"",""กาฬสินธุ์!J166"")"),0.0)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IFERROR(__xludf.DUMMYFUNCTION("IMPORTRANGE(""https://docs.google.com/spreadsheets/d/1XL5vhW3sbDhbH9Cz0tuDiY8C3ctxq1tqvaCgkFb8cCA/edit?usp=sharing"",""กาฬสินธุ์!J166"")"),0.0)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IFERROR(__xludf.DUMMYFUNCTION("IMPORTRANGE(""https://docs.google.com/spreadsheets/d/1XL5vhW3sbDhbH9Cz0tuDiY8C3ctxq1tqvaCgkFb8cCA/edit?usp=sharing"",""กาฬสินธุ์!I263"")"),60.0)</f>
        <v>60</v>
      </c>
      <c r="J368" s="222">
        <f>IFERROR(__xludf.DUMMYFUNCTION("IMPORTRANGE(""https://docs.google.com/spreadsheets/d/1XL5vhW3sbDhbH9Cz0tuDiY8C3ctxq1tqvaCgkFb8cCA/edit?usp=sharing"",""กาฬสินธุ์!J263"")"),0.0)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IFERROR(__xludf.DUMMYFUNCTION("IMPORTRANGE(""https://docs.google.com/spreadsheets/d/1XL5vhW3sbDhbH9Cz0tuDiY8C3ctxq1tqvaCgkFb8cCA/edit?usp=sharing"",""กาฬสินธุ์!I164"")"),0.0)</f>
        <v>0</v>
      </c>
      <c r="J369" s="238">
        <f>IFERROR(__xludf.DUMMYFUNCTION("IMPORTRANGE(""https://docs.google.com/spreadsheets/d/1XL5vhW3sbDhbH9Cz0tuDiY8C3ctxq1tqvaCgkFb8cCA/edit?usp=sharing"",""กาฬสินธุ์!J164"")"),0.0)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IFERROR(__xludf.DUMMYFUNCTION("IMPORTRANGE(""https://docs.google.com/spreadsheets/d/1XL5vhW3sbDhbH9Cz0tuDiY8C3ctxq1tqvaCgkFb8cCA/edit?usp=sharing"",""กาฬสินธุ์!I265"")"),60.0)</f>
        <v>60</v>
      </c>
      <c r="J370" s="238">
        <f>IFERROR(__xludf.DUMMYFUNCTION("IMPORTRANGE(""https://docs.google.com/spreadsheets/d/1XL5vhW3sbDhbH9Cz0tuDiY8C3ctxq1tqvaCgkFb8cCA/edit?usp=sharing"",""กาฬสินธุ์!J265"")"),0.0)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IFERROR(__xludf.DUMMYFUNCTION("IMPORTRANGE(""https://docs.google.com/spreadsheets/d/1XL5vhW3sbDhbH9Cz0tuDiY8C3ctxq1tqvaCgkFb8cCA/edit?usp=sharing"",""กาฬสินธุ์!I164"")"),0.0)</f>
        <v>0</v>
      </c>
      <c r="J371" s="223">
        <f>IFERROR(__xludf.DUMMYFUNCTION("IMPORTRANGE(""https://docs.google.com/spreadsheets/d/1XL5vhW3sbDhbH9Cz0tuDiY8C3ctxq1tqvaCgkFb8cCA/edit?usp=sharing"",""กาฬสินธุ์!J164"")"),0.0)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IFERROR(__xludf.DUMMYFUNCTION("IMPORTRANGE(""https://docs.google.com/spreadsheets/d/1XL5vhW3sbDhbH9Cz0tuDiY8C3ctxq1tqvaCgkFb8cCA/edit?usp=sharing"",""กาฬสินธุ์!I267"")"),60.0)</f>
        <v>60</v>
      </c>
      <c r="J372" s="223">
        <f>IFERROR(__xludf.DUMMYFUNCTION("IMPORTRANGE(""https://docs.google.com/spreadsheets/d/1XL5vhW3sbDhbH9Cz0tuDiY8C3ctxq1tqvaCgkFb8cCA/edit?usp=sharing"",""กาฬสินธุ์!J267"")"),0.0)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IFERROR(__xludf.DUMMYFUNCTION("IMPORTRANGE(""https://docs.google.com/spreadsheets/d/1XL5vhW3sbDhbH9Cz0tuDiY8C3ctxq1tqvaCgkFb8cCA/edit?usp=sharing"",""กาฬสินธุ์!I164"")"),0.0)</f>
        <v>0</v>
      </c>
      <c r="J373" s="238">
        <f>IFERROR(__xludf.DUMMYFUNCTION("IMPORTRANGE(""https://docs.google.com/spreadsheets/d/1XL5vhW3sbDhbH9Cz0tuDiY8C3ctxq1tqvaCgkFb8cCA/edit?usp=sharing"",""กาฬสินธุ์!J164"")"),0.0)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IFERROR(__xludf.DUMMYFUNCTION("IMPORTRANGE(""https://docs.google.com/spreadsheets/d/1XL5vhW3sbDhbH9Cz0tuDiY8C3ctxq1tqvaCgkFb8cCA/edit?usp=sharing"",""กาฬสินธุ์!I164"")"),0.0)</f>
        <v>0</v>
      </c>
      <c r="J374" s="222">
        <f>IFERROR(__xludf.DUMMYFUNCTION("IMPORTRANGE(""https://docs.google.com/spreadsheets/d/1XL5vhW3sbDhbH9Cz0tuDiY8C3ctxq1tqvaCgkFb8cCA/edit?usp=sharing"",""กาฬสินธุ์!J164"")"),0.0)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IFERROR(__xludf.DUMMYFUNCTION("IMPORTRANGE(""https://docs.google.com/spreadsheets/d/1XL5vhW3sbDhbH9Cz0tuDiY8C3ctxq1tqvaCgkFb8cCA/edit?usp=sharing"",""กาฬสินธุ์!I270"")"),300.0)</f>
        <v>300</v>
      </c>
      <c r="J375" s="222">
        <f>IFERROR(__xludf.DUMMYFUNCTION("IMPORTRANGE(""https://docs.google.com/spreadsheets/d/1XL5vhW3sbDhbH9Cz0tuDiY8C3ctxq1tqvaCgkFb8cCA/edit?usp=sharing"",""กาฬสินธุ์!J270"")"),0.0)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IFERROR(__xludf.DUMMYFUNCTION("IMPORTRANGE(""https://docs.google.com/spreadsheets/d/1XL5vhW3sbDhbH9Cz0tuDiY8C3ctxq1tqvaCgkFb8cCA/edit?usp=sharing"",""กาฬสินธุ์!I271"")"),300.0)</f>
        <v>300</v>
      </c>
      <c r="J376" s="223">
        <f>IFERROR(__xludf.DUMMYFUNCTION("IMPORTRANGE(""https://docs.google.com/spreadsheets/d/1XL5vhW3sbDhbH9Cz0tuDiY8C3ctxq1tqvaCgkFb8cCA/edit?usp=sharing"",""กาฬสินธุ์!J271"")"),0.0)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IFERROR(__xludf.DUMMYFUNCTION("IMPORTRANGE(""https://docs.google.com/spreadsheets/d/1XL5vhW3sbDhbH9Cz0tuDiY8C3ctxq1tqvaCgkFb8cCA/edit?usp=sharing"",""กาฬสินธุ์!I272"")"),0.0)</f>
        <v>0</v>
      </c>
      <c r="J377" s="238">
        <f>IFERROR(__xludf.DUMMYFUNCTION("IMPORTRANGE(""https://docs.google.com/spreadsheets/d/1XL5vhW3sbDhbH9Cz0tuDiY8C3ctxq1tqvaCgkFb8cCA/edit?usp=sharing"",""กาฬสินธุ์!J272"")"),0.0)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IFERROR(__xludf.DUMMYFUNCTION("IMPORTRANGE(""https://docs.google.com/spreadsheets/d/1XL5vhW3sbDhbH9Cz0tuDiY8C3ctxq1tqvaCgkFb8cCA/edit?usp=sharing"",""กาฬสินธุ์!J273"")"),0.0)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IFERROR(__xludf.DUMMYFUNCTION("IMPORTRANGE(""https://docs.google.com/spreadsheets/d/1XL5vhW3sbDhbH9Cz0tuDiY8C3ctxq1tqvaCgkFb8cCA/edit?usp=sharing"",""กาฬสินธุ์!J274"")"),0.0)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IFERROR(__xludf.DUMMYFUNCTION("IMPORTRANGE(""https://docs.google.com/spreadsheets/d/1XL5vhW3sbDhbH9Cz0tuDiY8C3ctxq1tqvaCgkFb8cCA/edit?usp=sharing"",""กาฬสินธุ์!I275"")"),1000.0)</f>
        <v>1000</v>
      </c>
      <c r="J380" s="404">
        <f>IFERROR(__xludf.DUMMYFUNCTION("IMPORTRANGE(""https://docs.google.com/spreadsheets/d/1XL5vhW3sbDhbH9Cz0tuDiY8C3ctxq1tqvaCgkFb8cCA/edit?usp=sharing"",""กาฬสินธุ์!J275"")"),0.0)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IFERROR(__xludf.DUMMYFUNCTION("IMPORTRANGE(""https://docs.google.com/spreadsheets/d/1XL5vhW3sbDhbH9Cz0tuDiY8C3ctxq1tqvaCgkFb8cCA/edit?usp=sharing"",""กาฬสินธุ์!L275"")"),1028520.0)</f>
        <v>1028520</v>
      </c>
      <c r="M380" s="406"/>
      <c r="N380" s="406">
        <f>IFERROR(__xludf.DUMMYFUNCTION("IMPORTRANGE(""https://docs.google.com/spreadsheets/d/1XL5vhW3sbDhbH9Cz0tuDiY8C3ctxq1tqvaCgkFb8cCA/edit?usp=sharing"",""กาฬสินธุ์!M275"")"),166102.0)</f>
        <v>166102</v>
      </c>
      <c r="O380" s="406">
        <f>+IF(L380&gt;0,N380*100/L380,0)</f>
        <v>16.14961304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IFERROR(__xludf.DUMMYFUNCTION("IMPORTRANGE(""https://docs.google.com/spreadsheets/d/1XL5vhW3sbDhbH9Cz0tuDiY8C3ctxq1tqvaCgkFb8cCA/edit?usp=sharing"",""กาฬสินธุ์!I276"")"),100.0)</f>
        <v>100</v>
      </c>
      <c r="J381" s="404">
        <f>IFERROR(__xludf.DUMMYFUNCTION("IMPORTRANGE(""https://docs.google.com/spreadsheets/d/1XL5vhW3sbDhbH9Cz0tuDiY8C3ctxq1tqvaCgkFb8cCA/edit?usp=sharing"",""กาฬสินธุ์!J276"")"),0.0)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IFERROR(__xludf.DUMMYFUNCTION("IMPORTRANGE(""https://docs.google.com/spreadsheets/d/1XL5vhW3sbDhbH9Cz0tuDiY8C3ctxq1tqvaCgkFb8cCA/edit?usp=sharing"",""กาฬสินธุ์!L277"")"),0.0)</f>
        <v>0</v>
      </c>
      <c r="M382" s="197"/>
      <c r="N382" s="197">
        <f>IFERROR(__xludf.DUMMYFUNCTION("IMPORTRANGE(""https://docs.google.com/spreadsheets/d/1XL5vhW3sbDhbH9Cz0tuDiY8C3ctxq1tqvaCgkFb8cCA/edit?usp=sharing"",""กาฬสินธุ์!M277"")"),0.0)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IFERROR(__xludf.DUMMYFUNCTION("IMPORTRANGE(""https://docs.google.com/spreadsheets/d/1XL5vhW3sbDhbH9Cz0tuDiY8C3ctxq1tqvaCgkFb8cCA/edit?usp=sharing"",""กาฬสินธุ์!L278"")"),1028520.0)</f>
        <v>1028520</v>
      </c>
      <c r="M383" s="198"/>
      <c r="N383" s="198">
        <f>IFERROR(__xludf.DUMMYFUNCTION("IMPORTRANGE(""https://docs.google.com/spreadsheets/d/1XL5vhW3sbDhbH9Cz0tuDiY8C3ctxq1tqvaCgkFb8cCA/edit?usp=sharing"",""กาฬสินธุ์!M278"")"),166102.0)</f>
        <v>166102</v>
      </c>
      <c r="O383" s="198">
        <f t="shared" si="110"/>
        <v>16.14961304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IFERROR(__xludf.DUMMYFUNCTION("IMPORTRANGE(""https://docs.google.com/spreadsheets/d/1XL5vhW3sbDhbH9Cz0tuDiY8C3ctxq1tqvaCgkFb8cCA/edit?usp=sharing"",""กาฬสินธุ์!L279"")"),0.0)</f>
        <v>0</v>
      </c>
      <c r="M384" s="203"/>
      <c r="N384" s="203">
        <f>IFERROR(__xludf.DUMMYFUNCTION("IMPORTRANGE(""https://docs.google.com/spreadsheets/d/1XL5vhW3sbDhbH9Cz0tuDiY8C3ctxq1tqvaCgkFb8cCA/edit?usp=sharing"",""กาฬสินธุ์!M279"")"),0.0)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IFERROR(__xludf.DUMMYFUNCTION("IMPORTRANGE(""https://docs.google.com/spreadsheets/d/1XL5vhW3sbDhbH9Cz0tuDiY8C3ctxq1tqvaCgkFb8cCA/edit?usp=sharing"",""กาฬสินธุ์!L280"")"),1028520.0)</f>
        <v>1028520</v>
      </c>
      <c r="M385" s="203"/>
      <c r="N385" s="200">
        <f>IFERROR(__xludf.DUMMYFUNCTION("IMPORTRANGE(""https://docs.google.com/spreadsheets/d/1XL5vhW3sbDhbH9Cz0tuDiY8C3ctxq1tqvaCgkFb8cCA/edit?usp=sharing"",""กาฬสินธุ์!M280"")"),166102.0)</f>
        <v>166102</v>
      </c>
      <c r="O385" s="203">
        <f t="shared" si="110"/>
        <v>16.14961304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IFERROR(__xludf.DUMMYFUNCTION("IMPORTRANGE(""https://docs.google.com/spreadsheets/d/1XL5vhW3sbDhbH9Cz0tuDiY8C3ctxq1tqvaCgkFb8cCA/edit?usp=sharing"",""กาฬสินธุ์!M281"")"),135325.0)</f>
        <v>135325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IFERROR(__xludf.DUMMYFUNCTION("IMPORTRANGE(""https://docs.google.com/spreadsheets/d/1XL5vhW3sbDhbH9Cz0tuDiY8C3ctxq1tqvaCgkFb8cCA/edit?usp=sharing"",""กาฬสินธุ์!M282"")"),0.0)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IFERROR(__xludf.DUMMYFUNCTION("IMPORTRANGE(""https://docs.google.com/spreadsheets/d/1XL5vhW3sbDhbH9Cz0tuDiY8C3ctxq1tqvaCgkFb8cCA/edit?usp=sharing"",""กาฬสินธุ์!M283"")"),27677.0)</f>
        <v>27677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IFERROR(__xludf.DUMMYFUNCTION("IMPORTRANGE(""https://docs.google.com/spreadsheets/d/1XL5vhW3sbDhbH9Cz0tuDiY8C3ctxq1tqvaCgkFb8cCA/edit?usp=sharing"",""กาฬสินธุ์!M284"")"),3100.0)</f>
        <v>3100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IFERROR(__xludf.DUMMYFUNCTION("IMPORTRANGE(""https://docs.google.com/spreadsheets/d/1XL5vhW3sbDhbH9Cz0tuDiY8C3ctxq1tqvaCgkFb8cCA/edit?usp=sharing"",""กาฬสินธุ์!J286"")"),0.0)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IFERROR(__xludf.DUMMYFUNCTION("IMPORTRANGE(""https://docs.google.com/spreadsheets/d/1XL5vhW3sbDhbH9Cz0tuDiY8C3ctxq1tqvaCgkFb8cCA/edit?usp=sharing"",""กาฬสินธุ์!J287"")"),1.0)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IFERROR(__xludf.DUMMYFUNCTION("IMPORTRANGE(""https://docs.google.com/spreadsheets/d/1XL5vhW3sbDhbH9Cz0tuDiY8C3ctxq1tqvaCgkFb8cCA/edit?usp=sharing"",""กาฬสินธุ์!J288"")"),1.0)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IFERROR(__xludf.DUMMYFUNCTION("IMPORTRANGE(""https://docs.google.com/spreadsheets/d/1XL5vhW3sbDhbH9Cz0tuDiY8C3ctxq1tqvaCgkFb8cCA/edit?usp=sharing"",""กาฬสินธุ์!J289"")"),0.0)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IFERROR(__xludf.DUMMYFUNCTION("IMPORTRANGE(""https://docs.google.com/spreadsheets/d/1XL5vhW3sbDhbH9Cz0tuDiY8C3ctxq1tqvaCgkFb8cCA/edit?usp=sharing"",""กาฬสินธุ์!I291"")"),100.0)</f>
        <v>100</v>
      </c>
      <c r="J396" s="232">
        <f>IFERROR(__xludf.DUMMYFUNCTION("IMPORTRANGE(""https://docs.google.com/spreadsheets/d/1XL5vhW3sbDhbH9Cz0tuDiY8C3ctxq1tqvaCgkFb8cCA/edit?usp=sharing"",""กาฬสินธุ์!J291"")"),0.0)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IFERROR(__xludf.DUMMYFUNCTION("IMPORTRANGE(""https://docs.google.com/spreadsheets/d/1XL5vhW3sbDhbH9Cz0tuDiY8C3ctxq1tqvaCgkFb8cCA/edit?usp=sharing"",""กาฬสินธุ์!I292"")"),1000.0)</f>
        <v>1000</v>
      </c>
      <c r="J397" s="232">
        <f>IFERROR(__xludf.DUMMYFUNCTION("IMPORTRANGE(""https://docs.google.com/spreadsheets/d/1XL5vhW3sbDhbH9Cz0tuDiY8C3ctxq1tqvaCgkFb8cCA/edit?usp=sharing"",""กาฬสินธุ์!J292"")"),0.0)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IFERROR(__xludf.DUMMYFUNCTION("IMPORTRANGE(""https://docs.google.com/spreadsheets/d/1XL5vhW3sbDhbH9Cz0tuDiY8C3ctxq1tqvaCgkFb8cCA/edit?usp=sharing"",""กาฬสินธุ์!I293"")"),100.0)</f>
        <v>100</v>
      </c>
      <c r="J398" s="232">
        <f>IFERROR(__xludf.DUMMYFUNCTION("IMPORTRANGE(""https://docs.google.com/spreadsheets/d/1XL5vhW3sbDhbH9Cz0tuDiY8C3ctxq1tqvaCgkFb8cCA/edit?usp=sharing"",""กาฬสินธุ์!J293"")"),0.0)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IFERROR(__xludf.DUMMYFUNCTION("IMPORTRANGE(""https://docs.google.com/spreadsheets/d/1XL5vhW3sbDhbH9Cz0tuDiY8C3ctxq1tqvaCgkFb8cCA/edit?usp=sharing"",""กาฬสินธุ์!J294"")"),0.0)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IFERROR(__xludf.DUMMYFUNCTION("IMPORTRANGE(""https://docs.google.com/spreadsheets/d/1XL5vhW3sbDhbH9Cz0tuDiY8C3ctxq1tqvaCgkFb8cCA/edit?usp=sharing"",""กาฬสินธุ์!J295"")"),0.0)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IFERROR(__xludf.DUMMYFUNCTION("IMPORTRANGE(""https://docs.google.com/spreadsheets/d/1XL5vhW3sbDhbH9Cz0tuDiY8C3ctxq1tqvaCgkFb8cCA/edit?usp=sharing"",""กาฬสินธุ์!I296"")"),105.0)</f>
        <v>105</v>
      </c>
      <c r="J401" s="404">
        <f>IFERROR(__xludf.DUMMYFUNCTION("IMPORTRANGE(""https://docs.google.com/spreadsheets/d/1XL5vhW3sbDhbH9Cz0tuDiY8C3ctxq1tqvaCgkFb8cCA/edit?usp=sharing"",""กาฬสินธุ์!J296"")"),105.0)</f>
        <v>105</v>
      </c>
      <c r="K401" s="405">
        <f t="shared" ref="K401:K402" si="112">IF(I401&gt;0,J401*100/I401,0)</f>
        <v>100</v>
      </c>
      <c r="L401" s="406">
        <f>IFERROR(__xludf.DUMMYFUNCTION("IMPORTRANGE(""https://docs.google.com/spreadsheets/d/1XL5vhW3sbDhbH9Cz0tuDiY8C3ctxq1tqvaCgkFb8cCA/edit?usp=sharing"",""กาฬสินธุ์!L296"")"),131710.0)</f>
        <v>131710</v>
      </c>
      <c r="M401" s="406"/>
      <c r="N401" s="406">
        <f>IFERROR(__xludf.DUMMYFUNCTION("IMPORTRANGE(""https://docs.google.com/spreadsheets/d/1XL5vhW3sbDhbH9Cz0tuDiY8C3ctxq1tqvaCgkFb8cCA/edit?usp=sharing"",""กาฬสินธุ์!M296"")"),74320.0)</f>
        <v>74320</v>
      </c>
      <c r="O401" s="406">
        <f>+IF(L401&gt;0,N401*100/L401,0)</f>
        <v>56.42699871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IFERROR(__xludf.DUMMYFUNCTION("IMPORTRANGE(""https://docs.google.com/spreadsheets/d/1XL5vhW3sbDhbH9Cz0tuDiY8C3ctxq1tqvaCgkFb8cCA/edit?usp=sharing"",""กาฬสินธุ์!I297"")"),35.0)</f>
        <v>35</v>
      </c>
      <c r="J402" s="404">
        <f>IFERROR(__xludf.DUMMYFUNCTION("IMPORTRANGE(""https://docs.google.com/spreadsheets/d/1XL5vhW3sbDhbH9Cz0tuDiY8C3ctxq1tqvaCgkFb8cCA/edit?usp=sharing"",""กาฬสินธุ์!J297"")"),35.0)</f>
        <v>35</v>
      </c>
      <c r="K402" s="405">
        <f t="shared" si="112"/>
        <v>100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IFERROR(__xludf.DUMMYFUNCTION("IMPORTRANGE(""https://docs.google.com/spreadsheets/d/1XL5vhW3sbDhbH9Cz0tuDiY8C3ctxq1tqvaCgkFb8cCA/edit?usp=sharing"",""กาฬสินธุ์!L298"")"),0.0)</f>
        <v>0</v>
      </c>
      <c r="M403" s="197"/>
      <c r="N403" s="203">
        <f>IFERROR(__xludf.DUMMYFUNCTION("IMPORTRANGE(""https://docs.google.com/spreadsheets/d/1XL5vhW3sbDhbH9Cz0tuDiY8C3ctxq1tqvaCgkFb8cCA/edit?usp=sharing"",""กาฬสินธุ์!M298"")"),0.0)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IFERROR(__xludf.DUMMYFUNCTION("IMPORTRANGE(""https://docs.google.com/spreadsheets/d/1XL5vhW3sbDhbH9Cz0tuDiY8C3ctxq1tqvaCgkFb8cCA/edit?usp=sharing"",""กาฬสินธุ์!L299"")"),131710.0)</f>
        <v>131710</v>
      </c>
      <c r="M404" s="198"/>
      <c r="N404" s="203">
        <f>IFERROR(__xludf.DUMMYFUNCTION("IMPORTRANGE(""https://docs.google.com/spreadsheets/d/1XL5vhW3sbDhbH9Cz0tuDiY8C3ctxq1tqvaCgkFb8cCA/edit?usp=sharing"",""กาฬสินธุ์!M299"")"),74320.0)</f>
        <v>74320</v>
      </c>
      <c r="O404" s="203">
        <f t="shared" si="113"/>
        <v>56.42699871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IFERROR(__xludf.DUMMYFUNCTION("IMPORTRANGE(""https://docs.google.com/spreadsheets/d/1XL5vhW3sbDhbH9Cz0tuDiY8C3ctxq1tqvaCgkFb8cCA/edit?usp=sharing"",""กาฬสินธุ์!L300"")"),0.0)</f>
        <v>0</v>
      </c>
      <c r="M405" s="203"/>
      <c r="N405" s="203">
        <f>IFERROR(__xludf.DUMMYFUNCTION("IMPORTRANGE(""https://docs.google.com/spreadsheets/d/1XL5vhW3sbDhbH9Cz0tuDiY8C3ctxq1tqvaCgkFb8cCA/edit?usp=sharing"",""กาฬสินธุ์!M300"")"),0.0)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IFERROR(__xludf.DUMMYFUNCTION("IMPORTRANGE(""https://docs.google.com/spreadsheets/d/1XL5vhW3sbDhbH9Cz0tuDiY8C3ctxq1tqvaCgkFb8cCA/edit?usp=sharing"",""กาฬสินธุ์!L301"")"),131710.0)</f>
        <v>131710</v>
      </c>
      <c r="M406" s="203"/>
      <c r="N406" s="203">
        <f>IFERROR(__xludf.DUMMYFUNCTION("IMPORTRANGE(""https://docs.google.com/spreadsheets/d/1XL5vhW3sbDhbH9Cz0tuDiY8C3ctxq1tqvaCgkFb8cCA/edit?usp=sharing"",""กาฬสินธุ์!M301"")"),74320.0)</f>
        <v>74320</v>
      </c>
      <c r="O406" s="203">
        <f t="shared" si="113"/>
        <v>56.42699871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IFERROR(__xludf.DUMMYFUNCTION("IMPORTRANGE(""https://docs.google.com/spreadsheets/d/1XL5vhW3sbDhbH9Cz0tuDiY8C3ctxq1tqvaCgkFb8cCA/edit?usp=sharing"",""กาฬสินธุ์!M302"")"),38820.0)</f>
        <v>38820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IFERROR(__xludf.DUMMYFUNCTION("IMPORTRANGE(""https://docs.google.com/spreadsheets/d/1XL5vhW3sbDhbH9Cz0tuDiY8C3ctxq1tqvaCgkFb8cCA/edit?usp=sharing"",""กาฬสินธุ์!M303"")"),25500.0)</f>
        <v>25500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IFERROR(__xludf.DUMMYFUNCTION("IMPORTRANGE(""https://docs.google.com/spreadsheets/d/1XL5vhW3sbDhbH9Cz0tuDiY8C3ctxq1tqvaCgkFb8cCA/edit?usp=sharing"",""กาฬสินธุ์!M304"")"),0.0)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IFERROR(__xludf.DUMMYFUNCTION("IMPORTRANGE(""https://docs.google.com/spreadsheets/d/1XL5vhW3sbDhbH9Cz0tuDiY8C3ctxq1tqvaCgkFb8cCA/edit?usp=sharing"",""กาฬสินธุ์!M305"")"),10000.0)</f>
        <v>10000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IFERROR(__xludf.DUMMYFUNCTION("IMPORTRANGE(""https://docs.google.com/spreadsheets/d/1XL5vhW3sbDhbH9Cz0tuDiY8C3ctxq1tqvaCgkFb8cCA/edit?usp=sharing"",""กาฬสินธุ์!J307"")"),0.0)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IFERROR(__xludf.DUMMYFUNCTION("IMPORTRANGE(""https://docs.google.com/spreadsheets/d/1XL5vhW3sbDhbH9Cz0tuDiY8C3ctxq1tqvaCgkFb8cCA/edit?usp=sharing"",""กาฬสินธุ์!J308"")"),0.0)</f>
        <v>0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IFERROR(__xludf.DUMMYFUNCTION("IMPORTRANGE(""https://docs.google.com/spreadsheets/d/1XL5vhW3sbDhbH9Cz0tuDiY8C3ctxq1tqvaCgkFb8cCA/edit?usp=sharing"",""กาฬสินธุ์!J309"")"),1.0)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IFERROR(__xludf.DUMMYFUNCTION("IMPORTRANGE(""https://docs.google.com/spreadsheets/d/1XL5vhW3sbDhbH9Cz0tuDiY8C3ctxq1tqvaCgkFb8cCA/edit?usp=sharing"",""กาฬสินธุ์!J310"")"),0.0)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IFERROR(__xludf.DUMMYFUNCTION("IMPORTRANGE(""https://docs.google.com/spreadsheets/d/1XL5vhW3sbDhbH9Cz0tuDiY8C3ctxq1tqvaCgkFb8cCA/edit?usp=sharing"",""กาฬสินธุ์!I311"")"),35.0)</f>
        <v>35</v>
      </c>
      <c r="J416" s="235">
        <f>IFERROR(__xludf.DUMMYFUNCTION("IMPORTRANGE(""https://docs.google.com/spreadsheets/d/1XL5vhW3sbDhbH9Cz0tuDiY8C3ctxq1tqvaCgkFb8cCA/edit?usp=sharing"",""กาฬสินธุ์!J311"")"),35.0)</f>
        <v>35</v>
      </c>
      <c r="K416" s="236">
        <f t="shared" ref="K416:K432" si="114">IF(I416&gt;0,J416*100/I416,0)</f>
        <v>100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IFERROR(__xludf.DUMMYFUNCTION("IMPORTRANGE(""https://docs.google.com/spreadsheets/d/1XL5vhW3sbDhbH9Cz0tuDiY8C3ctxq1tqvaCgkFb8cCA/edit?usp=sharing"",""กาฬสินธุ์!I312"")"),10.0)</f>
        <v>10</v>
      </c>
      <c r="J417" s="425">
        <f>IFERROR(__xludf.DUMMYFUNCTION("IMPORTRANGE(""https://docs.google.com/spreadsheets/d/1XL5vhW3sbDhbH9Cz0tuDiY8C3ctxq1tqvaCgkFb8cCA/edit?usp=sharing"",""กาฬสินธุ์!J312"")"),10.0)</f>
        <v>10</v>
      </c>
      <c r="K417" s="236">
        <f t="shared" si="114"/>
        <v>100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IFERROR(__xludf.DUMMYFUNCTION("IMPORTRANGE(""https://docs.google.com/spreadsheets/d/1XL5vhW3sbDhbH9Cz0tuDiY8C3ctxq1tqvaCgkFb8cCA/edit?usp=sharing"",""กาฬสินธุ์!I313"")"),30.0)</f>
        <v>30</v>
      </c>
      <c r="J418" s="426">
        <f>IFERROR(__xludf.DUMMYFUNCTION("IMPORTRANGE(""https://docs.google.com/spreadsheets/d/1XL5vhW3sbDhbH9Cz0tuDiY8C3ctxq1tqvaCgkFb8cCA/edit?usp=sharing"",""กาฬสินธุ์!J313"")"),30.0)</f>
        <v>30</v>
      </c>
      <c r="K418" s="236">
        <f t="shared" si="114"/>
        <v>100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IFERROR(__xludf.DUMMYFUNCTION("IMPORTRANGE(""https://docs.google.com/spreadsheets/d/1XL5vhW3sbDhbH9Cz0tuDiY8C3ctxq1tqvaCgkFb8cCA/edit?usp=sharing"",""กาฬสินธุ์!I314"")"),10.0)</f>
        <v>10</v>
      </c>
      <c r="J419" s="427">
        <f>IFERROR(__xludf.DUMMYFUNCTION("IMPORTRANGE(""https://docs.google.com/spreadsheets/d/1XL5vhW3sbDhbH9Cz0tuDiY8C3ctxq1tqvaCgkFb8cCA/edit?usp=sharing"",""กาฬสินธุ์!J314"")"),10.0)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IFERROR(__xludf.DUMMYFUNCTION("IMPORTRANGE(""https://docs.google.com/spreadsheets/d/1XL5vhW3sbDhbH9Cz0tuDiY8C3ctxq1tqvaCgkFb8cCA/edit?usp=sharing"",""กาฬสินธุ์!I315"")"),10.0)</f>
        <v>10</v>
      </c>
      <c r="J420" s="427">
        <f>IFERROR(__xludf.DUMMYFUNCTION("IMPORTRANGE(""https://docs.google.com/spreadsheets/d/1XL5vhW3sbDhbH9Cz0tuDiY8C3ctxq1tqvaCgkFb8cCA/edit?usp=sharing"",""กาฬสินธุ์!J315"")"),10.0)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IFERROR(__xludf.DUMMYFUNCTION("IMPORTRANGE(""https://docs.google.com/spreadsheets/d/1XL5vhW3sbDhbH9Cz0tuDiY8C3ctxq1tqvaCgkFb8cCA/edit?usp=sharing"",""กาฬสินธุ์!I316"")"),15.0)</f>
        <v>15</v>
      </c>
      <c r="J421" s="425">
        <f>IFERROR(__xludf.DUMMYFUNCTION("IMPORTRANGE(""https://docs.google.com/spreadsheets/d/1XL5vhW3sbDhbH9Cz0tuDiY8C3ctxq1tqvaCgkFb8cCA/edit?usp=sharing"",""กาฬสินธุ์!J316"")"),15.0)</f>
        <v>15</v>
      </c>
      <c r="K421" s="236">
        <f t="shared" si="114"/>
        <v>100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IFERROR(__xludf.DUMMYFUNCTION("IMPORTRANGE(""https://docs.google.com/spreadsheets/d/1XL5vhW3sbDhbH9Cz0tuDiY8C3ctxq1tqvaCgkFb8cCA/edit?usp=sharing"",""กาฬสินธุ์!I317"")"),45.0)</f>
        <v>45</v>
      </c>
      <c r="J422" s="426">
        <f>IFERROR(__xludf.DUMMYFUNCTION("IMPORTRANGE(""https://docs.google.com/spreadsheets/d/1XL5vhW3sbDhbH9Cz0tuDiY8C3ctxq1tqvaCgkFb8cCA/edit?usp=sharing"",""กาฬสินธุ์!J317"")"),45.0)</f>
        <v>45</v>
      </c>
      <c r="K422" s="236">
        <f t="shared" si="114"/>
        <v>100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IFERROR(__xludf.DUMMYFUNCTION("IMPORTRANGE(""https://docs.google.com/spreadsheets/d/1XL5vhW3sbDhbH9Cz0tuDiY8C3ctxq1tqvaCgkFb8cCA/edit?usp=sharing"",""กาฬสินธุ์!I318"")"),15.0)</f>
        <v>15</v>
      </c>
      <c r="J423" s="427">
        <f>IFERROR(__xludf.DUMMYFUNCTION("IMPORTRANGE(""https://docs.google.com/spreadsheets/d/1XL5vhW3sbDhbH9Cz0tuDiY8C3ctxq1tqvaCgkFb8cCA/edit?usp=sharing"",""กาฬสินธุ์!J318"")"),15.0)</f>
        <v>15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IFERROR(__xludf.DUMMYFUNCTION("IMPORTRANGE(""https://docs.google.com/spreadsheets/d/1XL5vhW3sbDhbH9Cz0tuDiY8C3ctxq1tqvaCgkFb8cCA/edit?usp=sharing"",""กาฬสินธุ์!I319"")"),15.0)</f>
        <v>15</v>
      </c>
      <c r="J424" s="427">
        <f>IFERROR(__xludf.DUMMYFUNCTION("IMPORTRANGE(""https://docs.google.com/spreadsheets/d/1XL5vhW3sbDhbH9Cz0tuDiY8C3ctxq1tqvaCgkFb8cCA/edit?usp=sharing"",""กาฬสินธุ์!J319"")"),15.0)</f>
        <v>15</v>
      </c>
      <c r="K424" s="196">
        <f t="shared" si="114"/>
        <v>100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IFERROR(__xludf.DUMMYFUNCTION("IMPORTRANGE(""https://docs.google.com/spreadsheets/d/1XL5vhW3sbDhbH9Cz0tuDiY8C3ctxq1tqvaCgkFb8cCA/edit?usp=sharing"",""กาฬสินธุ์!I320"")"),15.0)</f>
        <v>15</v>
      </c>
      <c r="J425" s="427">
        <f>IFERROR(__xludf.DUMMYFUNCTION("IMPORTRANGE(""https://docs.google.com/spreadsheets/d/1XL5vhW3sbDhbH9Cz0tuDiY8C3ctxq1tqvaCgkFb8cCA/edit?usp=sharing"",""กาฬสินธุ์!J320"")"),15.0)</f>
        <v>15</v>
      </c>
      <c r="K425" s="196">
        <f t="shared" si="114"/>
        <v>100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IFERROR(__xludf.DUMMYFUNCTION("IMPORTRANGE(""https://docs.google.com/spreadsheets/d/1XL5vhW3sbDhbH9Cz0tuDiY8C3ctxq1tqvaCgkFb8cCA/edit?usp=sharing"",""กาฬสินธุ์!I321"")"),10.0)</f>
        <v>10</v>
      </c>
      <c r="J426" s="425">
        <f>IFERROR(__xludf.DUMMYFUNCTION("IMPORTRANGE(""https://docs.google.com/spreadsheets/d/1XL5vhW3sbDhbH9Cz0tuDiY8C3ctxq1tqvaCgkFb8cCA/edit?usp=sharing"",""กาฬสินธุ์!J321"")"),10.0)</f>
        <v>10</v>
      </c>
      <c r="K426" s="236">
        <f t="shared" si="114"/>
        <v>100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IFERROR(__xludf.DUMMYFUNCTION("IMPORTRANGE(""https://docs.google.com/spreadsheets/d/1XL5vhW3sbDhbH9Cz0tuDiY8C3ctxq1tqvaCgkFb8cCA/edit?usp=sharing"",""กาฬสินธุ์!I322"")"),30.0)</f>
        <v>30</v>
      </c>
      <c r="J427" s="426">
        <f>IFERROR(__xludf.DUMMYFUNCTION("IMPORTRANGE(""https://docs.google.com/spreadsheets/d/1XL5vhW3sbDhbH9Cz0tuDiY8C3ctxq1tqvaCgkFb8cCA/edit?usp=sharing"",""กาฬสินธุ์!J322"")"),30.0)</f>
        <v>30</v>
      </c>
      <c r="K427" s="236">
        <f t="shared" si="114"/>
        <v>100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IFERROR(__xludf.DUMMYFUNCTION("IMPORTRANGE(""https://docs.google.com/spreadsheets/d/1XL5vhW3sbDhbH9Cz0tuDiY8C3ctxq1tqvaCgkFb8cCA/edit?usp=sharing"",""กาฬสินธุ์!I323"")"),10.0)</f>
        <v>10</v>
      </c>
      <c r="J428" s="427">
        <f>IFERROR(__xludf.DUMMYFUNCTION("IMPORTRANGE(""https://docs.google.com/spreadsheets/d/1XL5vhW3sbDhbH9Cz0tuDiY8C3ctxq1tqvaCgkFb8cCA/edit?usp=sharing"",""กาฬสินธุ์!J323"")"),10.0)</f>
        <v>10</v>
      </c>
      <c r="K428" s="196">
        <f t="shared" si="114"/>
        <v>100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IFERROR(__xludf.DUMMYFUNCTION("IMPORTRANGE(""https://docs.google.com/spreadsheets/d/1XL5vhW3sbDhbH9Cz0tuDiY8C3ctxq1tqvaCgkFb8cCA/edit?usp=sharing"",""กาฬสินธุ์!I324"")"),10.0)</f>
        <v>10</v>
      </c>
      <c r="J429" s="427">
        <f>IFERROR(__xludf.DUMMYFUNCTION("IMPORTRANGE(""https://docs.google.com/spreadsheets/d/1XL5vhW3sbDhbH9Cz0tuDiY8C3ctxq1tqvaCgkFb8cCA/edit?usp=sharing"",""กาฬสินธุ์!J324"")"),10.0)</f>
        <v>10</v>
      </c>
      <c r="K429" s="196">
        <f t="shared" si="114"/>
        <v>100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IFERROR(__xludf.DUMMYFUNCTION("IMPORTRANGE(""https://docs.google.com/spreadsheets/d/1XL5vhW3sbDhbH9Cz0tuDiY8C3ctxq1tqvaCgkFb8cCA/edit?usp=sharing"",""กาฬสินธุ์!I325"")"),25.0)</f>
        <v>25</v>
      </c>
      <c r="J430" s="425">
        <f>IFERROR(__xludf.DUMMYFUNCTION("IMPORTRANGE(""https://docs.google.com/spreadsheets/d/1XL5vhW3sbDhbH9Cz0tuDiY8C3ctxq1tqvaCgkFb8cCA/edit?usp=sharing"",""กาฬสินธุ์!J325"")"),25.0)</f>
        <v>25</v>
      </c>
      <c r="K430" s="236">
        <f t="shared" si="114"/>
        <v>100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IFERROR(__xludf.DUMMYFUNCTION("IMPORTRANGE(""https://docs.google.com/spreadsheets/d/1XL5vhW3sbDhbH9Cz0tuDiY8C3ctxq1tqvaCgkFb8cCA/edit?usp=sharing"",""กาฬสินธุ์!I326"")"),10.0)</f>
        <v>10</v>
      </c>
      <c r="J431" s="427">
        <f>IFERROR(__xludf.DUMMYFUNCTION("IMPORTRANGE(""https://docs.google.com/spreadsheets/d/1XL5vhW3sbDhbH9Cz0tuDiY8C3ctxq1tqvaCgkFb8cCA/edit?usp=sharing"",""กาฬสินธุ์!J326"")"),10.0)</f>
        <v>10</v>
      </c>
      <c r="K431" s="196">
        <f t="shared" si="114"/>
        <v>100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IFERROR(__xludf.DUMMYFUNCTION("IMPORTRANGE(""https://docs.google.com/spreadsheets/d/1XL5vhW3sbDhbH9Cz0tuDiY8C3ctxq1tqvaCgkFb8cCA/edit?usp=sharing"",""กาฬสินธุ์!I327"")"),15.0)</f>
        <v>15</v>
      </c>
      <c r="J432" s="427">
        <f>IFERROR(__xludf.DUMMYFUNCTION("IMPORTRANGE(""https://docs.google.com/spreadsheets/d/1XL5vhW3sbDhbH9Cz0tuDiY8C3ctxq1tqvaCgkFb8cCA/edit?usp=sharing"",""กาฬสินธุ์!J327"")"),15.0)</f>
        <v>15</v>
      </c>
      <c r="K432" s="196">
        <f t="shared" si="114"/>
        <v>100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IFERROR(__xludf.DUMMYFUNCTION("IMPORTRANGE(""https://docs.google.com/spreadsheets/d/1XL5vhW3sbDhbH9Cz0tuDiY8C3ctxq1tqvaCgkFb8cCA/edit?usp=sharing"",""กาฬสินธุ์!J328"")"),1.0)</f>
        <v>1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IFERROR(__xludf.DUMMYFUNCTION("IMPORTRANGE(""https://docs.google.com/spreadsheets/d/1XL5vhW3sbDhbH9Cz0tuDiY8C3ctxq1tqvaCgkFb8cCA/edit?usp=sharing"",""กาฬสินธุ์!J329"")"),1.0)</f>
        <v>1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IFERROR(__xludf.DUMMYFUNCTION("IMPORTRANGE(""https://docs.google.com/spreadsheets/d/1XL5vhW3sbDhbH9Cz0tuDiY8C3ctxq1tqvaCgkFb8cCA/edit?usp=sharing"",""กาฬสินธุ์!I330"")"),45.0)</f>
        <v>45</v>
      </c>
      <c r="J435" s="443">
        <f>IFERROR(__xludf.DUMMYFUNCTION("IMPORTRANGE(""https://docs.google.com/spreadsheets/d/1XL5vhW3sbDhbH9Cz0tuDiY8C3ctxq1tqvaCgkFb8cCA/edit?usp=sharing"",""กาฬสินธุ์!J330"")"),25.0)</f>
        <v>25</v>
      </c>
      <c r="K435" s="444">
        <f>IF(I435&gt;0,J435*100/I435,0)</f>
        <v>55.55555556</v>
      </c>
      <c r="L435" s="445">
        <f>IFERROR(__xludf.DUMMYFUNCTION("IMPORTRANGE(""https://docs.google.com/spreadsheets/d/1XL5vhW3sbDhbH9Cz0tuDiY8C3ctxq1tqvaCgkFb8cCA/edit?usp=sharing"",""กาฬสินธุ์!L330"")"),145000.0)</f>
        <v>145000</v>
      </c>
      <c r="M435" s="445"/>
      <c r="N435" s="445">
        <f>IFERROR(__xludf.DUMMYFUNCTION("IMPORTRANGE(""https://docs.google.com/spreadsheets/d/1XL5vhW3sbDhbH9Cz0tuDiY8C3ctxq1tqvaCgkFb8cCA/edit?usp=sharing"",""กาฬสินธุ์!M330"")"),68490.0)</f>
        <v>68490</v>
      </c>
      <c r="O435" s="445">
        <f t="shared" ref="O435:O439" si="115">+IF(L435&gt;0,N435*100/L435,0)</f>
        <v>47.23448276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IFERROR(__xludf.DUMMYFUNCTION("IMPORTRANGE(""https://docs.google.com/spreadsheets/d/1XL5vhW3sbDhbH9Cz0tuDiY8C3ctxq1tqvaCgkFb8cCA/edit?usp=sharing"",""กาฬสินธุ์!L331"")"),0.0)</f>
        <v>0</v>
      </c>
      <c r="M436" s="197"/>
      <c r="N436" s="203">
        <f>IFERROR(__xludf.DUMMYFUNCTION("IMPORTRANGE(""https://docs.google.com/spreadsheets/d/1XL5vhW3sbDhbH9Cz0tuDiY8C3ctxq1tqvaCgkFb8cCA/edit?usp=sharing"",""กาฬสินธุ์!M331"")"),0.0)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IFERROR(__xludf.DUMMYFUNCTION("IMPORTRANGE(""https://docs.google.com/spreadsheets/d/1XL5vhW3sbDhbH9Cz0tuDiY8C3ctxq1tqvaCgkFb8cCA/edit?usp=sharing"",""กาฬสินธุ์!L332"")"),145000.0)</f>
        <v>145000</v>
      </c>
      <c r="M437" s="198"/>
      <c r="N437" s="203">
        <f>IFERROR(__xludf.DUMMYFUNCTION("IMPORTRANGE(""https://docs.google.com/spreadsheets/d/1XL5vhW3sbDhbH9Cz0tuDiY8C3ctxq1tqvaCgkFb8cCA/edit?usp=sharing"",""กาฬสินธุ์!M332"")"),68490.0)</f>
        <v>68490</v>
      </c>
      <c r="O437" s="203">
        <f t="shared" si="115"/>
        <v>47.23448276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IFERROR(__xludf.DUMMYFUNCTION("IMPORTRANGE(""https://docs.google.com/spreadsheets/d/1XL5vhW3sbDhbH9Cz0tuDiY8C3ctxq1tqvaCgkFb8cCA/edit?usp=sharing"",""กาฬสินธุ์!L333"")"),0.0)</f>
        <v>0</v>
      </c>
      <c r="M438" s="203"/>
      <c r="N438" s="203">
        <f>IFERROR(__xludf.DUMMYFUNCTION("IMPORTRANGE(""https://docs.google.com/spreadsheets/d/1XL5vhW3sbDhbH9Cz0tuDiY8C3ctxq1tqvaCgkFb8cCA/edit?usp=sharing"",""กาฬสินธุ์!M333"")"),0.0)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IFERROR(__xludf.DUMMYFUNCTION("IMPORTRANGE(""https://docs.google.com/spreadsheets/d/1XL5vhW3sbDhbH9Cz0tuDiY8C3ctxq1tqvaCgkFb8cCA/edit?usp=sharing"",""กาฬสินธุ์!L334"")"),145000.0)</f>
        <v>145000</v>
      </c>
      <c r="M439" s="203"/>
      <c r="N439" s="203">
        <f>IFERROR(__xludf.DUMMYFUNCTION("IMPORTRANGE(""https://docs.google.com/spreadsheets/d/1XL5vhW3sbDhbH9Cz0tuDiY8C3ctxq1tqvaCgkFb8cCA/edit?usp=sharing"",""กาฬสินธุ์!M334"")"),68490.0)</f>
        <v>68490</v>
      </c>
      <c r="O439" s="203">
        <f t="shared" si="115"/>
        <v>47.23448276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IFERROR(__xludf.DUMMYFUNCTION("IMPORTRANGE(""https://docs.google.com/spreadsheets/d/1XL5vhW3sbDhbH9Cz0tuDiY8C3ctxq1tqvaCgkFb8cCA/edit?usp=sharing"",""กาฬสินธุ์!M335"")"),39460.0)</f>
        <v>39460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IFERROR(__xludf.DUMMYFUNCTION("IMPORTRANGE(""https://docs.google.com/spreadsheets/d/1XL5vhW3sbDhbH9Cz0tuDiY8C3ctxq1tqvaCgkFb8cCA/edit?usp=sharing"",""กาฬสินธุ์!M336"")"),0.0)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IFERROR(__xludf.DUMMYFUNCTION("IMPORTRANGE(""https://docs.google.com/spreadsheets/d/1XL5vhW3sbDhbH9Cz0tuDiY8C3ctxq1tqvaCgkFb8cCA/edit?usp=sharing"",""กาฬสินธุ์!M337"")"),0.0)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IFERROR(__xludf.DUMMYFUNCTION("IMPORTRANGE(""https://docs.google.com/spreadsheets/d/1XL5vhW3sbDhbH9Cz0tuDiY8C3ctxq1tqvaCgkFb8cCA/edit?usp=sharing"",""กาฬสินธุ์!M338"")"),29030.0)</f>
        <v>29030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IFERROR(__xludf.DUMMYFUNCTION("IMPORTRANGE(""https://docs.google.com/spreadsheets/d/1XL5vhW3sbDhbH9Cz0tuDiY8C3ctxq1tqvaCgkFb8cCA/edit?usp=sharing"",""กาฬสินธุ์!J340"")"),0.0)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IFERROR(__xludf.DUMMYFUNCTION("IMPORTRANGE(""https://docs.google.com/spreadsheets/d/1XL5vhW3sbDhbH9Cz0tuDiY8C3ctxq1tqvaCgkFb8cCA/edit?usp=sharing"",""กาฬสินธุ์!J341"")"),1.0)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IFERROR(__xludf.DUMMYFUNCTION("IMPORTRANGE(""https://docs.google.com/spreadsheets/d/1XL5vhW3sbDhbH9Cz0tuDiY8C3ctxq1tqvaCgkFb8cCA/edit?usp=sharing"",""กาฬสินธุ์!J342"")"),1.0)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IFERROR(__xludf.DUMMYFUNCTION("IMPORTRANGE(""https://docs.google.com/spreadsheets/d/1XL5vhW3sbDhbH9Cz0tuDiY8C3ctxq1tqvaCgkFb8cCA/edit?usp=sharing"",""กาฬสินธุ์!J343"")"),0.0)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IFERROR(__xludf.DUMMYFUNCTION("IMPORTRANGE(""https://docs.google.com/spreadsheets/d/1XL5vhW3sbDhbH9Cz0tuDiY8C3ctxq1tqvaCgkFb8cCA/edit?usp=sharing"",""กาฬสินธุ์!I344"")"),45.0)</f>
        <v>45</v>
      </c>
      <c r="J449" s="235">
        <f>IFERROR(__xludf.DUMMYFUNCTION("IMPORTRANGE(""https://docs.google.com/spreadsheets/d/1XL5vhW3sbDhbH9Cz0tuDiY8C3ctxq1tqvaCgkFb8cCA/edit?usp=sharing"",""กาฬสินธุ์!J344"")"),25.0)</f>
        <v>25</v>
      </c>
      <c r="K449" s="196">
        <f t="shared" ref="K449:K452" si="116">IF(I449&gt;0,J449*100/I449,0)</f>
        <v>55.55555556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IFERROR(__xludf.DUMMYFUNCTION("IMPORTRANGE(""https://docs.google.com/spreadsheets/d/1XL5vhW3sbDhbH9Cz0tuDiY8C3ctxq1tqvaCgkFb8cCA/edit?usp=sharing"",""กาฬสินธุ์!I345"")"),20.0)</f>
        <v>20</v>
      </c>
      <c r="J450" s="223">
        <f>IFERROR(__xludf.DUMMYFUNCTION("IMPORTRANGE(""https://docs.google.com/spreadsheets/d/1XL5vhW3sbDhbH9Cz0tuDiY8C3ctxq1tqvaCgkFb8cCA/edit?usp=sharing"",""กาฬสินธุ์!J345"")"),0.0)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IFERROR(__xludf.DUMMYFUNCTION("IMPORTRANGE(""https://docs.google.com/spreadsheets/d/1XL5vhW3sbDhbH9Cz0tuDiY8C3ctxq1tqvaCgkFb8cCA/edit?usp=sharing"",""กาฬสินธุ์!I346"")"),25.0)</f>
        <v>25</v>
      </c>
      <c r="J451" s="222">
        <f>IFERROR(__xludf.DUMMYFUNCTION("IMPORTRANGE(""https://docs.google.com/spreadsheets/d/1XL5vhW3sbDhbH9Cz0tuDiY8C3ctxq1tqvaCgkFb8cCA/edit?usp=sharing"",""กาฬสินธุ์!J346"")"),25.0)</f>
        <v>25</v>
      </c>
      <c r="K451" s="196">
        <f t="shared" si="116"/>
        <v>100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IFERROR(__xludf.DUMMYFUNCTION("IMPORTRANGE(""https://docs.google.com/spreadsheets/d/1XL5vhW3sbDhbH9Cz0tuDiY8C3ctxq1tqvaCgkFb8cCA/edit?usp=sharing"",""กาฬสินธุ์!I347"")"),0.0)</f>
        <v>0</v>
      </c>
      <c r="J452" s="222">
        <f>IFERROR(__xludf.DUMMYFUNCTION("IMPORTRANGE(""https://docs.google.com/spreadsheets/d/1XL5vhW3sbDhbH9Cz0tuDiY8C3ctxq1tqvaCgkFb8cCA/edit?usp=sharing"",""กาฬสินธุ์!J347"")"),0.0)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IFERROR(__xludf.DUMMYFUNCTION("IMPORTRANGE(""https://docs.google.com/spreadsheets/d/1XL5vhW3sbDhbH9Cz0tuDiY8C3ctxq1tqvaCgkFb8cCA/edit?usp=sharing"",""กาฬสินธุ์!J348"")"),0.0)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IFERROR(__xludf.DUMMYFUNCTION("IMPORTRANGE(""https://docs.google.com/spreadsheets/d/1XL5vhW3sbDhbH9Cz0tuDiY8C3ctxq1tqvaCgkFb8cCA/edit?usp=sharing"",""กาฬสินธุ์!J349"")"),0.0)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IFERROR(__xludf.DUMMYFUNCTION("IMPORTRANGE(""https://docs.google.com/spreadsheets/d/1XL5vhW3sbDhbH9Cz0tuDiY8C3ctxq1tqvaCgkFb8cCA/edit?usp=sharing"",""กาฬสินธุ์!I350"")"),25653.0)</f>
        <v>25653</v>
      </c>
      <c r="J455" s="404">
        <f>IFERROR(__xludf.DUMMYFUNCTION("IMPORTRANGE(""https://docs.google.com/spreadsheets/d/1XL5vhW3sbDhbH9Cz0tuDiY8C3ctxq1tqvaCgkFb8cCA/edit?usp=sharing"",""กาฬสินธุ์!J350"")"),0.0)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IFERROR(__xludf.DUMMYFUNCTION("IMPORTRANGE(""https://docs.google.com/spreadsheets/d/1XL5vhW3sbDhbH9Cz0tuDiY8C3ctxq1tqvaCgkFb8cCA/edit?usp=sharing"",""กาฬสินธุ์!L350"")"),211610.0)</f>
        <v>211610</v>
      </c>
      <c r="M455" s="406"/>
      <c r="N455" s="406">
        <f>IFERROR(__xludf.DUMMYFUNCTION("IMPORTRANGE(""https://docs.google.com/spreadsheets/d/1XL5vhW3sbDhbH9Cz0tuDiY8C3ctxq1tqvaCgkFb8cCA/edit?usp=sharing"",""กาฬสินธุ์!M350"")"),32335.0)</f>
        <v>32335</v>
      </c>
      <c r="O455" s="406">
        <f t="shared" ref="O455:O459" si="117">+IF(L455&gt;0,N455*100/L455,0)</f>
        <v>15.28046879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IFERROR(__xludf.DUMMYFUNCTION("IMPORTRANGE(""https://docs.google.com/spreadsheets/d/1XL5vhW3sbDhbH9Cz0tuDiY8C3ctxq1tqvaCgkFb8cCA/edit?usp=sharing"",""กาฬสินธุ์!L351"")"),0.0)</f>
        <v>0</v>
      </c>
      <c r="M456" s="197"/>
      <c r="N456" s="203">
        <f>IFERROR(__xludf.DUMMYFUNCTION("IMPORTRANGE(""https://docs.google.com/spreadsheets/d/1XL5vhW3sbDhbH9Cz0tuDiY8C3ctxq1tqvaCgkFb8cCA/edit?usp=sharing"",""กาฬสินธุ์!M351"")"),0.0)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IFERROR(__xludf.DUMMYFUNCTION("IMPORTRANGE(""https://docs.google.com/spreadsheets/d/1XL5vhW3sbDhbH9Cz0tuDiY8C3ctxq1tqvaCgkFb8cCA/edit?usp=sharing"",""กาฬสินธุ์!L352"")"),211610.0)</f>
        <v>211610</v>
      </c>
      <c r="M457" s="198"/>
      <c r="N457" s="203">
        <f>IFERROR(__xludf.DUMMYFUNCTION("IMPORTRANGE(""https://docs.google.com/spreadsheets/d/1XL5vhW3sbDhbH9Cz0tuDiY8C3ctxq1tqvaCgkFb8cCA/edit?usp=sharing"",""กาฬสินธุ์!M352"")"),32335.0)</f>
        <v>32335</v>
      </c>
      <c r="O457" s="203">
        <f t="shared" si="117"/>
        <v>15.28046879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IFERROR(__xludf.DUMMYFUNCTION("IMPORTRANGE(""https://docs.google.com/spreadsheets/d/1XL5vhW3sbDhbH9Cz0tuDiY8C3ctxq1tqvaCgkFb8cCA/edit?usp=sharing"",""กาฬสินธุ์!L353"")"),0.0)</f>
        <v>0</v>
      </c>
      <c r="M458" s="203"/>
      <c r="N458" s="203">
        <f>IFERROR(__xludf.DUMMYFUNCTION("IMPORTRANGE(""https://docs.google.com/spreadsheets/d/1XL5vhW3sbDhbH9Cz0tuDiY8C3ctxq1tqvaCgkFb8cCA/edit?usp=sharing"",""กาฬสินธุ์!M353"")"),0.0)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IFERROR(__xludf.DUMMYFUNCTION("IMPORTRANGE(""https://docs.google.com/spreadsheets/d/1XL5vhW3sbDhbH9Cz0tuDiY8C3ctxq1tqvaCgkFb8cCA/edit?usp=sharing"",""กาฬสินธุ์!L354"")"),211610.0)</f>
        <v>211610</v>
      </c>
      <c r="M459" s="203"/>
      <c r="N459" s="203">
        <f>IFERROR(__xludf.DUMMYFUNCTION("IMPORTRANGE(""https://docs.google.com/spreadsheets/d/1XL5vhW3sbDhbH9Cz0tuDiY8C3ctxq1tqvaCgkFb8cCA/edit?usp=sharing"",""กาฬสินธุ์!M354"")"),32335.0)</f>
        <v>32335</v>
      </c>
      <c r="O459" s="203">
        <f t="shared" si="117"/>
        <v>15.28046879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IFERROR(__xludf.DUMMYFUNCTION("IMPORTRANGE(""https://docs.google.com/spreadsheets/d/1XL5vhW3sbDhbH9Cz0tuDiY8C3ctxq1tqvaCgkFb8cCA/edit?usp=sharing"",""กาฬสินธุ์!M355"")"),0.0)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IFERROR(__xludf.DUMMYFUNCTION("IMPORTRANGE(""https://docs.google.com/spreadsheets/d/1XL5vhW3sbDhbH9Cz0tuDiY8C3ctxq1tqvaCgkFb8cCA/edit?usp=sharing"",""กาฬสินธุ์!M356"")"),0.0)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IFERROR(__xludf.DUMMYFUNCTION("IMPORTRANGE(""https://docs.google.com/spreadsheets/d/1XL5vhW3sbDhbH9Cz0tuDiY8C3ctxq1tqvaCgkFb8cCA/edit?usp=sharing"",""กาฬสินธุ์!M357"")"),0.0)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IFERROR(__xludf.DUMMYFUNCTION("IMPORTRANGE(""https://docs.google.com/spreadsheets/d/1XL5vhW3sbDhbH9Cz0tuDiY8C3ctxq1tqvaCgkFb8cCA/edit?usp=sharing"",""กาฬสินธุ์!M358"")"),32335.0)</f>
        <v>32335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IFERROR(__xludf.DUMMYFUNCTION("IMPORTRANGE(""https://docs.google.com/spreadsheets/d/1XL5vhW3sbDhbH9Cz0tuDiY8C3ctxq1tqvaCgkFb8cCA/edit?usp=sharing"",""กาฬสินธุ์!I359"")"),25653.0)</f>
        <v>25653</v>
      </c>
      <c r="J464" s="301">
        <f>IFERROR(__xludf.DUMMYFUNCTION("IMPORTRANGE(""https://docs.google.com/spreadsheets/d/1XL5vhW3sbDhbH9Cz0tuDiY8C3ctxq1tqvaCgkFb8cCA/edit?usp=sharing"",""กาฬสินธุ์!J359"")"),0.0)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IFERROR(__xludf.DUMMYFUNCTION("IMPORTRANGE(""https://docs.google.com/spreadsheets/d/1XL5vhW3sbDhbH9Cz0tuDiY8C3ctxq1tqvaCgkFb8cCA/edit?usp=sharing"",""กาฬสินธุ์!I360"")"),25653.0)</f>
        <v>25653</v>
      </c>
      <c r="J465" s="453">
        <f>IFERROR(__xludf.DUMMYFUNCTION("IMPORTRANGE(""https://docs.google.com/spreadsheets/d/1XL5vhW3sbDhbH9Cz0tuDiY8C3ctxq1tqvaCgkFb8cCA/edit?usp=sharing"",""กาฬสินธุ์!J360"")"),0.0)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IFERROR(__xludf.DUMMYFUNCTION("IMPORTRANGE(""https://docs.google.com/spreadsheets/d/1XL5vhW3sbDhbH9Cz0tuDiY8C3ctxq1tqvaCgkFb8cCA/edit?usp=sharing"",""กาฬสินธุ์!I361"")"),3211.0)</f>
        <v>3211</v>
      </c>
      <c r="J466" s="453">
        <f>IFERROR(__xludf.DUMMYFUNCTION("IMPORTRANGE(""https://docs.google.com/spreadsheets/d/1XL5vhW3sbDhbH9Cz0tuDiY8C3ctxq1tqvaCgkFb8cCA/edit?usp=sharing"",""กาฬสินธุ์!J361"")"),0.0)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IFERROR(__xludf.DUMMYFUNCTION("IMPORTRANGE(""https://docs.google.com/spreadsheets/d/1XL5vhW3sbDhbH9Cz0tuDiY8C3ctxq1tqvaCgkFb8cCA/edit?usp=sharing"",""กาฬสินธุ์!I362"")"),0.0)</f>
        <v>0</v>
      </c>
      <c r="J467" s="223">
        <f>IFERROR(__xludf.DUMMYFUNCTION("IMPORTRANGE(""https://docs.google.com/spreadsheets/d/1XL5vhW3sbDhbH9Cz0tuDiY8C3ctxq1tqvaCgkFb8cCA/edit?usp=sharing"",""กาฬสินธุ์!J362"")"),0.0)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IFERROR(__xludf.DUMMYFUNCTION("IMPORTRANGE(""https://docs.google.com/spreadsheets/d/1XL5vhW3sbDhbH9Cz0tuDiY8C3ctxq1tqvaCgkFb8cCA/edit?usp=sharing"",""กาฬสินธุ์!I363"")"),0.0)</f>
        <v>0</v>
      </c>
      <c r="J468" s="223">
        <f>IFERROR(__xludf.DUMMYFUNCTION("IMPORTRANGE(""https://docs.google.com/spreadsheets/d/1XL5vhW3sbDhbH9Cz0tuDiY8C3ctxq1tqvaCgkFb8cCA/edit?usp=sharing"",""กาฬสินธุ์!J363"")"),0.0)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IFERROR(__xludf.DUMMYFUNCTION("IMPORTRANGE(""https://docs.google.com/spreadsheets/d/1XL5vhW3sbDhbH9Cz0tuDiY8C3ctxq1tqvaCgkFb8cCA/edit?usp=sharing"",""กาฬสินธุ์!I364"")"),0.0)</f>
        <v>0</v>
      </c>
      <c r="J469" s="223">
        <f>IFERROR(__xludf.DUMMYFUNCTION("IMPORTRANGE(""https://docs.google.com/spreadsheets/d/1XL5vhW3sbDhbH9Cz0tuDiY8C3ctxq1tqvaCgkFb8cCA/edit?usp=sharing"",""กาฬสินธุ์!J364"")"),0.0)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IFERROR(__xludf.DUMMYFUNCTION("IMPORTRANGE(""https://docs.google.com/spreadsheets/d/1XL5vhW3sbDhbH9Cz0tuDiY8C3ctxq1tqvaCgkFb8cCA/edit?usp=sharing"",""กาฬสินธุ์!I365"")"),0.0)</f>
        <v>0</v>
      </c>
      <c r="J470" s="223">
        <f>IFERROR(__xludf.DUMMYFUNCTION("IMPORTRANGE(""https://docs.google.com/spreadsheets/d/1XL5vhW3sbDhbH9Cz0tuDiY8C3ctxq1tqvaCgkFb8cCA/edit?usp=sharing"",""กาฬสินธุ์!J365"")"),0.0)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IFERROR(__xludf.DUMMYFUNCTION("IMPORTRANGE(""https://docs.google.com/spreadsheets/d/1XL5vhW3sbDhbH9Cz0tuDiY8C3ctxq1tqvaCgkFb8cCA/edit?usp=sharing"",""กาฬสินธุ์!I366"")"),0.0)</f>
        <v>0</v>
      </c>
      <c r="J471" s="223">
        <f>IFERROR(__xludf.DUMMYFUNCTION("IMPORTRANGE(""https://docs.google.com/spreadsheets/d/1XL5vhW3sbDhbH9Cz0tuDiY8C3ctxq1tqvaCgkFb8cCA/edit?usp=sharing"",""กาฬสินธุ์!J366"")"),0.0)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IFERROR(__xludf.DUMMYFUNCTION("IMPORTRANGE(""https://docs.google.com/spreadsheets/d/1XL5vhW3sbDhbH9Cz0tuDiY8C3ctxq1tqvaCgkFb8cCA/edit?usp=sharing"",""กาฬสินธุ์!I367"")"),0.0)</f>
        <v>0</v>
      </c>
      <c r="J472" s="223">
        <f>IFERROR(__xludf.DUMMYFUNCTION("IMPORTRANGE(""https://docs.google.com/spreadsheets/d/1XL5vhW3sbDhbH9Cz0tuDiY8C3ctxq1tqvaCgkFb8cCA/edit?usp=sharing"",""กาฬสินธุ์!J367"")"),0.0)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IFERROR(__xludf.DUMMYFUNCTION("IMPORTRANGE(""https://docs.google.com/spreadsheets/d/1XL5vhW3sbDhbH9Cz0tuDiY8C3ctxq1tqvaCgkFb8cCA/edit?usp=sharing"",""กาฬสินธุ์!I368"")"),25653.0)</f>
        <v>25653</v>
      </c>
      <c r="J473" s="453">
        <f>IFERROR(__xludf.DUMMYFUNCTION("IMPORTRANGE(""https://docs.google.com/spreadsheets/d/1XL5vhW3sbDhbH9Cz0tuDiY8C3ctxq1tqvaCgkFb8cCA/edit?usp=sharing"",""กาฬสินธุ์!J368"")"),0.0)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IFERROR(__xludf.DUMMYFUNCTION("IMPORTRANGE(""https://docs.google.com/spreadsheets/d/1XL5vhW3sbDhbH9Cz0tuDiY8C3ctxq1tqvaCgkFb8cCA/edit?usp=sharing"",""กาฬสินธุ์!I369"")"),3211.0)</f>
        <v>3211</v>
      </c>
      <c r="J474" s="453">
        <f>IFERROR(__xludf.DUMMYFUNCTION("IMPORTRANGE(""https://docs.google.com/spreadsheets/d/1XL5vhW3sbDhbH9Cz0tuDiY8C3ctxq1tqvaCgkFb8cCA/edit?usp=sharing"",""กาฬสินธุ์!J369"")"),0.0)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IFERROR(__xludf.DUMMYFUNCTION("IMPORTRANGE(""https://docs.google.com/spreadsheets/d/1XL5vhW3sbDhbH9Cz0tuDiY8C3ctxq1tqvaCgkFb8cCA/edit?usp=sharing"",""กาฬสินธุ์!I370"")"),0.0)</f>
        <v>0</v>
      </c>
      <c r="J475" s="223">
        <f>IFERROR(__xludf.DUMMYFUNCTION("IMPORTRANGE(""https://docs.google.com/spreadsheets/d/1XL5vhW3sbDhbH9Cz0tuDiY8C3ctxq1tqvaCgkFb8cCA/edit?usp=sharing"",""กาฬสินธุ์!J370"")"),0.0)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IFERROR(__xludf.DUMMYFUNCTION("IMPORTRANGE(""https://docs.google.com/spreadsheets/d/1XL5vhW3sbDhbH9Cz0tuDiY8C3ctxq1tqvaCgkFb8cCA/edit?usp=sharing"",""กาฬสินธุ์!I371"")"),0.0)</f>
        <v>0</v>
      </c>
      <c r="J476" s="223">
        <f>IFERROR(__xludf.DUMMYFUNCTION("IMPORTRANGE(""https://docs.google.com/spreadsheets/d/1XL5vhW3sbDhbH9Cz0tuDiY8C3ctxq1tqvaCgkFb8cCA/edit?usp=sharing"",""กาฬสินธุ์!J371"")"),0.0)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IFERROR(__xludf.DUMMYFUNCTION("IMPORTRANGE(""https://docs.google.com/spreadsheets/d/1XL5vhW3sbDhbH9Cz0tuDiY8C3ctxq1tqvaCgkFb8cCA/edit?usp=sharing"",""กาฬสินธุ์!I372"")"),0.0)</f>
        <v>0</v>
      </c>
      <c r="J477" s="223">
        <f>IFERROR(__xludf.DUMMYFUNCTION("IMPORTRANGE(""https://docs.google.com/spreadsheets/d/1XL5vhW3sbDhbH9Cz0tuDiY8C3ctxq1tqvaCgkFb8cCA/edit?usp=sharing"",""กาฬสินธุ์!J372"")"),0.0)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IFERROR(__xludf.DUMMYFUNCTION("IMPORTRANGE(""https://docs.google.com/spreadsheets/d/1XL5vhW3sbDhbH9Cz0tuDiY8C3ctxq1tqvaCgkFb8cCA/edit?usp=sharing"",""กาฬสินธุ์!I373"")"),0.0)</f>
        <v>0</v>
      </c>
      <c r="J478" s="223">
        <f>IFERROR(__xludf.DUMMYFUNCTION("IMPORTRANGE(""https://docs.google.com/spreadsheets/d/1XL5vhW3sbDhbH9Cz0tuDiY8C3ctxq1tqvaCgkFb8cCA/edit?usp=sharing"",""กาฬสินธุ์!J373"")"),0.0)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IFERROR(__xludf.DUMMYFUNCTION("IMPORTRANGE(""https://docs.google.com/spreadsheets/d/1XL5vhW3sbDhbH9Cz0tuDiY8C3ctxq1tqvaCgkFb8cCA/edit?usp=sharing"",""กาฬสินธุ์!I374"")"),0.0)</f>
        <v>0</v>
      </c>
      <c r="J479" s="223">
        <f>IFERROR(__xludf.DUMMYFUNCTION("IMPORTRANGE(""https://docs.google.com/spreadsheets/d/1XL5vhW3sbDhbH9Cz0tuDiY8C3ctxq1tqvaCgkFb8cCA/edit?usp=sharing"",""กาฬสินธุ์!J374"")"),0.0)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IFERROR(__xludf.DUMMYFUNCTION("IMPORTRANGE(""https://docs.google.com/spreadsheets/d/1XL5vhW3sbDhbH9Cz0tuDiY8C3ctxq1tqvaCgkFb8cCA/edit?usp=sharing"",""กาฬสินธุ์!I375"")"),0.0)</f>
        <v>0</v>
      </c>
      <c r="J480" s="223">
        <f>IFERROR(__xludf.DUMMYFUNCTION("IMPORTRANGE(""https://docs.google.com/spreadsheets/d/1XL5vhW3sbDhbH9Cz0tuDiY8C3ctxq1tqvaCgkFb8cCA/edit?usp=sharing"",""กาฬสินธุ์!J375"")"),0.0)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IFERROR(__xludf.DUMMYFUNCTION("IMPORTRANGE(""https://docs.google.com/spreadsheets/d/1XL5vhW3sbDhbH9Cz0tuDiY8C3ctxq1tqvaCgkFb8cCA/edit?usp=sharing"",""กาฬสินธุ์!I376"")"),25653.0)</f>
        <v>25653</v>
      </c>
      <c r="J481" s="453">
        <f>IFERROR(__xludf.DUMMYFUNCTION("IMPORTRANGE(""https://docs.google.com/spreadsheets/d/1XL5vhW3sbDhbH9Cz0tuDiY8C3ctxq1tqvaCgkFb8cCA/edit?usp=sharing"",""กาฬสินธุ์!J376"")"),0.0)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IFERROR(__xludf.DUMMYFUNCTION("IMPORTRANGE(""https://docs.google.com/spreadsheets/d/1XL5vhW3sbDhbH9Cz0tuDiY8C3ctxq1tqvaCgkFb8cCA/edit?usp=sharing"",""กาฬสินธุ์!I377"")"),3211.0)</f>
        <v>3211</v>
      </c>
      <c r="J482" s="453">
        <f>IFERROR(__xludf.DUMMYFUNCTION("IMPORTRANGE(""https://docs.google.com/spreadsheets/d/1XL5vhW3sbDhbH9Cz0tuDiY8C3ctxq1tqvaCgkFb8cCA/edit?usp=sharing"",""กาฬสินธุ์!J377"")"),0.0)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IFERROR(__xludf.DUMMYFUNCTION("IMPORTRANGE(""https://docs.google.com/spreadsheets/d/1XL5vhW3sbDhbH9Cz0tuDiY8C3ctxq1tqvaCgkFb8cCA/edit?usp=sharing"",""กาฬสินธุ์!I378"")"),0.0)</f>
        <v>0</v>
      </c>
      <c r="J483" s="223">
        <f>IFERROR(__xludf.DUMMYFUNCTION("IMPORTRANGE(""https://docs.google.com/spreadsheets/d/1XL5vhW3sbDhbH9Cz0tuDiY8C3ctxq1tqvaCgkFb8cCA/edit?usp=sharing"",""กาฬสินธุ์!J378"")"),0.0)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IFERROR(__xludf.DUMMYFUNCTION("IMPORTRANGE(""https://docs.google.com/spreadsheets/d/1XL5vhW3sbDhbH9Cz0tuDiY8C3ctxq1tqvaCgkFb8cCA/edit?usp=sharing"",""กาฬสินธุ์!I379"")"),0.0)</f>
        <v>0</v>
      </c>
      <c r="J484" s="223">
        <f>IFERROR(__xludf.DUMMYFUNCTION("IMPORTRANGE(""https://docs.google.com/spreadsheets/d/1XL5vhW3sbDhbH9Cz0tuDiY8C3ctxq1tqvaCgkFb8cCA/edit?usp=sharing"",""กาฬสินธุ์!J379"")"),0.0)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IFERROR(__xludf.DUMMYFUNCTION("IMPORTRANGE(""https://docs.google.com/spreadsheets/d/1XL5vhW3sbDhbH9Cz0tuDiY8C3ctxq1tqvaCgkFb8cCA/edit?usp=sharing"",""กาฬสินธุ์!I380"")"),0.0)</f>
        <v>0</v>
      </c>
      <c r="J485" s="223">
        <f>IFERROR(__xludf.DUMMYFUNCTION("IMPORTRANGE(""https://docs.google.com/spreadsheets/d/1XL5vhW3sbDhbH9Cz0tuDiY8C3ctxq1tqvaCgkFb8cCA/edit?usp=sharing"",""กาฬสินธุ์!J380"")"),0.0)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IFERROR(__xludf.DUMMYFUNCTION("IMPORTRANGE(""https://docs.google.com/spreadsheets/d/1XL5vhW3sbDhbH9Cz0tuDiY8C3ctxq1tqvaCgkFb8cCA/edit?usp=sharing"",""กาฬสินธุ์!I381"")"),0.0)</f>
        <v>0</v>
      </c>
      <c r="J486" s="223">
        <f>IFERROR(__xludf.DUMMYFUNCTION("IMPORTRANGE(""https://docs.google.com/spreadsheets/d/1XL5vhW3sbDhbH9Cz0tuDiY8C3ctxq1tqvaCgkFb8cCA/edit?usp=sharing"",""กาฬสินธุ์!J381"")"),0.0)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IFERROR(__xludf.DUMMYFUNCTION("IMPORTRANGE(""https://docs.google.com/spreadsheets/d/1XL5vhW3sbDhbH9Cz0tuDiY8C3ctxq1tqvaCgkFb8cCA/edit?usp=sharing"",""กาฬสินธุ์!I382"")"),0.0)</f>
        <v>0</v>
      </c>
      <c r="J487" s="453">
        <f>IFERROR(__xludf.DUMMYFUNCTION("IMPORTRANGE(""https://docs.google.com/spreadsheets/d/1XL5vhW3sbDhbH9Cz0tuDiY8C3ctxq1tqvaCgkFb8cCA/edit?usp=sharing"",""กาฬสินธุ์!J382"")"),0.0)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IFERROR(__xludf.DUMMYFUNCTION("IMPORTRANGE(""https://docs.google.com/spreadsheets/d/1XL5vhW3sbDhbH9Cz0tuDiY8C3ctxq1tqvaCgkFb8cCA/edit?usp=sharing"",""กาฬสินธุ์!I383"")"),0.0)</f>
        <v>0</v>
      </c>
      <c r="J488" s="453">
        <f>IFERROR(__xludf.DUMMYFUNCTION("IMPORTRANGE(""https://docs.google.com/spreadsheets/d/1XL5vhW3sbDhbH9Cz0tuDiY8C3ctxq1tqvaCgkFb8cCA/edit?usp=sharing"",""กาฬสินธุ์!J383"")"),0.0)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IFERROR(__xludf.DUMMYFUNCTION("IMPORTRANGE(""https://docs.google.com/spreadsheets/d/1XL5vhW3sbDhbH9Cz0tuDiY8C3ctxq1tqvaCgkFb8cCA/edit?usp=sharing"",""กาฬสินธุ์!I384"")"),0.0)</f>
        <v>0</v>
      </c>
      <c r="J489" s="223">
        <f>IFERROR(__xludf.DUMMYFUNCTION("IMPORTRANGE(""https://docs.google.com/spreadsheets/d/1XL5vhW3sbDhbH9Cz0tuDiY8C3ctxq1tqvaCgkFb8cCA/edit?usp=sharing"",""กาฬสินธุ์!J384"")"),0.0)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IFERROR(__xludf.DUMMYFUNCTION("IMPORTRANGE(""https://docs.google.com/spreadsheets/d/1XL5vhW3sbDhbH9Cz0tuDiY8C3ctxq1tqvaCgkFb8cCA/edit?usp=sharing"",""กาฬสินธุ์!I385"")"),0.0)</f>
        <v>0</v>
      </c>
      <c r="J490" s="223">
        <f>IFERROR(__xludf.DUMMYFUNCTION("IMPORTRANGE(""https://docs.google.com/spreadsheets/d/1XL5vhW3sbDhbH9Cz0tuDiY8C3ctxq1tqvaCgkFb8cCA/edit?usp=sharing"",""กาฬสินธุ์!J385"")"),0.0)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IFERROR(__xludf.DUMMYFUNCTION("IMPORTRANGE(""https://docs.google.com/spreadsheets/d/1XL5vhW3sbDhbH9Cz0tuDiY8C3ctxq1tqvaCgkFb8cCA/edit?usp=sharing"",""กาฬสินธุ์!I386"")"),0.0)</f>
        <v>0</v>
      </c>
      <c r="J491" s="223">
        <f>IFERROR(__xludf.DUMMYFUNCTION("IMPORTRANGE(""https://docs.google.com/spreadsheets/d/1XL5vhW3sbDhbH9Cz0tuDiY8C3ctxq1tqvaCgkFb8cCA/edit?usp=sharing"",""กาฬสินธุ์!J386"")"),0.0)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IFERROR(__xludf.DUMMYFUNCTION("IMPORTRANGE(""https://docs.google.com/spreadsheets/d/1XL5vhW3sbDhbH9Cz0tuDiY8C3ctxq1tqvaCgkFb8cCA/edit?usp=sharing"",""กาฬสินธุ์!I387"")"),0.0)</f>
        <v>0</v>
      </c>
      <c r="J492" s="223">
        <f>IFERROR(__xludf.DUMMYFUNCTION("IMPORTRANGE(""https://docs.google.com/spreadsheets/d/1XL5vhW3sbDhbH9Cz0tuDiY8C3ctxq1tqvaCgkFb8cCA/edit?usp=sharing"",""กาฬสินธุ์!J387"")"),0.0)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IFERROR(__xludf.DUMMYFUNCTION("IMPORTRANGE(""https://docs.google.com/spreadsheets/d/1XL5vhW3sbDhbH9Cz0tuDiY8C3ctxq1tqvaCgkFb8cCA/edit?usp=sharing"",""กาฬสินธุ์!I388"")"),0.0)</f>
        <v>0</v>
      </c>
      <c r="J493" s="223">
        <f>IFERROR(__xludf.DUMMYFUNCTION("IMPORTRANGE(""https://docs.google.com/spreadsheets/d/1XL5vhW3sbDhbH9Cz0tuDiY8C3ctxq1tqvaCgkFb8cCA/edit?usp=sharing"",""กาฬสินธุ์!J388"")"),0.0)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IFERROR(__xludf.DUMMYFUNCTION("IMPORTRANGE(""https://docs.google.com/spreadsheets/d/1XL5vhW3sbDhbH9Cz0tuDiY8C3ctxq1tqvaCgkFb8cCA/edit?usp=sharing"",""กาฬสินธุ์!I389"")"),0.0)</f>
        <v>0</v>
      </c>
      <c r="J494" s="469">
        <f>IFERROR(__xludf.DUMMYFUNCTION("IMPORTRANGE(""https://docs.google.com/spreadsheets/d/1XL5vhW3sbDhbH9Cz0tuDiY8C3ctxq1tqvaCgkFb8cCA/edit?usp=sharing"",""กาฬสินธุ์!J389"")"),0.0)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IFERROR(__xludf.DUMMYFUNCTION("IMPORTRANGE(""https://docs.google.com/spreadsheets/d/1XL5vhW3sbDhbH9Cz0tuDiY8C3ctxq1tqvaCgkFb8cCA/edit?usp=sharing"",""กาฬสินธุ์!I390"")"),0.0)</f>
        <v>0</v>
      </c>
      <c r="J495" s="469">
        <f>IFERROR(__xludf.DUMMYFUNCTION("IMPORTRANGE(""https://docs.google.com/spreadsheets/d/1XL5vhW3sbDhbH9Cz0tuDiY8C3ctxq1tqvaCgkFb8cCA/edit?usp=sharing"",""กาฬสินธุ์!J390"")"),0.0)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IFERROR(__xludf.DUMMYFUNCTION("IMPORTRANGE(""https://docs.google.com/spreadsheets/d/1XL5vhW3sbDhbH9Cz0tuDiY8C3ctxq1tqvaCgkFb8cCA/edit?usp=sharing"",""กาฬสินธุ์!I391"")"),0.0)</f>
        <v>0</v>
      </c>
      <c r="J496" s="469">
        <f>IFERROR(__xludf.DUMMYFUNCTION("IMPORTRANGE(""https://docs.google.com/spreadsheets/d/1XL5vhW3sbDhbH9Cz0tuDiY8C3ctxq1tqvaCgkFb8cCA/edit?usp=sharing"",""กาฬสินธุ์!J391"")"),0.0)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IFERROR(__xludf.DUMMYFUNCTION("IMPORTRANGE(""https://docs.google.com/spreadsheets/d/1XL5vhW3sbDhbH9Cz0tuDiY8C3ctxq1tqvaCgkFb8cCA/edit?usp=sharing"",""กาฬสินธุ์!I392"")"),0.0)</f>
        <v>0</v>
      </c>
      <c r="J497" s="476">
        <f>IFERROR(__xludf.DUMMYFUNCTION("IMPORTRANGE(""https://docs.google.com/spreadsheets/d/1XL5vhW3sbDhbH9Cz0tuDiY8C3ctxq1tqvaCgkFb8cCA/edit?usp=sharing"",""กาฬสินธุ์!J392"")"),0.0)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IFERROR(__xludf.DUMMYFUNCTION("IMPORTRANGE(""https://docs.google.com/spreadsheets/d/1XL5vhW3sbDhbH9Cz0tuDiY8C3ctxq1tqvaCgkFb8cCA/edit?usp=sharing"",""กาฬสินธุ์!I393"")"),0.0)</f>
        <v>0</v>
      </c>
      <c r="J498" s="453">
        <f>IFERROR(__xludf.DUMMYFUNCTION("IMPORTRANGE(""https://docs.google.com/spreadsheets/d/1XL5vhW3sbDhbH9Cz0tuDiY8C3ctxq1tqvaCgkFb8cCA/edit?usp=sharing"",""กาฬสินธุ์!J393"")"),0.0)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IFERROR(__xludf.DUMMYFUNCTION("IMPORTRANGE(""https://docs.google.com/spreadsheets/d/1XL5vhW3sbDhbH9Cz0tuDiY8C3ctxq1tqvaCgkFb8cCA/edit?usp=sharing"",""กาฬสินธุ์!I394"")"),0.0)</f>
        <v>0</v>
      </c>
      <c r="J499" s="453">
        <f>IFERROR(__xludf.DUMMYFUNCTION("IMPORTRANGE(""https://docs.google.com/spreadsheets/d/1XL5vhW3sbDhbH9Cz0tuDiY8C3ctxq1tqvaCgkFb8cCA/edit?usp=sharing"",""กาฬสินธุ์!J394"")"),0.0)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IFERROR(__xludf.DUMMYFUNCTION("IMPORTRANGE(""https://docs.google.com/spreadsheets/d/1XL5vhW3sbDhbH9Cz0tuDiY8C3ctxq1tqvaCgkFb8cCA/edit?usp=sharing"",""กาฬสินธุ์!I395"")"),0.0)</f>
        <v>0</v>
      </c>
      <c r="J500" s="195">
        <f>IFERROR(__xludf.DUMMYFUNCTION("IMPORTRANGE(""https://docs.google.com/spreadsheets/d/1XL5vhW3sbDhbH9Cz0tuDiY8C3ctxq1tqvaCgkFb8cCA/edit?usp=sharing"",""กาฬสินธุ์!J395"")"),0.0)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IFERROR(__xludf.DUMMYFUNCTION("IMPORTRANGE(""https://docs.google.com/spreadsheets/d/1XL5vhW3sbDhbH9Cz0tuDiY8C3ctxq1tqvaCgkFb8cCA/edit?usp=sharing"",""กาฬสินธุ์!I396"")"),0.0)</f>
        <v>0</v>
      </c>
      <c r="J501" s="195">
        <f>IFERROR(__xludf.DUMMYFUNCTION("IMPORTRANGE(""https://docs.google.com/spreadsheets/d/1XL5vhW3sbDhbH9Cz0tuDiY8C3ctxq1tqvaCgkFb8cCA/edit?usp=sharing"",""กาฬสินธุ์!J396"")"),0.0)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IFERROR(__xludf.DUMMYFUNCTION("IMPORTRANGE(""https://docs.google.com/spreadsheets/d/1XL5vhW3sbDhbH9Cz0tuDiY8C3ctxq1tqvaCgkFb8cCA/edit?usp=sharing"",""กาฬสินธุ์!I397"")"),0.0)</f>
        <v>0</v>
      </c>
      <c r="J502" s="223">
        <f>IFERROR(__xludf.DUMMYFUNCTION("IMPORTRANGE(""https://docs.google.com/spreadsheets/d/1XL5vhW3sbDhbH9Cz0tuDiY8C3ctxq1tqvaCgkFb8cCA/edit?usp=sharing"",""กาฬสินธุ์!J397"")"),0.0)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IFERROR(__xludf.DUMMYFUNCTION("IMPORTRANGE(""https://docs.google.com/spreadsheets/d/1XL5vhW3sbDhbH9Cz0tuDiY8C3ctxq1tqvaCgkFb8cCA/edit?usp=sharing"",""กาฬสินธุ์!I398"")"),0.0)</f>
        <v>0</v>
      </c>
      <c r="J503" s="232">
        <f>IFERROR(__xludf.DUMMYFUNCTION("IMPORTRANGE(""https://docs.google.com/spreadsheets/d/1XL5vhW3sbDhbH9Cz0tuDiY8C3ctxq1tqvaCgkFb8cCA/edit?usp=sharing"",""กาฬสินธุ์!J398"")"),0.0)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IFERROR(__xludf.DUMMYFUNCTION("IMPORTRANGE(""https://docs.google.com/spreadsheets/d/1XL5vhW3sbDhbH9Cz0tuDiY8C3ctxq1tqvaCgkFb8cCA/edit?usp=sharing"",""กาฬสินธุ์!I399"")"),0.0)</f>
        <v>0</v>
      </c>
      <c r="J504" s="223">
        <f>IFERROR(__xludf.DUMMYFUNCTION("IMPORTRANGE(""https://docs.google.com/spreadsheets/d/1XL5vhW3sbDhbH9Cz0tuDiY8C3ctxq1tqvaCgkFb8cCA/edit?usp=sharing"",""กาฬสินธุ์!J399"")"),0.0)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IFERROR(__xludf.DUMMYFUNCTION("IMPORTRANGE(""https://docs.google.com/spreadsheets/d/1XL5vhW3sbDhbH9Cz0tuDiY8C3ctxq1tqvaCgkFb8cCA/edit?usp=sharing"",""กาฬสินธุ์!I400"")"),0.0)</f>
        <v>0</v>
      </c>
      <c r="J505" s="232">
        <f>IFERROR(__xludf.DUMMYFUNCTION("IMPORTRANGE(""https://docs.google.com/spreadsheets/d/1XL5vhW3sbDhbH9Cz0tuDiY8C3ctxq1tqvaCgkFb8cCA/edit?usp=sharing"",""กาฬสินธุ์!J400"")"),0.0)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IFERROR(__xludf.DUMMYFUNCTION("IMPORTRANGE(""https://docs.google.com/spreadsheets/d/1XL5vhW3sbDhbH9Cz0tuDiY8C3ctxq1tqvaCgkFb8cCA/edit?usp=sharing"",""กาฬสินธุ์!I401"")"),0.0)</f>
        <v>0</v>
      </c>
      <c r="J506" s="223">
        <f>IFERROR(__xludf.DUMMYFUNCTION("IMPORTRANGE(""https://docs.google.com/spreadsheets/d/1XL5vhW3sbDhbH9Cz0tuDiY8C3ctxq1tqvaCgkFb8cCA/edit?usp=sharing"",""กาฬสินธุ์!J401"")"),0.0)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IFERROR(__xludf.DUMMYFUNCTION("IMPORTRANGE(""https://docs.google.com/spreadsheets/d/1XL5vhW3sbDhbH9Cz0tuDiY8C3ctxq1tqvaCgkFb8cCA/edit?usp=sharing"",""กาฬสินธุ์!I402"")"),0.0)</f>
        <v>0</v>
      </c>
      <c r="J507" s="232">
        <f>IFERROR(__xludf.DUMMYFUNCTION("IMPORTRANGE(""https://docs.google.com/spreadsheets/d/1XL5vhW3sbDhbH9Cz0tuDiY8C3ctxq1tqvaCgkFb8cCA/edit?usp=sharing"",""กาฬสินธุ์!J402"")"),0.0)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IFERROR(__xludf.DUMMYFUNCTION("IMPORTRANGE(""https://docs.google.com/spreadsheets/d/1XL5vhW3sbDhbH9Cz0tuDiY8C3ctxq1tqvaCgkFb8cCA/edit?usp=sharing"",""กาฬสินธุ์!I403"")"),0.0)</f>
        <v>0</v>
      </c>
      <c r="J508" s="195">
        <f>IFERROR(__xludf.DUMMYFUNCTION("IMPORTRANGE(""https://docs.google.com/spreadsheets/d/1XL5vhW3sbDhbH9Cz0tuDiY8C3ctxq1tqvaCgkFb8cCA/edit?usp=sharing"",""กาฬสินธุ์!J403"")"),0.0)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IFERROR(__xludf.DUMMYFUNCTION("IMPORTRANGE(""https://docs.google.com/spreadsheets/d/1XL5vhW3sbDhbH9Cz0tuDiY8C3ctxq1tqvaCgkFb8cCA/edit?usp=sharing"",""กาฬสินธุ์!I404"")"),0.0)</f>
        <v>0</v>
      </c>
      <c r="J509" s="195">
        <f>IFERROR(__xludf.DUMMYFUNCTION("IMPORTRANGE(""https://docs.google.com/spreadsheets/d/1XL5vhW3sbDhbH9Cz0tuDiY8C3ctxq1tqvaCgkFb8cCA/edit?usp=sharing"",""กาฬสินธุ์!J404"")"),0.0)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IFERROR(__xludf.DUMMYFUNCTION("IMPORTRANGE(""https://docs.google.com/spreadsheets/d/1XL5vhW3sbDhbH9Cz0tuDiY8C3ctxq1tqvaCgkFb8cCA/edit?usp=sharing"",""กาฬสินธุ์!I405"")"),0.0)</f>
        <v>0</v>
      </c>
      <c r="J510" s="232">
        <f>IFERROR(__xludf.DUMMYFUNCTION("IMPORTRANGE(""https://docs.google.com/spreadsheets/d/1XL5vhW3sbDhbH9Cz0tuDiY8C3ctxq1tqvaCgkFb8cCA/edit?usp=sharing"",""กาฬสินธุ์!J405"")"),0.0)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IFERROR(__xludf.DUMMYFUNCTION("IMPORTRANGE(""https://docs.google.com/spreadsheets/d/1XL5vhW3sbDhbH9Cz0tuDiY8C3ctxq1tqvaCgkFb8cCA/edit?usp=sharing"",""กาฬสินธุ์!I406"")"),0.0)</f>
        <v>0</v>
      </c>
      <c r="J511" s="232">
        <f>IFERROR(__xludf.DUMMYFUNCTION("IMPORTRANGE(""https://docs.google.com/spreadsheets/d/1XL5vhW3sbDhbH9Cz0tuDiY8C3ctxq1tqvaCgkFb8cCA/edit?usp=sharing"",""กาฬสินธุ์!J406"")"),0.0)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IFERROR(__xludf.DUMMYFUNCTION("IMPORTRANGE(""https://docs.google.com/spreadsheets/d/1XL5vhW3sbDhbH9Cz0tuDiY8C3ctxq1tqvaCgkFb8cCA/edit?usp=sharing"",""กาฬสินธุ์!I407"")"),0.0)</f>
        <v>0</v>
      </c>
      <c r="J512" s="232">
        <f>IFERROR(__xludf.DUMMYFUNCTION("IMPORTRANGE(""https://docs.google.com/spreadsheets/d/1XL5vhW3sbDhbH9Cz0tuDiY8C3ctxq1tqvaCgkFb8cCA/edit?usp=sharing"",""กาฬสินธุ์!J407"")"),0.0)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IFERROR(__xludf.DUMMYFUNCTION("IMPORTRANGE(""https://docs.google.com/spreadsheets/d/1XL5vhW3sbDhbH9Cz0tuDiY8C3ctxq1tqvaCgkFb8cCA/edit?usp=sharing"",""กาฬสินธุ์!I408"")"),0.0)</f>
        <v>0</v>
      </c>
      <c r="J513" s="232">
        <f>IFERROR(__xludf.DUMMYFUNCTION("IMPORTRANGE(""https://docs.google.com/spreadsheets/d/1XL5vhW3sbDhbH9Cz0tuDiY8C3ctxq1tqvaCgkFb8cCA/edit?usp=sharing"",""กาฬสินธุ์!J408"")"),0.0)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IFERROR(__xludf.DUMMYFUNCTION("IMPORTRANGE(""https://docs.google.com/spreadsheets/d/1XL5vhW3sbDhbH9Cz0tuDiY8C3ctxq1tqvaCgkFb8cCA/edit?usp=sharing"",""กาฬสินธุ์!I409"")"),0.0)</f>
        <v>0</v>
      </c>
      <c r="J514" s="232">
        <f>IFERROR(__xludf.DUMMYFUNCTION("IMPORTRANGE(""https://docs.google.com/spreadsheets/d/1XL5vhW3sbDhbH9Cz0tuDiY8C3ctxq1tqvaCgkFb8cCA/edit?usp=sharing"",""กาฬสินธุ์!J409"")"),0.0)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IFERROR(__xludf.DUMMYFUNCTION("IMPORTRANGE(""https://docs.google.com/spreadsheets/d/1XL5vhW3sbDhbH9Cz0tuDiY8C3ctxq1tqvaCgkFb8cCA/edit?usp=sharing"",""กาฬสินธุ์!I410"")"),0.0)</f>
        <v>0</v>
      </c>
      <c r="J515" s="232">
        <f>IFERROR(__xludf.DUMMYFUNCTION("IMPORTRANGE(""https://docs.google.com/spreadsheets/d/1XL5vhW3sbDhbH9Cz0tuDiY8C3ctxq1tqvaCgkFb8cCA/edit?usp=sharing"",""กาฬสินธุ์!J410"")"),0.0)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IFERROR(__xludf.DUMMYFUNCTION("IMPORTRANGE(""https://docs.google.com/spreadsheets/d/1XL5vhW3sbDhbH9Cz0tuDiY8C3ctxq1tqvaCgkFb8cCA/edit?usp=sharing"",""กาฬสินธุ์!I411"")"),0.0)</f>
        <v>0</v>
      </c>
      <c r="J516" s="301">
        <f>IFERROR(__xludf.DUMMYFUNCTION("IMPORTRANGE(""https://docs.google.com/spreadsheets/d/1XL5vhW3sbDhbH9Cz0tuDiY8C3ctxq1tqvaCgkFb8cCA/edit?usp=sharing"",""กาฬสินธุ์!J411"")"),0.0)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IFERROR(__xludf.DUMMYFUNCTION("IMPORTRANGE(""https://docs.google.com/spreadsheets/d/1XL5vhW3sbDhbH9Cz0tuDiY8C3ctxq1tqvaCgkFb8cCA/edit?usp=sharing"",""กาฬสินธุ์!I412"")"),0.0)</f>
        <v>0</v>
      </c>
      <c r="J517" s="317">
        <f>IFERROR(__xludf.DUMMYFUNCTION("IMPORTRANGE(""https://docs.google.com/spreadsheets/d/1XL5vhW3sbDhbH9Cz0tuDiY8C3ctxq1tqvaCgkFb8cCA/edit?usp=sharing"",""กาฬสินธุ์!J412"")"),0.0)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IFERROR(__xludf.DUMMYFUNCTION("IMPORTRANGE(""https://docs.google.com/spreadsheets/d/1XL5vhW3sbDhbH9Cz0tuDiY8C3ctxq1tqvaCgkFb8cCA/edit?usp=sharing"",""กาฬสินธุ์!I413"")"),0.0)</f>
        <v>0</v>
      </c>
      <c r="J518" s="317">
        <f>IFERROR(__xludf.DUMMYFUNCTION("IMPORTRANGE(""https://docs.google.com/spreadsheets/d/1XL5vhW3sbDhbH9Cz0tuDiY8C3ctxq1tqvaCgkFb8cCA/edit?usp=sharing"",""กาฬสินธุ์!J413"")"),0.0)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IFERROR(__xludf.DUMMYFUNCTION("IMPORTRANGE(""https://docs.google.com/spreadsheets/d/1XL5vhW3sbDhbH9Cz0tuDiY8C3ctxq1tqvaCgkFb8cCA/edit?usp=sharing"",""กาฬสินธุ์!I414"")"),0.0)</f>
        <v>0</v>
      </c>
      <c r="J519" s="222">
        <f>IFERROR(__xludf.DUMMYFUNCTION("IMPORTRANGE(""https://docs.google.com/spreadsheets/d/1XL5vhW3sbDhbH9Cz0tuDiY8C3ctxq1tqvaCgkFb8cCA/edit?usp=sharing"",""กาฬสินธุ์!J414"")"),0.0)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IFERROR(__xludf.DUMMYFUNCTION("IMPORTRANGE(""https://docs.google.com/spreadsheets/d/1XL5vhW3sbDhbH9Cz0tuDiY8C3ctxq1tqvaCgkFb8cCA/edit?usp=sharing"",""กาฬสินธุ์!I415"")"),0.0)</f>
        <v>0</v>
      </c>
      <c r="J520" s="222">
        <f>IFERROR(__xludf.DUMMYFUNCTION("IMPORTRANGE(""https://docs.google.com/spreadsheets/d/1XL5vhW3sbDhbH9Cz0tuDiY8C3ctxq1tqvaCgkFb8cCA/edit?usp=sharing"",""กาฬสินธุ์!J415"")"),0.0)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IFERROR(__xludf.DUMMYFUNCTION("IMPORTRANGE(""https://docs.google.com/spreadsheets/d/1XL5vhW3sbDhbH9Cz0tuDiY8C3ctxq1tqvaCgkFb8cCA/edit?usp=sharing"",""กาฬสินธุ์!I416"")"),0.0)</f>
        <v>0</v>
      </c>
      <c r="J521" s="222">
        <f>IFERROR(__xludf.DUMMYFUNCTION("IMPORTRANGE(""https://docs.google.com/spreadsheets/d/1XL5vhW3sbDhbH9Cz0tuDiY8C3ctxq1tqvaCgkFb8cCA/edit?usp=sharing"",""กาฬสินธุ์!J416"")"),0.0)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IFERROR(__xludf.DUMMYFUNCTION("IMPORTRANGE(""https://docs.google.com/spreadsheets/d/1XL5vhW3sbDhbH9Cz0tuDiY8C3ctxq1tqvaCgkFb8cCA/edit?usp=sharing"",""กาฬสินธุ์!I417"")"),0.0)</f>
        <v>0</v>
      </c>
      <c r="J522" s="222">
        <f>IFERROR(__xludf.DUMMYFUNCTION("IMPORTRANGE(""https://docs.google.com/spreadsheets/d/1XL5vhW3sbDhbH9Cz0tuDiY8C3ctxq1tqvaCgkFb8cCA/edit?usp=sharing"",""กาฬสินธุ์!J417"")"),0.0)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IFERROR(__xludf.DUMMYFUNCTION("IMPORTRANGE(""https://docs.google.com/spreadsheets/d/1XL5vhW3sbDhbH9Cz0tuDiY8C3ctxq1tqvaCgkFb8cCA/edit?usp=sharing"",""กาฬสินธุ์!I418"")"),0.0)</f>
        <v>0</v>
      </c>
      <c r="J523" s="222">
        <f>IFERROR(__xludf.DUMMYFUNCTION("IMPORTRANGE(""https://docs.google.com/spreadsheets/d/1XL5vhW3sbDhbH9Cz0tuDiY8C3ctxq1tqvaCgkFb8cCA/edit?usp=sharing"",""กาฬสินธุ์!J418"")"),0.0)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IFERROR(__xludf.DUMMYFUNCTION("IMPORTRANGE(""https://docs.google.com/spreadsheets/d/1XL5vhW3sbDhbH9Cz0tuDiY8C3ctxq1tqvaCgkFb8cCA/edit?usp=sharing"",""กาฬสินธุ์!I419"")"),0.0)</f>
        <v>0</v>
      </c>
      <c r="J524" s="222">
        <f>IFERROR(__xludf.DUMMYFUNCTION("IMPORTRANGE(""https://docs.google.com/spreadsheets/d/1XL5vhW3sbDhbH9Cz0tuDiY8C3ctxq1tqvaCgkFb8cCA/edit?usp=sharing"",""กาฬสินธุ์!J419"")"),0.0)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IFERROR(__xludf.DUMMYFUNCTION("IMPORTRANGE(""https://docs.google.com/spreadsheets/d/1XL5vhW3sbDhbH9Cz0tuDiY8C3ctxq1tqvaCgkFb8cCA/edit?usp=sharing"",""กาฬสินธุ์!I420"")"),0.0)</f>
        <v>0</v>
      </c>
      <c r="J525" s="317">
        <f>IFERROR(__xludf.DUMMYFUNCTION("IMPORTRANGE(""https://docs.google.com/spreadsheets/d/1XL5vhW3sbDhbH9Cz0tuDiY8C3ctxq1tqvaCgkFb8cCA/edit?usp=sharing"",""กาฬสินธุ์!J420"")"),0.0)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IFERROR(__xludf.DUMMYFUNCTION("IMPORTRANGE(""https://docs.google.com/spreadsheets/d/1XL5vhW3sbDhbH9Cz0tuDiY8C3ctxq1tqvaCgkFb8cCA/edit?usp=sharing"",""กาฬสินธุ์!I421"")"),0.0)</f>
        <v>0</v>
      </c>
      <c r="J526" s="317">
        <f>IFERROR(__xludf.DUMMYFUNCTION("IMPORTRANGE(""https://docs.google.com/spreadsheets/d/1XL5vhW3sbDhbH9Cz0tuDiY8C3ctxq1tqvaCgkFb8cCA/edit?usp=sharing"",""กาฬสินธุ์!J421"")"),0.0)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IFERROR(__xludf.DUMMYFUNCTION("IMPORTRANGE(""https://docs.google.com/spreadsheets/d/1XL5vhW3sbDhbH9Cz0tuDiY8C3ctxq1tqvaCgkFb8cCA/edit?usp=sharing"",""กาฬสินธุ์!I422"")"),0.0)</f>
        <v>0</v>
      </c>
      <c r="J527" s="232">
        <f>IFERROR(__xludf.DUMMYFUNCTION("IMPORTRANGE(""https://docs.google.com/spreadsheets/d/1XL5vhW3sbDhbH9Cz0tuDiY8C3ctxq1tqvaCgkFb8cCA/edit?usp=sharing"",""กาฬสินธุ์!J422"")"),0.0)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IFERROR(__xludf.DUMMYFUNCTION("IMPORTRANGE(""https://docs.google.com/spreadsheets/d/1XL5vhW3sbDhbH9Cz0tuDiY8C3ctxq1tqvaCgkFb8cCA/edit?usp=sharing"",""กาฬสินธุ์!I423"")"),0.0)</f>
        <v>0</v>
      </c>
      <c r="J528" s="232">
        <f>IFERROR(__xludf.DUMMYFUNCTION("IMPORTRANGE(""https://docs.google.com/spreadsheets/d/1XL5vhW3sbDhbH9Cz0tuDiY8C3ctxq1tqvaCgkFb8cCA/edit?usp=sharing"",""กาฬสินธุ์!J423"")"),0.0)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IFERROR(__xludf.DUMMYFUNCTION("IMPORTRANGE(""https://docs.google.com/spreadsheets/d/1XL5vhW3sbDhbH9Cz0tuDiY8C3ctxq1tqvaCgkFb8cCA/edit?usp=sharing"",""กาฬสินธุ์!I424"")"),0.0)</f>
        <v>0</v>
      </c>
      <c r="J529" s="232">
        <f>IFERROR(__xludf.DUMMYFUNCTION("IMPORTRANGE(""https://docs.google.com/spreadsheets/d/1XL5vhW3sbDhbH9Cz0tuDiY8C3ctxq1tqvaCgkFb8cCA/edit?usp=sharing"",""กาฬสินธุ์!J424"")"),0.0)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IFERROR(__xludf.DUMMYFUNCTION("IMPORTRANGE(""https://docs.google.com/spreadsheets/d/1XL5vhW3sbDhbH9Cz0tuDiY8C3ctxq1tqvaCgkFb8cCA/edit?usp=sharing"",""กาฬสินธุ์!I425"")"),0.0)</f>
        <v>0</v>
      </c>
      <c r="J530" s="232">
        <f>IFERROR(__xludf.DUMMYFUNCTION("IMPORTRANGE(""https://docs.google.com/spreadsheets/d/1XL5vhW3sbDhbH9Cz0tuDiY8C3ctxq1tqvaCgkFb8cCA/edit?usp=sharing"",""กาฬสินธุ์!J425"")"),0.0)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IFERROR(__xludf.DUMMYFUNCTION("IMPORTRANGE(""https://docs.google.com/spreadsheets/d/1XL5vhW3sbDhbH9Cz0tuDiY8C3ctxq1tqvaCgkFb8cCA/edit?usp=sharing"",""กาฬสินธุ์!I426"")"),0.0)</f>
        <v>0</v>
      </c>
      <c r="J531" s="232">
        <f>IFERROR(__xludf.DUMMYFUNCTION("IMPORTRANGE(""https://docs.google.com/spreadsheets/d/1XL5vhW3sbDhbH9Cz0tuDiY8C3ctxq1tqvaCgkFb8cCA/edit?usp=sharing"",""กาฬสินธุ์!J426"")"),0.0)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IFERROR(__xludf.DUMMYFUNCTION("IMPORTRANGE(""https://docs.google.com/spreadsheets/d/1XL5vhW3sbDhbH9Cz0tuDiY8C3ctxq1tqvaCgkFb8cCA/edit?usp=sharing"",""กาฬสินธุ์!I427"")"),0.0)</f>
        <v>0</v>
      </c>
      <c r="J532" s="499">
        <f>IFERROR(__xludf.DUMMYFUNCTION("IMPORTRANGE(""https://docs.google.com/spreadsheets/d/1XL5vhW3sbDhbH9Cz0tuDiY8C3ctxq1tqvaCgkFb8cCA/edit?usp=sharing"",""กาฬสินธุ์!J427"")"),0.0)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IFERROR(__xludf.DUMMYFUNCTION("IMPORTRANGE(""https://docs.google.com/spreadsheets/d/1XL5vhW3sbDhbH9Cz0tuDiY8C3ctxq1tqvaCgkFb8cCA/edit?usp=sharing"",""กาฬสินธุ์!I428"")"),19.0)</f>
        <v>19</v>
      </c>
      <c r="J533" s="443">
        <f>IFERROR(__xludf.DUMMYFUNCTION("IMPORTRANGE(""https://docs.google.com/spreadsheets/d/1XL5vhW3sbDhbH9Cz0tuDiY8C3ctxq1tqvaCgkFb8cCA/edit?usp=sharing"",""กาฬสินธุ์!J428"")"),19.0)</f>
        <v>19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IFERROR(__xludf.DUMMYFUNCTION("IMPORTRANGE(""https://docs.google.com/spreadsheets/d/1XL5vhW3sbDhbH9Cz0tuDiY8C3ctxq1tqvaCgkFb8cCA/edit?usp=sharing"",""กาฬสินธุ์!L428"")"),31800.0)</f>
        <v>31800</v>
      </c>
      <c r="M533" s="445"/>
      <c r="N533" s="445">
        <f>IFERROR(__xludf.DUMMYFUNCTION("IMPORTRANGE(""https://docs.google.com/spreadsheets/d/1XL5vhW3sbDhbH9Cz0tuDiY8C3ctxq1tqvaCgkFb8cCA/edit?usp=sharing"",""กาฬสินธุ์!M428"")"),24034.0)</f>
        <v>24034</v>
      </c>
      <c r="O533" s="445">
        <f t="shared" ref="O533:O537" si="119">+IF(L533&gt;0,N533*100/L533,0)</f>
        <v>75.57861635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IFERROR(__xludf.DUMMYFUNCTION("IMPORTRANGE(""https://docs.google.com/spreadsheets/d/1XL5vhW3sbDhbH9Cz0tuDiY8C3ctxq1tqvaCgkFb8cCA/edit?usp=sharing"",""กาฬสินธุ์!L429"")"),0.0)</f>
        <v>0</v>
      </c>
      <c r="M534" s="197"/>
      <c r="N534" s="203">
        <f>IFERROR(__xludf.DUMMYFUNCTION("IMPORTRANGE(""https://docs.google.com/spreadsheets/d/1XL5vhW3sbDhbH9Cz0tuDiY8C3ctxq1tqvaCgkFb8cCA/edit?usp=sharing"",""กาฬสินธุ์!M429"")"),0.0)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IFERROR(__xludf.DUMMYFUNCTION("IMPORTRANGE(""https://docs.google.com/spreadsheets/d/1XL5vhW3sbDhbH9Cz0tuDiY8C3ctxq1tqvaCgkFb8cCA/edit?usp=sharing"",""กาฬสินธุ์!L430"")"),31800.0)</f>
        <v>31800</v>
      </c>
      <c r="M535" s="198"/>
      <c r="N535" s="203">
        <f>IFERROR(__xludf.DUMMYFUNCTION("IMPORTRANGE(""https://docs.google.com/spreadsheets/d/1XL5vhW3sbDhbH9Cz0tuDiY8C3ctxq1tqvaCgkFb8cCA/edit?usp=sharing"",""กาฬสินธุ์!M430"")"),24034.0)</f>
        <v>24034</v>
      </c>
      <c r="O535" s="203">
        <f t="shared" si="119"/>
        <v>75.57861635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IFERROR(__xludf.DUMMYFUNCTION("IMPORTRANGE(""https://docs.google.com/spreadsheets/d/1XL5vhW3sbDhbH9Cz0tuDiY8C3ctxq1tqvaCgkFb8cCA/edit?usp=sharing"",""กาฬสินธุ์!L431"")"),0.0)</f>
        <v>0</v>
      </c>
      <c r="M536" s="203"/>
      <c r="N536" s="203">
        <f>IFERROR(__xludf.DUMMYFUNCTION("IMPORTRANGE(""https://docs.google.com/spreadsheets/d/1XL5vhW3sbDhbH9Cz0tuDiY8C3ctxq1tqvaCgkFb8cCA/edit?usp=sharing"",""กาฬสินธุ์!M431"")"),0.0)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IFERROR(__xludf.DUMMYFUNCTION("IMPORTRANGE(""https://docs.google.com/spreadsheets/d/1XL5vhW3sbDhbH9Cz0tuDiY8C3ctxq1tqvaCgkFb8cCA/edit?usp=sharing"",""กาฬสินธุ์!L432"")"),31800.0)</f>
        <v>31800</v>
      </c>
      <c r="M537" s="203"/>
      <c r="N537" s="203">
        <f>IFERROR(__xludf.DUMMYFUNCTION("IMPORTRANGE(""https://docs.google.com/spreadsheets/d/1XL5vhW3sbDhbH9Cz0tuDiY8C3ctxq1tqvaCgkFb8cCA/edit?usp=sharing"",""กาฬสินธุ์!M432"")"),24034.0)</f>
        <v>24034</v>
      </c>
      <c r="O537" s="203">
        <f t="shared" si="119"/>
        <v>75.57861635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IFERROR(__xludf.DUMMYFUNCTION("IMPORTRANGE(""https://docs.google.com/spreadsheets/d/1XL5vhW3sbDhbH9Cz0tuDiY8C3ctxq1tqvaCgkFb8cCA/edit?usp=sharing"",""กาฬสินธุ์!M433"")"),14920.0)</f>
        <v>14920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IFERROR(__xludf.DUMMYFUNCTION("IMPORTRANGE(""https://docs.google.com/spreadsheets/d/1XL5vhW3sbDhbH9Cz0tuDiY8C3ctxq1tqvaCgkFb8cCA/edit?usp=sharing"",""กาฬสินธุ์!M434"")"),0.0)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IFERROR(__xludf.DUMMYFUNCTION("IMPORTRANGE(""https://docs.google.com/spreadsheets/d/1XL5vhW3sbDhbH9Cz0tuDiY8C3ctxq1tqvaCgkFb8cCA/edit?usp=sharing"",""กาฬสินธุ์!M435"")"),0.0)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IFERROR(__xludf.DUMMYFUNCTION("IMPORTRANGE(""https://docs.google.com/spreadsheets/d/1XL5vhW3sbDhbH9Cz0tuDiY8C3ctxq1tqvaCgkFb8cCA/edit?usp=sharing"",""กาฬสินธุ์!M436"")"),9114.0)</f>
        <v>9114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IFERROR(__xludf.DUMMYFUNCTION("IMPORTRANGE(""https://docs.google.com/spreadsheets/d/1XL5vhW3sbDhbH9Cz0tuDiY8C3ctxq1tqvaCgkFb8cCA/edit?usp=sharing"",""กาฬสินธุ์!J438"")"),0.0)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IFERROR(__xludf.DUMMYFUNCTION("IMPORTRANGE(""https://docs.google.com/spreadsheets/d/1XL5vhW3sbDhbH9Cz0tuDiY8C3ctxq1tqvaCgkFb8cCA/edit?usp=sharing"",""กาฬสินธุ์!J439"")"),1.0)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IFERROR(__xludf.DUMMYFUNCTION("IMPORTRANGE(""https://docs.google.com/spreadsheets/d/1XL5vhW3sbDhbH9Cz0tuDiY8C3ctxq1tqvaCgkFb8cCA/edit?usp=sharing"",""กาฬสินธุ์!J440"")"),1.0)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IFERROR(__xludf.DUMMYFUNCTION("IMPORTRANGE(""https://docs.google.com/spreadsheets/d/1XL5vhW3sbDhbH9Cz0tuDiY8C3ctxq1tqvaCgkFb8cCA/edit?usp=sharing"",""กาฬสินธุ์!J441"")"),1.0)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IFERROR(__xludf.DUMMYFUNCTION("IMPORTRANGE(""https://docs.google.com/spreadsheets/d/1XL5vhW3sbDhbH9Cz0tuDiY8C3ctxq1tqvaCgkFb8cCA/edit?usp=sharing"",""กาฬสินธุ์!I442"")"),19.0)</f>
        <v>19</v>
      </c>
      <c r="J547" s="223">
        <f>IFERROR(__xludf.DUMMYFUNCTION("IMPORTRANGE(""https://docs.google.com/spreadsheets/d/1XL5vhW3sbDhbH9Cz0tuDiY8C3ctxq1tqvaCgkFb8cCA/edit?usp=sharing"",""กาฬสินธุ์!J442"")"),19.0)</f>
        <v>19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IFERROR(__xludf.DUMMYFUNCTION("IMPORTRANGE(""https://docs.google.com/spreadsheets/d/1XL5vhW3sbDhbH9Cz0tuDiY8C3ctxq1tqvaCgkFb8cCA/edit?usp=sharing"",""กาฬสินธุ์!J166"")"),0.0)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IFERROR(__xludf.DUMMYFUNCTION("IMPORTRANGE(""https://docs.google.com/spreadsheets/d/1XL5vhW3sbDhbH9Cz0tuDiY8C3ctxq1tqvaCgkFb8cCA/edit?usp=sharing"",""กาฬสินธุ์!J444"")"),0.0)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IFERROR(__xludf.DUMMYFUNCTION("IMPORTRANGE(""https://docs.google.com/spreadsheets/d/1XL5vhW3sbDhbH9Cz0tuDiY8C3ctxq1tqvaCgkFb8cCA/edit?usp=sharing"",""กาฬสินธุ์!J445"")"),0.0)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IFERROR(__xludf.DUMMYFUNCTION("IMPORTRANGE(""https://docs.google.com/spreadsheets/d/1XL5vhW3sbDhbH9Cz0tuDiY8C3ctxq1tqvaCgkFb8cCA/edit?usp=sharing"",""กาฬสินธุ์!I446"")"),0.0)</f>
        <v>0</v>
      </c>
      <c r="J551" s="443">
        <f>IFERROR(__xludf.DUMMYFUNCTION("IMPORTRANGE(""https://docs.google.com/spreadsheets/d/1XL5vhW3sbDhbH9Cz0tuDiY8C3ctxq1tqvaCgkFb8cCA/edit?usp=sharing"",""กาฬสินธุ์!J446"")"),0.0)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IFERROR(__xludf.DUMMYFUNCTION("IMPORTRANGE(""https://docs.google.com/spreadsheets/d/1XL5vhW3sbDhbH9Cz0tuDiY8C3ctxq1tqvaCgkFb8cCA/edit?usp=sharing"",""กาฬสินธุ์!L446"")"),0.0)</f>
        <v>0</v>
      </c>
      <c r="M551" s="445"/>
      <c r="N551" s="445">
        <f>IFERROR(__xludf.DUMMYFUNCTION("IMPORTRANGE(""https://docs.google.com/spreadsheets/d/1XL5vhW3sbDhbH9Cz0tuDiY8C3ctxq1tqvaCgkFb8cCA/edit?usp=sharing"",""กาฬสินธุ์!M446"")"),0.0)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IFERROR(__xludf.DUMMYFUNCTION("IMPORTRANGE(""https://docs.google.com/spreadsheets/d/1XL5vhW3sbDhbH9Cz0tuDiY8C3ctxq1tqvaCgkFb8cCA/edit?usp=sharing"",""กาฬสินธุ์!L447"")"),0.0)</f>
        <v>0</v>
      </c>
      <c r="M552" s="197"/>
      <c r="N552" s="203">
        <f>IFERROR(__xludf.DUMMYFUNCTION("IMPORTRANGE(""https://docs.google.com/spreadsheets/d/1XL5vhW3sbDhbH9Cz0tuDiY8C3ctxq1tqvaCgkFb8cCA/edit?usp=sharing"",""กาฬสินธุ์!M447"")"),0.0)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IFERROR(__xludf.DUMMYFUNCTION("IMPORTRANGE(""https://docs.google.com/spreadsheets/d/1XL5vhW3sbDhbH9Cz0tuDiY8C3ctxq1tqvaCgkFb8cCA/edit?usp=sharing"",""กาฬสินธุ์!L448"")"),0.0)</f>
        <v>0</v>
      </c>
      <c r="M553" s="198"/>
      <c r="N553" s="203">
        <f>IFERROR(__xludf.DUMMYFUNCTION("IMPORTRANGE(""https://docs.google.com/spreadsheets/d/1XL5vhW3sbDhbH9Cz0tuDiY8C3ctxq1tqvaCgkFb8cCA/edit?usp=sharing"",""กาฬสินธุ์!M448"")"),0.0)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IFERROR(__xludf.DUMMYFUNCTION("IMPORTRANGE(""https://docs.google.com/spreadsheets/d/1XL5vhW3sbDhbH9Cz0tuDiY8C3ctxq1tqvaCgkFb8cCA/edit?usp=sharing"",""กาฬสินธุ์!L449"")"),0.0)</f>
        <v>0</v>
      </c>
      <c r="M554" s="203"/>
      <c r="N554" s="203">
        <f>IFERROR(__xludf.DUMMYFUNCTION("IMPORTRANGE(""https://docs.google.com/spreadsheets/d/1XL5vhW3sbDhbH9Cz0tuDiY8C3ctxq1tqvaCgkFb8cCA/edit?usp=sharing"",""กาฬสินธุ์!M449"")"),0.0)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IFERROR(__xludf.DUMMYFUNCTION("IMPORTRANGE(""https://docs.google.com/spreadsheets/d/1XL5vhW3sbDhbH9Cz0tuDiY8C3ctxq1tqvaCgkFb8cCA/edit?usp=sharing"",""กาฬสินธุ์!L450"")"),0.0)</f>
        <v>0</v>
      </c>
      <c r="M555" s="203"/>
      <c r="N555" s="203">
        <f>IFERROR(__xludf.DUMMYFUNCTION("IMPORTRANGE(""https://docs.google.com/spreadsheets/d/1XL5vhW3sbDhbH9Cz0tuDiY8C3ctxq1tqvaCgkFb8cCA/edit?usp=sharing"",""กาฬสินธุ์!M450"")"),0.0)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IFERROR(__xludf.DUMMYFUNCTION("IMPORTRANGE(""https://docs.google.com/spreadsheets/d/1XL5vhW3sbDhbH9Cz0tuDiY8C3ctxq1tqvaCgkFb8cCA/edit?usp=sharing"",""กาฬสินธุ์!M451"")"),0.0)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IFERROR(__xludf.DUMMYFUNCTION("IMPORTRANGE(""https://docs.google.com/spreadsheets/d/1XL5vhW3sbDhbH9Cz0tuDiY8C3ctxq1tqvaCgkFb8cCA/edit?usp=sharing"",""กาฬสินธุ์!M452"")"),0.0)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IFERROR(__xludf.DUMMYFUNCTION("IMPORTRANGE(""https://docs.google.com/spreadsheets/d/1XL5vhW3sbDhbH9Cz0tuDiY8C3ctxq1tqvaCgkFb8cCA/edit?usp=sharing"",""กาฬสินธุ์!M453"")"),0.0)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IFERROR(__xludf.DUMMYFUNCTION("IMPORTRANGE(""https://docs.google.com/spreadsheets/d/1XL5vhW3sbDhbH9Cz0tuDiY8C3ctxq1tqvaCgkFb8cCA/edit?usp=sharing"",""กาฬสินธุ์!M454"")"),0.0)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IFERROR(__xludf.DUMMYFUNCTION("IMPORTRANGE(""https://docs.google.com/spreadsheets/d/1XL5vhW3sbDhbH9Cz0tuDiY8C3ctxq1tqvaCgkFb8cCA/edit?usp=sharing"",""กาฬสินธุ์!I455"")"),0.0)</f>
        <v>0</v>
      </c>
      <c r="J560" s="195">
        <f>IFERROR(__xludf.DUMMYFUNCTION("IMPORTRANGE(""https://docs.google.com/spreadsheets/d/1XL5vhW3sbDhbH9Cz0tuDiY8C3ctxq1tqvaCgkFb8cCA/edit?usp=sharing"",""กาฬสินธุ์!J455"")"),0.0)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IFERROR(__xludf.DUMMYFUNCTION("IMPORTRANGE(""https://docs.google.com/spreadsheets/d/1XL5vhW3sbDhbH9Cz0tuDiY8C3ctxq1tqvaCgkFb8cCA/edit?usp=sharing"",""กาฬสินธุ์!I456"")"),0.0)</f>
        <v>0</v>
      </c>
      <c r="J561" s="238">
        <f>IFERROR(__xludf.DUMMYFUNCTION("IMPORTRANGE(""https://docs.google.com/spreadsheets/d/1XL5vhW3sbDhbH9Cz0tuDiY8C3ctxq1tqvaCgkFb8cCA/edit?usp=sharing"",""กาฬสินธุ์!J456"")"),0.0)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IFERROR(__xludf.DUMMYFUNCTION("IMPORTRANGE(""https://docs.google.com/spreadsheets/d/1XL5vhW3sbDhbH9Cz0tuDiY8C3ctxq1tqvaCgkFb8cCA/edit?usp=sharing"",""กาฬสินธุ์!I457"")"),"")</f>
        <v/>
      </c>
      <c r="J562" s="238" t="str">
        <f>IFERROR(__xludf.DUMMYFUNCTION("IMPORTRANGE(""https://docs.google.com/spreadsheets/d/1XL5vhW3sbDhbH9Cz0tuDiY8C3ctxq1tqvaCgkFb8cCA/edit?usp=sharing"",""กาฬสินธุ์!J457"")"),"")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IFERROR(__xludf.DUMMYFUNCTION("IMPORTRANGE(""https://docs.google.com/spreadsheets/d/1XL5vhW3sbDhbH9Cz0tuDiY8C3ctxq1tqvaCgkFb8cCA/edit?usp=sharing"",""กาฬสินธุ์!I458"")"),"")</f>
        <v/>
      </c>
      <c r="J563" s="222" t="str">
        <f>IFERROR(__xludf.DUMMYFUNCTION("IMPORTRANGE(""https://docs.google.com/spreadsheets/d/1XL5vhW3sbDhbH9Cz0tuDiY8C3ctxq1tqvaCgkFb8cCA/edit?usp=sharing"",""กาฬสินธุ์!J458"")"),"")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IFERROR(__xludf.DUMMYFUNCTION("IMPORTRANGE(""https://docs.google.com/spreadsheets/d/1XL5vhW3sbDhbH9Cz0tuDiY8C3ctxq1tqvaCgkFb8cCA/edit?usp=sharing"",""กาฬสินธุ์!I459"")"),2300.0)</f>
        <v>2300</v>
      </c>
      <c r="J564" s="404">
        <f>IFERROR(__xludf.DUMMYFUNCTION("IMPORTRANGE(""https://docs.google.com/spreadsheets/d/1XL5vhW3sbDhbH9Cz0tuDiY8C3ctxq1tqvaCgkFb8cCA/edit?usp=sharing"",""กาฬสินธุ์!J459"")"),1313.0)</f>
        <v>1313</v>
      </c>
      <c r="K564" s="405">
        <f t="shared" si="122"/>
        <v>57.08695652</v>
      </c>
      <c r="L564" s="406">
        <f>IFERROR(__xludf.DUMMYFUNCTION("IMPORTRANGE(""https://docs.google.com/spreadsheets/d/1XL5vhW3sbDhbH9Cz0tuDiY8C3ctxq1tqvaCgkFb8cCA/edit?usp=sharing"",""กาฬสินธุ์!L459"")"),143040.0)</f>
        <v>143040</v>
      </c>
      <c r="M564" s="406"/>
      <c r="N564" s="406">
        <f>IFERROR(__xludf.DUMMYFUNCTION("IMPORTRANGE(""https://docs.google.com/spreadsheets/d/1XL5vhW3sbDhbH9Cz0tuDiY8C3ctxq1tqvaCgkFb8cCA/edit?usp=sharing"",""กาฬสินธุ์!M459"")"),46150.0)</f>
        <v>46150</v>
      </c>
      <c r="O564" s="406">
        <f t="shared" ref="O564:O568" si="123">+IF(L564&gt;0,N564*100/L564,0)</f>
        <v>32.26370246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IFERROR(__xludf.DUMMYFUNCTION("IMPORTRANGE(""https://docs.google.com/spreadsheets/d/1XL5vhW3sbDhbH9Cz0tuDiY8C3ctxq1tqvaCgkFb8cCA/edit?usp=sharing"",""กาฬสินธุ์!L460"")"),0.0)</f>
        <v>0</v>
      </c>
      <c r="M565" s="197"/>
      <c r="N565" s="203">
        <f>IFERROR(__xludf.DUMMYFUNCTION("IMPORTRANGE(""https://docs.google.com/spreadsheets/d/1XL5vhW3sbDhbH9Cz0tuDiY8C3ctxq1tqvaCgkFb8cCA/edit?usp=sharing"",""กาฬสินธุ์!M460"")"),0.0)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IFERROR(__xludf.DUMMYFUNCTION("IMPORTRANGE(""https://docs.google.com/spreadsheets/d/1XL5vhW3sbDhbH9Cz0tuDiY8C3ctxq1tqvaCgkFb8cCA/edit?usp=sharing"",""กาฬสินธุ์!L461"")"),143040.0)</f>
        <v>143040</v>
      </c>
      <c r="M566" s="198"/>
      <c r="N566" s="203">
        <f>IFERROR(__xludf.DUMMYFUNCTION("IMPORTRANGE(""https://docs.google.com/spreadsheets/d/1XL5vhW3sbDhbH9Cz0tuDiY8C3ctxq1tqvaCgkFb8cCA/edit?usp=sharing"",""กาฬสินธุ์!M461"")"),46150.0)</f>
        <v>46150</v>
      </c>
      <c r="O566" s="203">
        <f t="shared" si="123"/>
        <v>32.26370246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IFERROR(__xludf.DUMMYFUNCTION("IMPORTRANGE(""https://docs.google.com/spreadsheets/d/1XL5vhW3sbDhbH9Cz0tuDiY8C3ctxq1tqvaCgkFb8cCA/edit?usp=sharing"",""กาฬสินธุ์!L462"")"),0.0)</f>
        <v>0</v>
      </c>
      <c r="M567" s="203"/>
      <c r="N567" s="203">
        <f>IFERROR(__xludf.DUMMYFUNCTION("IMPORTRANGE(""https://docs.google.com/spreadsheets/d/1XL5vhW3sbDhbH9Cz0tuDiY8C3ctxq1tqvaCgkFb8cCA/edit?usp=sharing"",""กาฬสินธุ์!M462"")"),0.0)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IFERROR(__xludf.DUMMYFUNCTION("IMPORTRANGE(""https://docs.google.com/spreadsheets/d/1XL5vhW3sbDhbH9Cz0tuDiY8C3ctxq1tqvaCgkFb8cCA/edit?usp=sharing"",""กาฬสินธุ์!L463"")"),143040.0)</f>
        <v>143040</v>
      </c>
      <c r="M568" s="203"/>
      <c r="N568" s="203">
        <f>IFERROR(__xludf.DUMMYFUNCTION("IMPORTRANGE(""https://docs.google.com/spreadsheets/d/1XL5vhW3sbDhbH9Cz0tuDiY8C3ctxq1tqvaCgkFb8cCA/edit?usp=sharing"",""กาฬสินธุ์!M463"")"),46150.0)</f>
        <v>46150</v>
      </c>
      <c r="O568" s="203">
        <f t="shared" si="123"/>
        <v>32.26370246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IFERROR(__xludf.DUMMYFUNCTION("IMPORTRANGE(""https://docs.google.com/spreadsheets/d/1XL5vhW3sbDhbH9Cz0tuDiY8C3ctxq1tqvaCgkFb8cCA/edit?usp=sharing"",""กาฬสินธุ์!M464"")"),0.0)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IFERROR(__xludf.DUMMYFUNCTION("IMPORTRANGE(""https://docs.google.com/spreadsheets/d/1XL5vhW3sbDhbH9Cz0tuDiY8C3ctxq1tqvaCgkFb8cCA/edit?usp=sharing"",""กาฬสินธุ์!M465"")"),0.0)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IFERROR(__xludf.DUMMYFUNCTION("IMPORTRANGE(""https://docs.google.com/spreadsheets/d/1XL5vhW3sbDhbH9Cz0tuDiY8C3ctxq1tqvaCgkFb8cCA/edit?usp=sharing"",""กาฬสินธุ์!M466"")"),31580.0)</f>
        <v>31580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IFERROR(__xludf.DUMMYFUNCTION("IMPORTRANGE(""https://docs.google.com/spreadsheets/d/1XL5vhW3sbDhbH9Cz0tuDiY8C3ctxq1tqvaCgkFb8cCA/edit?usp=sharing"",""กาฬสินธุ์!M467"")"),14570.0)</f>
        <v>14570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IFERROR(__xludf.DUMMYFUNCTION("IMPORTRANGE(""https://docs.google.com/spreadsheets/d/1XL5vhW3sbDhbH9Cz0tuDiY8C3ctxq1tqvaCgkFb8cCA/edit?usp=sharing"",""กาฬสินธุ์!I468"")"),2300.0)</f>
        <v>2300</v>
      </c>
      <c r="J573" s="453">
        <f>IFERROR(__xludf.DUMMYFUNCTION("IMPORTRANGE(""https://docs.google.com/spreadsheets/d/1XL5vhW3sbDhbH9Cz0tuDiY8C3ctxq1tqvaCgkFb8cCA/edit?usp=sharing"",""กาฬสินธุ์!J468"")"),1313.0)</f>
        <v>1313</v>
      </c>
      <c r="K573" s="236">
        <f>IF(I573&gt;0,J573*100/I573,0)</f>
        <v>57.08695652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IFERROR(__xludf.DUMMYFUNCTION("IMPORTRANGE(""https://docs.google.com/spreadsheets/d/1XL5vhW3sbDhbH9Cz0tuDiY8C3ctxq1tqvaCgkFb8cCA/edit?usp=sharing"",""กาฬสินธุ์!I470"")"),0.0)</f>
        <v>0</v>
      </c>
      <c r="J575" s="232">
        <f>IFERROR(__xludf.DUMMYFUNCTION("IMPORTRANGE(""https://docs.google.com/spreadsheets/d/1XL5vhW3sbDhbH9Cz0tuDiY8C3ctxq1tqvaCgkFb8cCA/edit?usp=sharing"",""กาฬสินธุ์!J470"")"),2.0)</f>
        <v>2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IFERROR(__xludf.DUMMYFUNCTION("IMPORTRANGE(""https://docs.google.com/spreadsheets/d/1XL5vhW3sbDhbH9Cz0tuDiY8C3ctxq1tqvaCgkFb8cCA/edit?usp=sharing"",""กาฬสินธุ์!I471"")"),0.0)</f>
        <v>0</v>
      </c>
      <c r="J576" s="232">
        <f>IFERROR(__xludf.DUMMYFUNCTION("IMPORTRANGE(""https://docs.google.com/spreadsheets/d/1XL5vhW3sbDhbH9Cz0tuDiY8C3ctxq1tqvaCgkFb8cCA/edit?usp=sharing"",""กาฬสินธุ์!J471"")"),31.0)</f>
        <v>31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IFERROR(__xludf.DUMMYFUNCTION("IMPORTRANGE(""https://docs.google.com/spreadsheets/d/1XL5vhW3sbDhbH9Cz0tuDiY8C3ctxq1tqvaCgkFb8cCA/edit?usp=sharing"",""กาฬสินธุ์!I472"")"),0.0)</f>
        <v>0</v>
      </c>
      <c r="J577" s="223">
        <f>IFERROR(__xludf.DUMMYFUNCTION("IMPORTRANGE(""https://docs.google.com/spreadsheets/d/1XL5vhW3sbDhbH9Cz0tuDiY8C3ctxq1tqvaCgkFb8cCA/edit?usp=sharing"",""กาฬสินธุ์!J472"")"),1282.0)</f>
        <v>1282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IFERROR(__xludf.DUMMYFUNCTION("IMPORTRANGE(""https://docs.google.com/spreadsheets/d/1XL5vhW3sbDhbH9Cz0tuDiY8C3ctxq1tqvaCgkFb8cCA/edit?usp=sharing"",""กาฬสินธุ์!I473"")"),0.0)</f>
        <v>0</v>
      </c>
      <c r="J578" s="232">
        <f>IFERROR(__xludf.DUMMYFUNCTION("IMPORTRANGE(""https://docs.google.com/spreadsheets/d/1XL5vhW3sbDhbH9Cz0tuDiY8C3ctxq1tqvaCgkFb8cCA/edit?usp=sharing"",""กาฬสินธุ์!J473"")"),0.0)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IFERROR(__xludf.DUMMYFUNCTION("IMPORTRANGE(""https://docs.google.com/spreadsheets/d/1XL5vhW3sbDhbH9Cz0tuDiY8C3ctxq1tqvaCgkFb8cCA/edit?usp=sharing"",""กาฬสินธุ์!I474"")"),0.0)</f>
        <v>0</v>
      </c>
      <c r="J579" s="232">
        <f>IFERROR(__xludf.DUMMYFUNCTION("IMPORTRANGE(""https://docs.google.com/spreadsheets/d/1XL5vhW3sbDhbH9Cz0tuDiY8C3ctxq1tqvaCgkFb8cCA/edit?usp=sharing"",""กาฬสินธุ์!J474"")"),0.0)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IFERROR(__xludf.DUMMYFUNCTION("IMPORTRANGE(""https://docs.google.com/spreadsheets/d/1XL5vhW3sbDhbH9Cz0tuDiY8C3ctxq1tqvaCgkFb8cCA/edit?usp=sharing"",""กาฬสินธุ์!I475"")"),30.0)</f>
        <v>30</v>
      </c>
      <c r="J580" s="404">
        <f>IFERROR(__xludf.DUMMYFUNCTION("IMPORTRANGE(""https://docs.google.com/spreadsheets/d/1XL5vhW3sbDhbH9Cz0tuDiY8C3ctxq1tqvaCgkFb8cCA/edit?usp=sharing"",""กาฬสินธุ์!J475"")"),0.0)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IFERROR(__xludf.DUMMYFUNCTION("IMPORTRANGE(""https://docs.google.com/spreadsheets/d/1XL5vhW3sbDhbH9Cz0tuDiY8C3ctxq1tqvaCgkFb8cCA/edit?usp=sharing"",""กาฬสินธุ์!L475"")"),148830.0)</f>
        <v>148830</v>
      </c>
      <c r="M580" s="406"/>
      <c r="N580" s="406">
        <f>IFERROR(__xludf.DUMMYFUNCTION("IMPORTRANGE(""https://docs.google.com/spreadsheets/d/1XL5vhW3sbDhbH9Cz0tuDiY8C3ctxq1tqvaCgkFb8cCA/edit?usp=sharing"",""กาฬสินธุ์!M475"")"),0.0)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IFERROR(__xludf.DUMMYFUNCTION("IMPORTRANGE(""https://docs.google.com/spreadsheets/d/1XL5vhW3sbDhbH9Cz0tuDiY8C3ctxq1tqvaCgkFb8cCA/edit?usp=sharing"",""กาฬสินธุ์!L476"")"),0.0)</f>
        <v>0</v>
      </c>
      <c r="M581" s="197"/>
      <c r="N581" s="203">
        <f>IFERROR(__xludf.DUMMYFUNCTION("IMPORTRANGE(""https://docs.google.com/spreadsheets/d/1XL5vhW3sbDhbH9Cz0tuDiY8C3ctxq1tqvaCgkFb8cCA/edit?usp=sharing"",""กาฬสินธุ์!M476"")"),0.0)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IFERROR(__xludf.DUMMYFUNCTION("IMPORTRANGE(""https://docs.google.com/spreadsheets/d/1XL5vhW3sbDhbH9Cz0tuDiY8C3ctxq1tqvaCgkFb8cCA/edit?usp=sharing"",""กาฬสินธุ์!L477"")"),148830.0)</f>
        <v>148830</v>
      </c>
      <c r="M582" s="198"/>
      <c r="N582" s="203">
        <f>IFERROR(__xludf.DUMMYFUNCTION("IMPORTRANGE(""https://docs.google.com/spreadsheets/d/1XL5vhW3sbDhbH9Cz0tuDiY8C3ctxq1tqvaCgkFb8cCA/edit?usp=sharing"",""กาฬสินธุ์!M477"")"),0.0)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IFERROR(__xludf.DUMMYFUNCTION("IMPORTRANGE(""https://docs.google.com/spreadsheets/d/1XL5vhW3sbDhbH9Cz0tuDiY8C3ctxq1tqvaCgkFb8cCA/edit?usp=sharing"",""กาฬสินธุ์!L478"")"),0.0)</f>
        <v>0</v>
      </c>
      <c r="M583" s="203"/>
      <c r="N583" s="203">
        <f>IFERROR(__xludf.DUMMYFUNCTION("IMPORTRANGE(""https://docs.google.com/spreadsheets/d/1XL5vhW3sbDhbH9Cz0tuDiY8C3ctxq1tqvaCgkFb8cCA/edit?usp=sharing"",""กาฬสินธุ์!M478"")"),0.0)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IFERROR(__xludf.DUMMYFUNCTION("IMPORTRANGE(""https://docs.google.com/spreadsheets/d/1XL5vhW3sbDhbH9Cz0tuDiY8C3ctxq1tqvaCgkFb8cCA/edit?usp=sharing"",""กาฬสินธุ์!L479"")"),148830.0)</f>
        <v>148830</v>
      </c>
      <c r="M584" s="203"/>
      <c r="N584" s="203">
        <f>IFERROR(__xludf.DUMMYFUNCTION("IMPORTRANGE(""https://docs.google.com/spreadsheets/d/1XL5vhW3sbDhbH9Cz0tuDiY8C3ctxq1tqvaCgkFb8cCA/edit?usp=sharing"",""กาฬสินธุ์!M479"")"),0.0)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IFERROR(__xludf.DUMMYFUNCTION("IMPORTRANGE(""https://docs.google.com/spreadsheets/d/1XL5vhW3sbDhbH9Cz0tuDiY8C3ctxq1tqvaCgkFb8cCA/edit?usp=sharing"",""กาฬสินธุ์!M480"")"),0.0)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IFERROR(__xludf.DUMMYFUNCTION("IMPORTRANGE(""https://docs.google.com/spreadsheets/d/1XL5vhW3sbDhbH9Cz0tuDiY8C3ctxq1tqvaCgkFb8cCA/edit?usp=sharing"",""กาฬสินธุ์!M481"")"),0.0)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IFERROR(__xludf.DUMMYFUNCTION("IMPORTRANGE(""https://docs.google.com/spreadsheets/d/1XL5vhW3sbDhbH9Cz0tuDiY8C3ctxq1tqvaCgkFb8cCA/edit?usp=sharing"",""กาฬสินธุ์!M482"")"),0.0)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IFERROR(__xludf.DUMMYFUNCTION("IMPORTRANGE(""https://docs.google.com/spreadsheets/d/1XL5vhW3sbDhbH9Cz0tuDiY8C3ctxq1tqvaCgkFb8cCA/edit?usp=sharing"",""กาฬสินธุ์!M483"")"),0.0)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IFERROR(__xludf.DUMMYFUNCTION("IMPORTRANGE(""https://docs.google.com/spreadsheets/d/1XL5vhW3sbDhbH9Cz0tuDiY8C3ctxq1tqvaCgkFb8cCA/edit?usp=sharing"",""กาฬสินธุ์!I484"")"),30.0)</f>
        <v>30</v>
      </c>
      <c r="J589" s="222">
        <f>IFERROR(__xludf.DUMMYFUNCTION("IMPORTRANGE(""https://docs.google.com/spreadsheets/d/1XL5vhW3sbDhbH9Cz0tuDiY8C3ctxq1tqvaCgkFb8cCA/edit?usp=sharing"",""กาฬสินธุ์!J484"")"),0.0)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IFERROR(__xludf.DUMMYFUNCTION("IMPORTRANGE(""https://docs.google.com/spreadsheets/d/1XL5vhW3sbDhbH9Cz0tuDiY8C3ctxq1tqvaCgkFb8cCA/edit?usp=sharing"",""กาฬสินธุ์!I485"")"),0.0)</f>
        <v>0</v>
      </c>
      <c r="J590" s="222">
        <f>IFERROR(__xludf.DUMMYFUNCTION("IMPORTRANGE(""https://docs.google.com/spreadsheets/d/1XL5vhW3sbDhbH9Cz0tuDiY8C3ctxq1tqvaCgkFb8cCA/edit?usp=sharing"",""กาฬสินธุ์!J485"")"),0.0)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IFERROR(__xludf.DUMMYFUNCTION("IMPORTRANGE(""https://docs.google.com/spreadsheets/d/1XL5vhW3sbDhbH9Cz0tuDiY8C3ctxq1tqvaCgkFb8cCA/edit?usp=sharing"",""กาฬสินธุ์!I486"")"),30.0)</f>
        <v>30</v>
      </c>
      <c r="J591" s="222">
        <f>IFERROR(__xludf.DUMMYFUNCTION("IMPORTRANGE(""https://docs.google.com/spreadsheets/d/1XL5vhW3sbDhbH9Cz0tuDiY8C3ctxq1tqvaCgkFb8cCA/edit?usp=sharing"",""กาฬสินธุ์!J486"")"),2.0)</f>
        <v>2</v>
      </c>
      <c r="K591" s="196">
        <f t="shared" si="126"/>
        <v>6.666666667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IFERROR(__xludf.DUMMYFUNCTION("IMPORTRANGE(""https://docs.google.com/spreadsheets/d/1XL5vhW3sbDhbH9Cz0tuDiY8C3ctxq1tqvaCgkFb8cCA/edit?usp=sharing"",""กาฬสินธุ์!I487"")"),0.0)</f>
        <v>0</v>
      </c>
      <c r="J592" s="222">
        <f>IFERROR(__xludf.DUMMYFUNCTION("IMPORTRANGE(""https://docs.google.com/spreadsheets/d/1XL5vhW3sbDhbH9Cz0tuDiY8C3ctxq1tqvaCgkFb8cCA/edit?usp=sharing"",""กาฬสินธุ์!J487"")"),0.96)</f>
        <v>0.96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IFERROR(__xludf.DUMMYFUNCTION("IMPORTRANGE(""https://docs.google.com/spreadsheets/d/1XL5vhW3sbDhbH9Cz0tuDiY8C3ctxq1tqvaCgkFb8cCA/edit?usp=sharing"",""กาฬสินธุ์!I488"")"),30.0)</f>
        <v>30</v>
      </c>
      <c r="J593" s="222">
        <f>IFERROR(__xludf.DUMMYFUNCTION("IMPORTRANGE(""https://docs.google.com/spreadsheets/d/1XL5vhW3sbDhbH9Cz0tuDiY8C3ctxq1tqvaCgkFb8cCA/edit?usp=sharing"",""กาฬสินธุ์!J488"")"),0.0)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IFERROR(__xludf.DUMMYFUNCTION("IMPORTRANGE(""https://docs.google.com/spreadsheets/d/1XL5vhW3sbDhbH9Cz0tuDiY8C3ctxq1tqvaCgkFb8cCA/edit?usp=sharing"",""กาฬสินธุ์!I489"")"),0.0)</f>
        <v>0</v>
      </c>
      <c r="J594" s="222">
        <f>IFERROR(__xludf.DUMMYFUNCTION("IMPORTRANGE(""https://docs.google.com/spreadsheets/d/1XL5vhW3sbDhbH9Cz0tuDiY8C3ctxq1tqvaCgkFb8cCA/edit?usp=sharing"",""กาฬสินธุ์!J489"")"),0.0)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IFERROR(__xludf.DUMMYFUNCTION("IMPORTRANGE(""https://docs.google.com/spreadsheets/d/1XL5vhW3sbDhbH9Cz0tuDiY8C3ctxq1tqvaCgkFb8cCA/edit?usp=sharing"",""กาฬสินธุ์!I490"")"),30.0)</f>
        <v>30</v>
      </c>
      <c r="J595" s="222">
        <f>IFERROR(__xludf.DUMMYFUNCTION("IMPORTRANGE(""https://docs.google.com/spreadsheets/d/1XL5vhW3sbDhbH9Cz0tuDiY8C3ctxq1tqvaCgkFb8cCA/edit?usp=sharing"",""กาฬสินธุ์!J490"")"),0.0)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IFERROR(__xludf.DUMMYFUNCTION("IMPORTRANGE(""https://docs.google.com/spreadsheets/d/1XL5vhW3sbDhbH9Cz0tuDiY8C3ctxq1tqvaCgkFb8cCA/edit?usp=sharing"",""กาฬสินธุ์!I491"")"),0.0)</f>
        <v>0</v>
      </c>
      <c r="J596" s="275">
        <f>IFERROR(__xludf.DUMMYFUNCTION("IMPORTRANGE(""https://docs.google.com/spreadsheets/d/1XL5vhW3sbDhbH9Cz0tuDiY8C3ctxq1tqvaCgkFb8cCA/edit?usp=sharing"",""กาฬสินธุ์!J491"")"),0.0)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IFERROR(__xludf.DUMMYFUNCTION("IMPORTRANGE(""https://docs.google.com/spreadsheets/d/1XL5vhW3sbDhbH9Cz0tuDiY8C3ctxq1tqvaCgkFb8cCA/edit?usp=sharing"",""กาฬสินธุ์!I492"")"),50.0)</f>
        <v>50</v>
      </c>
      <c r="J597" s="520">
        <f>IFERROR(__xludf.DUMMYFUNCTION("IMPORTRANGE(""https://docs.google.com/spreadsheets/d/1XL5vhW3sbDhbH9Cz0tuDiY8C3ctxq1tqvaCgkFb8cCA/edit?usp=sharing"",""กาฬสินธุ์!J492"")"),0.0)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IFERROR(__xludf.DUMMYFUNCTION("IMPORTRANGE(""https://docs.google.com/spreadsheets/d/1XL5vhW3sbDhbH9Cz0tuDiY8C3ctxq1tqvaCgkFb8cCA/edit?usp=sharing"",""กาฬสินธุ์!L492"")"),4550.0)</f>
        <v>4550</v>
      </c>
      <c r="M597" s="445"/>
      <c r="N597" s="445">
        <f>IFERROR(__xludf.DUMMYFUNCTION("IMPORTRANGE(""https://docs.google.com/spreadsheets/d/1XL5vhW3sbDhbH9Cz0tuDiY8C3ctxq1tqvaCgkFb8cCA/edit?usp=sharing"",""กาฬสินธุ์!M492"")"),1400.0)</f>
        <v>1400</v>
      </c>
      <c r="O597" s="445">
        <f t="shared" ref="O597:O601" si="127">+IF(L597&gt;0,N597*100/L597,0)</f>
        <v>30.76923077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IFERROR(__xludf.DUMMYFUNCTION("IMPORTRANGE(""https://docs.google.com/spreadsheets/d/1XL5vhW3sbDhbH9Cz0tuDiY8C3ctxq1tqvaCgkFb8cCA/edit?usp=sharing"",""กาฬสินธุ์!L493"")"),0.0)</f>
        <v>0</v>
      </c>
      <c r="M598" s="197"/>
      <c r="N598" s="203">
        <f>IFERROR(__xludf.DUMMYFUNCTION("IMPORTRANGE(""https://docs.google.com/spreadsheets/d/1XL5vhW3sbDhbH9Cz0tuDiY8C3ctxq1tqvaCgkFb8cCA/edit?usp=sharing"",""กาฬสินธุ์!M493"")"),0.0)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IFERROR(__xludf.DUMMYFUNCTION("IMPORTRANGE(""https://docs.google.com/spreadsheets/d/1XL5vhW3sbDhbH9Cz0tuDiY8C3ctxq1tqvaCgkFb8cCA/edit?usp=sharing"",""กาฬสินธุ์!L494"")"),4550.0)</f>
        <v>4550</v>
      </c>
      <c r="M599" s="198"/>
      <c r="N599" s="203">
        <f>IFERROR(__xludf.DUMMYFUNCTION("IMPORTRANGE(""https://docs.google.com/spreadsheets/d/1XL5vhW3sbDhbH9Cz0tuDiY8C3ctxq1tqvaCgkFb8cCA/edit?usp=sharing"",""กาฬสินธุ์!M494"")"),1400.0)</f>
        <v>1400</v>
      </c>
      <c r="O599" s="203">
        <f t="shared" si="127"/>
        <v>30.76923077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IFERROR(__xludf.DUMMYFUNCTION("IMPORTRANGE(""https://docs.google.com/spreadsheets/d/1XL5vhW3sbDhbH9Cz0tuDiY8C3ctxq1tqvaCgkFb8cCA/edit?usp=sharing"",""กาฬสินธุ์!L495"")"),0.0)</f>
        <v>0</v>
      </c>
      <c r="M600" s="203"/>
      <c r="N600" s="203">
        <f>IFERROR(__xludf.DUMMYFUNCTION("IMPORTRANGE(""https://docs.google.com/spreadsheets/d/1XL5vhW3sbDhbH9Cz0tuDiY8C3ctxq1tqvaCgkFb8cCA/edit?usp=sharing"",""กาฬสินธุ์!M495"")"),0.0)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IFERROR(__xludf.DUMMYFUNCTION("IMPORTRANGE(""https://docs.google.com/spreadsheets/d/1XL5vhW3sbDhbH9Cz0tuDiY8C3ctxq1tqvaCgkFb8cCA/edit?usp=sharing"",""กาฬสินธุ์!L496"")"),4550.0)</f>
        <v>4550</v>
      </c>
      <c r="M601" s="203"/>
      <c r="N601" s="203">
        <f>IFERROR(__xludf.DUMMYFUNCTION("IMPORTRANGE(""https://docs.google.com/spreadsheets/d/1XL5vhW3sbDhbH9Cz0tuDiY8C3ctxq1tqvaCgkFb8cCA/edit?usp=sharing"",""กาฬสินธุ์!M496"")"),1400.0)</f>
        <v>1400</v>
      </c>
      <c r="O601" s="203">
        <f t="shared" si="127"/>
        <v>30.76923077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IFERROR(__xludf.DUMMYFUNCTION("IMPORTRANGE(""https://docs.google.com/spreadsheets/d/1XL5vhW3sbDhbH9Cz0tuDiY8C3ctxq1tqvaCgkFb8cCA/edit?usp=sharing"",""กาฬสินธุ์!M497"")"),0.0)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IFERROR(__xludf.DUMMYFUNCTION("IMPORTRANGE(""https://docs.google.com/spreadsheets/d/1XL5vhW3sbDhbH9Cz0tuDiY8C3ctxq1tqvaCgkFb8cCA/edit?usp=sharing"",""กาฬสินธุ์!M498"")"),0.0)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IFERROR(__xludf.DUMMYFUNCTION("IMPORTRANGE(""https://docs.google.com/spreadsheets/d/1XL5vhW3sbDhbH9Cz0tuDiY8C3ctxq1tqvaCgkFb8cCA/edit?usp=sharing"",""กาฬสินธุ์!M499"")"),0.0)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IFERROR(__xludf.DUMMYFUNCTION("IMPORTRANGE(""https://docs.google.com/spreadsheets/d/1XL5vhW3sbDhbH9Cz0tuDiY8C3ctxq1tqvaCgkFb8cCA/edit?usp=sharing"",""กาฬสินธุ์!M500"")"),1400.0)</f>
        <v>1400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IFERROR(__xludf.DUMMYFUNCTION("IMPORTRANGE(""https://docs.google.com/spreadsheets/d/1XL5vhW3sbDhbH9Cz0tuDiY8C3ctxq1tqvaCgkFb8cCA/edit?usp=sharing"",""กาฬสินธุ์!J502"")"),0.0)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IFERROR(__xludf.DUMMYFUNCTION("IMPORTRANGE(""https://docs.google.com/spreadsheets/d/1XL5vhW3sbDhbH9Cz0tuDiY8C3ctxq1tqvaCgkFb8cCA/edit?usp=sharing"",""กาฬสินธุ์!J503"")"),1.0)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IFERROR(__xludf.DUMMYFUNCTION("IMPORTRANGE(""https://docs.google.com/spreadsheets/d/1XL5vhW3sbDhbH9Cz0tuDiY8C3ctxq1tqvaCgkFb8cCA/edit?usp=sharing"",""กาฬสินธุ์!J166"")"),0.0)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IFERROR(__xludf.DUMMYFUNCTION("IMPORTRANGE(""https://docs.google.com/spreadsheets/d/1XL5vhW3sbDhbH9Cz0tuDiY8C3ctxq1tqvaCgkFb8cCA/edit?usp=sharing"",""กาฬสินธุ์!J166"")"),0.0)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IFERROR(__xludf.DUMMYFUNCTION("IMPORTRANGE(""https://docs.google.com/spreadsheets/d/1XL5vhW3sbDhbH9Cz0tuDiY8C3ctxq1tqvaCgkFb8cCA/edit?usp=sharing"",""กาฬสินธุ์!I506"")"),50.0)</f>
        <v>50</v>
      </c>
      <c r="J611" s="195">
        <f>IFERROR(__xludf.DUMMYFUNCTION("IMPORTRANGE(""https://docs.google.com/spreadsheets/d/1XL5vhW3sbDhbH9Cz0tuDiY8C3ctxq1tqvaCgkFb8cCA/edit?usp=sharing"",""กาฬสินธุ์!J506"")"),0.0)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IFERROR(__xludf.DUMMYFUNCTION("IMPORTRANGE(""https://docs.google.com/spreadsheets/d/1XL5vhW3sbDhbH9Cz0tuDiY8C3ctxq1tqvaCgkFb8cCA/edit?usp=sharing"",""กาฬสินธุ์!I507"")"),0.0)</f>
        <v>0</v>
      </c>
      <c r="J612" s="232">
        <f>IFERROR(__xludf.DUMMYFUNCTION("IMPORTRANGE(""https://docs.google.com/spreadsheets/d/1XL5vhW3sbDhbH9Cz0tuDiY8C3ctxq1tqvaCgkFb8cCA/edit?usp=sharing"",""กาฬสินธุ์!J507"")"),0.0)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IFERROR(__xludf.DUMMYFUNCTION("IMPORTRANGE(""https://docs.google.com/spreadsheets/d/1XL5vhW3sbDhbH9Cz0tuDiY8C3ctxq1tqvaCgkFb8cCA/edit?usp=sharing"",""กาฬสินธุ์!I508"")"),0.0)</f>
        <v>0</v>
      </c>
      <c r="J613" s="232">
        <f>IFERROR(__xludf.DUMMYFUNCTION("IMPORTRANGE(""https://docs.google.com/spreadsheets/d/1XL5vhW3sbDhbH9Cz0tuDiY8C3ctxq1tqvaCgkFb8cCA/edit?usp=sharing"",""กาฬสินธุ์!J508"")"),0.0)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IFERROR(__xludf.DUMMYFUNCTION("IMPORTRANGE(""https://docs.google.com/spreadsheets/d/1XL5vhW3sbDhbH9Cz0tuDiY8C3ctxq1tqvaCgkFb8cCA/edit?usp=sharing"",""กาฬสินธุ์!I509"")"),0.0)</f>
        <v>0</v>
      </c>
      <c r="J614" s="232">
        <f>IFERROR(__xludf.DUMMYFUNCTION("IMPORTRANGE(""https://docs.google.com/spreadsheets/d/1XL5vhW3sbDhbH9Cz0tuDiY8C3ctxq1tqvaCgkFb8cCA/edit?usp=sharing"",""กาฬสินธุ์!J509"")"),0.0)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IFERROR(__xludf.DUMMYFUNCTION("IMPORTRANGE(""https://docs.google.com/spreadsheets/d/1XL5vhW3sbDhbH9Cz0tuDiY8C3ctxq1tqvaCgkFb8cCA/edit?usp=sharing"",""กาฬสินธุ์!I510"")"),0.0)</f>
        <v>0</v>
      </c>
      <c r="J615" s="232">
        <f>IFERROR(__xludf.DUMMYFUNCTION("IMPORTRANGE(""https://docs.google.com/spreadsheets/d/1XL5vhW3sbDhbH9Cz0tuDiY8C3ctxq1tqvaCgkFb8cCA/edit?usp=sharing"",""กาฬสินธุ์!J510"")"),0.0)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IFERROR(__xludf.DUMMYFUNCTION("IMPORTRANGE(""https://docs.google.com/spreadsheets/d/1XL5vhW3sbDhbH9Cz0tuDiY8C3ctxq1tqvaCgkFb8cCA/edit?usp=sharing"",""กาฬสินธุ์!I511"")"),0.0)</f>
        <v>0</v>
      </c>
      <c r="J616" s="232">
        <f>IFERROR(__xludf.DUMMYFUNCTION("IMPORTRANGE(""https://docs.google.com/spreadsheets/d/1XL5vhW3sbDhbH9Cz0tuDiY8C3ctxq1tqvaCgkFb8cCA/edit?usp=sharing"",""กาฬสินธุ์!J511"")"),0.0)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IFERROR(__xludf.DUMMYFUNCTION("IMPORTRANGE(""https://docs.google.com/spreadsheets/d/1XL5vhW3sbDhbH9Cz0tuDiY8C3ctxq1tqvaCgkFb8cCA/edit?usp=sharing"",""กาฬสินธุ์!I512"")"),0.0)</f>
        <v>0</v>
      </c>
      <c r="J617" s="222">
        <f>IFERROR(__xludf.DUMMYFUNCTION("IMPORTRANGE(""https://docs.google.com/spreadsheets/d/1XL5vhW3sbDhbH9Cz0tuDiY8C3ctxq1tqvaCgkFb8cCA/edit?usp=sharing"",""กาฬสินธุ์!J512"")"),0.0)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IFERROR(__xludf.DUMMYFUNCTION("IMPORTRANGE(""https://docs.google.com/spreadsheets/d/1XL5vhW3sbDhbH9Cz0tuDiY8C3ctxq1tqvaCgkFb8cCA/edit?usp=sharing"",""กาฬสินธุ์!I513"")"),0.0)</f>
        <v>0</v>
      </c>
      <c r="J618" s="223">
        <f>IFERROR(__xludf.DUMMYFUNCTION("IMPORTRANGE(""https://docs.google.com/spreadsheets/d/1XL5vhW3sbDhbH9Cz0tuDiY8C3ctxq1tqvaCgkFb8cCA/edit?usp=sharing"",""กาฬสินธุ์!J513"")"),0.0)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IFERROR(__xludf.DUMMYFUNCTION("IMPORTRANGE(""https://docs.google.com/spreadsheets/d/1XL5vhW3sbDhbH9Cz0tuDiY8C3ctxq1tqvaCgkFb8cCA/edit?usp=sharing"",""กาฬสินธุ์!I514"")"),0.0)</f>
        <v>0</v>
      </c>
      <c r="J619" s="223">
        <f>IFERROR(__xludf.DUMMYFUNCTION("IMPORTRANGE(""https://docs.google.com/spreadsheets/d/1XL5vhW3sbDhbH9Cz0tuDiY8C3ctxq1tqvaCgkFb8cCA/edit?usp=sharing"",""กาฬสินธุ์!J514"")"),0.0)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IFERROR(__xludf.DUMMYFUNCTION("IMPORTRANGE(""https://docs.google.com/spreadsheets/d/1XL5vhW3sbDhbH9Cz0tuDiY8C3ctxq1tqvaCgkFb8cCA/edit?usp=sharing"",""กาฬสินธุ์!I515"")"),0.0)</f>
        <v>0</v>
      </c>
      <c r="J620" s="237">
        <f>IFERROR(__xludf.DUMMYFUNCTION("IMPORTRANGE(""https://docs.google.com/spreadsheets/d/1XL5vhW3sbDhbH9Cz0tuDiY8C3ctxq1tqvaCgkFb8cCA/edit?usp=sharing"",""กาฬสินธุ์!J515"")"),0.0)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IFERROR(__xludf.DUMMYFUNCTION("IMPORTRANGE(""https://docs.google.com/spreadsheets/d/1XL5vhW3sbDhbH9Cz0tuDiY8C3ctxq1tqvaCgkFb8cCA/edit?usp=sharing"",""กาฬสินธุ์!I516"")"),0.0)</f>
        <v>0</v>
      </c>
      <c r="J621" s="237">
        <f>IFERROR(__xludf.DUMMYFUNCTION("IMPORTRANGE(""https://docs.google.com/spreadsheets/d/1XL5vhW3sbDhbH9Cz0tuDiY8C3ctxq1tqvaCgkFb8cCA/edit?usp=sharing"",""กาฬสินธุ์!J516"")"),0.0)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IFERROR(__xludf.DUMMYFUNCTION("IMPORTRANGE(""https://docs.google.com/spreadsheets/d/1XL5vhW3sbDhbH9Cz0tuDiY8C3ctxq1tqvaCgkFb8cCA/edit?usp=sharing"",""กาฬสินธุ์!I517"")"),0.0)</f>
        <v>0</v>
      </c>
      <c r="J622" s="223">
        <f>IFERROR(__xludf.DUMMYFUNCTION("IMPORTRANGE(""https://docs.google.com/spreadsheets/d/1XL5vhW3sbDhbH9Cz0tuDiY8C3ctxq1tqvaCgkFb8cCA/edit?usp=sharing"",""กาฬสินธุ์!J517"")"),0.0)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IFERROR(__xludf.DUMMYFUNCTION("IMPORTRANGE(""https://docs.google.com/spreadsheets/d/1XL5vhW3sbDhbH9Cz0tuDiY8C3ctxq1tqvaCgkFb8cCA/edit?usp=sharing"",""กาฬสินธุ์!I518"")"),0.0)</f>
        <v>0</v>
      </c>
      <c r="J623" s="223">
        <f>IFERROR(__xludf.DUMMYFUNCTION("IMPORTRANGE(""https://docs.google.com/spreadsheets/d/1XL5vhW3sbDhbH9Cz0tuDiY8C3ctxq1tqvaCgkFb8cCA/edit?usp=sharing"",""กาฬสินธุ์!J518"")"),0.0)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IFERROR(__xludf.DUMMYFUNCTION("IMPORTRANGE(""https://docs.google.com/spreadsheets/d/1XL5vhW3sbDhbH9Cz0tuDiY8C3ctxq1tqvaCgkFb8cCA/edit?usp=sharing"",""กาฬสินธุ์!I519"")"),0.0)</f>
        <v>0</v>
      </c>
      <c r="J624" s="222">
        <f>IFERROR(__xludf.DUMMYFUNCTION("IMPORTRANGE(""https://docs.google.com/spreadsheets/d/1XL5vhW3sbDhbH9Cz0tuDiY8C3ctxq1tqvaCgkFb8cCA/edit?usp=sharing"",""กาฬสินธุ์!J519"")"),0.0)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IFERROR(__xludf.DUMMYFUNCTION("IMPORTRANGE(""https://docs.google.com/spreadsheets/d/1XL5vhW3sbDhbH9Cz0tuDiY8C3ctxq1tqvaCgkFb8cCA/edit?usp=sharing"",""กาฬสินธุ์!I520"")"),0.0)</f>
        <v>0</v>
      </c>
      <c r="J625" s="223">
        <f>IFERROR(__xludf.DUMMYFUNCTION("IMPORTRANGE(""https://docs.google.com/spreadsheets/d/1XL5vhW3sbDhbH9Cz0tuDiY8C3ctxq1tqvaCgkFb8cCA/edit?usp=sharing"",""กาฬสินธุ์!J520"")"),0.0)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IFERROR(__xludf.DUMMYFUNCTION("IMPORTRANGE(""https://docs.google.com/spreadsheets/d/1XL5vhW3sbDhbH9Cz0tuDiY8C3ctxq1tqvaCgkFb8cCA/edit?usp=sharing"",""กาฬสินธุ์!I521"")"),0.0)</f>
        <v>0</v>
      </c>
      <c r="J626" s="223">
        <f>IFERROR(__xludf.DUMMYFUNCTION("IMPORTRANGE(""https://docs.google.com/spreadsheets/d/1XL5vhW3sbDhbH9Cz0tuDiY8C3ctxq1tqvaCgkFb8cCA/edit?usp=sharing"",""กาฬสินธุ์!J521"")"),0.0)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IFERROR(__xludf.DUMMYFUNCTION("IMPORTRANGE(""https://docs.google.com/spreadsheets/d/1XL5vhW3sbDhbH9Cz0tuDiY8C3ctxq1tqvaCgkFb8cCA/edit?usp=sharing"",""กาฬสินธุ์!I523"")"),2687324.86)</f>
        <v>2687324.86</v>
      </c>
      <c r="J628" s="374">
        <f>IFERROR(__xludf.DUMMYFUNCTION("IMPORTRANGE(""https://docs.google.com/spreadsheets/d/1XL5vhW3sbDhbH9Cz0tuDiY8C3ctxq1tqvaCgkFb8cCA/edit?usp=sharing"",""กาฬสินธุ์!J523"")"),60000.0)</f>
        <v>60000</v>
      </c>
      <c r="K628" s="375">
        <f t="shared" ref="K628:K635" si="130">IF(I628&gt;0,J628*100/I628,0)</f>
        <v>2.232703641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IFERROR(__xludf.DUMMYFUNCTION("IMPORTRANGE(""https://docs.google.com/spreadsheets/d/1XL5vhW3sbDhbH9Cz0tuDiY8C3ctxq1tqvaCgkFb8cCA/edit?usp=sharing"",""กาฬสินธุ์!I524"")"),180.0)</f>
        <v>180</v>
      </c>
      <c r="J629" s="374">
        <f>IFERROR(__xludf.DUMMYFUNCTION("IMPORTRANGE(""https://docs.google.com/spreadsheets/d/1XL5vhW3sbDhbH9Cz0tuDiY8C3ctxq1tqvaCgkFb8cCA/edit?usp=sharing"",""กาฬสินธุ์!J524"")"),3.0)</f>
        <v>3</v>
      </c>
      <c r="K629" s="375">
        <f t="shared" si="130"/>
        <v>1.666666667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IFERROR(__xludf.DUMMYFUNCTION("IMPORTRANGE(""https://docs.google.com/spreadsheets/d/1XL5vhW3sbDhbH9Cz0tuDiY8C3ctxq1tqvaCgkFb8cCA/edit?usp=sharing"",""กาฬสินธุ์!I525"")"),1.336008906E7)</f>
        <v>13360089.06</v>
      </c>
      <c r="J630" s="374">
        <f>IFERROR(__xludf.DUMMYFUNCTION("IMPORTRANGE(""https://docs.google.com/spreadsheets/d/1XL5vhW3sbDhbH9Cz0tuDiY8C3ctxq1tqvaCgkFb8cCA/edit?usp=sharing"",""กาฬสินธุ์!J525"")"),569582.98)</f>
        <v>569582.98</v>
      </c>
      <c r="K630" s="375">
        <f t="shared" si="130"/>
        <v>4.263317239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IFERROR(__xludf.DUMMYFUNCTION("IMPORTRANGE(""https://docs.google.com/spreadsheets/d/1XL5vhW3sbDhbH9Cz0tuDiY8C3ctxq1tqvaCgkFb8cCA/edit?usp=sharing"",""กาฬสินธุ์!I526"")"),620.0)</f>
        <v>620</v>
      </c>
      <c r="J631" s="374">
        <f>IFERROR(__xludf.DUMMYFUNCTION("IMPORTRANGE(""https://docs.google.com/spreadsheets/d/1XL5vhW3sbDhbH9Cz0tuDiY8C3ctxq1tqvaCgkFb8cCA/edit?usp=sharing"",""กาฬสินธุ์!J526"")"),86.0)</f>
        <v>86</v>
      </c>
      <c r="K631" s="375">
        <f t="shared" si="130"/>
        <v>13.87096774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IFERROR(__xludf.DUMMYFUNCTION("IMPORTRANGE(""https://docs.google.com/spreadsheets/d/1XL5vhW3sbDhbH9Cz0tuDiY8C3ctxq1tqvaCgkFb8cCA/edit?usp=sharing"",""กาฬสินธุ์!I527"")"),2690483.62)</f>
        <v>2690483.62</v>
      </c>
      <c r="J632" s="374">
        <f>IFERROR(__xludf.DUMMYFUNCTION("IMPORTRANGE(""https://docs.google.com/spreadsheets/d/1XL5vhW3sbDhbH9Cz0tuDiY8C3ctxq1tqvaCgkFb8cCA/edit?usp=sharing"",""กาฬสินธุ์!J527"")"),32973.26)</f>
        <v>32973.26</v>
      </c>
      <c r="K632" s="375">
        <f t="shared" si="130"/>
        <v>1.225551412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IFERROR(__xludf.DUMMYFUNCTION("IMPORTRANGE(""https://docs.google.com/spreadsheets/d/1XL5vhW3sbDhbH9Cz0tuDiY8C3ctxq1tqvaCgkFb8cCA/edit?usp=sharing"",""กาฬสินธุ์!I528"")"),139.0)</f>
        <v>139</v>
      </c>
      <c r="J633" s="374">
        <f>IFERROR(__xludf.DUMMYFUNCTION("IMPORTRANGE(""https://docs.google.com/spreadsheets/d/1XL5vhW3sbDhbH9Cz0tuDiY8C3ctxq1tqvaCgkFb8cCA/edit?usp=sharing"",""กาฬสินธุ์!J528"")"),25.0)</f>
        <v>25</v>
      </c>
      <c r="K633" s="375">
        <f t="shared" si="130"/>
        <v>17.98561151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IFERROR(__xludf.DUMMYFUNCTION("IMPORTRANGE(""https://docs.google.com/spreadsheets/d/1XL5vhW3sbDhbH9Cz0tuDiY8C3ctxq1tqvaCgkFb8cCA/edit?usp=sharing"",""กาฬสินธุ์!I529"")"),4000000.0)</f>
        <v>4000000</v>
      </c>
      <c r="J634" s="374">
        <f>IFERROR(__xludf.DUMMYFUNCTION("IMPORTRANGE(""https://docs.google.com/spreadsheets/d/1XL5vhW3sbDhbH9Cz0tuDiY8C3ctxq1tqvaCgkFb8cCA/edit?usp=sharing"",""กาฬสินธุ์!J529"")"),0.0)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IFERROR(__xludf.DUMMYFUNCTION("IMPORTRANGE(""https://docs.google.com/spreadsheets/d/1XL5vhW3sbDhbH9Cz0tuDiY8C3ctxq1tqvaCgkFb8cCA/edit?usp=sharing"",""กาฬสินธุ์!I530"")"),135.0)</f>
        <v>135</v>
      </c>
      <c r="J635" s="544">
        <f>IFERROR(__xludf.DUMMYFUNCTION("IMPORTRANGE(""https://docs.google.com/spreadsheets/d/1XL5vhW3sbDhbH9Cz0tuDiY8C3ctxq1tqvaCgkFb8cCA/edit?usp=sharing"",""กาฬสินธุ์!J530"")"),0.0)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275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8320961</v>
      </c>
      <c r="M8" s="41">
        <f t="shared" si="1"/>
        <v>2847230</v>
      </c>
      <c r="N8" s="41">
        <f t="shared" si="1"/>
        <v>2027064.12</v>
      </c>
      <c r="O8" s="40">
        <f t="shared" ref="O8:O16" si="3">IF(L8&gt;0,N8*100/L8,0)</f>
        <v>24.36093764</v>
      </c>
      <c r="P8" s="40">
        <f t="shared" ref="P8:P16" si="4">IF(M8&gt;0,N8*100/M8,0)</f>
        <v>71.19425266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8320961</v>
      </c>
      <c r="M10" s="48">
        <f t="shared" si="5"/>
        <v>2847230</v>
      </c>
      <c r="N10" s="48">
        <f t="shared" si="5"/>
        <v>2027064.12</v>
      </c>
      <c r="O10" s="47">
        <f t="shared" si="3"/>
        <v>24.36093764</v>
      </c>
      <c r="P10" s="47">
        <f t="shared" si="4"/>
        <v>71.19425266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8173961</v>
      </c>
      <c r="M12" s="58">
        <f t="shared" si="7"/>
        <v>2847230</v>
      </c>
      <c r="N12" s="58">
        <f t="shared" si="7"/>
        <v>1888064.12</v>
      </c>
      <c r="O12" s="58">
        <f t="shared" si="3"/>
        <v>23.09852127</v>
      </c>
      <c r="P12" s="58">
        <f t="shared" si="4"/>
        <v>66.31231478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2254100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5919861</v>
      </c>
      <c r="M14" s="58">
        <f t="shared" si="9"/>
        <v>0</v>
      </c>
      <c r="N14" s="58">
        <f t="shared" si="9"/>
        <v>249915.12</v>
      </c>
      <c r="O14" s="61">
        <f t="shared" si="3"/>
        <v>4.221638312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147000</v>
      </c>
      <c r="M16" s="58">
        <f t="shared" si="11"/>
        <v>0</v>
      </c>
      <c r="N16" s="58">
        <f t="shared" si="11"/>
        <v>139000</v>
      </c>
      <c r="O16" s="70">
        <f t="shared" si="3"/>
        <v>94.55782313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4975970</v>
      </c>
      <c r="M18" s="41">
        <f t="shared" si="12"/>
        <v>2847230</v>
      </c>
      <c r="N18" s="41">
        <f t="shared" si="12"/>
        <v>1777149</v>
      </c>
      <c r="O18" s="40">
        <f t="shared" ref="O18:O20" si="14">IF(L18&gt;0,N18*100/L18,0)</f>
        <v>35.71462449</v>
      </c>
      <c r="P18" s="40">
        <f t="shared" ref="P18:P26" si="15">IF(M18&gt;0,N18*100/M18,0)</f>
        <v>62.41676998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4975970</v>
      </c>
      <c r="M20" s="48">
        <f t="shared" si="16"/>
        <v>2847230</v>
      </c>
      <c r="N20" s="48">
        <f t="shared" si="16"/>
        <v>1777149</v>
      </c>
      <c r="O20" s="47">
        <f t="shared" si="14"/>
        <v>35.71462449</v>
      </c>
      <c r="P20" s="47">
        <f t="shared" si="15"/>
        <v>62.41676998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4828970</v>
      </c>
      <c r="M22" s="62">
        <f t="shared" si="18"/>
        <v>2847230</v>
      </c>
      <c r="N22" s="61">
        <f t="shared" si="18"/>
        <v>1638149</v>
      </c>
      <c r="O22" s="61">
        <f t="shared" si="19"/>
        <v>33.92336254</v>
      </c>
      <c r="P22" s="61">
        <f t="shared" si="15"/>
        <v>57.5348321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2254100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2574870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147000</v>
      </c>
      <c r="M26" s="70">
        <f t="shared" si="23"/>
        <v>0</v>
      </c>
      <c r="N26" s="70">
        <f t="shared" si="23"/>
        <v>139000</v>
      </c>
      <c r="O26" s="70">
        <f t="shared" si="19"/>
        <v>94.55782313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3344991</v>
      </c>
      <c r="M28" s="41">
        <f t="shared" si="24"/>
        <v>0</v>
      </c>
      <c r="N28" s="41">
        <f t="shared" si="24"/>
        <v>249915.12</v>
      </c>
      <c r="O28" s="40">
        <f t="shared" ref="O28:O30" si="26">IF(L28&gt;0,N28*100/L28,0)</f>
        <v>7.471324138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3344991</v>
      </c>
      <c r="M30" s="48">
        <f t="shared" si="28"/>
        <v>0</v>
      </c>
      <c r="N30" s="48">
        <f t="shared" si="28"/>
        <v>249915.12</v>
      </c>
      <c r="O30" s="47">
        <f t="shared" si="26"/>
        <v>7.471324138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3344991</v>
      </c>
      <c r="M32" s="61">
        <f t="shared" si="30"/>
        <v>0</v>
      </c>
      <c r="N32" s="61">
        <f t="shared" si="30"/>
        <v>249915.12</v>
      </c>
      <c r="O32" s="61">
        <f t="shared" si="31"/>
        <v>7.471324138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3344991</v>
      </c>
      <c r="M34" s="61">
        <f t="shared" si="33"/>
        <v>0</v>
      </c>
      <c r="N34" s="61">
        <f t="shared" si="33"/>
        <v>249915.12</v>
      </c>
      <c r="O34" s="61">
        <f t="shared" si="31"/>
        <v>7.471324138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4975970</v>
      </c>
      <c r="M37" s="75">
        <f t="shared" si="34"/>
        <v>2847230</v>
      </c>
      <c r="N37" s="75">
        <f t="shared" si="34"/>
        <v>1777149</v>
      </c>
      <c r="O37" s="76">
        <f t="shared" si="31"/>
        <v>35.71462449</v>
      </c>
      <c r="P37" s="76">
        <f t="shared" si="27"/>
        <v>62.41676998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849100</v>
      </c>
      <c r="M41" s="102">
        <f t="shared" si="35"/>
        <v>424500</v>
      </c>
      <c r="N41" s="102">
        <f t="shared" si="35"/>
        <v>284313</v>
      </c>
      <c r="O41" s="101">
        <f t="shared" ref="O41:O43" si="37">IF(L41&gt;0,N41*100/L41,0)</f>
        <v>33.48404193</v>
      </c>
      <c r="P41" s="101">
        <f t="shared" ref="P41:P43" si="38">IF(M41&gt;0,N41*100/M41,0)</f>
        <v>66.97597173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849100</v>
      </c>
      <c r="M43" s="102">
        <f t="shared" si="39"/>
        <v>424500</v>
      </c>
      <c r="N43" s="102">
        <f t="shared" si="39"/>
        <v>284313</v>
      </c>
      <c r="O43" s="101">
        <f t="shared" si="37"/>
        <v>33.48404193</v>
      </c>
      <c r="P43" s="101">
        <f t="shared" si="38"/>
        <v>66.97597173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849100</v>
      </c>
      <c r="M45" s="115">
        <f>IFERROR(__xludf.DUMMYFUNCTION("IMPORTRANGE(""https://docs.google.com/spreadsheets/d/1Yj_ptqi66GCucihVvJfMjLAmec39IyEx_6qawtMGysU/edit?usp=sharing"",""สบก!Q56"")"),424500.0)</f>
        <v>424500</v>
      </c>
      <c r="N45" s="115">
        <f>IFERROR(__xludf.DUMMYFUNCTION("IMPORTRANGE(""https://docs.google.com/spreadsheets/d/1Yj_ptqi66GCucihVvJfMjLAmec39IyEx_6qawtMGysU/edit?usp=sharing"",""สบก!R56"")"),284313.0)</f>
        <v>284313</v>
      </c>
      <c r="O45" s="116">
        <f>IF(L45&gt;0,N45*100/L45,0)</f>
        <v>33.48404193</v>
      </c>
      <c r="P45" s="116">
        <f>IF(M45&gt;0,N45*100/M45,0)</f>
        <v>66.97597173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IFERROR(__xludf.DUMMYFUNCTION("IMPORTRANGE(""https://docs.google.com/spreadsheets/d/1Yj_ptqi66GCucihVvJfMjLAmec39IyEx_6qawtMGysU/edit?usp=sharing"",""สบก!M56"")"),849100.0)</f>
        <v>849100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IFERROR(__xludf.DUMMYFUNCTION("IMPORTRANGE(""https://docs.google.com/spreadsheets/d/1Yj_ptqi66GCucihVvJfMjLAmec39IyEx_6qawtMGysU/edit?usp=sharing"",""สบก!N56"")"),0.0)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IFERROR(__xludf.DUMMYFUNCTION("IMPORTRANGE(""https://docs.google.com/spreadsheets/d/1Yj_ptqi66GCucihVvJfMjLAmec39IyEx_6qawtMGysU/edit?usp=sharing"",""สบก!O56"")"),0.0)</f>
        <v>0</v>
      </c>
      <c r="M49" s="125"/>
      <c r="N49" s="115">
        <f>IFERROR(__xludf.DUMMYFUNCTION("IMPORTRANGE(""https://docs.google.com/spreadsheets/d/1Yj_ptqi66GCucihVvJfMjLAmec39IyEx_6qawtMGysU/edit?usp=sharing"",""สบก!S56"")"),0.0)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630000</v>
      </c>
      <c r="M53" s="151">
        <f t="shared" si="40"/>
        <v>332640</v>
      </c>
      <c r="N53" s="151">
        <f t="shared" si="40"/>
        <v>207900</v>
      </c>
      <c r="O53" s="150">
        <f t="shared" ref="O53:O55" si="42">IF(L53&gt;0,N53*100/L53,0)</f>
        <v>33</v>
      </c>
      <c r="P53" s="150">
        <f t="shared" ref="P53:P55" si="43">IF(M53&gt;0,N53*100/M53,0)</f>
        <v>62.5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630000</v>
      </c>
      <c r="M55" s="151">
        <f t="shared" si="44"/>
        <v>332640</v>
      </c>
      <c r="N55" s="151">
        <f t="shared" si="44"/>
        <v>207900</v>
      </c>
      <c r="O55" s="150">
        <f t="shared" si="42"/>
        <v>33</v>
      </c>
      <c r="P55" s="150">
        <f t="shared" si="43"/>
        <v>62.5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630000</v>
      </c>
      <c r="M57" s="115">
        <f>IFERROR(__xludf.DUMMYFUNCTION("IMPORTRANGE(""https://docs.google.com/spreadsheets/d/1Yj_ptqi66GCucihVvJfMjLAmec39IyEx_6qawtMGysU/edit?usp=sharing"",""สบก!Z56"")"),332640.0)</f>
        <v>332640</v>
      </c>
      <c r="N57" s="115">
        <f>IFERROR(__xludf.DUMMYFUNCTION("IMPORTRANGE(""https://docs.google.com/spreadsheets/d/1Yj_ptqi66GCucihVvJfMjLAmec39IyEx_6qawtMGysU/edit?usp=sharing"",""สบก!AA56"")"),207900.0)</f>
        <v>207900</v>
      </c>
      <c r="O57" s="116">
        <f>IF(L57&gt;0,N57*100/L57,0)</f>
        <v>33</v>
      </c>
      <c r="P57" s="116">
        <f>IF(M57&gt;0,N57*100/M57,0)</f>
        <v>62.5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IFERROR(__xludf.DUMMYFUNCTION("IMPORTRANGE(""https://docs.google.com/spreadsheets/d/1Yj_ptqi66GCucihVvJfMjLAmec39IyEx_6qawtMGysU/edit?usp=sharing"",""สบก!V56"")"),630000.0)</f>
        <v>630000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IFERROR(__xludf.DUMMYFUNCTION("IMPORTRANGE(""https://docs.google.com/spreadsheets/d/1Yj_ptqi66GCucihVvJfMjLAmec39IyEx_6qawtMGysU/edit?usp=sharing"",""สบก!W56"")"),0.0)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IFERROR(__xludf.DUMMYFUNCTION("IMPORTRANGE(""https://docs.google.com/spreadsheets/d/1Yj_ptqi66GCucihVvJfMjLAmec39IyEx_6qawtMGysU/edit?usp=sharing"",""สบก!X56"")"),0.0)</f>
        <v>0</v>
      </c>
      <c r="M61" s="125"/>
      <c r="N61" s="115">
        <f>IFERROR(__xludf.DUMMYFUNCTION("IMPORTRANGE(""https://docs.google.com/spreadsheets/d/1Yj_ptqi66GCucihVvJfMjLAmec39IyEx_6qawtMGysU/edit?usp=sharing"",""สบก!AB56"")"),0.0)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IFERROR(__xludf.DUMMYFUNCTION("IMPORTRANGE(""https://docs.google.com/spreadsheets/d/1XL5vhW3sbDhbH9Cz0tuDiY8C3ctxq1tqvaCgkFb8cCA/edit?usp=sharing"",""อุดรธานี!I9"")"),1.0)</f>
        <v>1</v>
      </c>
      <c r="J64" s="172">
        <f>IFERROR(__xludf.DUMMYFUNCTION("IMPORTRANGE(""https://docs.google.com/spreadsheets/d/1XL5vhW3sbDhbH9Cz0tuDiY8C3ctxq1tqvaCgkFb8cCA/edit?usp=sharing"",""อุดรธานี!J9"")"),1.0)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IFERROR(__xludf.DUMMYFUNCTION("IMPORTRANGE(""https://docs.google.com/spreadsheets/d/1XL5vhW3sbDhbH9Cz0tuDiY8C3ctxq1tqvaCgkFb8cCA/edit?usp=sharing"",""อุดรธานี!I10"")"),70.0)</f>
        <v>70</v>
      </c>
      <c r="J65" s="172">
        <f>IFERROR(__xludf.DUMMYFUNCTION("IMPORTRANGE(""https://docs.google.com/spreadsheets/d/1XL5vhW3sbDhbH9Cz0tuDiY8C3ctxq1tqvaCgkFb8cCA/edit?usp=sharing"",""อุดรธานี!J10"")"),70.0)</f>
        <v>70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1059000</v>
      </c>
      <c r="M66" s="183">
        <f t="shared" si="46"/>
        <v>566120</v>
      </c>
      <c r="N66" s="183">
        <f t="shared" si="46"/>
        <v>351370</v>
      </c>
      <c r="O66" s="182">
        <f t="shared" ref="O66:O68" si="48">IF(L66&gt;0,N66*100/L66,0)</f>
        <v>33.17941454</v>
      </c>
      <c r="P66" s="182">
        <f t="shared" ref="P66:P68" si="49">IF(M66&gt;0,N66*100/M66,0)</f>
        <v>62.06634636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1059000</v>
      </c>
      <c r="M68" s="188">
        <f t="shared" si="50"/>
        <v>566120</v>
      </c>
      <c r="N68" s="188">
        <f t="shared" si="50"/>
        <v>351370</v>
      </c>
      <c r="O68" s="187">
        <f t="shared" si="48"/>
        <v>33.17941454</v>
      </c>
      <c r="P68" s="187">
        <f t="shared" si="49"/>
        <v>62.06634636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1059000</v>
      </c>
      <c r="M70" s="201">
        <f>IFERROR(__xludf.DUMMYFUNCTION("IMPORTRANGE(""https://docs.google.com/spreadsheets/d/1Yj_ptqi66GCucihVvJfMjLAmec39IyEx_6qawtMGysU/edit?usp=sharing"",""สบก!AI56"")"),566120.0)</f>
        <v>566120</v>
      </c>
      <c r="N70" s="202">
        <f>IFERROR(__xludf.DUMMYFUNCTION("IMPORTRANGE(""https://docs.google.com/spreadsheets/d/1Yj_ptqi66GCucihVvJfMjLAmec39IyEx_6qawtMGysU/edit?usp=sharing"",""สบก!AJ56"")"),351370.0)</f>
        <v>351370</v>
      </c>
      <c r="O70" s="203">
        <f>IF(L70&gt;0,N70*100/L70,0)</f>
        <v>33.17941454</v>
      </c>
      <c r="P70" s="203">
        <f>IF(M70&gt;0,N70*100/M70,0)</f>
        <v>62.06634636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IFERROR(__xludf.DUMMYFUNCTION("IMPORTRANGE(""https://docs.google.com/spreadsheets/d/1Yj_ptqi66GCucihVvJfMjLAmec39IyEx_6qawtMGysU/edit?usp=sharing"",""สบก!AE56"")"),469000.0)</f>
        <v>469000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IFERROR(__xludf.DUMMYFUNCTION("IMPORTRANGE(""https://docs.google.com/spreadsheets/d/1Yj_ptqi66GCucihVvJfMjLAmec39IyEx_6qawtMGysU/edit?usp=sharing"",""สบก!AF56"")"),590000.0)</f>
        <v>590000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IFERROR(__xludf.DUMMYFUNCTION("IMPORTRANGE(""https://docs.google.com/spreadsheets/d/1Yj_ptqi66GCucihVvJfMjLAmec39IyEx_6qawtMGysU/edit?usp=sharing"",""สบก!AG56"")"),0.0)</f>
        <v>0</v>
      </c>
      <c r="M74" s="125"/>
      <c r="N74" s="115">
        <f>IFERROR(__xludf.DUMMYFUNCTION("IMPORTRANGE(""https://docs.google.com/spreadsheets/d/1Yj_ptqi66GCucihVvJfMjLAmec39IyEx_6qawtMGysU/edit?usp=sharing"",""สบก!AK56"")"),0.0)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IFERROR(__xludf.DUMMYFUNCTION("IMPORTRANGE(""https://docs.google.com/spreadsheets/d/1XL5vhW3sbDhbH9Cz0tuDiY8C3ctxq1tqvaCgkFb8cCA/edit?usp=sharing"",""อุดรธานี!J16"")"),0.0)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IFERROR(__xludf.DUMMYFUNCTION("IMPORTRANGE(""https://docs.google.com/spreadsheets/d/1XL5vhW3sbDhbH9Cz0tuDiY8C3ctxq1tqvaCgkFb8cCA/edit?usp=sharing"",""อุดรธานี!J17"")"),1.0)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IFERROR(__xludf.DUMMYFUNCTION("IMPORTRANGE(""https://docs.google.com/spreadsheets/d/1XL5vhW3sbDhbH9Cz0tuDiY8C3ctxq1tqvaCgkFb8cCA/edit?usp=sharing"",""อุดรธานี!J18"")"),1.0)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IFERROR(__xludf.DUMMYFUNCTION("IMPORTRANGE(""https://docs.google.com/spreadsheets/d/1XL5vhW3sbDhbH9Cz0tuDiY8C3ctxq1tqvaCgkFb8cCA/edit?usp=sharing"",""อุดรธานี!J19"")"),1.0)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IFERROR(__xludf.DUMMYFUNCTION("IMPORTRANGE(""https://docs.google.com/spreadsheets/d/1XL5vhW3sbDhbH9Cz0tuDiY8C3ctxq1tqvaCgkFb8cCA/edit?usp=sharing"",""อุดรธานี!I20"")"),1.0)</f>
        <v>1</v>
      </c>
      <c r="J80" s="235">
        <f>IFERROR(__xludf.DUMMYFUNCTION("IMPORTRANGE(""https://docs.google.com/spreadsheets/d/1XL5vhW3sbDhbH9Cz0tuDiY8C3ctxq1tqvaCgkFb8cCA/edit?usp=sharing"",""อุดรธานี!J20"")"),1.0)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IFERROR(__xludf.DUMMYFUNCTION("IMPORTRANGE(""https://docs.google.com/spreadsheets/d/1XL5vhW3sbDhbH9Cz0tuDiY8C3ctxq1tqvaCgkFb8cCA/edit?usp=sharing"",""อุดรธานี!I21"")"),70.0)</f>
        <v>70</v>
      </c>
      <c r="J81" s="235">
        <f>IFERROR(__xludf.DUMMYFUNCTION("IMPORTRANGE(""https://docs.google.com/spreadsheets/d/1XL5vhW3sbDhbH9Cz0tuDiY8C3ctxq1tqvaCgkFb8cCA/edit?usp=sharing"",""อุดรธานี!J21"")"),70.0)</f>
        <v>70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IFERROR(__xludf.DUMMYFUNCTION("IMPORTRANGE(""https://docs.google.com/spreadsheets/d/1XL5vhW3sbDhbH9Cz0tuDiY8C3ctxq1tqvaCgkFb8cCA/edit?usp=sharing"",""อุดรธานี!I22"")"),1.0)</f>
        <v>1</v>
      </c>
      <c r="J82" s="238">
        <f>IFERROR(__xludf.DUMMYFUNCTION("IMPORTRANGE(""https://docs.google.com/spreadsheets/d/1XL5vhW3sbDhbH9Cz0tuDiY8C3ctxq1tqvaCgkFb8cCA/edit?usp=sharing"",""อุดรธานี!J22"")"),1.0)</f>
        <v>1</v>
      </c>
      <c r="K82" s="196">
        <f t="shared" si="51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IFERROR(__xludf.DUMMYFUNCTION("IMPORTRANGE(""https://docs.google.com/spreadsheets/d/1XL5vhW3sbDhbH9Cz0tuDiY8C3ctxq1tqvaCgkFb8cCA/edit?usp=sharing"",""อุดรธานี!I23"")"),70.0)</f>
        <v>70</v>
      </c>
      <c r="J83" s="238">
        <f>IFERROR(__xludf.DUMMYFUNCTION("IMPORTRANGE(""https://docs.google.com/spreadsheets/d/1XL5vhW3sbDhbH9Cz0tuDiY8C3ctxq1tqvaCgkFb8cCA/edit?usp=sharing"",""อุดรธานี!J23"")"),70.0)</f>
        <v>70</v>
      </c>
      <c r="K83" s="196">
        <f t="shared" si="51"/>
        <v>100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IFERROR(__xludf.DUMMYFUNCTION("IMPORTRANGE(""https://docs.google.com/spreadsheets/d/1XL5vhW3sbDhbH9Cz0tuDiY8C3ctxq1tqvaCgkFb8cCA/edit?usp=sharing"",""อุดรธานี!I24"")"),0.0)</f>
        <v>0</v>
      </c>
      <c r="J84" s="223">
        <f>IFERROR(__xludf.DUMMYFUNCTION("IMPORTRANGE(""https://docs.google.com/spreadsheets/d/1XL5vhW3sbDhbH9Cz0tuDiY8C3ctxq1tqvaCgkFb8cCA/edit?usp=sharing"",""อุดรธานี!J24"")"),0.0)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IFERROR(__xludf.DUMMYFUNCTION("IMPORTRANGE(""https://docs.google.com/spreadsheets/d/1XL5vhW3sbDhbH9Cz0tuDiY8C3ctxq1tqvaCgkFb8cCA/edit?usp=sharing"",""อุดรธานี!I25"")"),0.0)</f>
        <v>0</v>
      </c>
      <c r="J85" s="223">
        <f>IFERROR(__xludf.DUMMYFUNCTION("IMPORTRANGE(""https://docs.google.com/spreadsheets/d/1XL5vhW3sbDhbH9Cz0tuDiY8C3ctxq1tqvaCgkFb8cCA/edit?usp=sharing"",""อุดรธานี!J25"")"),0.0)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IFERROR(__xludf.DUMMYFUNCTION("IMPORTRANGE(""https://docs.google.com/spreadsheets/d/1XL5vhW3sbDhbH9Cz0tuDiY8C3ctxq1tqvaCgkFb8cCA/edit?usp=sharing"",""อุดรธานี!I26"")"),0.0)</f>
        <v>0</v>
      </c>
      <c r="J86" s="238">
        <f>IFERROR(__xludf.DUMMYFUNCTION("IMPORTRANGE(""https://docs.google.com/spreadsheets/d/1XL5vhW3sbDhbH9Cz0tuDiY8C3ctxq1tqvaCgkFb8cCA/edit?usp=sharing"",""อุดรธานี!J26"")"),0.0)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IFERROR(__xludf.DUMMYFUNCTION("IMPORTRANGE(""https://docs.google.com/spreadsheets/d/1XL5vhW3sbDhbH9Cz0tuDiY8C3ctxq1tqvaCgkFb8cCA/edit?usp=sharing"",""อุดรธานี!I27"")"),0.0)</f>
        <v>0</v>
      </c>
      <c r="J87" s="238">
        <f>IFERROR(__xludf.DUMMYFUNCTION("IMPORTRANGE(""https://docs.google.com/spreadsheets/d/1XL5vhW3sbDhbH9Cz0tuDiY8C3ctxq1tqvaCgkFb8cCA/edit?usp=sharing"",""อุดรธานี!J27"")"),0.0)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IFERROR(__xludf.DUMMYFUNCTION("IMPORTRANGE(""https://docs.google.com/spreadsheets/d/1XL5vhW3sbDhbH9Cz0tuDiY8C3ctxq1tqvaCgkFb8cCA/edit?usp=sharing"",""อุดรธานี!I28"")"),70.0)</f>
        <v>70</v>
      </c>
      <c r="J88" s="238">
        <f>IFERROR(__xludf.DUMMYFUNCTION("IMPORTRANGE(""https://docs.google.com/spreadsheets/d/1XL5vhW3sbDhbH9Cz0tuDiY8C3ctxq1tqvaCgkFb8cCA/edit?usp=sharing"",""อุดรธานี!J28"")"),0.0)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IFERROR(__xludf.DUMMYFUNCTION("IMPORTRANGE(""https://docs.google.com/spreadsheets/d/1XL5vhW3sbDhbH9Cz0tuDiY8C3ctxq1tqvaCgkFb8cCA/edit?usp=sharing"",""อุดรธานี!J29"")"),0.0)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IFERROR(__xludf.DUMMYFUNCTION("IMPORTRANGE(""https://docs.google.com/spreadsheets/d/1XL5vhW3sbDhbH9Cz0tuDiY8C3ctxq1tqvaCgkFb8cCA/edit?usp=sharing"",""อุดรธานี!J30"")"),0.0)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IFERROR(__xludf.DUMMYFUNCTION("IMPORTRANGE(""https://docs.google.com/spreadsheets/d/1XL5vhW3sbDhbH9Cz0tuDiY8C3ctxq1tqvaCgkFb8cCA/edit?usp=sharing"",""อุดรธานี!I32"")"),0.0)</f>
        <v>0</v>
      </c>
      <c r="J92" s="172">
        <f>IFERROR(__xludf.DUMMYFUNCTION("IMPORTRANGE(""https://docs.google.com/spreadsheets/d/1XL5vhW3sbDhbH9Cz0tuDiY8C3ctxq1tqvaCgkFb8cCA/edit?usp=sharing"",""อุดรธานี!J32"")"),0.0)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IFERROR(__xludf.DUMMYFUNCTION("IMPORTRANGE(""https://docs.google.com/spreadsheets/d/1XL5vhW3sbDhbH9Cz0tuDiY8C3ctxq1tqvaCgkFb8cCA/edit?usp=sharing"",""อุดรธานี!I33"")"),0.0)</f>
        <v>0</v>
      </c>
      <c r="J93" s="172">
        <f>IFERROR(__xludf.DUMMYFUNCTION("IMPORTRANGE(""https://docs.google.com/spreadsheets/d/1XL5vhW3sbDhbH9Cz0tuDiY8C3ctxq1tqvaCgkFb8cCA/edit?usp=sharing"",""อุดรธานี!J33"")"),0.0)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IFERROR(__xludf.DUMMYFUNCTION("IMPORTRANGE(""https://docs.google.com/spreadsheets/d/1Yj_ptqi66GCucihVvJfMjLAmec39IyEx_6qawtMGysU/edit?usp=sharing"",""สบก!AR56"")"),0.0)</f>
        <v>0</v>
      </c>
      <c r="N98" s="202">
        <f>IFERROR(__xludf.DUMMYFUNCTION("IMPORTRANGE(""https://docs.google.com/spreadsheets/d/1Yj_ptqi66GCucihVvJfMjLAmec39IyEx_6qawtMGysU/edit?usp=sharing"",""สบก!AS56"")"),0.0)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IFERROR(__xludf.DUMMYFUNCTION("IMPORTRANGE(""https://docs.google.com/spreadsheets/d/1Yj_ptqi66GCucihVvJfMjLAmec39IyEx_6qawtMGysU/edit?usp=sharing"",""สบก!AN56"")"),0.0)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IFERROR(__xludf.DUMMYFUNCTION("IMPORTRANGE(""https://docs.google.com/spreadsheets/d/1Yj_ptqi66GCucihVvJfMjLAmec39IyEx_6qawtMGysU/edit?usp=sharing"",""สบก!AO56"")"),0.0)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IFERROR(__xludf.DUMMYFUNCTION("IMPORTRANGE(""https://docs.google.com/spreadsheets/d/1Yj_ptqi66GCucihVvJfMjLAmec39IyEx_6qawtMGysU/edit?usp=sharing"",""สบก!AP56"")"),0.0)</f>
        <v>0</v>
      </c>
      <c r="M102" s="125"/>
      <c r="N102" s="115">
        <f>IFERROR(__xludf.DUMMYFUNCTION("IMPORTRANGE(""https://docs.google.com/spreadsheets/d/1Yj_ptqi66GCucihVvJfMjLAmec39IyEx_6qawtMGysU/edit?usp=sharing"",""สบก!AT56"")"),0.0)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IFERROR(__xludf.DUMMYFUNCTION("IMPORTRANGE(""https://docs.google.com/spreadsheets/d/1XL5vhW3sbDhbH9Cz0tuDiY8C3ctxq1tqvaCgkFb8cCA/edit?usp=sharing"",""อุดรธานี!J39"")"),0.0)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IFERROR(__xludf.DUMMYFUNCTION("IMPORTRANGE(""https://docs.google.com/spreadsheets/d/1XL5vhW3sbDhbH9Cz0tuDiY8C3ctxq1tqvaCgkFb8cCA/edit?usp=sharing"",""อุดรธานี!J40"")"),0.0)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IFERROR(__xludf.DUMMYFUNCTION("IMPORTRANGE(""https://docs.google.com/spreadsheets/d/1XL5vhW3sbDhbH9Cz0tuDiY8C3ctxq1tqvaCgkFb8cCA/edit?usp=sharing"",""อุดรธานี!J41"")"),0.0)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IFERROR(__xludf.DUMMYFUNCTION("IMPORTRANGE(""https://docs.google.com/spreadsheets/d/1XL5vhW3sbDhbH9Cz0tuDiY8C3ctxq1tqvaCgkFb8cCA/edit?usp=sharing"",""อุดรธานี!J42"")"),0.0)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IFERROR(__xludf.DUMMYFUNCTION("IMPORTRANGE(""https://docs.google.com/spreadsheets/d/1XL5vhW3sbDhbH9Cz0tuDiY8C3ctxq1tqvaCgkFb8cCA/edit?usp=sharing"",""อุดรธานี!I43"")"),0.0)</f>
        <v>0</v>
      </c>
      <c r="J108" s="238">
        <f>IFERROR(__xludf.DUMMYFUNCTION("IMPORTRANGE(""https://docs.google.com/spreadsheets/d/1XL5vhW3sbDhbH9Cz0tuDiY8C3ctxq1tqvaCgkFb8cCA/edit?usp=sharing"",""อุดรธานี!J43"")"),0.0)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IFERROR(__xludf.DUMMYFUNCTION("IMPORTRANGE(""https://docs.google.com/spreadsheets/d/1XL5vhW3sbDhbH9Cz0tuDiY8C3ctxq1tqvaCgkFb8cCA/edit?usp=sharing"",""อุดรธานี!I44"")"),0.0)</f>
        <v>0</v>
      </c>
      <c r="J109" s="238">
        <f>IFERROR(__xludf.DUMMYFUNCTION("IMPORTRANGE(""https://docs.google.com/spreadsheets/d/1XL5vhW3sbDhbH9Cz0tuDiY8C3ctxq1tqvaCgkFb8cCA/edit?usp=sharing"",""อุดรธานี!J44"")"),0.0)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IFERROR(__xludf.DUMMYFUNCTION("IMPORTRANGE(""https://docs.google.com/spreadsheets/d/1XL5vhW3sbDhbH9Cz0tuDiY8C3ctxq1tqvaCgkFb8cCA/edit?usp=sharing"",""อุดรธานี!I45"")"),0.0)</f>
        <v>0</v>
      </c>
      <c r="J110" s="238">
        <f>IFERROR(__xludf.DUMMYFUNCTION("IMPORTRANGE(""https://docs.google.com/spreadsheets/d/1XL5vhW3sbDhbH9Cz0tuDiY8C3ctxq1tqvaCgkFb8cCA/edit?usp=sharing"",""อุดรธานี!J45"")"),0.0)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IFERROR(__xludf.DUMMYFUNCTION("IMPORTRANGE(""https://docs.google.com/spreadsheets/d/1XL5vhW3sbDhbH9Cz0tuDiY8C3ctxq1tqvaCgkFb8cCA/edit?usp=sharing"",""อุดรธานี!I46"")"),0.0)</f>
        <v>0</v>
      </c>
      <c r="J111" s="238">
        <f>IFERROR(__xludf.DUMMYFUNCTION("IMPORTRANGE(""https://docs.google.com/spreadsheets/d/1XL5vhW3sbDhbH9Cz0tuDiY8C3ctxq1tqvaCgkFb8cCA/edit?usp=sharing"",""อุดรธานี!J46"")"),0.0)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IFERROR(__xludf.DUMMYFUNCTION("IMPORTRANGE(""https://docs.google.com/spreadsheets/d/1XL5vhW3sbDhbH9Cz0tuDiY8C3ctxq1tqvaCgkFb8cCA/edit?usp=sharing"",""อุดรธานี!I47"")"),0.0)</f>
        <v>0</v>
      </c>
      <c r="J112" s="238">
        <f>IFERROR(__xludf.DUMMYFUNCTION("IMPORTRANGE(""https://docs.google.com/spreadsheets/d/1XL5vhW3sbDhbH9Cz0tuDiY8C3ctxq1tqvaCgkFb8cCA/edit?usp=sharing"",""อุดรธานี!J47"")"),0.0)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IFERROR(__xludf.DUMMYFUNCTION("IMPORTRANGE(""https://docs.google.com/spreadsheets/d/1XL5vhW3sbDhbH9Cz0tuDiY8C3ctxq1tqvaCgkFb8cCA/edit?usp=sharing"",""อุดรธานี!I48"")"),0.0)</f>
        <v>0</v>
      </c>
      <c r="J113" s="238">
        <f>IFERROR(__xludf.DUMMYFUNCTION("IMPORTRANGE(""https://docs.google.com/spreadsheets/d/1XL5vhW3sbDhbH9Cz0tuDiY8C3ctxq1tqvaCgkFb8cCA/edit?usp=sharing"",""อุดรธานี!J48"")"),0.0)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IFERROR(__xludf.DUMMYFUNCTION("IMPORTRANGE(""https://docs.google.com/spreadsheets/d/1XL5vhW3sbDhbH9Cz0tuDiY8C3ctxq1tqvaCgkFb8cCA/edit?usp=sharing"",""อุดรธานี!J49"")"),0.0)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IFERROR(__xludf.DUMMYFUNCTION("IMPORTRANGE(""https://docs.google.com/spreadsheets/d/1XL5vhW3sbDhbH9Cz0tuDiY8C3ctxq1tqvaCgkFb8cCA/edit?usp=sharing"",""อุดรธานี!J50"")"),0.0)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IFERROR(__xludf.DUMMYFUNCTION("IMPORTRANGE(""https://docs.google.com/spreadsheets/d/1XL5vhW3sbDhbH9Cz0tuDiY8C3ctxq1tqvaCgkFb8cCA/edit?usp=sharing"",""อุดรธานี!I52"")"),20.0)</f>
        <v>20</v>
      </c>
      <c r="J117" s="172">
        <f>IFERROR(__xludf.DUMMYFUNCTION("IMPORTRANGE(""https://docs.google.com/spreadsheets/d/1XL5vhW3sbDhbH9Cz0tuDiY8C3ctxq1tqvaCgkFb8cCA/edit?usp=sharing"",""อุดรธานี!J52"")"),1.0)</f>
        <v>1</v>
      </c>
      <c r="K117" s="173">
        <f>IF(I117&gt;0,J117*100/I117,0)</f>
        <v>5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82440</v>
      </c>
      <c r="M118" s="183">
        <f t="shared" si="59"/>
        <v>66440</v>
      </c>
      <c r="N118" s="183">
        <f t="shared" si="59"/>
        <v>40643</v>
      </c>
      <c r="O118" s="182">
        <f t="shared" ref="O118:O120" si="61">IF(L118&gt;0,N118*100/L118,0)</f>
        <v>49.30009704</v>
      </c>
      <c r="P118" s="182">
        <f t="shared" ref="P118:P120" si="62">IF(M118&gt;0,N118*100/M118,0)</f>
        <v>61.17248645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82440</v>
      </c>
      <c r="M120" s="188">
        <f t="shared" si="63"/>
        <v>66440</v>
      </c>
      <c r="N120" s="188">
        <f t="shared" si="63"/>
        <v>40643</v>
      </c>
      <c r="O120" s="187">
        <f t="shared" si="61"/>
        <v>49.30009704</v>
      </c>
      <c r="P120" s="187">
        <f t="shared" si="62"/>
        <v>61.17248645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82440</v>
      </c>
      <c r="M122" s="201">
        <f>IFERROR(__xludf.DUMMYFUNCTION("IMPORTRANGE(""https://docs.google.com/spreadsheets/d/1Yj_ptqi66GCucihVvJfMjLAmec39IyEx_6qawtMGysU/edit?usp=sharing"",""สบก!BA56"")"),66440.0)</f>
        <v>66440</v>
      </c>
      <c r="N122" s="202">
        <f>IFERROR(__xludf.DUMMYFUNCTION("IMPORTRANGE(""https://docs.google.com/spreadsheets/d/1Yj_ptqi66GCucihVvJfMjLAmec39IyEx_6qawtMGysU/edit?usp=sharing"",""สบก!BB56"")"),40643.0)</f>
        <v>40643</v>
      </c>
      <c r="O122" s="203">
        <f>IF(L122&gt;0,N122*100/L122,0)</f>
        <v>49.30009704</v>
      </c>
      <c r="P122" s="203">
        <f>IF(M122&gt;0,N122*100/M122,0)</f>
        <v>61.17248645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IFERROR(__xludf.DUMMYFUNCTION("IMPORTRANGE(""https://docs.google.com/spreadsheets/d/1Yj_ptqi66GCucihVvJfMjLAmec39IyEx_6qawtMGysU/edit?usp=sharing"",""สบก!AW56"")"),0.0)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IFERROR(__xludf.DUMMYFUNCTION("IMPORTRANGE(""https://docs.google.com/spreadsheets/d/1Yj_ptqi66GCucihVvJfMjLAmec39IyEx_6qawtMGysU/edit?usp=sharing"",""สบก!AX56"")"),82440.0)</f>
        <v>82440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IFERROR(__xludf.DUMMYFUNCTION("IMPORTRANGE(""https://docs.google.com/spreadsheets/d/1Yj_ptqi66GCucihVvJfMjLAmec39IyEx_6qawtMGysU/edit?usp=sharing"",""สบก!AY56"")"),0.0)</f>
        <v>0</v>
      </c>
      <c r="M126" s="125"/>
      <c r="N126" s="115">
        <f>IFERROR(__xludf.DUMMYFUNCTION("IMPORTRANGE(""https://docs.google.com/spreadsheets/d/1Yj_ptqi66GCucihVvJfMjLAmec39IyEx_6qawtMGysU/edit?usp=sharing"",""สบก!BC56"")"),0.0)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IFERROR(__xludf.DUMMYFUNCTION("IMPORTRANGE(""https://docs.google.com/spreadsheets/d/1XL5vhW3sbDhbH9Cz0tuDiY8C3ctxq1tqvaCgkFb8cCA/edit?usp=sharing"",""อุดรธานี!J58"")"),1.0)</f>
        <v>1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IFERROR(__xludf.DUMMYFUNCTION("IMPORTRANGE(""https://docs.google.com/spreadsheets/d/1XL5vhW3sbDhbH9Cz0tuDiY8C3ctxq1tqvaCgkFb8cCA/edit?usp=sharing"",""อุดรธานี!J59"")"),0.0)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IFERROR(__xludf.DUMMYFUNCTION("IMPORTRANGE(""https://docs.google.com/spreadsheets/d/1XL5vhW3sbDhbH9Cz0tuDiY8C3ctxq1tqvaCgkFb8cCA/edit?usp=sharing"",""อุดรธานี!J60"")"),0.0)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IFERROR(__xludf.DUMMYFUNCTION("IMPORTRANGE(""https://docs.google.com/spreadsheets/d/1XL5vhW3sbDhbH9Cz0tuDiY8C3ctxq1tqvaCgkFb8cCA/edit?usp=sharing"",""อุดรธานี!J61"")"),0.0)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IFERROR(__xludf.DUMMYFUNCTION("IMPORTRANGE(""https://docs.google.com/spreadsheets/d/1XL5vhW3sbDhbH9Cz0tuDiY8C3ctxq1tqvaCgkFb8cCA/edit?usp=sharing"",""อุดรธานี!I62"")"),20.0)</f>
        <v>20</v>
      </c>
      <c r="J132" s="238">
        <f>IFERROR(__xludf.DUMMYFUNCTION("IMPORTRANGE(""https://docs.google.com/spreadsheets/d/1XL5vhW3sbDhbH9Cz0tuDiY8C3ctxq1tqvaCgkFb8cCA/edit?usp=sharing"",""อุดรธานี!J62"")"),1.0)</f>
        <v>1</v>
      </c>
      <c r="K132" s="258">
        <f t="shared" ref="K132:K133" si="64">IF(I132&gt;0,J132*100/I132,0)</f>
        <v>5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IFERROR(__xludf.DUMMYFUNCTION("IMPORTRANGE(""https://docs.google.com/spreadsheets/d/1XL5vhW3sbDhbH9Cz0tuDiY8C3ctxq1tqvaCgkFb8cCA/edit?usp=sharing"",""อุดรธานี!I63"")"),20.0)</f>
        <v>20</v>
      </c>
      <c r="J133" s="238">
        <f>IFERROR(__xludf.DUMMYFUNCTION("IMPORTRANGE(""https://docs.google.com/spreadsheets/d/1XL5vhW3sbDhbH9Cz0tuDiY8C3ctxq1tqvaCgkFb8cCA/edit?usp=sharing"",""อุดรธานี!J63"")"),0.0)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IFERROR(__xludf.DUMMYFUNCTION("IMPORTRANGE(""https://docs.google.com/spreadsheets/d/1XL5vhW3sbDhbH9Cz0tuDiY8C3ctxq1tqvaCgkFb8cCA/edit?usp=sharing"",""อุดรธานี!J64"")"),0.0)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IFERROR(__xludf.DUMMYFUNCTION("IMPORTRANGE(""https://docs.google.com/spreadsheets/d/1XL5vhW3sbDhbH9Cz0tuDiY8C3ctxq1tqvaCgkFb8cCA/edit?usp=sharing"",""อุดรธานี!J65"")"),0.0)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IFERROR(__xludf.DUMMYFUNCTION("IMPORTRANGE(""https://docs.google.com/spreadsheets/d/1XL5vhW3sbDhbH9Cz0tuDiY8C3ctxq1tqvaCgkFb8cCA/edit?usp=sharing"",""อุดรธานี!I68"")"),0.0)</f>
        <v>0</v>
      </c>
      <c r="J138" s="301">
        <f>IFERROR(__xludf.DUMMYFUNCTION("IMPORTRANGE(""https://docs.google.com/spreadsheets/d/1XL5vhW3sbDhbH9Cz0tuDiY8C3ctxq1tqvaCgkFb8cCA/edit?usp=sharing"",""อุดรธานี!J68"")"),0.0)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102000</v>
      </c>
      <c r="M140" s="183">
        <f t="shared" si="65"/>
        <v>75750</v>
      </c>
      <c r="N140" s="183">
        <f t="shared" si="65"/>
        <v>23980</v>
      </c>
      <c r="O140" s="182">
        <f t="shared" ref="O140:O142" si="67">IF(L140&gt;0,N140*100/L140,0)</f>
        <v>23.50980392</v>
      </c>
      <c r="P140" s="182">
        <f t="shared" ref="P140:P142" si="68">IF(M140&gt;0,N140*100/M140,0)</f>
        <v>31.65676568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102000</v>
      </c>
      <c r="M142" s="188">
        <f t="shared" si="69"/>
        <v>75750</v>
      </c>
      <c r="N142" s="188">
        <f t="shared" si="69"/>
        <v>23980</v>
      </c>
      <c r="O142" s="187">
        <f t="shared" si="67"/>
        <v>23.50980392</v>
      </c>
      <c r="P142" s="187">
        <f t="shared" si="68"/>
        <v>31.65676568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102000</v>
      </c>
      <c r="M144" s="201">
        <f>IFERROR(__xludf.DUMMYFUNCTION("IMPORTRANGE(""https://docs.google.com/spreadsheets/d/1Yj_ptqi66GCucihVvJfMjLAmec39IyEx_6qawtMGysU/edit?usp=sharing"",""สบก!BJ56"")"),75750.0)</f>
        <v>75750</v>
      </c>
      <c r="N144" s="202">
        <f>IFERROR(__xludf.DUMMYFUNCTION("IMPORTRANGE(""https://docs.google.com/spreadsheets/d/1Yj_ptqi66GCucihVvJfMjLAmec39IyEx_6qawtMGysU/edit?usp=sharing"",""สบก!BK56"")"),23980.0)</f>
        <v>23980</v>
      </c>
      <c r="O144" s="203">
        <f>IF(L144&gt;0,N144*100/L144,0)</f>
        <v>23.50980392</v>
      </c>
      <c r="P144" s="203">
        <f>IF(M144&gt;0,N144*100/M144,0)</f>
        <v>31.65676568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IFERROR(__xludf.DUMMYFUNCTION("IMPORTRANGE(""https://docs.google.com/spreadsheets/d/1Yj_ptqi66GCucihVvJfMjLAmec39IyEx_6qawtMGysU/edit?usp=sharing"",""สบก!BF56"")"),0.0)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IFERROR(__xludf.DUMMYFUNCTION("IMPORTRANGE(""https://docs.google.com/spreadsheets/d/1Yj_ptqi66GCucihVvJfMjLAmec39IyEx_6qawtMGysU/edit?usp=sharing"",""สบก!BG56"")"),102000.0)</f>
        <v>102000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IFERROR(__xludf.DUMMYFUNCTION("IMPORTRANGE(""https://docs.google.com/spreadsheets/d/1Yj_ptqi66GCucihVvJfMjLAmec39IyEx_6qawtMGysU/edit?usp=sharing"",""สบก!BH56"")"),0.0)</f>
        <v>0</v>
      </c>
      <c r="M148" s="125"/>
      <c r="N148" s="115">
        <f>IFERROR(__xludf.DUMMYFUNCTION("IMPORTRANGE(""https://docs.google.com/spreadsheets/d/1Yj_ptqi66GCucihVvJfMjLAmec39IyEx_6qawtMGysU/edit?usp=sharing"",""สบก!BL56"")"),0.0)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IFERROR(__xludf.DUMMYFUNCTION("IMPORTRANGE(""https://docs.google.com/spreadsheets/d/1XL5vhW3sbDhbH9Cz0tuDiY8C3ctxq1tqvaCgkFb8cCA/edit?usp=sharing"",""อุดรธานี!I74"")"),4.0)</f>
        <v>4</v>
      </c>
      <c r="J149" s="309">
        <f>IFERROR(__xludf.DUMMYFUNCTION("IMPORTRANGE(""https://docs.google.com/spreadsheets/d/1XL5vhW3sbDhbH9Cz0tuDiY8C3ctxq1tqvaCgkFb8cCA/edit?usp=sharing"",""อุดรธานี!J74"")"),0.0)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IFERROR(__xludf.DUMMYFUNCTION("IMPORTRANGE(""https://docs.google.com/spreadsheets/d/1XL5vhW3sbDhbH9Cz0tuDiY8C3ctxq1tqvaCgkFb8cCA/edit?usp=sharing"",""อุดรธานี!J79"")"),1.0)</f>
        <v>1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IFERROR(__xludf.DUMMYFUNCTION("IMPORTRANGE(""https://docs.google.com/spreadsheets/d/1XL5vhW3sbDhbH9Cz0tuDiY8C3ctxq1tqvaCgkFb8cCA/edit?usp=sharing"",""อุดรธานี!J80"")"),0.0)</f>
        <v>0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IFERROR(__xludf.DUMMYFUNCTION("IMPORTRANGE(""https://docs.google.com/spreadsheets/d/1XL5vhW3sbDhbH9Cz0tuDiY8C3ctxq1tqvaCgkFb8cCA/edit?usp=sharing"",""อุดรธานี!J81"")"),0.0)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IFERROR(__xludf.DUMMYFUNCTION("IMPORTRANGE(""https://docs.google.com/spreadsheets/d/1XL5vhW3sbDhbH9Cz0tuDiY8C3ctxq1tqvaCgkFb8cCA/edit?usp=sharing"",""อุดรธานี!J82"")"),0.0)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IFERROR(__xludf.DUMMYFUNCTION("IMPORTRANGE(""https://docs.google.com/spreadsheets/d/1XL5vhW3sbDhbH9Cz0tuDiY8C3ctxq1tqvaCgkFb8cCA/edit?usp=sharing"",""อุดรธานี!I83"")"),4.0)</f>
        <v>4</v>
      </c>
      <c r="J158" s="223">
        <f>IFERROR(__xludf.DUMMYFUNCTION("IMPORTRANGE(""https://docs.google.com/spreadsheets/d/1XL5vhW3sbDhbH9Cz0tuDiY8C3ctxq1tqvaCgkFb8cCA/edit?usp=sharing"",""อุดรธานี!J83"")"),0.0)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IFERROR(__xludf.DUMMYFUNCTION("IMPORTRANGE(""https://docs.google.com/spreadsheets/d/1XL5vhW3sbDhbH9Cz0tuDiY8C3ctxq1tqvaCgkFb8cCA/edit?usp=sharing"",""อุดรธานี!J84"")"),0.0)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IFERROR(__xludf.DUMMYFUNCTION("IMPORTRANGE(""https://docs.google.com/spreadsheets/d/1XL5vhW3sbDhbH9Cz0tuDiY8C3ctxq1tqvaCgkFb8cCA/edit?usp=sharing"",""อุดรธานี!J85"")"),0.0)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IFERROR(__xludf.DUMMYFUNCTION("IMPORTRANGE(""https://docs.google.com/spreadsheets/d/1XL5vhW3sbDhbH9Cz0tuDiY8C3ctxq1tqvaCgkFb8cCA/edit?usp=sharing"",""อุดรธานี!J86"")"),0.0)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IFERROR(__xludf.DUMMYFUNCTION("IMPORTRANGE(""https://docs.google.com/spreadsheets/d/1XL5vhW3sbDhbH9Cz0tuDiY8C3ctxq1tqvaCgkFb8cCA/edit?usp=sharing"",""อุดรธานี!J87"")"),0.0)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IFERROR(__xludf.DUMMYFUNCTION("IMPORTRANGE(""https://docs.google.com/spreadsheets/d/1XL5vhW3sbDhbH9Cz0tuDiY8C3ctxq1tqvaCgkFb8cCA/edit?usp=sharing"",""อุดรธานี!J88"")"),0.0)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IFERROR(__xludf.DUMMYFUNCTION("IMPORTRANGE(""https://docs.google.com/spreadsheets/d/1XL5vhW3sbDhbH9Cz0tuDiY8C3ctxq1tqvaCgkFb8cCA/edit?usp=sharing"",""อุดรธานี!I89"")"),3.0)</f>
        <v>3</v>
      </c>
      <c r="J164" s="317">
        <f>IFERROR(__xludf.DUMMYFUNCTION("IMPORTRANGE(""https://docs.google.com/spreadsheets/d/1XL5vhW3sbDhbH9Cz0tuDiY8C3ctxq1tqvaCgkFb8cCA/edit?usp=sharing"",""อุดรธานี!J89"")"),1.0)</f>
        <v>1</v>
      </c>
      <c r="K164" s="318">
        <f>IF(I164&gt;0,J164*100/I164,0)</f>
        <v>33.33333333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IFERROR(__xludf.DUMMYFUNCTION("IMPORTRANGE(""https://docs.google.com/spreadsheets/d/1XL5vhW3sbDhbH9Cz0tuDiY8C3ctxq1tqvaCgkFb8cCA/edit?usp=sharing"",""อุดรธานี!J94"")"),0.0)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IFERROR(__xludf.DUMMYFUNCTION("IMPORTRANGE(""https://docs.google.com/spreadsheets/d/1XL5vhW3sbDhbH9Cz0tuDiY8C3ctxq1tqvaCgkFb8cCA/edit?usp=sharing"",""อุดรธานี!J95"")"),1.0)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IFERROR(__xludf.DUMMYFUNCTION("IMPORTRANGE(""https://docs.google.com/spreadsheets/d/1XL5vhW3sbDhbH9Cz0tuDiY8C3ctxq1tqvaCgkFb8cCA/edit?usp=sharing"",""อุดรธานี!J96"")"),1.0)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IFERROR(__xludf.DUMMYFUNCTION("IMPORTRANGE(""https://docs.google.com/spreadsheets/d/1XL5vhW3sbDhbH9Cz0tuDiY8C3ctxq1tqvaCgkFb8cCA/edit?usp=sharing"",""อุดรธานี!J97"")"),1.0)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IFERROR(__xludf.DUMMYFUNCTION("IMPORTRANGE(""https://docs.google.com/spreadsheets/d/1XL5vhW3sbDhbH9Cz0tuDiY8C3ctxq1tqvaCgkFb8cCA/edit?usp=sharing"",""อุดรธานี!I98"")"),3.0)</f>
        <v>3</v>
      </c>
      <c r="J173" s="223">
        <f>IFERROR(__xludf.DUMMYFUNCTION("IMPORTRANGE(""https://docs.google.com/spreadsheets/d/1XL5vhW3sbDhbH9Cz0tuDiY8C3ctxq1tqvaCgkFb8cCA/edit?usp=sharing"",""อุดรธานี!J98"")"),1.0)</f>
        <v>1</v>
      </c>
      <c r="K173" s="196">
        <f>IF(I173&gt;0,J173*100/I173,0)</f>
        <v>33.33333333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IFERROR(__xludf.DUMMYFUNCTION("IMPORTRANGE(""https://docs.google.com/spreadsheets/d/1XL5vhW3sbDhbH9Cz0tuDiY8C3ctxq1tqvaCgkFb8cCA/edit?usp=sharing"",""อุดรธานี!J99"")"),0.0)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IFERROR(__xludf.DUMMYFUNCTION("IMPORTRANGE(""https://docs.google.com/spreadsheets/d/1XL5vhW3sbDhbH9Cz0tuDiY8C3ctxq1tqvaCgkFb8cCA/edit?usp=sharing"",""อุดรธานี!J100"")"),0.0)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IFERROR(__xludf.DUMMYFUNCTION("IMPORTRANGE(""https://docs.google.com/spreadsheets/d/1XL5vhW3sbDhbH9Cz0tuDiY8C3ctxq1tqvaCgkFb8cCA/edit?usp=sharing"",""อุดรธานี!I101"")"),3.0)</f>
        <v>3</v>
      </c>
      <c r="J176" s="317">
        <f>IFERROR(__xludf.DUMMYFUNCTION("IMPORTRANGE(""https://docs.google.com/spreadsheets/d/1XL5vhW3sbDhbH9Cz0tuDiY8C3ctxq1tqvaCgkFb8cCA/edit?usp=sharing"",""อุดรธานี!J101"")"),0.0)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IFERROR(__xludf.DUMMYFUNCTION("IMPORTRANGE(""https://docs.google.com/spreadsheets/d/1XL5vhW3sbDhbH9Cz0tuDiY8C3ctxq1tqvaCgkFb8cCA/edit?usp=sharing"",""อุดรธานี!J106"")"),1.0)</f>
        <v>1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IFERROR(__xludf.DUMMYFUNCTION("IMPORTRANGE(""https://docs.google.com/spreadsheets/d/1XL5vhW3sbDhbH9Cz0tuDiY8C3ctxq1tqvaCgkFb8cCA/edit?usp=sharing"",""อุดรธานี!J107"")"),0.0)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IFERROR(__xludf.DUMMYFUNCTION("IMPORTRANGE(""https://docs.google.com/spreadsheets/d/1XL5vhW3sbDhbH9Cz0tuDiY8C3ctxq1tqvaCgkFb8cCA/edit?usp=sharing"",""อุดรธานี!J108"")"),0.0)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IFERROR(__xludf.DUMMYFUNCTION("IMPORTRANGE(""https://docs.google.com/spreadsheets/d/1XL5vhW3sbDhbH9Cz0tuDiY8C3ctxq1tqvaCgkFb8cCA/edit?usp=sharing"",""อุดรธานี!J109"")"),0.0)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IFERROR(__xludf.DUMMYFUNCTION("IMPORTRANGE(""https://docs.google.com/spreadsheets/d/1XL5vhW3sbDhbH9Cz0tuDiY8C3ctxq1tqvaCgkFb8cCA/edit?usp=sharing"",""อุดรธานี!I110"")"),3.0)</f>
        <v>3</v>
      </c>
      <c r="J185" s="238">
        <f>IFERROR(__xludf.DUMMYFUNCTION("IMPORTRANGE(""https://docs.google.com/spreadsheets/d/1XL5vhW3sbDhbH9Cz0tuDiY8C3ctxq1tqvaCgkFb8cCA/edit?usp=sharing"",""อุดรธานี!J110"")"),0.0)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IFERROR(__xludf.DUMMYFUNCTION("IMPORTRANGE(""https://docs.google.com/spreadsheets/d/1XL5vhW3sbDhbH9Cz0tuDiY8C3ctxq1tqvaCgkFb8cCA/edit?usp=sharing"",""อุดรธานี!I111"")"),3.0)</f>
        <v>3</v>
      </c>
      <c r="J186" s="238">
        <f>IFERROR(__xludf.DUMMYFUNCTION("IMPORTRANGE(""https://docs.google.com/spreadsheets/d/1XL5vhW3sbDhbH9Cz0tuDiY8C3ctxq1tqvaCgkFb8cCA/edit?usp=sharing"",""อุดรธานี!J111"")"),0.0)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IFERROR(__xludf.DUMMYFUNCTION("IMPORTRANGE(""https://docs.google.com/spreadsheets/d/1XL5vhW3sbDhbH9Cz0tuDiY8C3ctxq1tqvaCgkFb8cCA/edit?usp=sharing"",""อุดรธานี!J112"")"),0.0)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IFERROR(__xludf.DUMMYFUNCTION("IMPORTRANGE(""https://docs.google.com/spreadsheets/d/1XL5vhW3sbDhbH9Cz0tuDiY8C3ctxq1tqvaCgkFb8cCA/edit?usp=sharing"",""อุดรธานี!J113"")"),0.0)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IFERROR(__xludf.DUMMYFUNCTION("IMPORTRANGE(""https://docs.google.com/spreadsheets/d/1XL5vhW3sbDhbH9Cz0tuDiY8C3ctxq1tqvaCgkFb8cCA/edit?usp=sharing"",""อุดรธานี!I114"")"),10000.0)</f>
        <v>10000</v>
      </c>
      <c r="J189" s="317">
        <f>IFERROR(__xludf.DUMMYFUNCTION("IMPORTRANGE(""https://docs.google.com/spreadsheets/d/1XL5vhW3sbDhbH9Cz0tuDiY8C3ctxq1tqvaCgkFb8cCA/edit?usp=sharing"",""อุดรธานี!J114"")"),0.0)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IFERROR(__xludf.DUMMYFUNCTION("IMPORTRANGE(""https://docs.google.com/spreadsheets/d/1XL5vhW3sbDhbH9Cz0tuDiY8C3ctxq1tqvaCgkFb8cCA/edit?usp=sharing"",""อุดรธานี!J119"")"),1.0)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IFERROR(__xludf.DUMMYFUNCTION("IMPORTRANGE(""https://docs.google.com/spreadsheets/d/1XL5vhW3sbDhbH9Cz0tuDiY8C3ctxq1tqvaCgkFb8cCA/edit?usp=sharing"",""อุดรธานี!J120"")"),0.0)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IFERROR(__xludf.DUMMYFUNCTION("IMPORTRANGE(""https://docs.google.com/spreadsheets/d/1XL5vhW3sbDhbH9Cz0tuDiY8C3ctxq1tqvaCgkFb8cCA/edit?usp=sharing"",""อุดรธานี!J121"")"),0.0)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IFERROR(__xludf.DUMMYFUNCTION("IMPORTRANGE(""https://docs.google.com/spreadsheets/d/1XL5vhW3sbDhbH9Cz0tuDiY8C3ctxq1tqvaCgkFb8cCA/edit?usp=sharing"",""อุดรธานี!J122"")"),0.0)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IFERROR(__xludf.DUMMYFUNCTION("IMPORTRANGE(""https://docs.google.com/spreadsheets/d/1XL5vhW3sbDhbH9Cz0tuDiY8C3ctxq1tqvaCgkFb8cCA/edit?usp=sharing"",""อุดรธานี!I124"")"),10000.0)</f>
        <v>10000</v>
      </c>
      <c r="J199" s="223">
        <f>IFERROR(__xludf.DUMMYFUNCTION("IMPORTRANGE(""https://docs.google.com/spreadsheets/d/1XL5vhW3sbDhbH9Cz0tuDiY8C3ctxq1tqvaCgkFb8cCA/edit?usp=sharing"",""อุดรธานี!J124"")"),0.0)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IFERROR(__xludf.DUMMYFUNCTION("IMPORTRANGE(""https://docs.google.com/spreadsheets/d/1XL5vhW3sbDhbH9Cz0tuDiY8C3ctxq1tqvaCgkFb8cCA/edit?usp=sharing"",""อุดรธานี!I125"")"),10000.0)</f>
        <v>10000</v>
      </c>
      <c r="J200" s="223">
        <f>IFERROR(__xludf.DUMMYFUNCTION("IMPORTRANGE(""https://docs.google.com/spreadsheets/d/1XL5vhW3sbDhbH9Cz0tuDiY8C3ctxq1tqvaCgkFb8cCA/edit?usp=sharing"",""อุดรธานี!J125"")"),0.0)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IFERROR(__xludf.DUMMYFUNCTION("IMPORTRANGE(""https://docs.google.com/spreadsheets/d/1XL5vhW3sbDhbH9Cz0tuDiY8C3ctxq1tqvaCgkFb8cCA/edit?usp=sharing"",""อุดรธานี!I126"")"),0.0)</f>
        <v>0</v>
      </c>
      <c r="J201" s="223">
        <f>IFERROR(__xludf.DUMMYFUNCTION("IMPORTRANGE(""https://docs.google.com/spreadsheets/d/1XL5vhW3sbDhbH9Cz0tuDiY8C3ctxq1tqvaCgkFb8cCA/edit?usp=sharing"",""อุดรธานี!J126"")"),0.0)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IFERROR(__xludf.DUMMYFUNCTION("IMPORTRANGE(""https://docs.google.com/spreadsheets/d/1XL5vhW3sbDhbH9Cz0tuDiY8C3ctxq1tqvaCgkFb8cCA/edit?usp=sharing"",""อุดรธานี!J127"")"),0.0)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IFERROR(__xludf.DUMMYFUNCTION("IMPORTRANGE(""https://docs.google.com/spreadsheets/d/1XL5vhW3sbDhbH9Cz0tuDiY8C3ctxq1tqvaCgkFb8cCA/edit?usp=sharing"",""อุดรธานี!J128"")"),0.0)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IFERROR(__xludf.DUMMYFUNCTION("IMPORTRANGE(""https://docs.google.com/spreadsheets/d/1XL5vhW3sbDhbH9Cz0tuDiY8C3ctxq1tqvaCgkFb8cCA/edit?usp=sharing"",""อุดรธานี!I129"")"),0.0)</f>
        <v>0</v>
      </c>
      <c r="J204" s="317">
        <f>IFERROR(__xludf.DUMMYFUNCTION("IMPORTRANGE(""https://docs.google.com/spreadsheets/d/1XL5vhW3sbDhbH9Cz0tuDiY8C3ctxq1tqvaCgkFb8cCA/edit?usp=sharing"",""อุดรธานี!J129"")"),0.0)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IFERROR(__xludf.DUMMYFUNCTION("IMPORTRANGE(""https://docs.google.com/spreadsheets/d/1XL5vhW3sbDhbH9Cz0tuDiY8C3ctxq1tqvaCgkFb8cCA/edit?usp=sharing"",""อุดรธานี!J134"")"),0.0)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IFERROR(__xludf.DUMMYFUNCTION("IMPORTRANGE(""https://docs.google.com/spreadsheets/d/1XL5vhW3sbDhbH9Cz0tuDiY8C3ctxq1tqvaCgkFb8cCA/edit?usp=sharing"",""อุดรธานี!J135"")"),0.0)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IFERROR(__xludf.DUMMYFUNCTION("IMPORTRANGE(""https://docs.google.com/spreadsheets/d/1XL5vhW3sbDhbH9Cz0tuDiY8C3ctxq1tqvaCgkFb8cCA/edit?usp=sharing"",""อุดรธานี!J136"")"),0.0)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IFERROR(__xludf.DUMMYFUNCTION("IMPORTRANGE(""https://docs.google.com/spreadsheets/d/1XL5vhW3sbDhbH9Cz0tuDiY8C3ctxq1tqvaCgkFb8cCA/edit?usp=sharing"",""อุดรธานี!J137"")"),0.0)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IFERROR(__xludf.DUMMYFUNCTION("IMPORTRANGE(""https://docs.google.com/spreadsheets/d/1XL5vhW3sbDhbH9Cz0tuDiY8C3ctxq1tqvaCgkFb8cCA/edit?usp=sharing"",""อุดรธานี!I138"")"),0.0)</f>
        <v>0</v>
      </c>
      <c r="J213" s="238">
        <f>IFERROR(__xludf.DUMMYFUNCTION("IMPORTRANGE(""https://docs.google.com/spreadsheets/d/1XL5vhW3sbDhbH9Cz0tuDiY8C3ctxq1tqvaCgkFb8cCA/edit?usp=sharing"",""อุดรธานี!J138"")"),0.0)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IFERROR(__xludf.DUMMYFUNCTION("IMPORTRANGE(""https://docs.google.com/spreadsheets/d/1XL5vhW3sbDhbH9Cz0tuDiY8C3ctxq1tqvaCgkFb8cCA/edit?usp=sharing"",""อุดรธานี!I140"")"),0.0)</f>
        <v>0</v>
      </c>
      <c r="J215" s="238">
        <f>IFERROR(__xludf.DUMMYFUNCTION("IMPORTRANGE(""https://docs.google.com/spreadsheets/d/1XL5vhW3sbDhbH9Cz0tuDiY8C3ctxq1tqvaCgkFb8cCA/edit?usp=sharing"",""อุดรธานี!J140"")"),0.0)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IFERROR(__xludf.DUMMYFUNCTION("IMPORTRANGE(""https://docs.google.com/spreadsheets/d/1XL5vhW3sbDhbH9Cz0tuDiY8C3ctxq1tqvaCgkFb8cCA/edit?usp=sharing"",""อุดรธานี!I141"")"),0.0)</f>
        <v>0</v>
      </c>
      <c r="J216" s="238">
        <f>IFERROR(__xludf.DUMMYFUNCTION("IMPORTRANGE(""https://docs.google.com/spreadsheets/d/1XL5vhW3sbDhbH9Cz0tuDiY8C3ctxq1tqvaCgkFb8cCA/edit?usp=sharing"",""อุดรธานี!J141"")"),0.0)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IFERROR(__xludf.DUMMYFUNCTION("IMPORTRANGE(""https://docs.google.com/spreadsheets/d/1XL5vhW3sbDhbH9Cz0tuDiY8C3ctxq1tqvaCgkFb8cCA/edit?usp=sharing"",""อุดรธานี!J142"")"),0.0)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IFERROR(__xludf.DUMMYFUNCTION("IMPORTRANGE(""https://docs.google.com/spreadsheets/d/1XL5vhW3sbDhbH9Cz0tuDiY8C3ctxq1tqvaCgkFb8cCA/edit?usp=sharing"",""อุดรธานี!J143"")"),0.0)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IFERROR(__xludf.DUMMYFUNCTION("IMPORTRANGE(""https://docs.google.com/spreadsheets/d/1XL5vhW3sbDhbH9Cz0tuDiY8C3ctxq1tqvaCgkFb8cCA/edit?usp=sharing"",""อุดรธานี!I144"")"),14.0)</f>
        <v>14</v>
      </c>
      <c r="J219" s="301">
        <f>IFERROR(__xludf.DUMMYFUNCTION("IMPORTRANGE(""https://docs.google.com/spreadsheets/d/1XL5vhW3sbDhbH9Cz0tuDiY8C3ctxq1tqvaCgkFb8cCA/edit?usp=sharing"",""อุดรธานี!J144"")"),0.0)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IFERROR(__xludf.DUMMYFUNCTION("IMPORTRANGE(""https://docs.google.com/spreadsheets/d/1Yj_ptqi66GCucihVvJfMjLAmec39IyEx_6qawtMGysU/edit?usp=sharing"",""สบก!BS56"")"),20210.0)</f>
        <v>20210</v>
      </c>
      <c r="N224" s="202">
        <f>IFERROR(__xludf.DUMMYFUNCTION("IMPORTRANGE(""https://docs.google.com/spreadsheets/d/1Yj_ptqi66GCucihVvJfMjLAmec39IyEx_6qawtMGysU/edit?usp=sharing"",""สบก!BT56"")"),0.0)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IFERROR(__xludf.DUMMYFUNCTION("IMPORTRANGE(""https://docs.google.com/spreadsheets/d/1Yj_ptqi66GCucihVvJfMjLAmec39IyEx_6qawtMGysU/edit?usp=sharing"",""สบก!BO56"")"),0.0)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IFERROR(__xludf.DUMMYFUNCTION("IMPORTRANGE(""https://docs.google.com/spreadsheets/d/1Yj_ptqi66GCucihVvJfMjLAmec39IyEx_6qawtMGysU/edit?usp=sharing"",""สบก!BP56"")"),20210.0)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IFERROR(__xludf.DUMMYFUNCTION("IMPORTRANGE(""https://docs.google.com/spreadsheets/d/1Yj_ptqi66GCucihVvJfMjLAmec39IyEx_6qawtMGysU/edit?usp=sharing"",""สบก!BQ56"")"),0.0)</f>
        <v>0</v>
      </c>
      <c r="M228" s="125"/>
      <c r="N228" s="115">
        <f>IFERROR(__xludf.DUMMYFUNCTION("IMPORTRANGE(""https://docs.google.com/spreadsheets/d/1Yj_ptqi66GCucihVvJfMjLAmec39IyEx_6qawtMGysU/edit?usp=sharing"",""สบก!BU56"")"),0.0)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IFERROR(__xludf.DUMMYFUNCTION("IMPORTRANGE(""https://docs.google.com/spreadsheets/d/1XL5vhW3sbDhbH9Cz0tuDiY8C3ctxq1tqvaCgkFb8cCA/edit?usp=sharing"",""อุดรธานี!I149"")"),14.0)</f>
        <v>14</v>
      </c>
      <c r="J229" s="301">
        <f>IFERROR(__xludf.DUMMYFUNCTION("IMPORTRANGE(""https://docs.google.com/spreadsheets/d/1XL5vhW3sbDhbH9Cz0tuDiY8C3ctxq1tqvaCgkFb8cCA/edit?usp=sharing"",""อุดรธานี!J149"")"),0.0)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IFERROR(__xludf.DUMMYFUNCTION("IMPORTRANGE(""https://docs.google.com/spreadsheets/d/1XL5vhW3sbDhbH9Cz0tuDiY8C3ctxq1tqvaCgkFb8cCA/edit?usp=sharing"",""อุดรธานี!J151"")"),0.0)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IFERROR(__xludf.DUMMYFUNCTION("IMPORTRANGE(""https://docs.google.com/spreadsheets/d/1XL5vhW3sbDhbH9Cz0tuDiY8C3ctxq1tqvaCgkFb8cCA/edit?usp=sharing"",""อุดรธานี!J152"")"),1.0)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IFERROR(__xludf.DUMMYFUNCTION("IMPORTRANGE(""https://docs.google.com/spreadsheets/d/1XL5vhW3sbDhbH9Cz0tuDiY8C3ctxq1tqvaCgkFb8cCA/edit?usp=sharing"",""อุดรธานี!J153"")"),1.0)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IFERROR(__xludf.DUMMYFUNCTION("IMPORTRANGE(""https://docs.google.com/spreadsheets/d/1XL5vhW3sbDhbH9Cz0tuDiY8C3ctxq1tqvaCgkFb8cCA/edit?usp=sharing"",""อุดรธานี!J154"")"),1.0)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IFERROR(__xludf.DUMMYFUNCTION("IMPORTRANGE(""https://docs.google.com/spreadsheets/d/1XL5vhW3sbDhbH9Cz0tuDiY8C3ctxq1tqvaCgkFb8cCA/edit?usp=sharing"",""อุดรธานี!I155"")"),14.0)</f>
        <v>14</v>
      </c>
      <c r="J235" s="223">
        <f>IFERROR(__xludf.DUMMYFUNCTION("IMPORTRANGE(""https://docs.google.com/spreadsheets/d/1XL5vhW3sbDhbH9Cz0tuDiY8C3ctxq1tqvaCgkFb8cCA/edit?usp=sharing"",""อุดรธานี!J155"")"),0.0)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IFERROR(__xludf.DUMMYFUNCTION("IMPORTRANGE(""https://docs.google.com/spreadsheets/d/1XL5vhW3sbDhbH9Cz0tuDiY8C3ctxq1tqvaCgkFb8cCA/edit?usp=sharing"",""อุดรธานี!J156"")"),0.0)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IFERROR(__xludf.DUMMYFUNCTION("IMPORTRANGE(""https://docs.google.com/spreadsheets/d/1XL5vhW3sbDhbH9Cz0tuDiY8C3ctxq1tqvaCgkFb8cCA/edit?usp=sharing"",""อุดรธานี!J157"")"),0.0)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IFERROR(__xludf.DUMMYFUNCTION("IMPORTRANGE(""https://docs.google.com/spreadsheets/d/1XL5vhW3sbDhbH9Cz0tuDiY8C3ctxq1tqvaCgkFb8cCA/edit?usp=sharing"",""อุดรธานี!I158"")"),0.0)</f>
        <v>0</v>
      </c>
      <c r="J238" s="301">
        <f>IFERROR(__xludf.DUMMYFUNCTION("IMPORTRANGE(""https://docs.google.com/spreadsheets/d/1XL5vhW3sbDhbH9Cz0tuDiY8C3ctxq1tqvaCgkFb8cCA/edit?usp=sharing"",""อุดรธานี!J158"")"),0.0)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IFERROR(__xludf.DUMMYFUNCTION("IMPORTRANGE(""https://docs.google.com/spreadsheets/d/1XL5vhW3sbDhbH9Cz0tuDiY8C3ctxq1tqvaCgkFb8cCA/edit?usp=sharing"",""อุดรธานี!J159"")"),"")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IFERROR(__xludf.DUMMYFUNCTION("IMPORTRANGE(""https://docs.google.com/spreadsheets/d/1XL5vhW3sbDhbH9Cz0tuDiY8C3ctxq1tqvaCgkFb8cCA/edit?usp=sharing"",""อุดรธานี!J161"")"),0.0)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IFERROR(__xludf.DUMMYFUNCTION("IMPORTRANGE(""https://docs.google.com/spreadsheets/d/1XL5vhW3sbDhbH9Cz0tuDiY8C3ctxq1tqvaCgkFb8cCA/edit?usp=sharing"",""อุดรธานี!J162"")"),0.0)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IFERROR(__xludf.DUMMYFUNCTION("IMPORTRANGE(""https://docs.google.com/spreadsheets/d/1XL5vhW3sbDhbH9Cz0tuDiY8C3ctxq1tqvaCgkFb8cCA/edit?usp=sharing"",""อุดรธานี!J163"")"),0.0)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IFERROR(__xludf.DUMMYFUNCTION("IMPORTRANGE(""https://docs.google.com/spreadsheets/d/1XL5vhW3sbDhbH9Cz0tuDiY8C3ctxq1tqvaCgkFb8cCA/edit?usp=sharing"",""อุดรธานี!I164"")"),0.0)</f>
        <v>0</v>
      </c>
      <c r="J244" s="222">
        <f>IFERROR(__xludf.DUMMYFUNCTION("IMPORTRANGE(""https://docs.google.com/spreadsheets/d/1XL5vhW3sbDhbH9Cz0tuDiY8C3ctxq1tqvaCgkFb8cCA/edit?usp=sharing"",""อุดรธานี!J164"")"),0.0)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IFERROR(__xludf.DUMMYFUNCTION("IMPORTRANGE(""https://docs.google.com/spreadsheets/d/1XL5vhW3sbDhbH9Cz0tuDiY8C3ctxq1tqvaCgkFb8cCA/edit?usp=sharing"",""อุดรธานี!J165"")"),0.0)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IFERROR(__xludf.DUMMYFUNCTION("IMPORTRANGE(""https://docs.google.com/spreadsheets/d/1XL5vhW3sbDhbH9Cz0tuDiY8C3ctxq1tqvaCgkFb8cCA/edit?usp=sharing"",""อุดรธานี!J166"")"),0.0)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IFERROR(__xludf.DUMMYFUNCTION("IMPORTRANGE(""https://docs.google.com/spreadsheets/d/1XL5vhW3sbDhbH9Cz0tuDiY8C3ctxq1tqvaCgkFb8cCA/edit?usp=sharing"",""อุดรธานี!I169"")"),20.0)</f>
        <v>20</v>
      </c>
      <c r="J249" s="349">
        <f>IFERROR(__xludf.DUMMYFUNCTION("IMPORTRANGE(""https://docs.google.com/spreadsheets/d/1XL5vhW3sbDhbH9Cz0tuDiY8C3ctxq1tqvaCgkFb8cCA/edit?usp=sharing"",""อุดรธานี!J169"")"),0.0)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71400</v>
      </c>
      <c r="M250" s="183">
        <f t="shared" si="78"/>
        <v>37000</v>
      </c>
      <c r="N250" s="183">
        <f t="shared" si="78"/>
        <v>2360</v>
      </c>
      <c r="O250" s="182">
        <f t="shared" ref="O250:O252" si="80">IF(L250&gt;0,N250*100/L250,0)</f>
        <v>3.305322129</v>
      </c>
      <c r="P250" s="182">
        <f t="shared" ref="P250:P252" si="81">IF(M250&gt;0,N250*100/M250,0)</f>
        <v>6.378378378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71400</v>
      </c>
      <c r="M252" s="188">
        <f t="shared" si="82"/>
        <v>37000</v>
      </c>
      <c r="N252" s="188">
        <f t="shared" si="82"/>
        <v>2360</v>
      </c>
      <c r="O252" s="187">
        <f t="shared" si="80"/>
        <v>3.305322129</v>
      </c>
      <c r="P252" s="187">
        <f t="shared" si="81"/>
        <v>6.378378378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71400</v>
      </c>
      <c r="M254" s="201">
        <f>IFERROR(__xludf.DUMMYFUNCTION("IMPORTRANGE(""https://docs.google.com/spreadsheets/d/1Yj_ptqi66GCucihVvJfMjLAmec39IyEx_6qawtMGysU/edit?usp=sharing"",""สบก!CB56"")"),37000.0)</f>
        <v>37000</v>
      </c>
      <c r="N254" s="202">
        <f>IFERROR(__xludf.DUMMYFUNCTION("IMPORTRANGE(""https://docs.google.com/spreadsheets/d/1Yj_ptqi66GCucihVvJfMjLAmec39IyEx_6qawtMGysU/edit?usp=sharing"",""สบก!CC56"")"),2360.0)</f>
        <v>2360</v>
      </c>
      <c r="O254" s="203">
        <f>IF(L254&gt;0,N254*100/L254,0)</f>
        <v>3.305322129</v>
      </c>
      <c r="P254" s="203">
        <f>IF(M254&gt;0,N254*100/M254,0)</f>
        <v>6.378378378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IFERROR(__xludf.DUMMYFUNCTION("IMPORTRANGE(""https://docs.google.com/spreadsheets/d/1Yj_ptqi66GCucihVvJfMjLAmec39IyEx_6qawtMGysU/edit?usp=sharing"",""สบก!BX56"")"),0.0)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IFERROR(__xludf.DUMMYFUNCTION("IMPORTRANGE(""https://docs.google.com/spreadsheets/d/1Yj_ptqi66GCucihVvJfMjLAmec39IyEx_6qawtMGysU/edit?usp=sharing"",""สบก!BY56"")"),71400.0)</f>
        <v>71400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IFERROR(__xludf.DUMMYFUNCTION("IMPORTRANGE(""https://docs.google.com/spreadsheets/d/1Yj_ptqi66GCucihVvJfMjLAmec39IyEx_6qawtMGysU/edit?usp=sharing"",""สบก!BZ56"")"),0.0)</f>
        <v>0</v>
      </c>
      <c r="M258" s="125"/>
      <c r="N258" s="115">
        <f>IFERROR(__xludf.DUMMYFUNCTION("IMPORTRANGE(""https://docs.google.com/spreadsheets/d/1Yj_ptqi66GCucihVvJfMjLAmec39IyEx_6qawtMGysU/edit?usp=sharing"",""สบก!CD56"")"),0.0)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IFERROR(__xludf.DUMMYFUNCTION("IMPORTRANGE(""https://docs.google.com/spreadsheets/d/1XL5vhW3sbDhbH9Cz0tuDiY8C3ctxq1tqvaCgkFb8cCA/edit?usp=sharing"",""อุดรธานี!J175"")"),0.0)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IFERROR(__xludf.DUMMYFUNCTION("IMPORTRANGE(""https://docs.google.com/spreadsheets/d/1XL5vhW3sbDhbH9Cz0tuDiY8C3ctxq1tqvaCgkFb8cCA/edit?usp=sharing"",""อุดรธานี!J176"")"),1.0)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IFERROR(__xludf.DUMMYFUNCTION("IMPORTRANGE(""https://docs.google.com/spreadsheets/d/1XL5vhW3sbDhbH9Cz0tuDiY8C3ctxq1tqvaCgkFb8cCA/edit?usp=sharing"",""อุดรธานี!J177"")"),1.0)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IFERROR(__xludf.DUMMYFUNCTION("IMPORTRANGE(""https://docs.google.com/spreadsheets/d/1XL5vhW3sbDhbH9Cz0tuDiY8C3ctxq1tqvaCgkFb8cCA/edit?usp=sharing"",""อุดรธานี!J178"")"),1.0)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IFERROR(__xludf.DUMMYFUNCTION("IMPORTRANGE(""https://docs.google.com/spreadsheets/d/1XL5vhW3sbDhbH9Cz0tuDiY8C3ctxq1tqvaCgkFb8cCA/edit?usp=sharing"",""อุดรธานี!I179"")"),1.0)</f>
        <v>1</v>
      </c>
      <c r="J264" s="223">
        <f>IFERROR(__xludf.DUMMYFUNCTION("IMPORTRANGE(""https://docs.google.com/spreadsheets/d/1XL5vhW3sbDhbH9Cz0tuDiY8C3ctxq1tqvaCgkFb8cCA/edit?usp=sharing"",""อุดรธานี!J179"")"),1.0)</f>
        <v>1</v>
      </c>
      <c r="K264" s="196">
        <f t="shared" ref="K264:K267" si="83">IF(I264&gt;0,J264*100/I264,0)</f>
        <v>100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IFERROR(__xludf.DUMMYFUNCTION("IMPORTRANGE(""https://docs.google.com/spreadsheets/d/1XL5vhW3sbDhbH9Cz0tuDiY8C3ctxq1tqvaCgkFb8cCA/edit?usp=sharing"",""อุดรธานี!I180"")"),20.0)</f>
        <v>20</v>
      </c>
      <c r="J265" s="223">
        <f>IFERROR(__xludf.DUMMYFUNCTION("IMPORTRANGE(""https://docs.google.com/spreadsheets/d/1XL5vhW3sbDhbH9Cz0tuDiY8C3ctxq1tqvaCgkFb8cCA/edit?usp=sharing"",""อุดรธานี!J180"")"),0.0)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IFERROR(__xludf.DUMMYFUNCTION("IMPORTRANGE(""https://docs.google.com/spreadsheets/d/1XL5vhW3sbDhbH9Cz0tuDiY8C3ctxq1tqvaCgkFb8cCA/edit?usp=sharing"",""อุดรธานี!I181"")"),20.0)</f>
        <v>20</v>
      </c>
      <c r="J266" s="223">
        <f>IFERROR(__xludf.DUMMYFUNCTION("IMPORTRANGE(""https://docs.google.com/spreadsheets/d/1XL5vhW3sbDhbH9Cz0tuDiY8C3ctxq1tqvaCgkFb8cCA/edit?usp=sharing"",""อุดรธานี!J181"")"),0.0)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IFERROR(__xludf.DUMMYFUNCTION("IMPORTRANGE(""https://docs.google.com/spreadsheets/d/1XL5vhW3sbDhbH9Cz0tuDiY8C3ctxq1tqvaCgkFb8cCA/edit?usp=sharing"",""อุดรธานี!I182"")"),1.0)</f>
        <v>1</v>
      </c>
      <c r="J267" s="223">
        <f>IFERROR(__xludf.DUMMYFUNCTION("IMPORTRANGE(""https://docs.google.com/spreadsheets/d/1XL5vhW3sbDhbH9Cz0tuDiY8C3ctxq1tqvaCgkFb8cCA/edit?usp=sharing"",""อุดรธานี!J182"")"),0.0)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IFERROR(__xludf.DUMMYFUNCTION("IMPORTRANGE(""https://docs.google.com/spreadsheets/d/1XL5vhW3sbDhbH9Cz0tuDiY8C3ctxq1tqvaCgkFb8cCA/edit?usp=sharing"",""อุดรธานี!J183"")"),0.0)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IFERROR(__xludf.DUMMYFUNCTION("IMPORTRANGE(""https://docs.google.com/spreadsheets/d/1XL5vhW3sbDhbH9Cz0tuDiY8C3ctxq1tqvaCgkFb8cCA/edit?usp=sharing"",""อุดรธานี!J184"")"),0.0)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IFERROR(__xludf.DUMMYFUNCTION("IMPORTRANGE(""https://docs.google.com/spreadsheets/d/1XL5vhW3sbDhbH9Cz0tuDiY8C3ctxq1tqvaCgkFb8cCA/edit?usp=sharing"",""อุดรธานี!I185"")"),20.0)</f>
        <v>20</v>
      </c>
      <c r="J270" s="349">
        <f>IFERROR(__xludf.DUMMYFUNCTION("IMPORTRANGE(""https://docs.google.com/spreadsheets/d/1XL5vhW3sbDhbH9Cz0tuDiY8C3ctxq1tqvaCgkFb8cCA/edit?usp=sharing"",""อุดรธานี!J185"")"),0.0)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183600</v>
      </c>
      <c r="M271" s="183">
        <f t="shared" si="84"/>
        <v>93000</v>
      </c>
      <c r="N271" s="183">
        <f t="shared" si="84"/>
        <v>30643</v>
      </c>
      <c r="O271" s="182">
        <f t="shared" ref="O271:O273" si="86">IF(L271&gt;0,N271*100/L271,0)</f>
        <v>16.69008715</v>
      </c>
      <c r="P271" s="182">
        <f t="shared" ref="P271:P273" si="87">IF(M271&gt;0,N271*100/M271,0)</f>
        <v>32.94946237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183600</v>
      </c>
      <c r="M273" s="188">
        <f t="shared" si="88"/>
        <v>93000</v>
      </c>
      <c r="N273" s="188">
        <f t="shared" si="88"/>
        <v>30643</v>
      </c>
      <c r="O273" s="187">
        <f t="shared" si="86"/>
        <v>16.69008715</v>
      </c>
      <c r="P273" s="187">
        <f t="shared" si="87"/>
        <v>32.94946237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183600</v>
      </c>
      <c r="M275" s="201">
        <f>IFERROR(__xludf.DUMMYFUNCTION("IMPORTRANGE(""https://docs.google.com/spreadsheets/d/1Yj_ptqi66GCucihVvJfMjLAmec39IyEx_6qawtMGysU/edit?usp=sharing"",""สบก!CK56"")"),93000.0)</f>
        <v>93000</v>
      </c>
      <c r="N275" s="202">
        <f>IFERROR(__xludf.DUMMYFUNCTION("IMPORTRANGE(""https://docs.google.com/spreadsheets/d/1Yj_ptqi66GCucihVvJfMjLAmec39IyEx_6qawtMGysU/edit?usp=sharing"",""สบก!CL56"")"),30643.0)</f>
        <v>30643</v>
      </c>
      <c r="O275" s="203">
        <f>IF(L275&gt;0,N275*100/L275,0)</f>
        <v>16.69008715</v>
      </c>
      <c r="P275" s="203">
        <f>IF(M275&gt;0,N275*100/M275,0)</f>
        <v>32.94946237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IFERROR(__xludf.DUMMYFUNCTION("IMPORTRANGE(""https://docs.google.com/spreadsheets/d/1Yj_ptqi66GCucihVvJfMjLAmec39IyEx_6qawtMGysU/edit?usp=sharing"",""สบก!CG56"")"),0.0)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IFERROR(__xludf.DUMMYFUNCTION("IMPORTRANGE(""https://docs.google.com/spreadsheets/d/1Yj_ptqi66GCucihVvJfMjLAmec39IyEx_6qawtMGysU/edit?usp=sharing"",""สบก!CH56"")"),183600.0)</f>
        <v>183600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IFERROR(__xludf.DUMMYFUNCTION("IMPORTRANGE(""https://docs.google.com/spreadsheets/d/1Yj_ptqi66GCucihVvJfMjLAmec39IyEx_6qawtMGysU/edit?usp=sharing"",""สบก!CI56"")"),0.0)</f>
        <v>0</v>
      </c>
      <c r="M279" s="125"/>
      <c r="N279" s="115">
        <f>IFERROR(__xludf.DUMMYFUNCTION("IMPORTRANGE(""https://docs.google.com/spreadsheets/d/1Yj_ptqi66GCucihVvJfMjLAmec39IyEx_6qawtMGysU/edit?usp=sharing"",""สบก!CM56"")"),0.0)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IFERROR(__xludf.DUMMYFUNCTION("IMPORTRANGE(""https://docs.google.com/spreadsheets/d/1XL5vhW3sbDhbH9Cz0tuDiY8C3ctxq1tqvaCgkFb8cCA/edit?usp=sharing"",""อุดรธานี!J191"")"),0.0)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IFERROR(__xludf.DUMMYFUNCTION("IMPORTRANGE(""https://docs.google.com/spreadsheets/d/1XL5vhW3sbDhbH9Cz0tuDiY8C3ctxq1tqvaCgkFb8cCA/edit?usp=sharing"",""อุดรธานี!J192"")"),1.0)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IFERROR(__xludf.DUMMYFUNCTION("IMPORTRANGE(""https://docs.google.com/spreadsheets/d/1XL5vhW3sbDhbH9Cz0tuDiY8C3ctxq1tqvaCgkFb8cCA/edit?usp=sharing"",""อุดรธานี!J193"")"),1.0)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IFERROR(__xludf.DUMMYFUNCTION("IMPORTRANGE(""https://docs.google.com/spreadsheets/d/1XL5vhW3sbDhbH9Cz0tuDiY8C3ctxq1tqvaCgkFb8cCA/edit?usp=sharing"",""อุดรธานี!J194"")"),1.0)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IFERROR(__xludf.DUMMYFUNCTION("IMPORTRANGE(""https://docs.google.com/spreadsheets/d/1XL5vhW3sbDhbH9Cz0tuDiY8C3ctxq1tqvaCgkFb8cCA/edit?usp=sharing"",""อุดรธานี!I195"")"),20.0)</f>
        <v>20</v>
      </c>
      <c r="J285" s="223">
        <f>IFERROR(__xludf.DUMMYFUNCTION("IMPORTRANGE(""https://docs.google.com/spreadsheets/d/1XL5vhW3sbDhbH9Cz0tuDiY8C3ctxq1tqvaCgkFb8cCA/edit?usp=sharing"",""อุดรธานี!J195"")"),0.0)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IFERROR(__xludf.DUMMYFUNCTION("IMPORTRANGE(""https://docs.google.com/spreadsheets/d/1XL5vhW3sbDhbH9Cz0tuDiY8C3ctxq1tqvaCgkFb8cCA/edit?usp=sharing"",""อุดรธานี!J196"")"),0.0)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IFERROR(__xludf.DUMMYFUNCTION("IMPORTRANGE(""https://docs.google.com/spreadsheets/d/1XL5vhW3sbDhbH9Cz0tuDiY8C3ctxq1tqvaCgkFb8cCA/edit?usp=sharing"",""อุดรธานี!J197"")"),0.0)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IFERROR(__xludf.DUMMYFUNCTION("IMPORTRANGE(""https://docs.google.com/spreadsheets/d/1XL5vhW3sbDhbH9Cz0tuDiY8C3ctxq1tqvaCgkFb8cCA/edit?usp=sharing"",""อุดรธานี!I199"")"),0.0)</f>
        <v>0</v>
      </c>
      <c r="J289" s="349">
        <f>IFERROR(__xludf.DUMMYFUNCTION("IMPORTRANGE(""https://docs.google.com/spreadsheets/d/1XL5vhW3sbDhbH9Cz0tuDiY8C3ctxq1tqvaCgkFb8cCA/edit?usp=sharing"",""อุดรธานี!J199"")"),0.0)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IFERROR(__xludf.DUMMYFUNCTION("IMPORTRANGE(""https://docs.google.com/spreadsheets/d/1Yj_ptqi66GCucihVvJfMjLAmec39IyEx_6qawtMGysU/edit?usp=sharing"",""สบก!CT56"")"),0.0)</f>
        <v>0</v>
      </c>
      <c r="N294" s="202">
        <f>IFERROR(__xludf.DUMMYFUNCTION("IMPORTRANGE(""https://docs.google.com/spreadsheets/d/1Yj_ptqi66GCucihVvJfMjLAmec39IyEx_6qawtMGysU/edit?usp=sharing"",""สบก!CU56"")"),0.0)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IFERROR(__xludf.DUMMYFUNCTION("IMPORTRANGE(""https://docs.google.com/spreadsheets/d/1Yj_ptqi66GCucihVvJfMjLAmec39IyEx_6qawtMGysU/edit?usp=sharing"",""สบก!CP56"")"),0.0)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IFERROR(__xludf.DUMMYFUNCTION("IMPORTRANGE(""https://docs.google.com/spreadsheets/d/1Yj_ptqi66GCucihVvJfMjLAmec39IyEx_6qawtMGysU/edit?usp=sharing"",""สบก!CQ56"")"),0.0)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IFERROR(__xludf.DUMMYFUNCTION("IMPORTRANGE(""https://docs.google.com/spreadsheets/d/1Yj_ptqi66GCucihVvJfMjLAmec39IyEx_6qawtMGysU/edit?usp=sharing"",""สบก!CR56"")"),0.0)</f>
        <v>0</v>
      </c>
      <c r="M298" s="125"/>
      <c r="N298" s="115">
        <f>IFERROR(__xludf.DUMMYFUNCTION("IMPORTRANGE(""https://docs.google.com/spreadsheets/d/1Yj_ptqi66GCucihVvJfMjLAmec39IyEx_6qawtMGysU/edit?usp=sharing"",""สบก!CV56"")"),0.0)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IFERROR(__xludf.DUMMYFUNCTION("IMPORTRANGE(""https://docs.google.com/spreadsheets/d/1XL5vhW3sbDhbH9Cz0tuDiY8C3ctxq1tqvaCgkFb8cCA/edit?usp=sharing"",""อุดรธานี!J205"")"),0.0)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IFERROR(__xludf.DUMMYFUNCTION("IMPORTRANGE(""https://docs.google.com/spreadsheets/d/1XL5vhW3sbDhbH9Cz0tuDiY8C3ctxq1tqvaCgkFb8cCA/edit?usp=sharing"",""อุดรธานี!J206"")"),0.0)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IFERROR(__xludf.DUMMYFUNCTION("IMPORTRANGE(""https://docs.google.com/spreadsheets/d/1XL5vhW3sbDhbH9Cz0tuDiY8C3ctxq1tqvaCgkFb8cCA/edit?usp=sharing"",""อุดรธานี!J207"")"),0.0)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IFERROR(__xludf.DUMMYFUNCTION("IMPORTRANGE(""https://docs.google.com/spreadsheets/d/1XL5vhW3sbDhbH9Cz0tuDiY8C3ctxq1tqvaCgkFb8cCA/edit?usp=sharing"",""อุดรธานี!J208"")"),0.0)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IFERROR(__xludf.DUMMYFUNCTION("IMPORTRANGE(""https://docs.google.com/spreadsheets/d/1XL5vhW3sbDhbH9Cz0tuDiY8C3ctxq1tqvaCgkFb8cCA/edit?usp=sharing"",""อุดรธานี!I209"")"),0.0)</f>
        <v>0</v>
      </c>
      <c r="J304" s="238">
        <f>IFERROR(__xludf.DUMMYFUNCTION("IMPORTRANGE(""https://docs.google.com/spreadsheets/d/1XL5vhW3sbDhbH9Cz0tuDiY8C3ctxq1tqvaCgkFb8cCA/edit?usp=sharing"",""อุดรธานี!J209"")"),0.0)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IFERROR(__xludf.DUMMYFUNCTION("IMPORTRANGE(""https://docs.google.com/spreadsheets/d/1XL5vhW3sbDhbH9Cz0tuDiY8C3ctxq1tqvaCgkFb8cCA/edit?usp=sharing"",""อุดรธานี!I211"")"),0.0)</f>
        <v>0</v>
      </c>
      <c r="J306" s="238">
        <f>IFERROR(__xludf.DUMMYFUNCTION("IMPORTRANGE(""https://docs.google.com/spreadsheets/d/1XL5vhW3sbDhbH9Cz0tuDiY8C3ctxq1tqvaCgkFb8cCA/edit?usp=sharing"",""อุดรธานี!J211"")"),0.0)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IFERROR(__xludf.DUMMYFUNCTION("IMPORTRANGE(""https://docs.google.com/spreadsheets/d/1XL5vhW3sbDhbH9Cz0tuDiY8C3ctxq1tqvaCgkFb8cCA/edit?usp=sharing"",""อุดรธานี!J212"")"),0.0)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IFERROR(__xludf.DUMMYFUNCTION("IMPORTRANGE(""https://docs.google.com/spreadsheets/d/1XL5vhW3sbDhbH9Cz0tuDiY8C3ctxq1tqvaCgkFb8cCA/edit?usp=sharing"",""อุดรธานี!J213"")"),0.0)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IFERROR(__xludf.DUMMYFUNCTION("IMPORTRANGE(""https://docs.google.com/spreadsheets/d/1XL5vhW3sbDhbH9Cz0tuDiY8C3ctxq1tqvaCgkFb8cCA/edit?usp=sharing"",""อุดรธานี!I214"")"),0.0)</f>
        <v>0</v>
      </c>
      <c r="J309" s="366">
        <f>IFERROR(__xludf.DUMMYFUNCTION("IMPORTRANGE(""https://docs.google.com/spreadsheets/d/1XL5vhW3sbDhbH9Cz0tuDiY8C3ctxq1tqvaCgkFb8cCA/edit?usp=sharing"",""อุดรธานี!J214"")"),0.0)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IFERROR(__xludf.DUMMYFUNCTION("IMPORTRANGE(""https://docs.google.com/spreadsheets/d/1Yj_ptqi66GCucihVvJfMjLAmec39IyEx_6qawtMGysU/edit?usp=sharing"",""สบก!DC56"")"),0.0)</f>
        <v>0</v>
      </c>
      <c r="N314" s="202">
        <f>IFERROR(__xludf.DUMMYFUNCTION("IMPORTRANGE(""https://docs.google.com/spreadsheets/d/1Yj_ptqi66GCucihVvJfMjLAmec39IyEx_6qawtMGysU/edit?usp=sharing"",""สบก!DD56"")"),0.0)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IFERROR(__xludf.DUMMYFUNCTION("IMPORTRANGE(""https://docs.google.com/spreadsheets/d/1Yj_ptqi66GCucihVvJfMjLAmec39IyEx_6qawtMGysU/edit?usp=sharing"",""สบก!CY56"")"),0.0)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IFERROR(__xludf.DUMMYFUNCTION("IMPORTRANGE(""https://docs.google.com/spreadsheets/d/1Yj_ptqi66GCucihVvJfMjLAmec39IyEx_6qawtMGysU/edit?usp=sharing"",""สบก!CZ56"")"),0.0)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IFERROR(__xludf.DUMMYFUNCTION("IMPORTRANGE(""https://docs.google.com/spreadsheets/d/1Yj_ptqi66GCucihVvJfMjLAmec39IyEx_6qawtMGysU/edit?usp=sharing"",""สบก!DA56"")"),0.0)</f>
        <v>0</v>
      </c>
      <c r="M318" s="125"/>
      <c r="N318" s="115">
        <f>IFERROR(__xludf.DUMMYFUNCTION("IMPORTRANGE(""https://docs.google.com/spreadsheets/d/1Yj_ptqi66GCucihVvJfMjLAmec39IyEx_6qawtMGysU/edit?usp=sharing"",""สบก!DE56"")"),0.0)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IFERROR(__xludf.DUMMYFUNCTION("IMPORTRANGE(""https://docs.google.com/spreadsheets/d/1XL5vhW3sbDhbH9Cz0tuDiY8C3ctxq1tqvaCgkFb8cCA/edit?usp=sharing"",""อุดรธานี!J220"")"),0.0)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IFERROR(__xludf.DUMMYFUNCTION("IMPORTRANGE(""https://docs.google.com/spreadsheets/d/1XL5vhW3sbDhbH9Cz0tuDiY8C3ctxq1tqvaCgkFb8cCA/edit?usp=sharing"",""อุดรธานี!J221"")"),0.0)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IFERROR(__xludf.DUMMYFUNCTION("IMPORTRANGE(""https://docs.google.com/spreadsheets/d/1XL5vhW3sbDhbH9Cz0tuDiY8C3ctxq1tqvaCgkFb8cCA/edit?usp=sharing"",""อุดรธานี!J222"")"),0.0)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IFERROR(__xludf.DUMMYFUNCTION("IMPORTRANGE(""https://docs.google.com/spreadsheets/d/1XL5vhW3sbDhbH9Cz0tuDiY8C3ctxq1tqvaCgkFb8cCA/edit?usp=sharing"",""อุดรธานี!J223"")"),0.0)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IFERROR(__xludf.DUMMYFUNCTION("IMPORTRANGE(""https://docs.google.com/spreadsheets/d/1XL5vhW3sbDhbH9Cz0tuDiY8C3ctxq1tqvaCgkFb8cCA/edit?usp=sharing"",""อุดรธานี!I224"")"),0.0)</f>
        <v>0</v>
      </c>
      <c r="J324" s="238">
        <f>IFERROR(__xludf.DUMMYFUNCTION("IMPORTRANGE(""https://docs.google.com/spreadsheets/d/1XL5vhW3sbDhbH9Cz0tuDiY8C3ctxq1tqvaCgkFb8cCA/edit?usp=sharing"",""อุดรธานี!J224"")"),0.0)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IFERROR(__xludf.DUMMYFUNCTION("IMPORTRANGE(""https://docs.google.com/spreadsheets/d/1XL5vhW3sbDhbH9Cz0tuDiY8C3ctxq1tqvaCgkFb8cCA/edit?usp=sharing"",""อุดรธานี!J225"")"),0.0)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IFERROR(__xludf.DUMMYFUNCTION("IMPORTRANGE(""https://docs.google.com/spreadsheets/d/1XL5vhW3sbDhbH9Cz0tuDiY8C3ctxq1tqvaCgkFb8cCA/edit?usp=sharing"",""อุดรธานี!J226"")"),0.0)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IFERROR(__xludf.DUMMYFUNCTION("IMPORTRANGE(""https://docs.google.com/spreadsheets/d/1XL5vhW3sbDhbH9Cz0tuDiY8C3ctxq1tqvaCgkFb8cCA/edit?usp=sharing"",""อุดรธานี!I228"")"),1060.0)</f>
        <v>1060</v>
      </c>
      <c r="J328" s="372">
        <f>IFERROR(__xludf.DUMMYFUNCTION("IMPORTRANGE(""https://docs.google.com/spreadsheets/d/1XL5vhW3sbDhbH9Cz0tuDiY8C3ctxq1tqvaCgkFb8cCA/edit?usp=sharing"",""อุดรธานี!J228"")"),258.0)</f>
        <v>258</v>
      </c>
      <c r="K328" s="350">
        <f>IF(I328&gt;0,J328*100/I328,0)</f>
        <v>24.33962264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1978220</v>
      </c>
      <c r="M329" s="183">
        <f t="shared" si="99"/>
        <v>1231570</v>
      </c>
      <c r="N329" s="183">
        <f t="shared" si="99"/>
        <v>835940</v>
      </c>
      <c r="O329" s="182">
        <f t="shared" ref="O329:O331" si="101">IF(L329&gt;0,N329*100/L329,0)</f>
        <v>42.2571807</v>
      </c>
      <c r="P329" s="182">
        <f t="shared" ref="P329:P331" si="102">IF(M329&gt;0,N329*100/M329,0)</f>
        <v>67.8759632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1978220</v>
      </c>
      <c r="M331" s="188">
        <f t="shared" si="103"/>
        <v>1231570</v>
      </c>
      <c r="N331" s="188">
        <f t="shared" si="103"/>
        <v>835940</v>
      </c>
      <c r="O331" s="187">
        <f t="shared" si="101"/>
        <v>42.2571807</v>
      </c>
      <c r="P331" s="187">
        <f t="shared" si="102"/>
        <v>67.8759632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1831220</v>
      </c>
      <c r="M333" s="201">
        <f>IFERROR(__xludf.DUMMYFUNCTION("IMPORTRANGE(""https://docs.google.com/spreadsheets/d/1Yj_ptqi66GCucihVvJfMjLAmec39IyEx_6qawtMGysU/edit?usp=sharing"",""สบก!DL56"")"),1231570.0)</f>
        <v>1231570</v>
      </c>
      <c r="N333" s="202">
        <f>IFERROR(__xludf.DUMMYFUNCTION("IMPORTRANGE(""https://docs.google.com/spreadsheets/d/1Yj_ptqi66GCucihVvJfMjLAmec39IyEx_6qawtMGysU/edit?usp=sharing"",""สบก!DM56"")"),696940.0)</f>
        <v>696940</v>
      </c>
      <c r="O333" s="203">
        <f>IF(L333&gt;0,N333*100/L333,0)</f>
        <v>38.05878049</v>
      </c>
      <c r="P333" s="203">
        <f>IF(M333&gt;0,N333*100/M333,0)</f>
        <v>56.58955642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IFERROR(__xludf.DUMMYFUNCTION("IMPORTRANGE(""https://docs.google.com/spreadsheets/d/1Yj_ptqi66GCucihVvJfMjLAmec39IyEx_6qawtMGysU/edit?usp=sharing"",""สบก!DH56"")"),306000.0)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IFERROR(__xludf.DUMMYFUNCTION("IMPORTRANGE(""https://docs.google.com/spreadsheets/d/1Yj_ptqi66GCucihVvJfMjLAmec39IyEx_6qawtMGysU/edit?usp=sharing"",""สบก!DI56"")"),1525220.0)</f>
        <v>1525220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IFERROR(__xludf.DUMMYFUNCTION("IMPORTRANGE(""https://docs.google.com/spreadsheets/d/1Yj_ptqi66GCucihVvJfMjLAmec39IyEx_6qawtMGysU/edit?usp=sharing"",""สบก!DJ56"")"),147000.0)</f>
        <v>147000</v>
      </c>
      <c r="M337" s="125"/>
      <c r="N337" s="115">
        <f>IFERROR(__xludf.DUMMYFUNCTION("IMPORTRANGE(""https://docs.google.com/spreadsheets/d/1Yj_ptqi66GCucihVvJfMjLAmec39IyEx_6qawtMGysU/edit?usp=sharing"",""สบก!DN56"")"),139000.0)</f>
        <v>139000</v>
      </c>
      <c r="O337" s="125">
        <f>IF(L337&gt;0,N337*100/L337,0)</f>
        <v>94.55782313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IFERROR(__xludf.DUMMYFUNCTION("IMPORTRANGE(""https://docs.google.com/spreadsheets/d/1XL5vhW3sbDhbH9Cz0tuDiY8C3ctxq1tqvaCgkFb8cCA/edit?usp=sharing"",""อุดรธานี!I234"")"),0.0)</f>
        <v>0</v>
      </c>
      <c r="J339" s="222">
        <f>IFERROR(__xludf.DUMMYFUNCTION("IMPORTRANGE(""https://docs.google.com/spreadsheets/d/1XL5vhW3sbDhbH9Cz0tuDiY8C3ctxq1tqvaCgkFb8cCA/edit?usp=sharing"",""อุดรธานี!J234"")"),534.0)</f>
        <v>534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IFERROR(__xludf.DUMMYFUNCTION("IMPORTRANGE(""https://docs.google.com/spreadsheets/d/1XL5vhW3sbDhbH9Cz0tuDiY8C3ctxq1tqvaCgkFb8cCA/edit?usp=sharing"",""อุดรธานี!I235"")"),12500.0)</f>
        <v>12500</v>
      </c>
      <c r="J340" s="222">
        <f>IFERROR(__xludf.DUMMYFUNCTION("IMPORTRANGE(""https://docs.google.com/spreadsheets/d/1XL5vhW3sbDhbH9Cz0tuDiY8C3ctxq1tqvaCgkFb8cCA/edit?usp=sharing"",""อุดรธานี!J235"")"),5615.34)</f>
        <v>5615.34</v>
      </c>
      <c r="K340" s="375">
        <f t="shared" si="104"/>
        <v>44.92272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IFERROR(__xludf.DUMMYFUNCTION("IMPORTRANGE(""https://docs.google.com/spreadsheets/d/1XL5vhW3sbDhbH9Cz0tuDiY8C3ctxq1tqvaCgkFb8cCA/edit?usp=sharing"",""อุดรธานี!I236"")"),1060.0)</f>
        <v>1060</v>
      </c>
      <c r="J341" s="222">
        <f>IFERROR(__xludf.DUMMYFUNCTION("IMPORTRANGE(""https://docs.google.com/spreadsheets/d/1XL5vhW3sbDhbH9Cz0tuDiY8C3ctxq1tqvaCgkFb8cCA/edit?usp=sharing"",""อุดรธานี!J236"")"),816.0)</f>
        <v>816</v>
      </c>
      <c r="K341" s="375">
        <f t="shared" si="104"/>
        <v>76.98113208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IFERROR(__xludf.DUMMYFUNCTION("IMPORTRANGE(""https://docs.google.com/spreadsheets/d/1XL5vhW3sbDhbH9Cz0tuDiY8C3ctxq1tqvaCgkFb8cCA/edit?usp=sharing"",""อุดรธานี!I237"")"),0.0)</f>
        <v>0</v>
      </c>
      <c r="J342" s="222">
        <f>IFERROR(__xludf.DUMMYFUNCTION("IMPORTRANGE(""https://docs.google.com/spreadsheets/d/1XL5vhW3sbDhbH9Cz0tuDiY8C3ctxq1tqvaCgkFb8cCA/edit?usp=sharing"",""อุดรธานี!J237"")"),15598.41)</f>
        <v>15598.41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IFERROR(__xludf.DUMMYFUNCTION("IMPORTRANGE(""https://docs.google.com/spreadsheets/d/1XL5vhW3sbDhbH9Cz0tuDiY8C3ctxq1tqvaCgkFb8cCA/edit?usp=sharing"",""อุดรธานี!I238"")"),1060.0)</f>
        <v>1060</v>
      </c>
      <c r="J343" s="222">
        <f>IFERROR(__xludf.DUMMYFUNCTION("IMPORTRANGE(""https://docs.google.com/spreadsheets/d/1XL5vhW3sbDhbH9Cz0tuDiY8C3ctxq1tqvaCgkFb8cCA/edit?usp=sharing"",""อุดรธานี!J238"")"),256.0)</f>
        <v>256</v>
      </c>
      <c r="K343" s="375">
        <f t="shared" si="104"/>
        <v>24.1509434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IFERROR(__xludf.DUMMYFUNCTION("IMPORTRANGE(""https://docs.google.com/spreadsheets/d/1XL5vhW3sbDhbH9Cz0tuDiY8C3ctxq1tqvaCgkFb8cCA/edit?usp=sharing"",""อุดรธานี!I239"")"),0.0)</f>
        <v>0</v>
      </c>
      <c r="J344" s="222">
        <f>IFERROR(__xludf.DUMMYFUNCTION("IMPORTRANGE(""https://docs.google.com/spreadsheets/d/1XL5vhW3sbDhbH9Cz0tuDiY8C3ctxq1tqvaCgkFb8cCA/edit?usp=sharing"",""อุดรธานี!J239"")"),3450.61)</f>
        <v>3450.61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IFERROR(__xludf.DUMMYFUNCTION("IMPORTRANGE(""https://docs.google.com/spreadsheets/d/1XL5vhW3sbDhbH9Cz0tuDiY8C3ctxq1tqvaCgkFb8cCA/edit?usp=sharing"",""อุดรธานี!I240"")"),1060.0)</f>
        <v>1060</v>
      </c>
      <c r="J345" s="222">
        <f>IFERROR(__xludf.DUMMYFUNCTION("IMPORTRANGE(""https://docs.google.com/spreadsheets/d/1XL5vhW3sbDhbH9Cz0tuDiY8C3ctxq1tqvaCgkFb8cCA/edit?usp=sharing"",""อุดรธานี!J240"")"),258.0)</f>
        <v>258</v>
      </c>
      <c r="K345" s="375">
        <f t="shared" si="104"/>
        <v>24.33962264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IFERROR(__xludf.DUMMYFUNCTION("IMPORTRANGE(""https://docs.google.com/spreadsheets/d/1XL5vhW3sbDhbH9Cz0tuDiY8C3ctxq1tqvaCgkFb8cCA/edit?usp=sharing"",""อุดรธานี!I241"")"),0.0)</f>
        <v>0</v>
      </c>
      <c r="J346" s="222">
        <f>IFERROR(__xludf.DUMMYFUNCTION("IMPORTRANGE(""https://docs.google.com/spreadsheets/d/1XL5vhW3sbDhbH9Cz0tuDiY8C3ctxq1tqvaCgkFb8cCA/edit?usp=sharing"",""อุดรธานี!J241"")"),3509.24)</f>
        <v>3509.24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IFERROR(__xludf.DUMMYFUNCTION("IMPORTRANGE(""https://docs.google.com/spreadsheets/d/1XL5vhW3sbDhbH9Cz0tuDiY8C3ctxq1tqvaCgkFb8cCA/edit?usp=sharing"",""อุดรธานี!L242"")"),3344991.0)</f>
        <v>3344991</v>
      </c>
      <c r="M347" s="391"/>
      <c r="N347" s="391">
        <f>IFERROR(__xludf.DUMMYFUNCTION("IMPORTRANGE(""https://docs.google.com/spreadsheets/d/1XL5vhW3sbDhbH9Cz0tuDiY8C3ctxq1tqvaCgkFb8cCA/edit?usp=sharing"",""อุดรธานี!M242"")"),249915.12000000002)</f>
        <v>249915.12</v>
      </c>
      <c r="O347" s="391">
        <f>+IF(L347&gt;0,N347*100/L347,0)</f>
        <v>7.471324138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IFERROR(__xludf.DUMMYFUNCTION("IMPORTRANGE(""https://docs.google.com/spreadsheets/d/1XL5vhW3sbDhbH9Cz0tuDiY8C3ctxq1tqvaCgkFb8cCA/edit?usp=sharing"",""อุดรธานี!I244"")"),662.0)</f>
        <v>662</v>
      </c>
      <c r="J349" s="404">
        <f>IFERROR(__xludf.DUMMYFUNCTION("IMPORTRANGE(""https://docs.google.com/spreadsheets/d/1XL5vhW3sbDhbH9Cz0tuDiY8C3ctxq1tqvaCgkFb8cCA/edit?usp=sharing"",""อุดรธานี!J244"")"),0.0)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IFERROR(__xludf.DUMMYFUNCTION("IMPORTRANGE(""https://docs.google.com/spreadsheets/d/1XL5vhW3sbDhbH9Cz0tuDiY8C3ctxq1tqvaCgkFb8cCA/edit?usp=sharing"",""อุดรธานี!L244"")"),1007200.0)</f>
        <v>1007200</v>
      </c>
      <c r="M349" s="406"/>
      <c r="N349" s="406">
        <f>IFERROR(__xludf.DUMMYFUNCTION("IMPORTRANGE(""https://docs.google.com/spreadsheets/d/1XL5vhW3sbDhbH9Cz0tuDiY8C3ctxq1tqvaCgkFb8cCA/edit?usp=sharing"",""อุดรธานี!M244"")"),71739.0)</f>
        <v>71739</v>
      </c>
      <c r="O349" s="406">
        <f>+IF(L349&gt;0,N349*100/L349,0)</f>
        <v>7.122617156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IFERROR(__xludf.DUMMYFUNCTION("IMPORTRANGE(""https://docs.google.com/spreadsheets/d/1XL5vhW3sbDhbH9Cz0tuDiY8C3ctxq1tqvaCgkFb8cCA/edit?usp=sharing"",""อุดรธานี!I245"")"),140.0)</f>
        <v>140</v>
      </c>
      <c r="J350" s="404">
        <f>IFERROR(__xludf.DUMMYFUNCTION("IMPORTRANGE(""https://docs.google.com/spreadsheets/d/1XL5vhW3sbDhbH9Cz0tuDiY8C3ctxq1tqvaCgkFb8cCA/edit?usp=sharing"",""อุดรธานี!J245"")"),0.0)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IFERROR(__xludf.DUMMYFUNCTION("IMPORTRANGE(""https://docs.google.com/spreadsheets/d/1XL5vhW3sbDhbH9Cz0tuDiY8C3ctxq1tqvaCgkFb8cCA/edit?usp=sharing"",""อุดรธานี!L246"")"),0.0)</f>
        <v>0</v>
      </c>
      <c r="M351" s="197"/>
      <c r="N351" s="197">
        <f>IFERROR(__xludf.DUMMYFUNCTION("IMPORTRANGE(""https://docs.google.com/spreadsheets/d/1XL5vhW3sbDhbH9Cz0tuDiY8C3ctxq1tqvaCgkFb8cCA/edit?usp=sharing"",""อุดรธานี!M246"")"),0.0)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IFERROR(__xludf.DUMMYFUNCTION("IMPORTRANGE(""https://docs.google.com/spreadsheets/d/1XL5vhW3sbDhbH9Cz0tuDiY8C3ctxq1tqvaCgkFb8cCA/edit?usp=sharing"",""อุดรธานี!L247"")"),1007200.0)</f>
        <v>1007200</v>
      </c>
      <c r="M352" s="198"/>
      <c r="N352" s="197">
        <f>IFERROR(__xludf.DUMMYFUNCTION("IMPORTRANGE(""https://docs.google.com/spreadsheets/d/1XL5vhW3sbDhbH9Cz0tuDiY8C3ctxq1tqvaCgkFb8cCA/edit?usp=sharing"",""อุดรธานี!M247"")"),71739.0)</f>
        <v>71739</v>
      </c>
      <c r="O352" s="198">
        <f t="shared" si="106"/>
        <v>7.122617156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IFERROR(__xludf.DUMMYFUNCTION("IMPORTRANGE(""https://docs.google.com/spreadsheets/d/1XL5vhW3sbDhbH9Cz0tuDiY8C3ctxq1tqvaCgkFb8cCA/edit?usp=sharing"",""อุดรธานี!L248"")"),0.0)</f>
        <v>0</v>
      </c>
      <c r="M353" s="203"/>
      <c r="N353" s="203">
        <f>IFERROR(__xludf.DUMMYFUNCTION("IMPORTRANGE(""https://docs.google.com/spreadsheets/d/1XL5vhW3sbDhbH9Cz0tuDiY8C3ctxq1tqvaCgkFb8cCA/edit?usp=sharing"",""อุดรธานี!M248"")"),0.0)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IFERROR(__xludf.DUMMYFUNCTION("IMPORTRANGE(""https://docs.google.com/spreadsheets/d/1XL5vhW3sbDhbH9Cz0tuDiY8C3ctxq1tqvaCgkFb8cCA/edit?usp=sharing"",""อุดรธานี!L249"")"),1007200.0)</f>
        <v>1007200</v>
      </c>
      <c r="M354" s="203"/>
      <c r="N354" s="200">
        <f>IFERROR(__xludf.DUMMYFUNCTION("IMPORTRANGE(""https://docs.google.com/spreadsheets/d/1XL5vhW3sbDhbH9Cz0tuDiY8C3ctxq1tqvaCgkFb8cCA/edit?usp=sharing"",""อุดรธานี!M249"")"),71739.0)</f>
        <v>71739</v>
      </c>
      <c r="O354" s="203">
        <f t="shared" si="106"/>
        <v>7.122617156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IFERROR(__xludf.DUMMYFUNCTION("IMPORTRANGE(""https://docs.google.com/spreadsheets/d/1XL5vhW3sbDhbH9Cz0tuDiY8C3ctxq1tqvaCgkFb8cCA/edit?usp=sharing"",""อุดรธานี!M250"")"),25480.0)</f>
        <v>25480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IFERROR(__xludf.DUMMYFUNCTION("IMPORTRANGE(""https://docs.google.com/spreadsheets/d/1XL5vhW3sbDhbH9Cz0tuDiY8C3ctxq1tqvaCgkFb8cCA/edit?usp=sharing"",""อุดรธานี!M251"")"),0.0)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IFERROR(__xludf.DUMMYFUNCTION("IMPORTRANGE(""https://docs.google.com/spreadsheets/d/1XL5vhW3sbDhbH9Cz0tuDiY8C3ctxq1tqvaCgkFb8cCA/edit?usp=sharing"",""อุดรธานี!M252"")"),34839.0)</f>
        <v>34839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IFERROR(__xludf.DUMMYFUNCTION("IMPORTRANGE(""https://docs.google.com/spreadsheets/d/1XL5vhW3sbDhbH9Cz0tuDiY8C3ctxq1tqvaCgkFb8cCA/edit?usp=sharing"",""อุดรธานี!M253"")"),11420.0)</f>
        <v>11420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IFERROR(__xludf.DUMMYFUNCTION("IMPORTRANGE(""https://docs.google.com/spreadsheets/d/1XL5vhW3sbDhbH9Cz0tuDiY8C3ctxq1tqvaCgkFb8cCA/edit?usp=sharing"",""อุดรธานี!J255"")"),0.0)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IFERROR(__xludf.DUMMYFUNCTION("IMPORTRANGE(""https://docs.google.com/spreadsheets/d/1XL5vhW3sbDhbH9Cz0tuDiY8C3ctxq1tqvaCgkFb8cCA/edit?usp=sharing"",""อุดรธานี!J256"")"),1.0)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IFERROR(__xludf.DUMMYFUNCTION("IMPORTRANGE(""https://docs.google.com/spreadsheets/d/1XL5vhW3sbDhbH9Cz0tuDiY8C3ctxq1tqvaCgkFb8cCA/edit?usp=sharing"",""อุดรธานี!J257"")"),1.0)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IFERROR(__xludf.DUMMYFUNCTION("IMPORTRANGE(""https://docs.google.com/spreadsheets/d/1XL5vhW3sbDhbH9Cz0tuDiY8C3ctxq1tqvaCgkFb8cCA/edit?usp=sharing"",""อุดรธานี!J258"")"),1.0)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IFERROR(__xludf.DUMMYFUNCTION("IMPORTRANGE(""https://docs.google.com/spreadsheets/d/1XL5vhW3sbDhbH9Cz0tuDiY8C3ctxq1tqvaCgkFb8cCA/edit?usp=sharing"",""อุดรธานี!J166"")"),0.0)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IFERROR(__xludf.DUMMYFUNCTION("IMPORTRANGE(""https://docs.google.com/spreadsheets/d/1XL5vhW3sbDhbH9Cz0tuDiY8C3ctxq1tqvaCgkFb8cCA/edit?usp=sharing"",""อุดรธานี!J166"")"),0.0)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IFERROR(__xludf.DUMMYFUNCTION("IMPORTRANGE(""https://docs.google.com/spreadsheets/d/1XL5vhW3sbDhbH9Cz0tuDiY8C3ctxq1tqvaCgkFb8cCA/edit?usp=sharing"",""อุดรธานี!J166"")"),0.0)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IFERROR(__xludf.DUMMYFUNCTION("IMPORTRANGE(""https://docs.google.com/spreadsheets/d/1XL5vhW3sbDhbH9Cz0tuDiY8C3ctxq1tqvaCgkFb8cCA/edit?usp=sharing"",""อุดรธานี!J166"")"),0.0)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IFERROR(__xludf.DUMMYFUNCTION("IMPORTRANGE(""https://docs.google.com/spreadsheets/d/1XL5vhW3sbDhbH9Cz0tuDiY8C3ctxq1tqvaCgkFb8cCA/edit?usp=sharing"",""อุดรธานี!I263"")"),140.0)</f>
        <v>140</v>
      </c>
      <c r="J368" s="222">
        <f>IFERROR(__xludf.DUMMYFUNCTION("IMPORTRANGE(""https://docs.google.com/spreadsheets/d/1XL5vhW3sbDhbH9Cz0tuDiY8C3ctxq1tqvaCgkFb8cCA/edit?usp=sharing"",""อุดรธานี!J263"")"),0.0)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IFERROR(__xludf.DUMMYFUNCTION("IMPORTRANGE(""https://docs.google.com/spreadsheets/d/1XL5vhW3sbDhbH9Cz0tuDiY8C3ctxq1tqvaCgkFb8cCA/edit?usp=sharing"",""อุดรธานี!I164"")"),0.0)</f>
        <v>0</v>
      </c>
      <c r="J369" s="238">
        <f>IFERROR(__xludf.DUMMYFUNCTION("IMPORTRANGE(""https://docs.google.com/spreadsheets/d/1XL5vhW3sbDhbH9Cz0tuDiY8C3ctxq1tqvaCgkFb8cCA/edit?usp=sharing"",""อุดรธานี!J164"")"),0.0)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IFERROR(__xludf.DUMMYFUNCTION("IMPORTRANGE(""https://docs.google.com/spreadsheets/d/1XL5vhW3sbDhbH9Cz0tuDiY8C3ctxq1tqvaCgkFb8cCA/edit?usp=sharing"",""อุดรธานี!I265"")"),140.0)</f>
        <v>140</v>
      </c>
      <c r="J370" s="238">
        <f>IFERROR(__xludf.DUMMYFUNCTION("IMPORTRANGE(""https://docs.google.com/spreadsheets/d/1XL5vhW3sbDhbH9Cz0tuDiY8C3ctxq1tqvaCgkFb8cCA/edit?usp=sharing"",""อุดรธานี!J265"")"),0.0)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IFERROR(__xludf.DUMMYFUNCTION("IMPORTRANGE(""https://docs.google.com/spreadsheets/d/1XL5vhW3sbDhbH9Cz0tuDiY8C3ctxq1tqvaCgkFb8cCA/edit?usp=sharing"",""อุดรธานี!I164"")"),0.0)</f>
        <v>0</v>
      </c>
      <c r="J371" s="223">
        <f>IFERROR(__xludf.DUMMYFUNCTION("IMPORTRANGE(""https://docs.google.com/spreadsheets/d/1XL5vhW3sbDhbH9Cz0tuDiY8C3ctxq1tqvaCgkFb8cCA/edit?usp=sharing"",""อุดรธานี!J164"")"),0.0)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IFERROR(__xludf.DUMMYFUNCTION("IMPORTRANGE(""https://docs.google.com/spreadsheets/d/1XL5vhW3sbDhbH9Cz0tuDiY8C3ctxq1tqvaCgkFb8cCA/edit?usp=sharing"",""อุดรธานี!I267"")"),140.0)</f>
        <v>140</v>
      </c>
      <c r="J372" s="223">
        <f>IFERROR(__xludf.DUMMYFUNCTION("IMPORTRANGE(""https://docs.google.com/spreadsheets/d/1XL5vhW3sbDhbH9Cz0tuDiY8C3ctxq1tqvaCgkFb8cCA/edit?usp=sharing"",""อุดรธานี!J267"")"),0.0)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IFERROR(__xludf.DUMMYFUNCTION("IMPORTRANGE(""https://docs.google.com/spreadsheets/d/1XL5vhW3sbDhbH9Cz0tuDiY8C3ctxq1tqvaCgkFb8cCA/edit?usp=sharing"",""อุดรธานี!I164"")"),0.0)</f>
        <v>0</v>
      </c>
      <c r="J373" s="238">
        <f>IFERROR(__xludf.DUMMYFUNCTION("IMPORTRANGE(""https://docs.google.com/spreadsheets/d/1XL5vhW3sbDhbH9Cz0tuDiY8C3ctxq1tqvaCgkFb8cCA/edit?usp=sharing"",""อุดรธานี!J164"")"),0.0)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IFERROR(__xludf.DUMMYFUNCTION("IMPORTRANGE(""https://docs.google.com/spreadsheets/d/1XL5vhW3sbDhbH9Cz0tuDiY8C3ctxq1tqvaCgkFb8cCA/edit?usp=sharing"",""อุดรธานี!I164"")"),0.0)</f>
        <v>0</v>
      </c>
      <c r="J374" s="222">
        <f>IFERROR(__xludf.DUMMYFUNCTION("IMPORTRANGE(""https://docs.google.com/spreadsheets/d/1XL5vhW3sbDhbH9Cz0tuDiY8C3ctxq1tqvaCgkFb8cCA/edit?usp=sharing"",""อุดรธานี!J164"")"),0.0)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IFERROR(__xludf.DUMMYFUNCTION("IMPORTRANGE(""https://docs.google.com/spreadsheets/d/1XL5vhW3sbDhbH9Cz0tuDiY8C3ctxq1tqvaCgkFb8cCA/edit?usp=sharing"",""อุดรธานี!I270"")"),662.0)</f>
        <v>662</v>
      </c>
      <c r="J375" s="222">
        <f>IFERROR(__xludf.DUMMYFUNCTION("IMPORTRANGE(""https://docs.google.com/spreadsheets/d/1XL5vhW3sbDhbH9Cz0tuDiY8C3ctxq1tqvaCgkFb8cCA/edit?usp=sharing"",""อุดรธานี!J270"")"),0.0)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IFERROR(__xludf.DUMMYFUNCTION("IMPORTRANGE(""https://docs.google.com/spreadsheets/d/1XL5vhW3sbDhbH9Cz0tuDiY8C3ctxq1tqvaCgkFb8cCA/edit?usp=sharing"",""อุดรธานี!I271"")"),500.0)</f>
        <v>500</v>
      </c>
      <c r="J376" s="223">
        <f>IFERROR(__xludf.DUMMYFUNCTION("IMPORTRANGE(""https://docs.google.com/spreadsheets/d/1XL5vhW3sbDhbH9Cz0tuDiY8C3ctxq1tqvaCgkFb8cCA/edit?usp=sharing"",""อุดรธานี!J271"")"),0.0)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IFERROR(__xludf.DUMMYFUNCTION("IMPORTRANGE(""https://docs.google.com/spreadsheets/d/1XL5vhW3sbDhbH9Cz0tuDiY8C3ctxq1tqvaCgkFb8cCA/edit?usp=sharing"",""อุดรธานี!I272"")"),162.0)</f>
        <v>162</v>
      </c>
      <c r="J377" s="238">
        <f>IFERROR(__xludf.DUMMYFUNCTION("IMPORTRANGE(""https://docs.google.com/spreadsheets/d/1XL5vhW3sbDhbH9Cz0tuDiY8C3ctxq1tqvaCgkFb8cCA/edit?usp=sharing"",""อุดรธานี!J272"")"),0.0)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IFERROR(__xludf.DUMMYFUNCTION("IMPORTRANGE(""https://docs.google.com/spreadsheets/d/1XL5vhW3sbDhbH9Cz0tuDiY8C3ctxq1tqvaCgkFb8cCA/edit?usp=sharing"",""อุดรธานี!J273"")"),0.0)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IFERROR(__xludf.DUMMYFUNCTION("IMPORTRANGE(""https://docs.google.com/spreadsheets/d/1XL5vhW3sbDhbH9Cz0tuDiY8C3ctxq1tqvaCgkFb8cCA/edit?usp=sharing"",""อุดรธานี!J274"")"),0.0)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IFERROR(__xludf.DUMMYFUNCTION("IMPORTRANGE(""https://docs.google.com/spreadsheets/d/1XL5vhW3sbDhbH9Cz0tuDiY8C3ctxq1tqvaCgkFb8cCA/edit?usp=sharing"",""อุดรธานี!I275"")"),1000.0)</f>
        <v>1000</v>
      </c>
      <c r="J380" s="404">
        <f>IFERROR(__xludf.DUMMYFUNCTION("IMPORTRANGE(""https://docs.google.com/spreadsheets/d/1XL5vhW3sbDhbH9Cz0tuDiY8C3ctxq1tqvaCgkFb8cCA/edit?usp=sharing"",""อุดรธานี!J275"")"),0.0)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IFERROR(__xludf.DUMMYFUNCTION("IMPORTRANGE(""https://docs.google.com/spreadsheets/d/1XL5vhW3sbDhbH9Cz0tuDiY8C3ctxq1tqvaCgkFb8cCA/edit?usp=sharing"",""อุดรธานี!L275"")"),1028520.0)</f>
        <v>1028520</v>
      </c>
      <c r="M380" s="406"/>
      <c r="N380" s="406">
        <f>IFERROR(__xludf.DUMMYFUNCTION("IMPORTRANGE(""https://docs.google.com/spreadsheets/d/1XL5vhW3sbDhbH9Cz0tuDiY8C3ctxq1tqvaCgkFb8cCA/edit?usp=sharing"",""อุดรธานี!M275"")"),31935.0)</f>
        <v>31935</v>
      </c>
      <c r="O380" s="406">
        <f>+IF(L380&gt;0,N380*100/L380,0)</f>
        <v>3.104946914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IFERROR(__xludf.DUMMYFUNCTION("IMPORTRANGE(""https://docs.google.com/spreadsheets/d/1XL5vhW3sbDhbH9Cz0tuDiY8C3ctxq1tqvaCgkFb8cCA/edit?usp=sharing"",""อุดรธานี!I276"")"),100.0)</f>
        <v>100</v>
      </c>
      <c r="J381" s="404">
        <f>IFERROR(__xludf.DUMMYFUNCTION("IMPORTRANGE(""https://docs.google.com/spreadsheets/d/1XL5vhW3sbDhbH9Cz0tuDiY8C3ctxq1tqvaCgkFb8cCA/edit?usp=sharing"",""อุดรธานี!J276"")"),0.0)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IFERROR(__xludf.DUMMYFUNCTION("IMPORTRANGE(""https://docs.google.com/spreadsheets/d/1XL5vhW3sbDhbH9Cz0tuDiY8C3ctxq1tqvaCgkFb8cCA/edit?usp=sharing"",""อุดรธานี!L277"")"),0.0)</f>
        <v>0</v>
      </c>
      <c r="M382" s="197"/>
      <c r="N382" s="197">
        <f>IFERROR(__xludf.DUMMYFUNCTION("IMPORTRANGE(""https://docs.google.com/spreadsheets/d/1XL5vhW3sbDhbH9Cz0tuDiY8C3ctxq1tqvaCgkFb8cCA/edit?usp=sharing"",""อุดรธานี!M277"")"),0.0)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IFERROR(__xludf.DUMMYFUNCTION("IMPORTRANGE(""https://docs.google.com/spreadsheets/d/1XL5vhW3sbDhbH9Cz0tuDiY8C3ctxq1tqvaCgkFb8cCA/edit?usp=sharing"",""อุดรธานี!L278"")"),1028520.0)</f>
        <v>1028520</v>
      </c>
      <c r="M383" s="198"/>
      <c r="N383" s="198">
        <f>IFERROR(__xludf.DUMMYFUNCTION("IMPORTRANGE(""https://docs.google.com/spreadsheets/d/1XL5vhW3sbDhbH9Cz0tuDiY8C3ctxq1tqvaCgkFb8cCA/edit?usp=sharing"",""อุดรธานี!M278"")"),31935.0)</f>
        <v>31935</v>
      </c>
      <c r="O383" s="198">
        <f t="shared" si="110"/>
        <v>3.104946914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IFERROR(__xludf.DUMMYFUNCTION("IMPORTRANGE(""https://docs.google.com/spreadsheets/d/1XL5vhW3sbDhbH9Cz0tuDiY8C3ctxq1tqvaCgkFb8cCA/edit?usp=sharing"",""อุดรธานี!L279"")"),0.0)</f>
        <v>0</v>
      </c>
      <c r="M384" s="203"/>
      <c r="N384" s="203">
        <f>IFERROR(__xludf.DUMMYFUNCTION("IMPORTRANGE(""https://docs.google.com/spreadsheets/d/1XL5vhW3sbDhbH9Cz0tuDiY8C3ctxq1tqvaCgkFb8cCA/edit?usp=sharing"",""อุดรธานี!M279"")"),0.0)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IFERROR(__xludf.DUMMYFUNCTION("IMPORTRANGE(""https://docs.google.com/spreadsheets/d/1XL5vhW3sbDhbH9Cz0tuDiY8C3ctxq1tqvaCgkFb8cCA/edit?usp=sharing"",""อุดรธานี!L280"")"),1028520.0)</f>
        <v>1028520</v>
      </c>
      <c r="M385" s="203"/>
      <c r="N385" s="200">
        <f>IFERROR(__xludf.DUMMYFUNCTION("IMPORTRANGE(""https://docs.google.com/spreadsheets/d/1XL5vhW3sbDhbH9Cz0tuDiY8C3ctxq1tqvaCgkFb8cCA/edit?usp=sharing"",""อุดรธานี!M280"")"),31935.0)</f>
        <v>31935</v>
      </c>
      <c r="O385" s="203">
        <f t="shared" si="110"/>
        <v>3.104946914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IFERROR(__xludf.DUMMYFUNCTION("IMPORTRANGE(""https://docs.google.com/spreadsheets/d/1XL5vhW3sbDhbH9Cz0tuDiY8C3ctxq1tqvaCgkFb8cCA/edit?usp=sharing"",""อุดรธานี!M281"")"),0.0)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IFERROR(__xludf.DUMMYFUNCTION("IMPORTRANGE(""https://docs.google.com/spreadsheets/d/1XL5vhW3sbDhbH9Cz0tuDiY8C3ctxq1tqvaCgkFb8cCA/edit?usp=sharing"",""อุดรธานี!M282"")"),0.0)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IFERROR(__xludf.DUMMYFUNCTION("IMPORTRANGE(""https://docs.google.com/spreadsheets/d/1XL5vhW3sbDhbH9Cz0tuDiY8C3ctxq1tqvaCgkFb8cCA/edit?usp=sharing"",""อุดรธานี!M283"")"),31935.0)</f>
        <v>31935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IFERROR(__xludf.DUMMYFUNCTION("IMPORTRANGE(""https://docs.google.com/spreadsheets/d/1XL5vhW3sbDhbH9Cz0tuDiY8C3ctxq1tqvaCgkFb8cCA/edit?usp=sharing"",""อุดรธานี!M284"")"),0.0)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IFERROR(__xludf.DUMMYFUNCTION("IMPORTRANGE(""https://docs.google.com/spreadsheets/d/1XL5vhW3sbDhbH9Cz0tuDiY8C3ctxq1tqvaCgkFb8cCA/edit?usp=sharing"",""อุดรธานี!J286"")"),0.0)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IFERROR(__xludf.DUMMYFUNCTION("IMPORTRANGE(""https://docs.google.com/spreadsheets/d/1XL5vhW3sbDhbH9Cz0tuDiY8C3ctxq1tqvaCgkFb8cCA/edit?usp=sharing"",""อุดรธานี!J287"")"),1.0)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IFERROR(__xludf.DUMMYFUNCTION("IMPORTRANGE(""https://docs.google.com/spreadsheets/d/1XL5vhW3sbDhbH9Cz0tuDiY8C3ctxq1tqvaCgkFb8cCA/edit?usp=sharing"",""อุดรธานี!J288"")"),1.0)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IFERROR(__xludf.DUMMYFUNCTION("IMPORTRANGE(""https://docs.google.com/spreadsheets/d/1XL5vhW3sbDhbH9Cz0tuDiY8C3ctxq1tqvaCgkFb8cCA/edit?usp=sharing"",""อุดรธานี!J289"")"),1.0)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IFERROR(__xludf.DUMMYFUNCTION("IMPORTRANGE(""https://docs.google.com/spreadsheets/d/1XL5vhW3sbDhbH9Cz0tuDiY8C3ctxq1tqvaCgkFb8cCA/edit?usp=sharing"",""อุดรธานี!I291"")"),100.0)</f>
        <v>100</v>
      </c>
      <c r="J396" s="232">
        <f>IFERROR(__xludf.DUMMYFUNCTION("IMPORTRANGE(""https://docs.google.com/spreadsheets/d/1XL5vhW3sbDhbH9Cz0tuDiY8C3ctxq1tqvaCgkFb8cCA/edit?usp=sharing"",""อุดรธานี!J291"")"),0.0)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IFERROR(__xludf.DUMMYFUNCTION("IMPORTRANGE(""https://docs.google.com/spreadsheets/d/1XL5vhW3sbDhbH9Cz0tuDiY8C3ctxq1tqvaCgkFb8cCA/edit?usp=sharing"",""อุดรธานี!I292"")"),1000.0)</f>
        <v>1000</v>
      </c>
      <c r="J397" s="232">
        <f>IFERROR(__xludf.DUMMYFUNCTION("IMPORTRANGE(""https://docs.google.com/spreadsheets/d/1XL5vhW3sbDhbH9Cz0tuDiY8C3ctxq1tqvaCgkFb8cCA/edit?usp=sharing"",""อุดรธานี!J292"")"),0.0)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IFERROR(__xludf.DUMMYFUNCTION("IMPORTRANGE(""https://docs.google.com/spreadsheets/d/1XL5vhW3sbDhbH9Cz0tuDiY8C3ctxq1tqvaCgkFb8cCA/edit?usp=sharing"",""อุดรธานี!I293"")"),100.0)</f>
        <v>100</v>
      </c>
      <c r="J398" s="232">
        <f>IFERROR(__xludf.DUMMYFUNCTION("IMPORTRANGE(""https://docs.google.com/spreadsheets/d/1XL5vhW3sbDhbH9Cz0tuDiY8C3ctxq1tqvaCgkFb8cCA/edit?usp=sharing"",""อุดรธานี!J293"")"),0.0)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IFERROR(__xludf.DUMMYFUNCTION("IMPORTRANGE(""https://docs.google.com/spreadsheets/d/1XL5vhW3sbDhbH9Cz0tuDiY8C3ctxq1tqvaCgkFb8cCA/edit?usp=sharing"",""อุดรธานี!J294"")"),0.0)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IFERROR(__xludf.DUMMYFUNCTION("IMPORTRANGE(""https://docs.google.com/spreadsheets/d/1XL5vhW3sbDhbH9Cz0tuDiY8C3ctxq1tqvaCgkFb8cCA/edit?usp=sharing"",""อุดรธานี!J295"")"),0.0)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IFERROR(__xludf.DUMMYFUNCTION("IMPORTRANGE(""https://docs.google.com/spreadsheets/d/1XL5vhW3sbDhbH9Cz0tuDiY8C3ctxq1tqvaCgkFb8cCA/edit?usp=sharing"",""อุดรธานี!I296"")"),174.0)</f>
        <v>174</v>
      </c>
      <c r="J401" s="404">
        <f>IFERROR(__xludf.DUMMYFUNCTION("IMPORTRANGE(""https://docs.google.com/spreadsheets/d/1XL5vhW3sbDhbH9Cz0tuDiY8C3ctxq1tqvaCgkFb8cCA/edit?usp=sharing"",""อุดรธานี!J296"")"),0.0)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IFERROR(__xludf.DUMMYFUNCTION("IMPORTRANGE(""https://docs.google.com/spreadsheets/d/1XL5vhW3sbDhbH9Cz0tuDiY8C3ctxq1tqvaCgkFb8cCA/edit?usp=sharing"",""อุดรธานี!L296"")"),195900.0)</f>
        <v>195900</v>
      </c>
      <c r="M401" s="406"/>
      <c r="N401" s="406">
        <f>IFERROR(__xludf.DUMMYFUNCTION("IMPORTRANGE(""https://docs.google.com/spreadsheets/d/1XL5vhW3sbDhbH9Cz0tuDiY8C3ctxq1tqvaCgkFb8cCA/edit?usp=sharing"",""อุดรธานี!M296"")"),13980.0)</f>
        <v>13980</v>
      </c>
      <c r="O401" s="406">
        <f>+IF(L401&gt;0,N401*100/L401,0)</f>
        <v>7.136294028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IFERROR(__xludf.DUMMYFUNCTION("IMPORTRANGE(""https://docs.google.com/spreadsheets/d/1XL5vhW3sbDhbH9Cz0tuDiY8C3ctxq1tqvaCgkFb8cCA/edit?usp=sharing"",""อุดรธานี!I297"")"),58.0)</f>
        <v>58</v>
      </c>
      <c r="J402" s="404">
        <f>IFERROR(__xludf.DUMMYFUNCTION("IMPORTRANGE(""https://docs.google.com/spreadsheets/d/1XL5vhW3sbDhbH9Cz0tuDiY8C3ctxq1tqvaCgkFb8cCA/edit?usp=sharing"",""อุดรธานี!J297"")"),0.0)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IFERROR(__xludf.DUMMYFUNCTION("IMPORTRANGE(""https://docs.google.com/spreadsheets/d/1XL5vhW3sbDhbH9Cz0tuDiY8C3ctxq1tqvaCgkFb8cCA/edit?usp=sharing"",""อุดรธานี!L298"")"),0.0)</f>
        <v>0</v>
      </c>
      <c r="M403" s="197"/>
      <c r="N403" s="203">
        <f>IFERROR(__xludf.DUMMYFUNCTION("IMPORTRANGE(""https://docs.google.com/spreadsheets/d/1XL5vhW3sbDhbH9Cz0tuDiY8C3ctxq1tqvaCgkFb8cCA/edit?usp=sharing"",""อุดรธานี!M298"")"),0.0)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IFERROR(__xludf.DUMMYFUNCTION("IMPORTRANGE(""https://docs.google.com/spreadsheets/d/1XL5vhW3sbDhbH9Cz0tuDiY8C3ctxq1tqvaCgkFb8cCA/edit?usp=sharing"",""อุดรธานี!L299"")"),195900.0)</f>
        <v>195900</v>
      </c>
      <c r="M404" s="198"/>
      <c r="N404" s="203">
        <f>IFERROR(__xludf.DUMMYFUNCTION("IMPORTRANGE(""https://docs.google.com/spreadsheets/d/1XL5vhW3sbDhbH9Cz0tuDiY8C3ctxq1tqvaCgkFb8cCA/edit?usp=sharing"",""อุดรธานี!M299"")"),13980.0)</f>
        <v>13980</v>
      </c>
      <c r="O404" s="203">
        <f t="shared" si="113"/>
        <v>7.136294028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IFERROR(__xludf.DUMMYFUNCTION("IMPORTRANGE(""https://docs.google.com/spreadsheets/d/1XL5vhW3sbDhbH9Cz0tuDiY8C3ctxq1tqvaCgkFb8cCA/edit?usp=sharing"",""อุดรธานี!L300"")"),0.0)</f>
        <v>0</v>
      </c>
      <c r="M405" s="203"/>
      <c r="N405" s="203">
        <f>IFERROR(__xludf.DUMMYFUNCTION("IMPORTRANGE(""https://docs.google.com/spreadsheets/d/1XL5vhW3sbDhbH9Cz0tuDiY8C3ctxq1tqvaCgkFb8cCA/edit?usp=sharing"",""อุดรธานี!M300"")"),0.0)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IFERROR(__xludf.DUMMYFUNCTION("IMPORTRANGE(""https://docs.google.com/spreadsheets/d/1XL5vhW3sbDhbH9Cz0tuDiY8C3ctxq1tqvaCgkFb8cCA/edit?usp=sharing"",""อุดรธานี!L301"")"),195900.0)</f>
        <v>195900</v>
      </c>
      <c r="M406" s="203"/>
      <c r="N406" s="203">
        <f>IFERROR(__xludf.DUMMYFUNCTION("IMPORTRANGE(""https://docs.google.com/spreadsheets/d/1XL5vhW3sbDhbH9Cz0tuDiY8C3ctxq1tqvaCgkFb8cCA/edit?usp=sharing"",""อุดรธานี!M301"")"),13980.0)</f>
        <v>13980</v>
      </c>
      <c r="O406" s="203">
        <f t="shared" si="113"/>
        <v>7.136294028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IFERROR(__xludf.DUMMYFUNCTION("IMPORTRANGE(""https://docs.google.com/spreadsheets/d/1XL5vhW3sbDhbH9Cz0tuDiY8C3ctxq1tqvaCgkFb8cCA/edit?usp=sharing"",""อุดรธานี!M302"")"),11020.0)</f>
        <v>11020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IFERROR(__xludf.DUMMYFUNCTION("IMPORTRANGE(""https://docs.google.com/spreadsheets/d/1XL5vhW3sbDhbH9Cz0tuDiY8C3ctxq1tqvaCgkFb8cCA/edit?usp=sharing"",""อุดรธานี!M303"")"),0.0)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IFERROR(__xludf.DUMMYFUNCTION("IMPORTRANGE(""https://docs.google.com/spreadsheets/d/1XL5vhW3sbDhbH9Cz0tuDiY8C3ctxq1tqvaCgkFb8cCA/edit?usp=sharing"",""อุดรธานี!M304"")"),0.0)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IFERROR(__xludf.DUMMYFUNCTION("IMPORTRANGE(""https://docs.google.com/spreadsheets/d/1XL5vhW3sbDhbH9Cz0tuDiY8C3ctxq1tqvaCgkFb8cCA/edit?usp=sharing"",""อุดรธานี!M305"")"),2960.0)</f>
        <v>2960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IFERROR(__xludf.DUMMYFUNCTION("IMPORTRANGE(""https://docs.google.com/spreadsheets/d/1XL5vhW3sbDhbH9Cz0tuDiY8C3ctxq1tqvaCgkFb8cCA/edit?usp=sharing"",""อุดรธานี!J307"")"),0.0)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IFERROR(__xludf.DUMMYFUNCTION("IMPORTRANGE(""https://docs.google.com/spreadsheets/d/1XL5vhW3sbDhbH9Cz0tuDiY8C3ctxq1tqvaCgkFb8cCA/edit?usp=sharing"",""อุดรธานี!J308"")"),1.0)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IFERROR(__xludf.DUMMYFUNCTION("IMPORTRANGE(""https://docs.google.com/spreadsheets/d/1XL5vhW3sbDhbH9Cz0tuDiY8C3ctxq1tqvaCgkFb8cCA/edit?usp=sharing"",""อุดรธานี!J309"")"),1.0)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IFERROR(__xludf.DUMMYFUNCTION("IMPORTRANGE(""https://docs.google.com/spreadsheets/d/1XL5vhW3sbDhbH9Cz0tuDiY8C3ctxq1tqvaCgkFb8cCA/edit?usp=sharing"",""อุดรธานี!J310"")"),0.0)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IFERROR(__xludf.DUMMYFUNCTION("IMPORTRANGE(""https://docs.google.com/spreadsheets/d/1XL5vhW3sbDhbH9Cz0tuDiY8C3ctxq1tqvaCgkFb8cCA/edit?usp=sharing"",""อุดรธานี!I311"")"),58.0)</f>
        <v>58</v>
      </c>
      <c r="J416" s="235">
        <f>IFERROR(__xludf.DUMMYFUNCTION("IMPORTRANGE(""https://docs.google.com/spreadsheets/d/1XL5vhW3sbDhbH9Cz0tuDiY8C3ctxq1tqvaCgkFb8cCA/edit?usp=sharing"",""อุดรธานี!J311"")"),0.0)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IFERROR(__xludf.DUMMYFUNCTION("IMPORTRANGE(""https://docs.google.com/spreadsheets/d/1XL5vhW3sbDhbH9Cz0tuDiY8C3ctxq1tqvaCgkFb8cCA/edit?usp=sharing"",""อุดรธานี!I312"")"),10.0)</f>
        <v>10</v>
      </c>
      <c r="J417" s="425">
        <f>IFERROR(__xludf.DUMMYFUNCTION("IMPORTRANGE(""https://docs.google.com/spreadsheets/d/1XL5vhW3sbDhbH9Cz0tuDiY8C3ctxq1tqvaCgkFb8cCA/edit?usp=sharing"",""อุดรธานี!J312"")"),0.0)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IFERROR(__xludf.DUMMYFUNCTION("IMPORTRANGE(""https://docs.google.com/spreadsheets/d/1XL5vhW3sbDhbH9Cz0tuDiY8C3ctxq1tqvaCgkFb8cCA/edit?usp=sharing"",""อุดรธานี!I313"")"),30.0)</f>
        <v>30</v>
      </c>
      <c r="J418" s="426">
        <f>IFERROR(__xludf.DUMMYFUNCTION("IMPORTRANGE(""https://docs.google.com/spreadsheets/d/1XL5vhW3sbDhbH9Cz0tuDiY8C3ctxq1tqvaCgkFb8cCA/edit?usp=sharing"",""อุดรธานี!J313"")"),0.0)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IFERROR(__xludf.DUMMYFUNCTION("IMPORTRANGE(""https://docs.google.com/spreadsheets/d/1XL5vhW3sbDhbH9Cz0tuDiY8C3ctxq1tqvaCgkFb8cCA/edit?usp=sharing"",""อุดรธานี!I314"")"),10.0)</f>
        <v>10</v>
      </c>
      <c r="J419" s="427">
        <f>IFERROR(__xludf.DUMMYFUNCTION("IMPORTRANGE(""https://docs.google.com/spreadsheets/d/1XL5vhW3sbDhbH9Cz0tuDiY8C3ctxq1tqvaCgkFb8cCA/edit?usp=sharing"",""อุดรธานี!J314"")"),10.0)</f>
        <v>10</v>
      </c>
      <c r="K419" s="196">
        <f t="shared" si="114"/>
        <v>100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IFERROR(__xludf.DUMMYFUNCTION("IMPORTRANGE(""https://docs.google.com/spreadsheets/d/1XL5vhW3sbDhbH9Cz0tuDiY8C3ctxq1tqvaCgkFb8cCA/edit?usp=sharing"",""อุดรธานี!I315"")"),10.0)</f>
        <v>10</v>
      </c>
      <c r="J420" s="427">
        <f>IFERROR(__xludf.DUMMYFUNCTION("IMPORTRANGE(""https://docs.google.com/spreadsheets/d/1XL5vhW3sbDhbH9Cz0tuDiY8C3ctxq1tqvaCgkFb8cCA/edit?usp=sharing"",""อุดรธานี!J315"")"),0.0)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IFERROR(__xludf.DUMMYFUNCTION("IMPORTRANGE(""https://docs.google.com/spreadsheets/d/1XL5vhW3sbDhbH9Cz0tuDiY8C3ctxq1tqvaCgkFb8cCA/edit?usp=sharing"",""อุดรธานี!I316"")"),38.0)</f>
        <v>38</v>
      </c>
      <c r="J421" s="425">
        <f>IFERROR(__xludf.DUMMYFUNCTION("IMPORTRANGE(""https://docs.google.com/spreadsheets/d/1XL5vhW3sbDhbH9Cz0tuDiY8C3ctxq1tqvaCgkFb8cCA/edit?usp=sharing"",""อุดรธานี!J316"")"),0.0)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IFERROR(__xludf.DUMMYFUNCTION("IMPORTRANGE(""https://docs.google.com/spreadsheets/d/1XL5vhW3sbDhbH9Cz0tuDiY8C3ctxq1tqvaCgkFb8cCA/edit?usp=sharing"",""อุดรธานี!I317"")"),114.0)</f>
        <v>114</v>
      </c>
      <c r="J422" s="426">
        <f>IFERROR(__xludf.DUMMYFUNCTION("IMPORTRANGE(""https://docs.google.com/spreadsheets/d/1XL5vhW3sbDhbH9Cz0tuDiY8C3ctxq1tqvaCgkFb8cCA/edit?usp=sharing"",""อุดรธานี!J317"")"),0.0)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IFERROR(__xludf.DUMMYFUNCTION("IMPORTRANGE(""https://docs.google.com/spreadsheets/d/1XL5vhW3sbDhbH9Cz0tuDiY8C3ctxq1tqvaCgkFb8cCA/edit?usp=sharing"",""อุดรธานี!I318"")"),38.0)</f>
        <v>38</v>
      </c>
      <c r="J423" s="427">
        <f>IFERROR(__xludf.DUMMYFUNCTION("IMPORTRANGE(""https://docs.google.com/spreadsheets/d/1XL5vhW3sbDhbH9Cz0tuDiY8C3ctxq1tqvaCgkFb8cCA/edit?usp=sharing"",""อุดรธานี!J318"")"),0.0)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IFERROR(__xludf.DUMMYFUNCTION("IMPORTRANGE(""https://docs.google.com/spreadsheets/d/1XL5vhW3sbDhbH9Cz0tuDiY8C3ctxq1tqvaCgkFb8cCA/edit?usp=sharing"",""อุดรธานี!I319"")"),38.0)</f>
        <v>38</v>
      </c>
      <c r="J424" s="427">
        <f>IFERROR(__xludf.DUMMYFUNCTION("IMPORTRANGE(""https://docs.google.com/spreadsheets/d/1XL5vhW3sbDhbH9Cz0tuDiY8C3ctxq1tqvaCgkFb8cCA/edit?usp=sharing"",""อุดรธานี!J319"")"),0.0)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IFERROR(__xludf.DUMMYFUNCTION("IMPORTRANGE(""https://docs.google.com/spreadsheets/d/1XL5vhW3sbDhbH9Cz0tuDiY8C3ctxq1tqvaCgkFb8cCA/edit?usp=sharing"",""อุดรธานี!I320"")"),38.0)</f>
        <v>38</v>
      </c>
      <c r="J425" s="427">
        <f>IFERROR(__xludf.DUMMYFUNCTION("IMPORTRANGE(""https://docs.google.com/spreadsheets/d/1XL5vhW3sbDhbH9Cz0tuDiY8C3ctxq1tqvaCgkFb8cCA/edit?usp=sharing"",""อุดรธานี!J320"")"),0.0)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IFERROR(__xludf.DUMMYFUNCTION("IMPORTRANGE(""https://docs.google.com/spreadsheets/d/1XL5vhW3sbDhbH9Cz0tuDiY8C3ctxq1tqvaCgkFb8cCA/edit?usp=sharing"",""อุดรธานี!I321"")"),10.0)</f>
        <v>10</v>
      </c>
      <c r="J426" s="425">
        <f>IFERROR(__xludf.DUMMYFUNCTION("IMPORTRANGE(""https://docs.google.com/spreadsheets/d/1XL5vhW3sbDhbH9Cz0tuDiY8C3ctxq1tqvaCgkFb8cCA/edit?usp=sharing"",""อุดรธานี!J321"")"),0.0)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IFERROR(__xludf.DUMMYFUNCTION("IMPORTRANGE(""https://docs.google.com/spreadsheets/d/1XL5vhW3sbDhbH9Cz0tuDiY8C3ctxq1tqvaCgkFb8cCA/edit?usp=sharing"",""อุดรธานี!I322"")"),30.0)</f>
        <v>30</v>
      </c>
      <c r="J427" s="426">
        <f>IFERROR(__xludf.DUMMYFUNCTION("IMPORTRANGE(""https://docs.google.com/spreadsheets/d/1XL5vhW3sbDhbH9Cz0tuDiY8C3ctxq1tqvaCgkFb8cCA/edit?usp=sharing"",""อุดรธานี!J322"")"),0.0)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IFERROR(__xludf.DUMMYFUNCTION("IMPORTRANGE(""https://docs.google.com/spreadsheets/d/1XL5vhW3sbDhbH9Cz0tuDiY8C3ctxq1tqvaCgkFb8cCA/edit?usp=sharing"",""อุดรธานี!I323"")"),10.0)</f>
        <v>10</v>
      </c>
      <c r="J428" s="427">
        <f>IFERROR(__xludf.DUMMYFUNCTION("IMPORTRANGE(""https://docs.google.com/spreadsheets/d/1XL5vhW3sbDhbH9Cz0tuDiY8C3ctxq1tqvaCgkFb8cCA/edit?usp=sharing"",""อุดรธานี!J323"")"),0.0)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IFERROR(__xludf.DUMMYFUNCTION("IMPORTRANGE(""https://docs.google.com/spreadsheets/d/1XL5vhW3sbDhbH9Cz0tuDiY8C3ctxq1tqvaCgkFb8cCA/edit?usp=sharing"",""อุดรธานี!I324"")"),10.0)</f>
        <v>10</v>
      </c>
      <c r="J429" s="427">
        <f>IFERROR(__xludf.DUMMYFUNCTION("IMPORTRANGE(""https://docs.google.com/spreadsheets/d/1XL5vhW3sbDhbH9Cz0tuDiY8C3ctxq1tqvaCgkFb8cCA/edit?usp=sharing"",""อุดรธานี!J324"")"),0.0)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IFERROR(__xludf.DUMMYFUNCTION("IMPORTRANGE(""https://docs.google.com/spreadsheets/d/1XL5vhW3sbDhbH9Cz0tuDiY8C3ctxq1tqvaCgkFb8cCA/edit?usp=sharing"",""อุดรธานี!I325"")"),48.0)</f>
        <v>48</v>
      </c>
      <c r="J430" s="425">
        <f>IFERROR(__xludf.DUMMYFUNCTION("IMPORTRANGE(""https://docs.google.com/spreadsheets/d/1XL5vhW3sbDhbH9Cz0tuDiY8C3ctxq1tqvaCgkFb8cCA/edit?usp=sharing"",""อุดรธานี!J325"")"),0.0)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IFERROR(__xludf.DUMMYFUNCTION("IMPORTRANGE(""https://docs.google.com/spreadsheets/d/1XL5vhW3sbDhbH9Cz0tuDiY8C3ctxq1tqvaCgkFb8cCA/edit?usp=sharing"",""อุดรธานี!I326"")"),10.0)</f>
        <v>10</v>
      </c>
      <c r="J431" s="427">
        <f>IFERROR(__xludf.DUMMYFUNCTION("IMPORTRANGE(""https://docs.google.com/spreadsheets/d/1XL5vhW3sbDhbH9Cz0tuDiY8C3ctxq1tqvaCgkFb8cCA/edit?usp=sharing"",""อุดรธานี!J326"")"),0.0)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IFERROR(__xludf.DUMMYFUNCTION("IMPORTRANGE(""https://docs.google.com/spreadsheets/d/1XL5vhW3sbDhbH9Cz0tuDiY8C3ctxq1tqvaCgkFb8cCA/edit?usp=sharing"",""อุดรธานี!I327"")"),38.0)</f>
        <v>38</v>
      </c>
      <c r="J432" s="427">
        <f>IFERROR(__xludf.DUMMYFUNCTION("IMPORTRANGE(""https://docs.google.com/spreadsheets/d/1XL5vhW3sbDhbH9Cz0tuDiY8C3ctxq1tqvaCgkFb8cCA/edit?usp=sharing"",""อุดรธานี!J327"")"),0.0)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IFERROR(__xludf.DUMMYFUNCTION("IMPORTRANGE(""https://docs.google.com/spreadsheets/d/1XL5vhW3sbDhbH9Cz0tuDiY8C3ctxq1tqvaCgkFb8cCA/edit?usp=sharing"",""อุดรธานี!J328"")"),0.0)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IFERROR(__xludf.DUMMYFUNCTION("IMPORTRANGE(""https://docs.google.com/spreadsheets/d/1XL5vhW3sbDhbH9Cz0tuDiY8C3ctxq1tqvaCgkFb8cCA/edit?usp=sharing"",""อุดรธานี!J329"")"),0.0)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IFERROR(__xludf.DUMMYFUNCTION("IMPORTRANGE(""https://docs.google.com/spreadsheets/d/1XL5vhW3sbDhbH9Cz0tuDiY8C3ctxq1tqvaCgkFb8cCA/edit?usp=sharing"",""อุดรธานี!I330"")"),20.0)</f>
        <v>20</v>
      </c>
      <c r="J435" s="443">
        <f>IFERROR(__xludf.DUMMYFUNCTION("IMPORTRANGE(""https://docs.google.com/spreadsheets/d/1XL5vhW3sbDhbH9Cz0tuDiY8C3ctxq1tqvaCgkFb8cCA/edit?usp=sharing"",""อุดรธานี!J330"")"),20.0)</f>
        <v>20</v>
      </c>
      <c r="K435" s="444">
        <f>IF(I435&gt;0,J435*100/I435,0)</f>
        <v>100</v>
      </c>
      <c r="L435" s="445">
        <f>IFERROR(__xludf.DUMMYFUNCTION("IMPORTRANGE(""https://docs.google.com/spreadsheets/d/1XL5vhW3sbDhbH9Cz0tuDiY8C3ctxq1tqvaCgkFb8cCA/edit?usp=sharing"",""อุดรธานี!L330"")"),95000.0)</f>
        <v>95000</v>
      </c>
      <c r="M435" s="445"/>
      <c r="N435" s="445">
        <f>IFERROR(__xludf.DUMMYFUNCTION("IMPORTRANGE(""https://docs.google.com/spreadsheets/d/1XL5vhW3sbDhbH9Cz0tuDiY8C3ctxq1tqvaCgkFb8cCA/edit?usp=sharing"",""อุดรธานี!M330"")"),46716.0)</f>
        <v>46716</v>
      </c>
      <c r="O435" s="445">
        <f t="shared" ref="O435:O439" si="115">+IF(L435&gt;0,N435*100/L435,0)</f>
        <v>49.17473684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IFERROR(__xludf.DUMMYFUNCTION("IMPORTRANGE(""https://docs.google.com/spreadsheets/d/1XL5vhW3sbDhbH9Cz0tuDiY8C3ctxq1tqvaCgkFb8cCA/edit?usp=sharing"",""อุดรธานี!L331"")"),0.0)</f>
        <v>0</v>
      </c>
      <c r="M436" s="197"/>
      <c r="N436" s="203">
        <f>IFERROR(__xludf.DUMMYFUNCTION("IMPORTRANGE(""https://docs.google.com/spreadsheets/d/1XL5vhW3sbDhbH9Cz0tuDiY8C3ctxq1tqvaCgkFb8cCA/edit?usp=sharing"",""อุดรธานี!M331"")"),0.0)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IFERROR(__xludf.DUMMYFUNCTION("IMPORTRANGE(""https://docs.google.com/spreadsheets/d/1XL5vhW3sbDhbH9Cz0tuDiY8C3ctxq1tqvaCgkFb8cCA/edit?usp=sharing"",""อุดรธานี!L332"")"),95000.0)</f>
        <v>95000</v>
      </c>
      <c r="M437" s="198"/>
      <c r="N437" s="203">
        <f>IFERROR(__xludf.DUMMYFUNCTION("IMPORTRANGE(""https://docs.google.com/spreadsheets/d/1XL5vhW3sbDhbH9Cz0tuDiY8C3ctxq1tqvaCgkFb8cCA/edit?usp=sharing"",""อุดรธานี!M332"")"),46716.0)</f>
        <v>46716</v>
      </c>
      <c r="O437" s="203">
        <f t="shared" si="115"/>
        <v>49.17473684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IFERROR(__xludf.DUMMYFUNCTION("IMPORTRANGE(""https://docs.google.com/spreadsheets/d/1XL5vhW3sbDhbH9Cz0tuDiY8C3ctxq1tqvaCgkFb8cCA/edit?usp=sharing"",""อุดรธานี!L333"")"),0.0)</f>
        <v>0</v>
      </c>
      <c r="M438" s="203"/>
      <c r="N438" s="203">
        <f>IFERROR(__xludf.DUMMYFUNCTION("IMPORTRANGE(""https://docs.google.com/spreadsheets/d/1XL5vhW3sbDhbH9Cz0tuDiY8C3ctxq1tqvaCgkFb8cCA/edit?usp=sharing"",""อุดรธานี!M333"")"),0.0)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IFERROR(__xludf.DUMMYFUNCTION("IMPORTRANGE(""https://docs.google.com/spreadsheets/d/1XL5vhW3sbDhbH9Cz0tuDiY8C3ctxq1tqvaCgkFb8cCA/edit?usp=sharing"",""อุดรธานี!L334"")"),95000.0)</f>
        <v>95000</v>
      </c>
      <c r="M439" s="203"/>
      <c r="N439" s="203">
        <f>IFERROR(__xludf.DUMMYFUNCTION("IMPORTRANGE(""https://docs.google.com/spreadsheets/d/1XL5vhW3sbDhbH9Cz0tuDiY8C3ctxq1tqvaCgkFb8cCA/edit?usp=sharing"",""อุดรธานี!M334"")"),46716.0)</f>
        <v>46716</v>
      </c>
      <c r="O439" s="203">
        <f t="shared" si="115"/>
        <v>49.17473684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IFERROR(__xludf.DUMMYFUNCTION("IMPORTRANGE(""https://docs.google.com/spreadsheets/d/1XL5vhW3sbDhbH9Cz0tuDiY8C3ctxq1tqvaCgkFb8cCA/edit?usp=sharing"",""อุดรธานี!M335"")"),37040.0)</f>
        <v>37040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IFERROR(__xludf.DUMMYFUNCTION("IMPORTRANGE(""https://docs.google.com/spreadsheets/d/1XL5vhW3sbDhbH9Cz0tuDiY8C3ctxq1tqvaCgkFb8cCA/edit?usp=sharing"",""อุดรธานี!M336"")"),0.0)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IFERROR(__xludf.DUMMYFUNCTION("IMPORTRANGE(""https://docs.google.com/spreadsheets/d/1XL5vhW3sbDhbH9Cz0tuDiY8C3ctxq1tqvaCgkFb8cCA/edit?usp=sharing"",""อุดรธานี!M337"")"),0.0)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IFERROR(__xludf.DUMMYFUNCTION("IMPORTRANGE(""https://docs.google.com/spreadsheets/d/1XL5vhW3sbDhbH9Cz0tuDiY8C3ctxq1tqvaCgkFb8cCA/edit?usp=sharing"",""อุดรธานี!M338"")"),9676.0)</f>
        <v>9676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IFERROR(__xludf.DUMMYFUNCTION("IMPORTRANGE(""https://docs.google.com/spreadsheets/d/1XL5vhW3sbDhbH9Cz0tuDiY8C3ctxq1tqvaCgkFb8cCA/edit?usp=sharing"",""อุดรธานี!J340"")"),0.0)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IFERROR(__xludf.DUMMYFUNCTION("IMPORTRANGE(""https://docs.google.com/spreadsheets/d/1XL5vhW3sbDhbH9Cz0tuDiY8C3ctxq1tqvaCgkFb8cCA/edit?usp=sharing"",""อุดรธานี!J341"")"),1.0)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IFERROR(__xludf.DUMMYFUNCTION("IMPORTRANGE(""https://docs.google.com/spreadsheets/d/1XL5vhW3sbDhbH9Cz0tuDiY8C3ctxq1tqvaCgkFb8cCA/edit?usp=sharing"",""อุดรธานี!J342"")"),1.0)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IFERROR(__xludf.DUMMYFUNCTION("IMPORTRANGE(""https://docs.google.com/spreadsheets/d/1XL5vhW3sbDhbH9Cz0tuDiY8C3ctxq1tqvaCgkFb8cCA/edit?usp=sharing"",""อุดรธานี!J343"")"),1.0)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IFERROR(__xludf.DUMMYFUNCTION("IMPORTRANGE(""https://docs.google.com/spreadsheets/d/1XL5vhW3sbDhbH9Cz0tuDiY8C3ctxq1tqvaCgkFb8cCA/edit?usp=sharing"",""อุดรธานี!I344"")"),20.0)</f>
        <v>20</v>
      </c>
      <c r="J449" s="235">
        <f>IFERROR(__xludf.DUMMYFUNCTION("IMPORTRANGE(""https://docs.google.com/spreadsheets/d/1XL5vhW3sbDhbH9Cz0tuDiY8C3ctxq1tqvaCgkFb8cCA/edit?usp=sharing"",""อุดรธานี!J344"")"),20.0)</f>
        <v>20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IFERROR(__xludf.DUMMYFUNCTION("IMPORTRANGE(""https://docs.google.com/spreadsheets/d/1XL5vhW3sbDhbH9Cz0tuDiY8C3ctxq1tqvaCgkFb8cCA/edit?usp=sharing"",""อุดรธานี!I345"")"),20.0)</f>
        <v>20</v>
      </c>
      <c r="J450" s="223">
        <f>IFERROR(__xludf.DUMMYFUNCTION("IMPORTRANGE(""https://docs.google.com/spreadsheets/d/1XL5vhW3sbDhbH9Cz0tuDiY8C3ctxq1tqvaCgkFb8cCA/edit?usp=sharing"",""อุดรธานี!J345"")"),20.0)</f>
        <v>20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IFERROR(__xludf.DUMMYFUNCTION("IMPORTRANGE(""https://docs.google.com/spreadsheets/d/1XL5vhW3sbDhbH9Cz0tuDiY8C3ctxq1tqvaCgkFb8cCA/edit?usp=sharing"",""อุดรธานี!I346"")"),0.0)</f>
        <v>0</v>
      </c>
      <c r="J451" s="222">
        <f>IFERROR(__xludf.DUMMYFUNCTION("IMPORTRANGE(""https://docs.google.com/spreadsheets/d/1XL5vhW3sbDhbH9Cz0tuDiY8C3ctxq1tqvaCgkFb8cCA/edit?usp=sharing"",""อุดรธานี!J346"")"),0.0)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IFERROR(__xludf.DUMMYFUNCTION("IMPORTRANGE(""https://docs.google.com/spreadsheets/d/1XL5vhW3sbDhbH9Cz0tuDiY8C3ctxq1tqvaCgkFb8cCA/edit?usp=sharing"",""อุดรธานี!I347"")"),0.0)</f>
        <v>0</v>
      </c>
      <c r="J452" s="222">
        <f>IFERROR(__xludf.DUMMYFUNCTION("IMPORTRANGE(""https://docs.google.com/spreadsheets/d/1XL5vhW3sbDhbH9Cz0tuDiY8C3ctxq1tqvaCgkFb8cCA/edit?usp=sharing"",""อุดรธานี!J347"")"),0.0)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IFERROR(__xludf.DUMMYFUNCTION("IMPORTRANGE(""https://docs.google.com/spreadsheets/d/1XL5vhW3sbDhbH9Cz0tuDiY8C3ctxq1tqvaCgkFb8cCA/edit?usp=sharing"",""อุดรธานี!J348"")"),0.0)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IFERROR(__xludf.DUMMYFUNCTION("IMPORTRANGE(""https://docs.google.com/spreadsheets/d/1XL5vhW3sbDhbH9Cz0tuDiY8C3ctxq1tqvaCgkFb8cCA/edit?usp=sharing"",""อุดรธานี!J349"")"),0.0)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IFERROR(__xludf.DUMMYFUNCTION("IMPORTRANGE(""https://docs.google.com/spreadsheets/d/1XL5vhW3sbDhbH9Cz0tuDiY8C3ctxq1tqvaCgkFb8cCA/edit?usp=sharing"",""อุดรธานี!I350"")"),30344.0)</f>
        <v>30344</v>
      </c>
      <c r="J455" s="404">
        <f>IFERROR(__xludf.DUMMYFUNCTION("IMPORTRANGE(""https://docs.google.com/spreadsheets/d/1XL5vhW3sbDhbH9Cz0tuDiY8C3ctxq1tqvaCgkFb8cCA/edit?usp=sharing"",""อุดรธานี!J350"")"),0.0)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IFERROR(__xludf.DUMMYFUNCTION("IMPORTRANGE(""https://docs.google.com/spreadsheets/d/1XL5vhW3sbDhbH9Cz0tuDiY8C3ctxq1tqvaCgkFb8cCA/edit?usp=sharing"",""อุดรธานี!L350"")"),310551.0)</f>
        <v>310551</v>
      </c>
      <c r="M455" s="406"/>
      <c r="N455" s="406">
        <f>IFERROR(__xludf.DUMMYFUNCTION("IMPORTRANGE(""https://docs.google.com/spreadsheets/d/1XL5vhW3sbDhbH9Cz0tuDiY8C3ctxq1tqvaCgkFb8cCA/edit?usp=sharing"",""อุดรธานี!M350"")"),7700.0)</f>
        <v>7700</v>
      </c>
      <c r="O455" s="406">
        <f t="shared" ref="O455:O459" si="117">+IF(L455&gt;0,N455*100/L455,0)</f>
        <v>2.479463921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IFERROR(__xludf.DUMMYFUNCTION("IMPORTRANGE(""https://docs.google.com/spreadsheets/d/1XL5vhW3sbDhbH9Cz0tuDiY8C3ctxq1tqvaCgkFb8cCA/edit?usp=sharing"",""อุดรธานี!L351"")"),0.0)</f>
        <v>0</v>
      </c>
      <c r="M456" s="197"/>
      <c r="N456" s="203">
        <f>IFERROR(__xludf.DUMMYFUNCTION("IMPORTRANGE(""https://docs.google.com/spreadsheets/d/1XL5vhW3sbDhbH9Cz0tuDiY8C3ctxq1tqvaCgkFb8cCA/edit?usp=sharing"",""อุดรธานี!M351"")"),0.0)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IFERROR(__xludf.DUMMYFUNCTION("IMPORTRANGE(""https://docs.google.com/spreadsheets/d/1XL5vhW3sbDhbH9Cz0tuDiY8C3ctxq1tqvaCgkFb8cCA/edit?usp=sharing"",""อุดรธานี!L352"")"),310551.0)</f>
        <v>310551</v>
      </c>
      <c r="M457" s="198"/>
      <c r="N457" s="203">
        <f>IFERROR(__xludf.DUMMYFUNCTION("IMPORTRANGE(""https://docs.google.com/spreadsheets/d/1XL5vhW3sbDhbH9Cz0tuDiY8C3ctxq1tqvaCgkFb8cCA/edit?usp=sharing"",""อุดรธานี!M352"")"),7700.0)</f>
        <v>7700</v>
      </c>
      <c r="O457" s="203">
        <f t="shared" si="117"/>
        <v>2.479463921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IFERROR(__xludf.DUMMYFUNCTION("IMPORTRANGE(""https://docs.google.com/spreadsheets/d/1XL5vhW3sbDhbH9Cz0tuDiY8C3ctxq1tqvaCgkFb8cCA/edit?usp=sharing"",""อุดรธานี!L353"")"),0.0)</f>
        <v>0</v>
      </c>
      <c r="M458" s="203"/>
      <c r="N458" s="203">
        <f>IFERROR(__xludf.DUMMYFUNCTION("IMPORTRANGE(""https://docs.google.com/spreadsheets/d/1XL5vhW3sbDhbH9Cz0tuDiY8C3ctxq1tqvaCgkFb8cCA/edit?usp=sharing"",""อุดรธานี!M353"")"),0.0)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IFERROR(__xludf.DUMMYFUNCTION("IMPORTRANGE(""https://docs.google.com/spreadsheets/d/1XL5vhW3sbDhbH9Cz0tuDiY8C3ctxq1tqvaCgkFb8cCA/edit?usp=sharing"",""อุดรธานี!L354"")"),310551.0)</f>
        <v>310551</v>
      </c>
      <c r="M459" s="203"/>
      <c r="N459" s="203">
        <f>IFERROR(__xludf.DUMMYFUNCTION("IMPORTRANGE(""https://docs.google.com/spreadsheets/d/1XL5vhW3sbDhbH9Cz0tuDiY8C3ctxq1tqvaCgkFb8cCA/edit?usp=sharing"",""อุดรธานี!M354"")"),7700.0)</f>
        <v>7700</v>
      </c>
      <c r="O459" s="203">
        <f t="shared" si="117"/>
        <v>2.479463921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IFERROR(__xludf.DUMMYFUNCTION("IMPORTRANGE(""https://docs.google.com/spreadsheets/d/1XL5vhW3sbDhbH9Cz0tuDiY8C3ctxq1tqvaCgkFb8cCA/edit?usp=sharing"",""อุดรธานี!M355"")"),0.0)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IFERROR(__xludf.DUMMYFUNCTION("IMPORTRANGE(""https://docs.google.com/spreadsheets/d/1XL5vhW3sbDhbH9Cz0tuDiY8C3ctxq1tqvaCgkFb8cCA/edit?usp=sharing"",""อุดรธานี!M356"")"),0.0)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IFERROR(__xludf.DUMMYFUNCTION("IMPORTRANGE(""https://docs.google.com/spreadsheets/d/1XL5vhW3sbDhbH9Cz0tuDiY8C3ctxq1tqvaCgkFb8cCA/edit?usp=sharing"",""อุดรธานี!M357"")"),0.0)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IFERROR(__xludf.DUMMYFUNCTION("IMPORTRANGE(""https://docs.google.com/spreadsheets/d/1XL5vhW3sbDhbH9Cz0tuDiY8C3ctxq1tqvaCgkFb8cCA/edit?usp=sharing"",""อุดรธานี!M358"")"),7700.0)</f>
        <v>7700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IFERROR(__xludf.DUMMYFUNCTION("IMPORTRANGE(""https://docs.google.com/spreadsheets/d/1XL5vhW3sbDhbH9Cz0tuDiY8C3ctxq1tqvaCgkFb8cCA/edit?usp=sharing"",""อุดรธานี!I359"")"),30344.0)</f>
        <v>30344</v>
      </c>
      <c r="J464" s="301">
        <f>IFERROR(__xludf.DUMMYFUNCTION("IMPORTRANGE(""https://docs.google.com/spreadsheets/d/1XL5vhW3sbDhbH9Cz0tuDiY8C3ctxq1tqvaCgkFb8cCA/edit?usp=sharing"",""อุดรธานี!J359"")"),0.0)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IFERROR(__xludf.DUMMYFUNCTION("IMPORTRANGE(""https://docs.google.com/spreadsheets/d/1XL5vhW3sbDhbH9Cz0tuDiY8C3ctxq1tqvaCgkFb8cCA/edit?usp=sharing"",""อุดรธานี!I360"")"),30344.0)</f>
        <v>30344</v>
      </c>
      <c r="J465" s="453">
        <f>IFERROR(__xludf.DUMMYFUNCTION("IMPORTRANGE(""https://docs.google.com/spreadsheets/d/1XL5vhW3sbDhbH9Cz0tuDiY8C3ctxq1tqvaCgkFb8cCA/edit?usp=sharing"",""อุดรธานี!J360"")"),14013.0)</f>
        <v>14013</v>
      </c>
      <c r="K465" s="236">
        <f t="shared" si="118"/>
        <v>46.18046401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IFERROR(__xludf.DUMMYFUNCTION("IMPORTRANGE(""https://docs.google.com/spreadsheets/d/1XL5vhW3sbDhbH9Cz0tuDiY8C3ctxq1tqvaCgkFb8cCA/edit?usp=sharing"",""อุดรธานี!I361"")"),2438.0)</f>
        <v>2438</v>
      </c>
      <c r="J466" s="453">
        <f>IFERROR(__xludf.DUMMYFUNCTION("IMPORTRANGE(""https://docs.google.com/spreadsheets/d/1XL5vhW3sbDhbH9Cz0tuDiY8C3ctxq1tqvaCgkFb8cCA/edit?usp=sharing"",""อุดรธานี!J361"")"),823.0)</f>
        <v>823</v>
      </c>
      <c r="K466" s="236">
        <f t="shared" si="118"/>
        <v>33.75717801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IFERROR(__xludf.DUMMYFUNCTION("IMPORTRANGE(""https://docs.google.com/spreadsheets/d/1XL5vhW3sbDhbH9Cz0tuDiY8C3ctxq1tqvaCgkFb8cCA/edit?usp=sharing"",""อุดรธานี!I362"")"),0.0)</f>
        <v>0</v>
      </c>
      <c r="J467" s="223">
        <f>IFERROR(__xludf.DUMMYFUNCTION("IMPORTRANGE(""https://docs.google.com/spreadsheets/d/1XL5vhW3sbDhbH9Cz0tuDiY8C3ctxq1tqvaCgkFb8cCA/edit?usp=sharing"",""อุดรธานี!J362"")"),11694.0)</f>
        <v>11694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IFERROR(__xludf.DUMMYFUNCTION("IMPORTRANGE(""https://docs.google.com/spreadsheets/d/1XL5vhW3sbDhbH9Cz0tuDiY8C3ctxq1tqvaCgkFb8cCA/edit?usp=sharing"",""อุดรธานี!I363"")"),0.0)</f>
        <v>0</v>
      </c>
      <c r="J468" s="223">
        <f>IFERROR(__xludf.DUMMYFUNCTION("IMPORTRANGE(""https://docs.google.com/spreadsheets/d/1XL5vhW3sbDhbH9Cz0tuDiY8C3ctxq1tqvaCgkFb8cCA/edit?usp=sharing"",""อุดรธานี!J363"")"),695.0)</f>
        <v>695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IFERROR(__xludf.DUMMYFUNCTION("IMPORTRANGE(""https://docs.google.com/spreadsheets/d/1XL5vhW3sbDhbH9Cz0tuDiY8C3ctxq1tqvaCgkFb8cCA/edit?usp=sharing"",""อุดรธานี!I364"")"),0.0)</f>
        <v>0</v>
      </c>
      <c r="J469" s="223">
        <f>IFERROR(__xludf.DUMMYFUNCTION("IMPORTRANGE(""https://docs.google.com/spreadsheets/d/1XL5vhW3sbDhbH9Cz0tuDiY8C3ctxq1tqvaCgkFb8cCA/edit?usp=sharing"",""อุดรธานี!J364"")"),1150.0)</f>
        <v>1150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IFERROR(__xludf.DUMMYFUNCTION("IMPORTRANGE(""https://docs.google.com/spreadsheets/d/1XL5vhW3sbDhbH9Cz0tuDiY8C3ctxq1tqvaCgkFb8cCA/edit?usp=sharing"",""อุดรธานี!I365"")"),0.0)</f>
        <v>0</v>
      </c>
      <c r="J470" s="223">
        <f>IFERROR(__xludf.DUMMYFUNCTION("IMPORTRANGE(""https://docs.google.com/spreadsheets/d/1XL5vhW3sbDhbH9Cz0tuDiY8C3ctxq1tqvaCgkFb8cCA/edit?usp=sharing"",""อุดรธานี!J365"")"),67.0)</f>
        <v>67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IFERROR(__xludf.DUMMYFUNCTION("IMPORTRANGE(""https://docs.google.com/spreadsheets/d/1XL5vhW3sbDhbH9Cz0tuDiY8C3ctxq1tqvaCgkFb8cCA/edit?usp=sharing"",""อุดรธานี!I366"")"),0.0)</f>
        <v>0</v>
      </c>
      <c r="J471" s="223">
        <f>IFERROR(__xludf.DUMMYFUNCTION("IMPORTRANGE(""https://docs.google.com/spreadsheets/d/1XL5vhW3sbDhbH9Cz0tuDiY8C3ctxq1tqvaCgkFb8cCA/edit?usp=sharing"",""อุดรธานี!J366"")"),1169.0)</f>
        <v>1169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IFERROR(__xludf.DUMMYFUNCTION("IMPORTRANGE(""https://docs.google.com/spreadsheets/d/1XL5vhW3sbDhbH9Cz0tuDiY8C3ctxq1tqvaCgkFb8cCA/edit?usp=sharing"",""อุดรธานี!I367"")"),0.0)</f>
        <v>0</v>
      </c>
      <c r="J472" s="223">
        <f>IFERROR(__xludf.DUMMYFUNCTION("IMPORTRANGE(""https://docs.google.com/spreadsheets/d/1XL5vhW3sbDhbH9Cz0tuDiY8C3ctxq1tqvaCgkFb8cCA/edit?usp=sharing"",""อุดรธานี!J367"")"),61.0)</f>
        <v>61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IFERROR(__xludf.DUMMYFUNCTION("IMPORTRANGE(""https://docs.google.com/spreadsheets/d/1XL5vhW3sbDhbH9Cz0tuDiY8C3ctxq1tqvaCgkFb8cCA/edit?usp=sharing"",""อุดรธานี!I368"")"),30344.0)</f>
        <v>30344</v>
      </c>
      <c r="J473" s="453">
        <f>IFERROR(__xludf.DUMMYFUNCTION("IMPORTRANGE(""https://docs.google.com/spreadsheets/d/1XL5vhW3sbDhbH9Cz0tuDiY8C3ctxq1tqvaCgkFb8cCA/edit?usp=sharing"",""อุดรธานี!J368"")"),0.0)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IFERROR(__xludf.DUMMYFUNCTION("IMPORTRANGE(""https://docs.google.com/spreadsheets/d/1XL5vhW3sbDhbH9Cz0tuDiY8C3ctxq1tqvaCgkFb8cCA/edit?usp=sharing"",""อุดรธานี!I369"")"),2438.0)</f>
        <v>2438</v>
      </c>
      <c r="J474" s="453">
        <f>IFERROR(__xludf.DUMMYFUNCTION("IMPORTRANGE(""https://docs.google.com/spreadsheets/d/1XL5vhW3sbDhbH9Cz0tuDiY8C3ctxq1tqvaCgkFb8cCA/edit?usp=sharing"",""อุดรธานี!J369"")"),0.0)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IFERROR(__xludf.DUMMYFUNCTION("IMPORTRANGE(""https://docs.google.com/spreadsheets/d/1XL5vhW3sbDhbH9Cz0tuDiY8C3ctxq1tqvaCgkFb8cCA/edit?usp=sharing"",""อุดรธานี!I370"")"),0.0)</f>
        <v>0</v>
      </c>
      <c r="J475" s="223">
        <f>IFERROR(__xludf.DUMMYFUNCTION("IMPORTRANGE(""https://docs.google.com/spreadsheets/d/1XL5vhW3sbDhbH9Cz0tuDiY8C3ctxq1tqvaCgkFb8cCA/edit?usp=sharing"",""อุดรธานี!J370"")"),0.0)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IFERROR(__xludf.DUMMYFUNCTION("IMPORTRANGE(""https://docs.google.com/spreadsheets/d/1XL5vhW3sbDhbH9Cz0tuDiY8C3ctxq1tqvaCgkFb8cCA/edit?usp=sharing"",""อุดรธานี!I371"")"),0.0)</f>
        <v>0</v>
      </c>
      <c r="J476" s="223">
        <f>IFERROR(__xludf.DUMMYFUNCTION("IMPORTRANGE(""https://docs.google.com/spreadsheets/d/1XL5vhW3sbDhbH9Cz0tuDiY8C3ctxq1tqvaCgkFb8cCA/edit?usp=sharing"",""อุดรธานี!J371"")"),0.0)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IFERROR(__xludf.DUMMYFUNCTION("IMPORTRANGE(""https://docs.google.com/spreadsheets/d/1XL5vhW3sbDhbH9Cz0tuDiY8C3ctxq1tqvaCgkFb8cCA/edit?usp=sharing"",""อุดรธานี!I372"")"),0.0)</f>
        <v>0</v>
      </c>
      <c r="J477" s="223">
        <f>IFERROR(__xludf.DUMMYFUNCTION("IMPORTRANGE(""https://docs.google.com/spreadsheets/d/1XL5vhW3sbDhbH9Cz0tuDiY8C3ctxq1tqvaCgkFb8cCA/edit?usp=sharing"",""อุดรธานี!J372"")"),0.0)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IFERROR(__xludf.DUMMYFUNCTION("IMPORTRANGE(""https://docs.google.com/spreadsheets/d/1XL5vhW3sbDhbH9Cz0tuDiY8C3ctxq1tqvaCgkFb8cCA/edit?usp=sharing"",""อุดรธานี!I373"")"),0.0)</f>
        <v>0</v>
      </c>
      <c r="J478" s="223">
        <f>IFERROR(__xludf.DUMMYFUNCTION("IMPORTRANGE(""https://docs.google.com/spreadsheets/d/1XL5vhW3sbDhbH9Cz0tuDiY8C3ctxq1tqvaCgkFb8cCA/edit?usp=sharing"",""อุดรธานี!J373"")"),0.0)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IFERROR(__xludf.DUMMYFUNCTION("IMPORTRANGE(""https://docs.google.com/spreadsheets/d/1XL5vhW3sbDhbH9Cz0tuDiY8C3ctxq1tqvaCgkFb8cCA/edit?usp=sharing"",""อุดรธานี!I374"")"),0.0)</f>
        <v>0</v>
      </c>
      <c r="J479" s="223">
        <f>IFERROR(__xludf.DUMMYFUNCTION("IMPORTRANGE(""https://docs.google.com/spreadsheets/d/1XL5vhW3sbDhbH9Cz0tuDiY8C3ctxq1tqvaCgkFb8cCA/edit?usp=sharing"",""อุดรธานี!J374"")"),0.0)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IFERROR(__xludf.DUMMYFUNCTION("IMPORTRANGE(""https://docs.google.com/spreadsheets/d/1XL5vhW3sbDhbH9Cz0tuDiY8C3ctxq1tqvaCgkFb8cCA/edit?usp=sharing"",""อุดรธานี!I375"")"),0.0)</f>
        <v>0</v>
      </c>
      <c r="J480" s="223">
        <f>IFERROR(__xludf.DUMMYFUNCTION("IMPORTRANGE(""https://docs.google.com/spreadsheets/d/1XL5vhW3sbDhbH9Cz0tuDiY8C3ctxq1tqvaCgkFb8cCA/edit?usp=sharing"",""อุดรธานี!J375"")"),0.0)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IFERROR(__xludf.DUMMYFUNCTION("IMPORTRANGE(""https://docs.google.com/spreadsheets/d/1XL5vhW3sbDhbH9Cz0tuDiY8C3ctxq1tqvaCgkFb8cCA/edit?usp=sharing"",""อุดรธานี!I376"")"),30344.0)</f>
        <v>30344</v>
      </c>
      <c r="J481" s="453">
        <f>IFERROR(__xludf.DUMMYFUNCTION("IMPORTRANGE(""https://docs.google.com/spreadsheets/d/1XL5vhW3sbDhbH9Cz0tuDiY8C3ctxq1tqvaCgkFb8cCA/edit?usp=sharing"",""อุดรธานี!J376"")"),0.0)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IFERROR(__xludf.DUMMYFUNCTION("IMPORTRANGE(""https://docs.google.com/spreadsheets/d/1XL5vhW3sbDhbH9Cz0tuDiY8C3ctxq1tqvaCgkFb8cCA/edit?usp=sharing"",""อุดรธานี!I377"")"),2438.0)</f>
        <v>2438</v>
      </c>
      <c r="J482" s="453">
        <f>IFERROR(__xludf.DUMMYFUNCTION("IMPORTRANGE(""https://docs.google.com/spreadsheets/d/1XL5vhW3sbDhbH9Cz0tuDiY8C3ctxq1tqvaCgkFb8cCA/edit?usp=sharing"",""อุดรธานี!J377"")"),0.0)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IFERROR(__xludf.DUMMYFUNCTION("IMPORTRANGE(""https://docs.google.com/spreadsheets/d/1XL5vhW3sbDhbH9Cz0tuDiY8C3ctxq1tqvaCgkFb8cCA/edit?usp=sharing"",""อุดรธานี!I378"")"),0.0)</f>
        <v>0</v>
      </c>
      <c r="J483" s="223">
        <f>IFERROR(__xludf.DUMMYFUNCTION("IMPORTRANGE(""https://docs.google.com/spreadsheets/d/1XL5vhW3sbDhbH9Cz0tuDiY8C3ctxq1tqvaCgkFb8cCA/edit?usp=sharing"",""อุดรธานี!J378"")"),0.0)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IFERROR(__xludf.DUMMYFUNCTION("IMPORTRANGE(""https://docs.google.com/spreadsheets/d/1XL5vhW3sbDhbH9Cz0tuDiY8C3ctxq1tqvaCgkFb8cCA/edit?usp=sharing"",""อุดรธานี!I379"")"),0.0)</f>
        <v>0</v>
      </c>
      <c r="J484" s="223">
        <f>IFERROR(__xludf.DUMMYFUNCTION("IMPORTRANGE(""https://docs.google.com/spreadsheets/d/1XL5vhW3sbDhbH9Cz0tuDiY8C3ctxq1tqvaCgkFb8cCA/edit?usp=sharing"",""อุดรธานี!J379"")"),0.0)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IFERROR(__xludf.DUMMYFUNCTION("IMPORTRANGE(""https://docs.google.com/spreadsheets/d/1XL5vhW3sbDhbH9Cz0tuDiY8C3ctxq1tqvaCgkFb8cCA/edit?usp=sharing"",""อุดรธานี!I380"")"),0.0)</f>
        <v>0</v>
      </c>
      <c r="J485" s="223">
        <f>IFERROR(__xludf.DUMMYFUNCTION("IMPORTRANGE(""https://docs.google.com/spreadsheets/d/1XL5vhW3sbDhbH9Cz0tuDiY8C3ctxq1tqvaCgkFb8cCA/edit?usp=sharing"",""อุดรธานี!J380"")"),0.0)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IFERROR(__xludf.DUMMYFUNCTION("IMPORTRANGE(""https://docs.google.com/spreadsheets/d/1XL5vhW3sbDhbH9Cz0tuDiY8C3ctxq1tqvaCgkFb8cCA/edit?usp=sharing"",""อุดรธานี!I381"")"),0.0)</f>
        <v>0</v>
      </c>
      <c r="J486" s="223">
        <f>IFERROR(__xludf.DUMMYFUNCTION("IMPORTRANGE(""https://docs.google.com/spreadsheets/d/1XL5vhW3sbDhbH9Cz0tuDiY8C3ctxq1tqvaCgkFb8cCA/edit?usp=sharing"",""อุดรธานี!J381"")"),0.0)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IFERROR(__xludf.DUMMYFUNCTION("IMPORTRANGE(""https://docs.google.com/spreadsheets/d/1XL5vhW3sbDhbH9Cz0tuDiY8C3ctxq1tqvaCgkFb8cCA/edit?usp=sharing"",""อุดรธานี!I382"")"),0.0)</f>
        <v>0</v>
      </c>
      <c r="J487" s="453">
        <f>IFERROR(__xludf.DUMMYFUNCTION("IMPORTRANGE(""https://docs.google.com/spreadsheets/d/1XL5vhW3sbDhbH9Cz0tuDiY8C3ctxq1tqvaCgkFb8cCA/edit?usp=sharing"",""อุดรธานี!J382"")"),0.0)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IFERROR(__xludf.DUMMYFUNCTION("IMPORTRANGE(""https://docs.google.com/spreadsheets/d/1XL5vhW3sbDhbH9Cz0tuDiY8C3ctxq1tqvaCgkFb8cCA/edit?usp=sharing"",""อุดรธานี!I383"")"),0.0)</f>
        <v>0</v>
      </c>
      <c r="J488" s="453">
        <f>IFERROR(__xludf.DUMMYFUNCTION("IMPORTRANGE(""https://docs.google.com/spreadsheets/d/1XL5vhW3sbDhbH9Cz0tuDiY8C3ctxq1tqvaCgkFb8cCA/edit?usp=sharing"",""อุดรธานี!J383"")"),0.0)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IFERROR(__xludf.DUMMYFUNCTION("IMPORTRANGE(""https://docs.google.com/spreadsheets/d/1XL5vhW3sbDhbH9Cz0tuDiY8C3ctxq1tqvaCgkFb8cCA/edit?usp=sharing"",""อุดรธานี!I384"")"),0.0)</f>
        <v>0</v>
      </c>
      <c r="J489" s="223">
        <f>IFERROR(__xludf.DUMMYFUNCTION("IMPORTRANGE(""https://docs.google.com/spreadsheets/d/1XL5vhW3sbDhbH9Cz0tuDiY8C3ctxq1tqvaCgkFb8cCA/edit?usp=sharing"",""อุดรธานี!J384"")"),0.0)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IFERROR(__xludf.DUMMYFUNCTION("IMPORTRANGE(""https://docs.google.com/spreadsheets/d/1XL5vhW3sbDhbH9Cz0tuDiY8C3ctxq1tqvaCgkFb8cCA/edit?usp=sharing"",""อุดรธานี!I385"")"),0.0)</f>
        <v>0</v>
      </c>
      <c r="J490" s="223">
        <f>IFERROR(__xludf.DUMMYFUNCTION("IMPORTRANGE(""https://docs.google.com/spreadsheets/d/1XL5vhW3sbDhbH9Cz0tuDiY8C3ctxq1tqvaCgkFb8cCA/edit?usp=sharing"",""อุดรธานี!J385"")"),0.0)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IFERROR(__xludf.DUMMYFUNCTION("IMPORTRANGE(""https://docs.google.com/spreadsheets/d/1XL5vhW3sbDhbH9Cz0tuDiY8C3ctxq1tqvaCgkFb8cCA/edit?usp=sharing"",""อุดรธานี!I386"")"),0.0)</f>
        <v>0</v>
      </c>
      <c r="J491" s="223">
        <f>IFERROR(__xludf.DUMMYFUNCTION("IMPORTRANGE(""https://docs.google.com/spreadsheets/d/1XL5vhW3sbDhbH9Cz0tuDiY8C3ctxq1tqvaCgkFb8cCA/edit?usp=sharing"",""อุดรธานี!J386"")"),0.0)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IFERROR(__xludf.DUMMYFUNCTION("IMPORTRANGE(""https://docs.google.com/spreadsheets/d/1XL5vhW3sbDhbH9Cz0tuDiY8C3ctxq1tqvaCgkFb8cCA/edit?usp=sharing"",""อุดรธานี!I387"")"),0.0)</f>
        <v>0</v>
      </c>
      <c r="J492" s="223">
        <f>IFERROR(__xludf.DUMMYFUNCTION("IMPORTRANGE(""https://docs.google.com/spreadsheets/d/1XL5vhW3sbDhbH9Cz0tuDiY8C3ctxq1tqvaCgkFb8cCA/edit?usp=sharing"",""อุดรธานี!J387"")"),0.0)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IFERROR(__xludf.DUMMYFUNCTION("IMPORTRANGE(""https://docs.google.com/spreadsheets/d/1XL5vhW3sbDhbH9Cz0tuDiY8C3ctxq1tqvaCgkFb8cCA/edit?usp=sharing"",""อุดรธานี!I388"")"),0.0)</f>
        <v>0</v>
      </c>
      <c r="J493" s="223">
        <f>IFERROR(__xludf.DUMMYFUNCTION("IMPORTRANGE(""https://docs.google.com/spreadsheets/d/1XL5vhW3sbDhbH9Cz0tuDiY8C3ctxq1tqvaCgkFb8cCA/edit?usp=sharing"",""อุดรธานี!J388"")"),0.0)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IFERROR(__xludf.DUMMYFUNCTION("IMPORTRANGE(""https://docs.google.com/spreadsheets/d/1XL5vhW3sbDhbH9Cz0tuDiY8C3ctxq1tqvaCgkFb8cCA/edit?usp=sharing"",""อุดรธานี!I389"")"),0.0)</f>
        <v>0</v>
      </c>
      <c r="J494" s="469">
        <f>IFERROR(__xludf.DUMMYFUNCTION("IMPORTRANGE(""https://docs.google.com/spreadsheets/d/1XL5vhW3sbDhbH9Cz0tuDiY8C3ctxq1tqvaCgkFb8cCA/edit?usp=sharing"",""อุดรธานี!J389"")"),0.0)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IFERROR(__xludf.DUMMYFUNCTION("IMPORTRANGE(""https://docs.google.com/spreadsheets/d/1XL5vhW3sbDhbH9Cz0tuDiY8C3ctxq1tqvaCgkFb8cCA/edit?usp=sharing"",""อุดรธานี!I390"")"),0.0)</f>
        <v>0</v>
      </c>
      <c r="J495" s="469">
        <f>IFERROR(__xludf.DUMMYFUNCTION("IMPORTRANGE(""https://docs.google.com/spreadsheets/d/1XL5vhW3sbDhbH9Cz0tuDiY8C3ctxq1tqvaCgkFb8cCA/edit?usp=sharing"",""อุดรธานี!J390"")"),0.0)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IFERROR(__xludf.DUMMYFUNCTION("IMPORTRANGE(""https://docs.google.com/spreadsheets/d/1XL5vhW3sbDhbH9Cz0tuDiY8C3ctxq1tqvaCgkFb8cCA/edit?usp=sharing"",""อุดรธานี!I391"")"),0.0)</f>
        <v>0</v>
      </c>
      <c r="J496" s="469">
        <f>IFERROR(__xludf.DUMMYFUNCTION("IMPORTRANGE(""https://docs.google.com/spreadsheets/d/1XL5vhW3sbDhbH9Cz0tuDiY8C3ctxq1tqvaCgkFb8cCA/edit?usp=sharing"",""อุดรธานี!J391"")"),0.0)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IFERROR(__xludf.DUMMYFUNCTION("IMPORTRANGE(""https://docs.google.com/spreadsheets/d/1XL5vhW3sbDhbH9Cz0tuDiY8C3ctxq1tqvaCgkFb8cCA/edit?usp=sharing"",""อุดรธานี!I392"")"),4197.0)</f>
        <v>4197</v>
      </c>
      <c r="J497" s="476">
        <f>IFERROR(__xludf.DUMMYFUNCTION("IMPORTRANGE(""https://docs.google.com/spreadsheets/d/1XL5vhW3sbDhbH9Cz0tuDiY8C3ctxq1tqvaCgkFb8cCA/edit?usp=sharing"",""อุดรธานี!J392"")"),0.0)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IFERROR(__xludf.DUMMYFUNCTION("IMPORTRANGE(""https://docs.google.com/spreadsheets/d/1XL5vhW3sbDhbH9Cz0tuDiY8C3ctxq1tqvaCgkFb8cCA/edit?usp=sharing"",""อุดรธานี!I393"")"),4197.0)</f>
        <v>4197</v>
      </c>
      <c r="J498" s="453">
        <f>IFERROR(__xludf.DUMMYFUNCTION("IMPORTRANGE(""https://docs.google.com/spreadsheets/d/1XL5vhW3sbDhbH9Cz0tuDiY8C3ctxq1tqvaCgkFb8cCA/edit?usp=sharing"",""อุดรธานี!J393"")"),0.0)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IFERROR(__xludf.DUMMYFUNCTION("IMPORTRANGE(""https://docs.google.com/spreadsheets/d/1XL5vhW3sbDhbH9Cz0tuDiY8C3ctxq1tqvaCgkFb8cCA/edit?usp=sharing"",""อุดรธานี!I394"")"),350.0)</f>
        <v>350</v>
      </c>
      <c r="J499" s="453">
        <f>IFERROR(__xludf.DUMMYFUNCTION("IMPORTRANGE(""https://docs.google.com/spreadsheets/d/1XL5vhW3sbDhbH9Cz0tuDiY8C3ctxq1tqvaCgkFb8cCA/edit?usp=sharing"",""อุดรธานี!J394"")"),0.0)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IFERROR(__xludf.DUMMYFUNCTION("IMPORTRANGE(""https://docs.google.com/spreadsheets/d/1XL5vhW3sbDhbH9Cz0tuDiY8C3ctxq1tqvaCgkFb8cCA/edit?usp=sharing"",""อุดรธานี!I395"")"),0.0)</f>
        <v>0</v>
      </c>
      <c r="J500" s="195">
        <f>IFERROR(__xludf.DUMMYFUNCTION("IMPORTRANGE(""https://docs.google.com/spreadsheets/d/1XL5vhW3sbDhbH9Cz0tuDiY8C3ctxq1tqvaCgkFb8cCA/edit?usp=sharing"",""อุดรธานี!J395"")"),0.0)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IFERROR(__xludf.DUMMYFUNCTION("IMPORTRANGE(""https://docs.google.com/spreadsheets/d/1XL5vhW3sbDhbH9Cz0tuDiY8C3ctxq1tqvaCgkFb8cCA/edit?usp=sharing"",""อุดรธานี!I396"")"),0.0)</f>
        <v>0</v>
      </c>
      <c r="J501" s="195">
        <f>IFERROR(__xludf.DUMMYFUNCTION("IMPORTRANGE(""https://docs.google.com/spreadsheets/d/1XL5vhW3sbDhbH9Cz0tuDiY8C3ctxq1tqvaCgkFb8cCA/edit?usp=sharing"",""อุดรธานี!J396"")"),0.0)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IFERROR(__xludf.DUMMYFUNCTION("IMPORTRANGE(""https://docs.google.com/spreadsheets/d/1XL5vhW3sbDhbH9Cz0tuDiY8C3ctxq1tqvaCgkFb8cCA/edit?usp=sharing"",""อุดรธานี!I397"")"),0.0)</f>
        <v>0</v>
      </c>
      <c r="J502" s="223">
        <f>IFERROR(__xludf.DUMMYFUNCTION("IMPORTRANGE(""https://docs.google.com/spreadsheets/d/1XL5vhW3sbDhbH9Cz0tuDiY8C3ctxq1tqvaCgkFb8cCA/edit?usp=sharing"",""อุดรธานี!J397"")"),0.0)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IFERROR(__xludf.DUMMYFUNCTION("IMPORTRANGE(""https://docs.google.com/spreadsheets/d/1XL5vhW3sbDhbH9Cz0tuDiY8C3ctxq1tqvaCgkFb8cCA/edit?usp=sharing"",""อุดรธานี!I398"")"),0.0)</f>
        <v>0</v>
      </c>
      <c r="J503" s="232">
        <f>IFERROR(__xludf.DUMMYFUNCTION("IMPORTRANGE(""https://docs.google.com/spreadsheets/d/1XL5vhW3sbDhbH9Cz0tuDiY8C3ctxq1tqvaCgkFb8cCA/edit?usp=sharing"",""อุดรธานี!J398"")"),0.0)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IFERROR(__xludf.DUMMYFUNCTION("IMPORTRANGE(""https://docs.google.com/spreadsheets/d/1XL5vhW3sbDhbH9Cz0tuDiY8C3ctxq1tqvaCgkFb8cCA/edit?usp=sharing"",""อุดรธานี!I399"")"),0.0)</f>
        <v>0</v>
      </c>
      <c r="J504" s="223">
        <f>IFERROR(__xludf.DUMMYFUNCTION("IMPORTRANGE(""https://docs.google.com/spreadsheets/d/1XL5vhW3sbDhbH9Cz0tuDiY8C3ctxq1tqvaCgkFb8cCA/edit?usp=sharing"",""อุดรธานี!J399"")"),0.0)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IFERROR(__xludf.DUMMYFUNCTION("IMPORTRANGE(""https://docs.google.com/spreadsheets/d/1XL5vhW3sbDhbH9Cz0tuDiY8C3ctxq1tqvaCgkFb8cCA/edit?usp=sharing"",""อุดรธานี!I400"")"),0.0)</f>
        <v>0</v>
      </c>
      <c r="J505" s="232">
        <f>IFERROR(__xludf.DUMMYFUNCTION("IMPORTRANGE(""https://docs.google.com/spreadsheets/d/1XL5vhW3sbDhbH9Cz0tuDiY8C3ctxq1tqvaCgkFb8cCA/edit?usp=sharing"",""อุดรธานี!J400"")"),0.0)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IFERROR(__xludf.DUMMYFUNCTION("IMPORTRANGE(""https://docs.google.com/spreadsheets/d/1XL5vhW3sbDhbH9Cz0tuDiY8C3ctxq1tqvaCgkFb8cCA/edit?usp=sharing"",""อุดรธานี!I401"")"),0.0)</f>
        <v>0</v>
      </c>
      <c r="J506" s="223">
        <f>IFERROR(__xludf.DUMMYFUNCTION("IMPORTRANGE(""https://docs.google.com/spreadsheets/d/1XL5vhW3sbDhbH9Cz0tuDiY8C3ctxq1tqvaCgkFb8cCA/edit?usp=sharing"",""อุดรธานี!J401"")"),0.0)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IFERROR(__xludf.DUMMYFUNCTION("IMPORTRANGE(""https://docs.google.com/spreadsheets/d/1XL5vhW3sbDhbH9Cz0tuDiY8C3ctxq1tqvaCgkFb8cCA/edit?usp=sharing"",""อุดรธานี!I402"")"),0.0)</f>
        <v>0</v>
      </c>
      <c r="J507" s="232">
        <f>IFERROR(__xludf.DUMMYFUNCTION("IMPORTRANGE(""https://docs.google.com/spreadsheets/d/1XL5vhW3sbDhbH9Cz0tuDiY8C3ctxq1tqvaCgkFb8cCA/edit?usp=sharing"",""อุดรธานี!J402"")"),0.0)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IFERROR(__xludf.DUMMYFUNCTION("IMPORTRANGE(""https://docs.google.com/spreadsheets/d/1XL5vhW3sbDhbH9Cz0tuDiY8C3ctxq1tqvaCgkFb8cCA/edit?usp=sharing"",""อุดรธานี!I403"")"),0.0)</f>
        <v>0</v>
      </c>
      <c r="J508" s="195">
        <f>IFERROR(__xludf.DUMMYFUNCTION("IMPORTRANGE(""https://docs.google.com/spreadsheets/d/1XL5vhW3sbDhbH9Cz0tuDiY8C3ctxq1tqvaCgkFb8cCA/edit?usp=sharing"",""อุดรธานี!J403"")"),0.0)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IFERROR(__xludf.DUMMYFUNCTION("IMPORTRANGE(""https://docs.google.com/spreadsheets/d/1XL5vhW3sbDhbH9Cz0tuDiY8C3ctxq1tqvaCgkFb8cCA/edit?usp=sharing"",""อุดรธานี!I404"")"),0.0)</f>
        <v>0</v>
      </c>
      <c r="J509" s="195">
        <f>IFERROR(__xludf.DUMMYFUNCTION("IMPORTRANGE(""https://docs.google.com/spreadsheets/d/1XL5vhW3sbDhbH9Cz0tuDiY8C3ctxq1tqvaCgkFb8cCA/edit?usp=sharing"",""อุดรธานี!J404"")"),0.0)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IFERROR(__xludf.DUMMYFUNCTION("IMPORTRANGE(""https://docs.google.com/spreadsheets/d/1XL5vhW3sbDhbH9Cz0tuDiY8C3ctxq1tqvaCgkFb8cCA/edit?usp=sharing"",""อุดรธานี!I405"")"),0.0)</f>
        <v>0</v>
      </c>
      <c r="J510" s="232">
        <f>IFERROR(__xludf.DUMMYFUNCTION("IMPORTRANGE(""https://docs.google.com/spreadsheets/d/1XL5vhW3sbDhbH9Cz0tuDiY8C3ctxq1tqvaCgkFb8cCA/edit?usp=sharing"",""อุดรธานี!J405"")"),0.0)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IFERROR(__xludf.DUMMYFUNCTION("IMPORTRANGE(""https://docs.google.com/spreadsheets/d/1XL5vhW3sbDhbH9Cz0tuDiY8C3ctxq1tqvaCgkFb8cCA/edit?usp=sharing"",""อุดรธานี!I406"")"),0.0)</f>
        <v>0</v>
      </c>
      <c r="J511" s="232">
        <f>IFERROR(__xludf.DUMMYFUNCTION("IMPORTRANGE(""https://docs.google.com/spreadsheets/d/1XL5vhW3sbDhbH9Cz0tuDiY8C3ctxq1tqvaCgkFb8cCA/edit?usp=sharing"",""อุดรธานี!J406"")"),0.0)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IFERROR(__xludf.DUMMYFUNCTION("IMPORTRANGE(""https://docs.google.com/spreadsheets/d/1XL5vhW3sbDhbH9Cz0tuDiY8C3ctxq1tqvaCgkFb8cCA/edit?usp=sharing"",""อุดรธานี!I407"")"),0.0)</f>
        <v>0</v>
      </c>
      <c r="J512" s="232">
        <f>IFERROR(__xludf.DUMMYFUNCTION("IMPORTRANGE(""https://docs.google.com/spreadsheets/d/1XL5vhW3sbDhbH9Cz0tuDiY8C3ctxq1tqvaCgkFb8cCA/edit?usp=sharing"",""อุดรธานี!J407"")"),0.0)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IFERROR(__xludf.DUMMYFUNCTION("IMPORTRANGE(""https://docs.google.com/spreadsheets/d/1XL5vhW3sbDhbH9Cz0tuDiY8C3ctxq1tqvaCgkFb8cCA/edit?usp=sharing"",""อุดรธานี!I408"")"),0.0)</f>
        <v>0</v>
      </c>
      <c r="J513" s="232">
        <f>IFERROR(__xludf.DUMMYFUNCTION("IMPORTRANGE(""https://docs.google.com/spreadsheets/d/1XL5vhW3sbDhbH9Cz0tuDiY8C3ctxq1tqvaCgkFb8cCA/edit?usp=sharing"",""อุดรธานี!J408"")"),0.0)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IFERROR(__xludf.DUMMYFUNCTION("IMPORTRANGE(""https://docs.google.com/spreadsheets/d/1XL5vhW3sbDhbH9Cz0tuDiY8C3ctxq1tqvaCgkFb8cCA/edit?usp=sharing"",""อุดรธานี!I409"")"),0.0)</f>
        <v>0</v>
      </c>
      <c r="J514" s="232">
        <f>IFERROR(__xludf.DUMMYFUNCTION("IMPORTRANGE(""https://docs.google.com/spreadsheets/d/1XL5vhW3sbDhbH9Cz0tuDiY8C3ctxq1tqvaCgkFb8cCA/edit?usp=sharing"",""อุดรธานี!J409"")"),0.0)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IFERROR(__xludf.DUMMYFUNCTION("IMPORTRANGE(""https://docs.google.com/spreadsheets/d/1XL5vhW3sbDhbH9Cz0tuDiY8C3ctxq1tqvaCgkFb8cCA/edit?usp=sharing"",""อุดรธานี!I410"")"),0.0)</f>
        <v>0</v>
      </c>
      <c r="J515" s="232">
        <f>IFERROR(__xludf.DUMMYFUNCTION("IMPORTRANGE(""https://docs.google.com/spreadsheets/d/1XL5vhW3sbDhbH9Cz0tuDiY8C3ctxq1tqvaCgkFb8cCA/edit?usp=sharing"",""อุดรธานี!J410"")"),0.0)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IFERROR(__xludf.DUMMYFUNCTION("IMPORTRANGE(""https://docs.google.com/spreadsheets/d/1XL5vhW3sbDhbH9Cz0tuDiY8C3ctxq1tqvaCgkFb8cCA/edit?usp=sharing"",""อุดรธานี!I411"")"),0.0)</f>
        <v>0</v>
      </c>
      <c r="J516" s="301">
        <f>IFERROR(__xludf.DUMMYFUNCTION("IMPORTRANGE(""https://docs.google.com/spreadsheets/d/1XL5vhW3sbDhbH9Cz0tuDiY8C3ctxq1tqvaCgkFb8cCA/edit?usp=sharing"",""อุดรธานี!J411"")"),0.0)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IFERROR(__xludf.DUMMYFUNCTION("IMPORTRANGE(""https://docs.google.com/spreadsheets/d/1XL5vhW3sbDhbH9Cz0tuDiY8C3ctxq1tqvaCgkFb8cCA/edit?usp=sharing"",""อุดรธานี!I412"")"),0.0)</f>
        <v>0</v>
      </c>
      <c r="J517" s="317">
        <f>IFERROR(__xludf.DUMMYFUNCTION("IMPORTRANGE(""https://docs.google.com/spreadsheets/d/1XL5vhW3sbDhbH9Cz0tuDiY8C3ctxq1tqvaCgkFb8cCA/edit?usp=sharing"",""อุดรธานี!J412"")"),0.0)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IFERROR(__xludf.DUMMYFUNCTION("IMPORTRANGE(""https://docs.google.com/spreadsheets/d/1XL5vhW3sbDhbH9Cz0tuDiY8C3ctxq1tqvaCgkFb8cCA/edit?usp=sharing"",""อุดรธานี!I413"")"),0.0)</f>
        <v>0</v>
      </c>
      <c r="J518" s="317">
        <f>IFERROR(__xludf.DUMMYFUNCTION("IMPORTRANGE(""https://docs.google.com/spreadsheets/d/1XL5vhW3sbDhbH9Cz0tuDiY8C3ctxq1tqvaCgkFb8cCA/edit?usp=sharing"",""อุดรธานี!J413"")"),0.0)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IFERROR(__xludf.DUMMYFUNCTION("IMPORTRANGE(""https://docs.google.com/spreadsheets/d/1XL5vhW3sbDhbH9Cz0tuDiY8C3ctxq1tqvaCgkFb8cCA/edit?usp=sharing"",""อุดรธานี!I414"")"),0.0)</f>
        <v>0</v>
      </c>
      <c r="J519" s="222">
        <f>IFERROR(__xludf.DUMMYFUNCTION("IMPORTRANGE(""https://docs.google.com/spreadsheets/d/1XL5vhW3sbDhbH9Cz0tuDiY8C3ctxq1tqvaCgkFb8cCA/edit?usp=sharing"",""อุดรธานี!J414"")"),0.0)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IFERROR(__xludf.DUMMYFUNCTION("IMPORTRANGE(""https://docs.google.com/spreadsheets/d/1XL5vhW3sbDhbH9Cz0tuDiY8C3ctxq1tqvaCgkFb8cCA/edit?usp=sharing"",""อุดรธานี!I415"")"),0.0)</f>
        <v>0</v>
      </c>
      <c r="J520" s="222">
        <f>IFERROR(__xludf.DUMMYFUNCTION("IMPORTRANGE(""https://docs.google.com/spreadsheets/d/1XL5vhW3sbDhbH9Cz0tuDiY8C3ctxq1tqvaCgkFb8cCA/edit?usp=sharing"",""อุดรธานี!J415"")"),0.0)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IFERROR(__xludf.DUMMYFUNCTION("IMPORTRANGE(""https://docs.google.com/spreadsheets/d/1XL5vhW3sbDhbH9Cz0tuDiY8C3ctxq1tqvaCgkFb8cCA/edit?usp=sharing"",""อุดรธานี!I416"")"),0.0)</f>
        <v>0</v>
      </c>
      <c r="J521" s="222">
        <f>IFERROR(__xludf.DUMMYFUNCTION("IMPORTRANGE(""https://docs.google.com/spreadsheets/d/1XL5vhW3sbDhbH9Cz0tuDiY8C3ctxq1tqvaCgkFb8cCA/edit?usp=sharing"",""อุดรธานี!J416"")"),0.0)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IFERROR(__xludf.DUMMYFUNCTION("IMPORTRANGE(""https://docs.google.com/spreadsheets/d/1XL5vhW3sbDhbH9Cz0tuDiY8C3ctxq1tqvaCgkFb8cCA/edit?usp=sharing"",""อุดรธานี!I417"")"),0.0)</f>
        <v>0</v>
      </c>
      <c r="J522" s="222">
        <f>IFERROR(__xludf.DUMMYFUNCTION("IMPORTRANGE(""https://docs.google.com/spreadsheets/d/1XL5vhW3sbDhbH9Cz0tuDiY8C3ctxq1tqvaCgkFb8cCA/edit?usp=sharing"",""อุดรธานี!J417"")"),0.0)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IFERROR(__xludf.DUMMYFUNCTION("IMPORTRANGE(""https://docs.google.com/spreadsheets/d/1XL5vhW3sbDhbH9Cz0tuDiY8C3ctxq1tqvaCgkFb8cCA/edit?usp=sharing"",""อุดรธานี!I418"")"),0.0)</f>
        <v>0</v>
      </c>
      <c r="J523" s="222">
        <f>IFERROR(__xludf.DUMMYFUNCTION("IMPORTRANGE(""https://docs.google.com/spreadsheets/d/1XL5vhW3sbDhbH9Cz0tuDiY8C3ctxq1tqvaCgkFb8cCA/edit?usp=sharing"",""อุดรธานี!J418"")"),0.0)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IFERROR(__xludf.DUMMYFUNCTION("IMPORTRANGE(""https://docs.google.com/spreadsheets/d/1XL5vhW3sbDhbH9Cz0tuDiY8C3ctxq1tqvaCgkFb8cCA/edit?usp=sharing"",""อุดรธานี!I419"")"),0.0)</f>
        <v>0</v>
      </c>
      <c r="J524" s="222">
        <f>IFERROR(__xludf.DUMMYFUNCTION("IMPORTRANGE(""https://docs.google.com/spreadsheets/d/1XL5vhW3sbDhbH9Cz0tuDiY8C3ctxq1tqvaCgkFb8cCA/edit?usp=sharing"",""อุดรธานี!J419"")"),0.0)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IFERROR(__xludf.DUMMYFUNCTION("IMPORTRANGE(""https://docs.google.com/spreadsheets/d/1XL5vhW3sbDhbH9Cz0tuDiY8C3ctxq1tqvaCgkFb8cCA/edit?usp=sharing"",""อุดรธานี!I420"")"),0.0)</f>
        <v>0</v>
      </c>
      <c r="J525" s="317">
        <f>IFERROR(__xludf.DUMMYFUNCTION("IMPORTRANGE(""https://docs.google.com/spreadsheets/d/1XL5vhW3sbDhbH9Cz0tuDiY8C3ctxq1tqvaCgkFb8cCA/edit?usp=sharing"",""อุดรธานี!J420"")"),0.0)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IFERROR(__xludf.DUMMYFUNCTION("IMPORTRANGE(""https://docs.google.com/spreadsheets/d/1XL5vhW3sbDhbH9Cz0tuDiY8C3ctxq1tqvaCgkFb8cCA/edit?usp=sharing"",""อุดรธานี!I421"")"),0.0)</f>
        <v>0</v>
      </c>
      <c r="J526" s="317">
        <f>IFERROR(__xludf.DUMMYFUNCTION("IMPORTRANGE(""https://docs.google.com/spreadsheets/d/1XL5vhW3sbDhbH9Cz0tuDiY8C3ctxq1tqvaCgkFb8cCA/edit?usp=sharing"",""อุดรธานี!J421"")"),0.0)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IFERROR(__xludf.DUMMYFUNCTION("IMPORTRANGE(""https://docs.google.com/spreadsheets/d/1XL5vhW3sbDhbH9Cz0tuDiY8C3ctxq1tqvaCgkFb8cCA/edit?usp=sharing"",""อุดรธานี!I422"")"),0.0)</f>
        <v>0</v>
      </c>
      <c r="J527" s="232">
        <f>IFERROR(__xludf.DUMMYFUNCTION("IMPORTRANGE(""https://docs.google.com/spreadsheets/d/1XL5vhW3sbDhbH9Cz0tuDiY8C3ctxq1tqvaCgkFb8cCA/edit?usp=sharing"",""อุดรธานี!J422"")"),0.0)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IFERROR(__xludf.DUMMYFUNCTION("IMPORTRANGE(""https://docs.google.com/spreadsheets/d/1XL5vhW3sbDhbH9Cz0tuDiY8C3ctxq1tqvaCgkFb8cCA/edit?usp=sharing"",""อุดรธานี!I423"")"),0.0)</f>
        <v>0</v>
      </c>
      <c r="J528" s="232">
        <f>IFERROR(__xludf.DUMMYFUNCTION("IMPORTRANGE(""https://docs.google.com/spreadsheets/d/1XL5vhW3sbDhbH9Cz0tuDiY8C3ctxq1tqvaCgkFb8cCA/edit?usp=sharing"",""อุดรธานี!J423"")"),0.0)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IFERROR(__xludf.DUMMYFUNCTION("IMPORTRANGE(""https://docs.google.com/spreadsheets/d/1XL5vhW3sbDhbH9Cz0tuDiY8C3ctxq1tqvaCgkFb8cCA/edit?usp=sharing"",""อุดรธานี!I424"")"),0.0)</f>
        <v>0</v>
      </c>
      <c r="J529" s="232">
        <f>IFERROR(__xludf.DUMMYFUNCTION("IMPORTRANGE(""https://docs.google.com/spreadsheets/d/1XL5vhW3sbDhbH9Cz0tuDiY8C3ctxq1tqvaCgkFb8cCA/edit?usp=sharing"",""อุดรธานี!J424"")"),0.0)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IFERROR(__xludf.DUMMYFUNCTION("IMPORTRANGE(""https://docs.google.com/spreadsheets/d/1XL5vhW3sbDhbH9Cz0tuDiY8C3ctxq1tqvaCgkFb8cCA/edit?usp=sharing"",""อุดรธานี!I425"")"),0.0)</f>
        <v>0</v>
      </c>
      <c r="J530" s="232">
        <f>IFERROR(__xludf.DUMMYFUNCTION("IMPORTRANGE(""https://docs.google.com/spreadsheets/d/1XL5vhW3sbDhbH9Cz0tuDiY8C3ctxq1tqvaCgkFb8cCA/edit?usp=sharing"",""อุดรธานี!J425"")"),0.0)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IFERROR(__xludf.DUMMYFUNCTION("IMPORTRANGE(""https://docs.google.com/spreadsheets/d/1XL5vhW3sbDhbH9Cz0tuDiY8C3ctxq1tqvaCgkFb8cCA/edit?usp=sharing"",""อุดรธานี!I426"")"),0.0)</f>
        <v>0</v>
      </c>
      <c r="J531" s="232">
        <f>IFERROR(__xludf.DUMMYFUNCTION("IMPORTRANGE(""https://docs.google.com/spreadsheets/d/1XL5vhW3sbDhbH9Cz0tuDiY8C3ctxq1tqvaCgkFb8cCA/edit?usp=sharing"",""อุดรธานี!J426"")"),0.0)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IFERROR(__xludf.DUMMYFUNCTION("IMPORTRANGE(""https://docs.google.com/spreadsheets/d/1XL5vhW3sbDhbH9Cz0tuDiY8C3ctxq1tqvaCgkFb8cCA/edit?usp=sharing"",""อุดรธานี!I427"")"),0.0)</f>
        <v>0</v>
      </c>
      <c r="J532" s="499">
        <f>IFERROR(__xludf.DUMMYFUNCTION("IMPORTRANGE(""https://docs.google.com/spreadsheets/d/1XL5vhW3sbDhbH9Cz0tuDiY8C3ctxq1tqvaCgkFb8cCA/edit?usp=sharing"",""อุดรธานี!J427"")"),0.0)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IFERROR(__xludf.DUMMYFUNCTION("IMPORTRANGE(""https://docs.google.com/spreadsheets/d/1XL5vhW3sbDhbH9Cz0tuDiY8C3ctxq1tqvaCgkFb8cCA/edit?usp=sharing"",""อุดรธานี!I428"")"),25.0)</f>
        <v>25</v>
      </c>
      <c r="J533" s="443">
        <f>IFERROR(__xludf.DUMMYFUNCTION("IMPORTRANGE(""https://docs.google.com/spreadsheets/d/1XL5vhW3sbDhbH9Cz0tuDiY8C3ctxq1tqvaCgkFb8cCA/edit?usp=sharing"",""อุดรธานี!J428"")"),25.0)</f>
        <v>25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IFERROR(__xludf.DUMMYFUNCTION("IMPORTRANGE(""https://docs.google.com/spreadsheets/d/1XL5vhW3sbDhbH9Cz0tuDiY8C3ctxq1tqvaCgkFb8cCA/edit?usp=sharing"",""อุดรธานี!L428"")"),36890.0)</f>
        <v>36890</v>
      </c>
      <c r="M533" s="445"/>
      <c r="N533" s="445">
        <f>IFERROR(__xludf.DUMMYFUNCTION("IMPORTRANGE(""https://docs.google.com/spreadsheets/d/1XL5vhW3sbDhbH9Cz0tuDiY8C3ctxq1tqvaCgkFb8cCA/edit?usp=sharing"",""อุดรธานี!M428"")"),29549.0)</f>
        <v>29549</v>
      </c>
      <c r="O533" s="445">
        <f t="shared" ref="O533:O537" si="119">+IF(L533&gt;0,N533*100/L533,0)</f>
        <v>80.10029818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IFERROR(__xludf.DUMMYFUNCTION("IMPORTRANGE(""https://docs.google.com/spreadsheets/d/1XL5vhW3sbDhbH9Cz0tuDiY8C3ctxq1tqvaCgkFb8cCA/edit?usp=sharing"",""อุดรธานี!L429"")"),0.0)</f>
        <v>0</v>
      </c>
      <c r="M534" s="197"/>
      <c r="N534" s="203">
        <f>IFERROR(__xludf.DUMMYFUNCTION("IMPORTRANGE(""https://docs.google.com/spreadsheets/d/1XL5vhW3sbDhbH9Cz0tuDiY8C3ctxq1tqvaCgkFb8cCA/edit?usp=sharing"",""อุดรธานี!M429"")"),0.0)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IFERROR(__xludf.DUMMYFUNCTION("IMPORTRANGE(""https://docs.google.com/spreadsheets/d/1XL5vhW3sbDhbH9Cz0tuDiY8C3ctxq1tqvaCgkFb8cCA/edit?usp=sharing"",""อุดรธานี!L430"")"),36890.0)</f>
        <v>36890</v>
      </c>
      <c r="M535" s="198"/>
      <c r="N535" s="203">
        <f>IFERROR(__xludf.DUMMYFUNCTION("IMPORTRANGE(""https://docs.google.com/spreadsheets/d/1XL5vhW3sbDhbH9Cz0tuDiY8C3ctxq1tqvaCgkFb8cCA/edit?usp=sharing"",""อุดรธานี!M430"")"),29549.0)</f>
        <v>29549</v>
      </c>
      <c r="O535" s="203">
        <f t="shared" si="119"/>
        <v>80.10029818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IFERROR(__xludf.DUMMYFUNCTION("IMPORTRANGE(""https://docs.google.com/spreadsheets/d/1XL5vhW3sbDhbH9Cz0tuDiY8C3ctxq1tqvaCgkFb8cCA/edit?usp=sharing"",""อุดรธานี!L431"")"),0.0)</f>
        <v>0</v>
      </c>
      <c r="M536" s="203"/>
      <c r="N536" s="203">
        <f>IFERROR(__xludf.DUMMYFUNCTION("IMPORTRANGE(""https://docs.google.com/spreadsheets/d/1XL5vhW3sbDhbH9Cz0tuDiY8C3ctxq1tqvaCgkFb8cCA/edit?usp=sharing"",""อุดรธานี!M431"")"),0.0)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IFERROR(__xludf.DUMMYFUNCTION("IMPORTRANGE(""https://docs.google.com/spreadsheets/d/1XL5vhW3sbDhbH9Cz0tuDiY8C3ctxq1tqvaCgkFb8cCA/edit?usp=sharing"",""อุดรธานี!L432"")"),36890.0)</f>
        <v>36890</v>
      </c>
      <c r="M537" s="203"/>
      <c r="N537" s="203">
        <f>IFERROR(__xludf.DUMMYFUNCTION("IMPORTRANGE(""https://docs.google.com/spreadsheets/d/1XL5vhW3sbDhbH9Cz0tuDiY8C3ctxq1tqvaCgkFb8cCA/edit?usp=sharing"",""อุดรธานี!M432"")"),29549.0)</f>
        <v>29549</v>
      </c>
      <c r="O537" s="203">
        <f t="shared" si="119"/>
        <v>80.10029818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IFERROR(__xludf.DUMMYFUNCTION("IMPORTRANGE(""https://docs.google.com/spreadsheets/d/1XL5vhW3sbDhbH9Cz0tuDiY8C3ctxq1tqvaCgkFb8cCA/edit?usp=sharing"",""อุดรธานี!M433"")"),16905.0)</f>
        <v>16905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IFERROR(__xludf.DUMMYFUNCTION("IMPORTRANGE(""https://docs.google.com/spreadsheets/d/1XL5vhW3sbDhbH9Cz0tuDiY8C3ctxq1tqvaCgkFb8cCA/edit?usp=sharing"",""อุดรธานี!M434"")"),0.0)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IFERROR(__xludf.DUMMYFUNCTION("IMPORTRANGE(""https://docs.google.com/spreadsheets/d/1XL5vhW3sbDhbH9Cz0tuDiY8C3ctxq1tqvaCgkFb8cCA/edit?usp=sharing"",""อุดรธานี!M435"")"),0.0)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IFERROR(__xludf.DUMMYFUNCTION("IMPORTRANGE(""https://docs.google.com/spreadsheets/d/1XL5vhW3sbDhbH9Cz0tuDiY8C3ctxq1tqvaCgkFb8cCA/edit?usp=sharing"",""อุดรธานี!M436"")"),12644.0)</f>
        <v>12644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IFERROR(__xludf.DUMMYFUNCTION("IMPORTRANGE(""https://docs.google.com/spreadsheets/d/1XL5vhW3sbDhbH9Cz0tuDiY8C3ctxq1tqvaCgkFb8cCA/edit?usp=sharing"",""อุดรธานี!J438"")"),0.0)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IFERROR(__xludf.DUMMYFUNCTION("IMPORTRANGE(""https://docs.google.com/spreadsheets/d/1XL5vhW3sbDhbH9Cz0tuDiY8C3ctxq1tqvaCgkFb8cCA/edit?usp=sharing"",""อุดรธานี!J439"")"),1.0)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IFERROR(__xludf.DUMMYFUNCTION("IMPORTRANGE(""https://docs.google.com/spreadsheets/d/1XL5vhW3sbDhbH9Cz0tuDiY8C3ctxq1tqvaCgkFb8cCA/edit?usp=sharing"",""อุดรธานี!J440"")"),1.0)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IFERROR(__xludf.DUMMYFUNCTION("IMPORTRANGE(""https://docs.google.com/spreadsheets/d/1XL5vhW3sbDhbH9Cz0tuDiY8C3ctxq1tqvaCgkFb8cCA/edit?usp=sharing"",""อุดรธานี!J441"")"),1.0)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IFERROR(__xludf.DUMMYFUNCTION("IMPORTRANGE(""https://docs.google.com/spreadsheets/d/1XL5vhW3sbDhbH9Cz0tuDiY8C3ctxq1tqvaCgkFb8cCA/edit?usp=sharing"",""อุดรธานี!I442"")"),25.0)</f>
        <v>25</v>
      </c>
      <c r="J547" s="223">
        <f>IFERROR(__xludf.DUMMYFUNCTION("IMPORTRANGE(""https://docs.google.com/spreadsheets/d/1XL5vhW3sbDhbH9Cz0tuDiY8C3ctxq1tqvaCgkFb8cCA/edit?usp=sharing"",""อุดรธานี!J442"")"),25.0)</f>
        <v>25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IFERROR(__xludf.DUMMYFUNCTION("IMPORTRANGE(""https://docs.google.com/spreadsheets/d/1XL5vhW3sbDhbH9Cz0tuDiY8C3ctxq1tqvaCgkFb8cCA/edit?usp=sharing"",""อุดรธานี!J166"")"),0.0)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IFERROR(__xludf.DUMMYFUNCTION("IMPORTRANGE(""https://docs.google.com/spreadsheets/d/1XL5vhW3sbDhbH9Cz0tuDiY8C3ctxq1tqvaCgkFb8cCA/edit?usp=sharing"",""อุดรธานี!J444"")"),0.0)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IFERROR(__xludf.DUMMYFUNCTION("IMPORTRANGE(""https://docs.google.com/spreadsheets/d/1XL5vhW3sbDhbH9Cz0tuDiY8C3ctxq1tqvaCgkFb8cCA/edit?usp=sharing"",""อุดรธานี!J445"")"),0.0)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IFERROR(__xludf.DUMMYFUNCTION("IMPORTRANGE(""https://docs.google.com/spreadsheets/d/1XL5vhW3sbDhbH9Cz0tuDiY8C3ctxq1tqvaCgkFb8cCA/edit?usp=sharing"",""อุดรธานี!I446"")"),0.0)</f>
        <v>0</v>
      </c>
      <c r="J551" s="443">
        <f>IFERROR(__xludf.DUMMYFUNCTION("IMPORTRANGE(""https://docs.google.com/spreadsheets/d/1XL5vhW3sbDhbH9Cz0tuDiY8C3ctxq1tqvaCgkFb8cCA/edit?usp=sharing"",""อุดรธานี!J446"")"),0.0)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IFERROR(__xludf.DUMMYFUNCTION("IMPORTRANGE(""https://docs.google.com/spreadsheets/d/1XL5vhW3sbDhbH9Cz0tuDiY8C3ctxq1tqvaCgkFb8cCA/edit?usp=sharing"",""อุดรธานี!L446"")"),0.0)</f>
        <v>0</v>
      </c>
      <c r="M551" s="445"/>
      <c r="N551" s="445">
        <f>IFERROR(__xludf.DUMMYFUNCTION("IMPORTRANGE(""https://docs.google.com/spreadsheets/d/1XL5vhW3sbDhbH9Cz0tuDiY8C3ctxq1tqvaCgkFb8cCA/edit?usp=sharing"",""อุดรธานี!M446"")"),0.0)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IFERROR(__xludf.DUMMYFUNCTION("IMPORTRANGE(""https://docs.google.com/spreadsheets/d/1XL5vhW3sbDhbH9Cz0tuDiY8C3ctxq1tqvaCgkFb8cCA/edit?usp=sharing"",""อุดรธานี!L447"")"),0.0)</f>
        <v>0</v>
      </c>
      <c r="M552" s="197"/>
      <c r="N552" s="203">
        <f>IFERROR(__xludf.DUMMYFUNCTION("IMPORTRANGE(""https://docs.google.com/spreadsheets/d/1XL5vhW3sbDhbH9Cz0tuDiY8C3ctxq1tqvaCgkFb8cCA/edit?usp=sharing"",""อุดรธานี!M447"")"),0.0)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IFERROR(__xludf.DUMMYFUNCTION("IMPORTRANGE(""https://docs.google.com/spreadsheets/d/1XL5vhW3sbDhbH9Cz0tuDiY8C3ctxq1tqvaCgkFb8cCA/edit?usp=sharing"",""อุดรธานี!L448"")"),0.0)</f>
        <v>0</v>
      </c>
      <c r="M553" s="198"/>
      <c r="N553" s="203">
        <f>IFERROR(__xludf.DUMMYFUNCTION("IMPORTRANGE(""https://docs.google.com/spreadsheets/d/1XL5vhW3sbDhbH9Cz0tuDiY8C3ctxq1tqvaCgkFb8cCA/edit?usp=sharing"",""อุดรธานี!M448"")"),0.0)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IFERROR(__xludf.DUMMYFUNCTION("IMPORTRANGE(""https://docs.google.com/spreadsheets/d/1XL5vhW3sbDhbH9Cz0tuDiY8C3ctxq1tqvaCgkFb8cCA/edit?usp=sharing"",""อุดรธานี!L449"")"),0.0)</f>
        <v>0</v>
      </c>
      <c r="M554" s="203"/>
      <c r="N554" s="203">
        <f>IFERROR(__xludf.DUMMYFUNCTION("IMPORTRANGE(""https://docs.google.com/spreadsheets/d/1XL5vhW3sbDhbH9Cz0tuDiY8C3ctxq1tqvaCgkFb8cCA/edit?usp=sharing"",""อุดรธานี!M449"")"),0.0)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IFERROR(__xludf.DUMMYFUNCTION("IMPORTRANGE(""https://docs.google.com/spreadsheets/d/1XL5vhW3sbDhbH9Cz0tuDiY8C3ctxq1tqvaCgkFb8cCA/edit?usp=sharing"",""อุดรธานี!L450"")"),0.0)</f>
        <v>0</v>
      </c>
      <c r="M555" s="203"/>
      <c r="N555" s="203">
        <f>IFERROR(__xludf.DUMMYFUNCTION("IMPORTRANGE(""https://docs.google.com/spreadsheets/d/1XL5vhW3sbDhbH9Cz0tuDiY8C3ctxq1tqvaCgkFb8cCA/edit?usp=sharing"",""อุดรธานี!M450"")"),0.0)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IFERROR(__xludf.DUMMYFUNCTION("IMPORTRANGE(""https://docs.google.com/spreadsheets/d/1XL5vhW3sbDhbH9Cz0tuDiY8C3ctxq1tqvaCgkFb8cCA/edit?usp=sharing"",""อุดรธานี!M451"")"),0.0)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IFERROR(__xludf.DUMMYFUNCTION("IMPORTRANGE(""https://docs.google.com/spreadsheets/d/1XL5vhW3sbDhbH9Cz0tuDiY8C3ctxq1tqvaCgkFb8cCA/edit?usp=sharing"",""อุดรธานี!M452"")"),0.0)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IFERROR(__xludf.DUMMYFUNCTION("IMPORTRANGE(""https://docs.google.com/spreadsheets/d/1XL5vhW3sbDhbH9Cz0tuDiY8C3ctxq1tqvaCgkFb8cCA/edit?usp=sharing"",""อุดรธานี!M453"")"),0.0)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IFERROR(__xludf.DUMMYFUNCTION("IMPORTRANGE(""https://docs.google.com/spreadsheets/d/1XL5vhW3sbDhbH9Cz0tuDiY8C3ctxq1tqvaCgkFb8cCA/edit?usp=sharing"",""อุดรธานี!M454"")"),0.0)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IFERROR(__xludf.DUMMYFUNCTION("IMPORTRANGE(""https://docs.google.com/spreadsheets/d/1XL5vhW3sbDhbH9Cz0tuDiY8C3ctxq1tqvaCgkFb8cCA/edit?usp=sharing"",""อุดรธานี!I455"")"),0.0)</f>
        <v>0</v>
      </c>
      <c r="J560" s="195">
        <f>IFERROR(__xludf.DUMMYFUNCTION("IMPORTRANGE(""https://docs.google.com/spreadsheets/d/1XL5vhW3sbDhbH9Cz0tuDiY8C3ctxq1tqvaCgkFb8cCA/edit?usp=sharing"",""อุดรธานี!J455"")"),0.0)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IFERROR(__xludf.DUMMYFUNCTION("IMPORTRANGE(""https://docs.google.com/spreadsheets/d/1XL5vhW3sbDhbH9Cz0tuDiY8C3ctxq1tqvaCgkFb8cCA/edit?usp=sharing"",""อุดรธานี!I456"")"),0.0)</f>
        <v>0</v>
      </c>
      <c r="J561" s="238">
        <f>IFERROR(__xludf.DUMMYFUNCTION("IMPORTRANGE(""https://docs.google.com/spreadsheets/d/1XL5vhW3sbDhbH9Cz0tuDiY8C3ctxq1tqvaCgkFb8cCA/edit?usp=sharing"",""อุดรธานี!J456"")"),0.0)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IFERROR(__xludf.DUMMYFUNCTION("IMPORTRANGE(""https://docs.google.com/spreadsheets/d/1XL5vhW3sbDhbH9Cz0tuDiY8C3ctxq1tqvaCgkFb8cCA/edit?usp=sharing"",""อุดรธานี!I457"")"),"")</f>
        <v/>
      </c>
      <c r="J562" s="238" t="str">
        <f>IFERROR(__xludf.DUMMYFUNCTION("IMPORTRANGE(""https://docs.google.com/spreadsheets/d/1XL5vhW3sbDhbH9Cz0tuDiY8C3ctxq1tqvaCgkFb8cCA/edit?usp=sharing"",""อุดรธานี!J457"")"),"")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IFERROR(__xludf.DUMMYFUNCTION("IMPORTRANGE(""https://docs.google.com/spreadsheets/d/1XL5vhW3sbDhbH9Cz0tuDiY8C3ctxq1tqvaCgkFb8cCA/edit?usp=sharing"",""อุดรธานี!I458"")"),"")</f>
        <v/>
      </c>
      <c r="J563" s="222" t="str">
        <f>IFERROR(__xludf.DUMMYFUNCTION("IMPORTRANGE(""https://docs.google.com/spreadsheets/d/1XL5vhW3sbDhbH9Cz0tuDiY8C3ctxq1tqvaCgkFb8cCA/edit?usp=sharing"",""อุดรธานี!J458"")"),"")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IFERROR(__xludf.DUMMYFUNCTION("IMPORTRANGE(""https://docs.google.com/spreadsheets/d/1XL5vhW3sbDhbH9Cz0tuDiY8C3ctxq1tqvaCgkFb8cCA/edit?usp=sharing"",""อุดรธานี!I459"")"),5200.0)</f>
        <v>5200</v>
      </c>
      <c r="J564" s="404">
        <f>IFERROR(__xludf.DUMMYFUNCTION("IMPORTRANGE(""https://docs.google.com/spreadsheets/d/1XL5vhW3sbDhbH9Cz0tuDiY8C3ctxq1tqvaCgkFb8cCA/edit?usp=sharing"",""อุดรธานี!J459"")"),4495.0)</f>
        <v>4495</v>
      </c>
      <c r="K564" s="405">
        <f t="shared" si="122"/>
        <v>86.44230769</v>
      </c>
      <c r="L564" s="406">
        <f>IFERROR(__xludf.DUMMYFUNCTION("IMPORTRANGE(""https://docs.google.com/spreadsheets/d/1XL5vhW3sbDhbH9Cz0tuDiY8C3ctxq1tqvaCgkFb8cCA/edit?usp=sharing"",""อุดรธานี!L459"")"),172800.0)</f>
        <v>172800</v>
      </c>
      <c r="M564" s="406"/>
      <c r="N564" s="406">
        <f>IFERROR(__xludf.DUMMYFUNCTION("IMPORTRANGE(""https://docs.google.com/spreadsheets/d/1XL5vhW3sbDhbH9Cz0tuDiY8C3ctxq1tqvaCgkFb8cCA/edit?usp=sharing"",""อุดรธานี!M459"")"),20580.64)</f>
        <v>20580.64</v>
      </c>
      <c r="O564" s="406">
        <f t="shared" ref="O564:O568" si="123">+IF(L564&gt;0,N564*100/L564,0)</f>
        <v>11.91009259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IFERROR(__xludf.DUMMYFUNCTION("IMPORTRANGE(""https://docs.google.com/spreadsheets/d/1XL5vhW3sbDhbH9Cz0tuDiY8C3ctxq1tqvaCgkFb8cCA/edit?usp=sharing"",""อุดรธานี!L460"")"),0.0)</f>
        <v>0</v>
      </c>
      <c r="M565" s="197"/>
      <c r="N565" s="203">
        <f>IFERROR(__xludf.DUMMYFUNCTION("IMPORTRANGE(""https://docs.google.com/spreadsheets/d/1XL5vhW3sbDhbH9Cz0tuDiY8C3ctxq1tqvaCgkFb8cCA/edit?usp=sharing"",""อุดรธานี!M460"")"),0.0)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IFERROR(__xludf.DUMMYFUNCTION("IMPORTRANGE(""https://docs.google.com/spreadsheets/d/1XL5vhW3sbDhbH9Cz0tuDiY8C3ctxq1tqvaCgkFb8cCA/edit?usp=sharing"",""อุดรธานี!L461"")"),172800.0)</f>
        <v>172800</v>
      </c>
      <c r="M566" s="198"/>
      <c r="N566" s="203">
        <f>IFERROR(__xludf.DUMMYFUNCTION("IMPORTRANGE(""https://docs.google.com/spreadsheets/d/1XL5vhW3sbDhbH9Cz0tuDiY8C3ctxq1tqvaCgkFb8cCA/edit?usp=sharing"",""อุดรธานี!M461"")"),20580.64)</f>
        <v>20580.64</v>
      </c>
      <c r="O566" s="203">
        <f t="shared" si="123"/>
        <v>11.91009259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IFERROR(__xludf.DUMMYFUNCTION("IMPORTRANGE(""https://docs.google.com/spreadsheets/d/1XL5vhW3sbDhbH9Cz0tuDiY8C3ctxq1tqvaCgkFb8cCA/edit?usp=sharing"",""อุดรธานี!L462"")"),0.0)</f>
        <v>0</v>
      </c>
      <c r="M567" s="203"/>
      <c r="N567" s="203">
        <f>IFERROR(__xludf.DUMMYFUNCTION("IMPORTRANGE(""https://docs.google.com/spreadsheets/d/1XL5vhW3sbDhbH9Cz0tuDiY8C3ctxq1tqvaCgkFb8cCA/edit?usp=sharing"",""อุดรธานี!M462"")"),0.0)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IFERROR(__xludf.DUMMYFUNCTION("IMPORTRANGE(""https://docs.google.com/spreadsheets/d/1XL5vhW3sbDhbH9Cz0tuDiY8C3ctxq1tqvaCgkFb8cCA/edit?usp=sharing"",""อุดรธานี!L463"")"),172800.0)</f>
        <v>172800</v>
      </c>
      <c r="M568" s="203"/>
      <c r="N568" s="203">
        <f>IFERROR(__xludf.DUMMYFUNCTION("IMPORTRANGE(""https://docs.google.com/spreadsheets/d/1XL5vhW3sbDhbH9Cz0tuDiY8C3ctxq1tqvaCgkFb8cCA/edit?usp=sharing"",""อุดรธานี!M463"")"),20580.64)</f>
        <v>20580.64</v>
      </c>
      <c r="O568" s="203">
        <f t="shared" si="123"/>
        <v>11.91009259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IFERROR(__xludf.DUMMYFUNCTION("IMPORTRANGE(""https://docs.google.com/spreadsheets/d/1XL5vhW3sbDhbH9Cz0tuDiY8C3ctxq1tqvaCgkFb8cCA/edit?usp=sharing"",""อุดรธานี!M464"")"),0.0)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IFERROR(__xludf.DUMMYFUNCTION("IMPORTRANGE(""https://docs.google.com/spreadsheets/d/1XL5vhW3sbDhbH9Cz0tuDiY8C3ctxq1tqvaCgkFb8cCA/edit?usp=sharing"",""อุดรธานี!M465"")"),0.0)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IFERROR(__xludf.DUMMYFUNCTION("IMPORTRANGE(""https://docs.google.com/spreadsheets/d/1XL5vhW3sbDhbH9Cz0tuDiY8C3ctxq1tqvaCgkFb8cCA/edit?usp=sharing"",""อุดรธานี!M466"")"),20580.64)</f>
        <v>20580.64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IFERROR(__xludf.DUMMYFUNCTION("IMPORTRANGE(""https://docs.google.com/spreadsheets/d/1XL5vhW3sbDhbH9Cz0tuDiY8C3ctxq1tqvaCgkFb8cCA/edit?usp=sharing"",""อุดรธานี!M467"")"),0.0)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IFERROR(__xludf.DUMMYFUNCTION("IMPORTRANGE(""https://docs.google.com/spreadsheets/d/1XL5vhW3sbDhbH9Cz0tuDiY8C3ctxq1tqvaCgkFb8cCA/edit?usp=sharing"",""อุดรธานี!I468"")"),5200.0)</f>
        <v>5200</v>
      </c>
      <c r="J573" s="453">
        <f>IFERROR(__xludf.DUMMYFUNCTION("IMPORTRANGE(""https://docs.google.com/spreadsheets/d/1XL5vhW3sbDhbH9Cz0tuDiY8C3ctxq1tqvaCgkFb8cCA/edit?usp=sharing"",""อุดรธานี!J468"")"),4495.0)</f>
        <v>4495</v>
      </c>
      <c r="K573" s="236">
        <f>IF(I573&gt;0,J573*100/I573,0)</f>
        <v>86.44230769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IFERROR(__xludf.DUMMYFUNCTION("IMPORTRANGE(""https://docs.google.com/spreadsheets/d/1XL5vhW3sbDhbH9Cz0tuDiY8C3ctxq1tqvaCgkFb8cCA/edit?usp=sharing"",""อุดรธานี!I470"")"),0.0)</f>
        <v>0</v>
      </c>
      <c r="J575" s="232">
        <f>IFERROR(__xludf.DUMMYFUNCTION("IMPORTRANGE(""https://docs.google.com/spreadsheets/d/1XL5vhW3sbDhbH9Cz0tuDiY8C3ctxq1tqvaCgkFb8cCA/edit?usp=sharing"",""อุดรธานี!J470"")"),0.0)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IFERROR(__xludf.DUMMYFUNCTION("IMPORTRANGE(""https://docs.google.com/spreadsheets/d/1XL5vhW3sbDhbH9Cz0tuDiY8C3ctxq1tqvaCgkFb8cCA/edit?usp=sharing"",""อุดรธานี!I471"")"),0.0)</f>
        <v>0</v>
      </c>
      <c r="J576" s="232">
        <f>IFERROR(__xludf.DUMMYFUNCTION("IMPORTRANGE(""https://docs.google.com/spreadsheets/d/1XL5vhW3sbDhbH9Cz0tuDiY8C3ctxq1tqvaCgkFb8cCA/edit?usp=sharing"",""อุดรธานี!J471"")"),0.0)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IFERROR(__xludf.DUMMYFUNCTION("IMPORTRANGE(""https://docs.google.com/spreadsheets/d/1XL5vhW3sbDhbH9Cz0tuDiY8C3ctxq1tqvaCgkFb8cCA/edit?usp=sharing"",""อุดรธานี!I472"")"),0.0)</f>
        <v>0</v>
      </c>
      <c r="J577" s="223">
        <f>IFERROR(__xludf.DUMMYFUNCTION("IMPORTRANGE(""https://docs.google.com/spreadsheets/d/1XL5vhW3sbDhbH9Cz0tuDiY8C3ctxq1tqvaCgkFb8cCA/edit?usp=sharing"",""อุดรธานี!J472"")"),4454.0)</f>
        <v>4454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IFERROR(__xludf.DUMMYFUNCTION("IMPORTRANGE(""https://docs.google.com/spreadsheets/d/1XL5vhW3sbDhbH9Cz0tuDiY8C3ctxq1tqvaCgkFb8cCA/edit?usp=sharing"",""อุดรธานี!I473"")"),0.0)</f>
        <v>0</v>
      </c>
      <c r="J578" s="232">
        <f>IFERROR(__xludf.DUMMYFUNCTION("IMPORTRANGE(""https://docs.google.com/spreadsheets/d/1XL5vhW3sbDhbH9Cz0tuDiY8C3ctxq1tqvaCgkFb8cCA/edit?usp=sharing"",""อุดรธานี!J473"")"),41.0)</f>
        <v>41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IFERROR(__xludf.DUMMYFUNCTION("IMPORTRANGE(""https://docs.google.com/spreadsheets/d/1XL5vhW3sbDhbH9Cz0tuDiY8C3ctxq1tqvaCgkFb8cCA/edit?usp=sharing"",""อุดรธานี!I474"")"),0.0)</f>
        <v>0</v>
      </c>
      <c r="J579" s="232">
        <f>IFERROR(__xludf.DUMMYFUNCTION("IMPORTRANGE(""https://docs.google.com/spreadsheets/d/1XL5vhW3sbDhbH9Cz0tuDiY8C3ctxq1tqvaCgkFb8cCA/edit?usp=sharing"",""อุดรธานี!J474"")"),0.0)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IFERROR(__xludf.DUMMYFUNCTION("IMPORTRANGE(""https://docs.google.com/spreadsheets/d/1XL5vhW3sbDhbH9Cz0tuDiY8C3ctxq1tqvaCgkFb8cCA/edit?usp=sharing"",""อุดรธานี!I475"")"),380.0)</f>
        <v>380</v>
      </c>
      <c r="J580" s="404">
        <f>IFERROR(__xludf.DUMMYFUNCTION("IMPORTRANGE(""https://docs.google.com/spreadsheets/d/1XL5vhW3sbDhbH9Cz0tuDiY8C3ctxq1tqvaCgkFb8cCA/edit?usp=sharing"",""อุดรธานี!J475"")"),0.0)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IFERROR(__xludf.DUMMYFUNCTION("IMPORTRANGE(""https://docs.google.com/spreadsheets/d/1XL5vhW3sbDhbH9Cz0tuDiY8C3ctxq1tqvaCgkFb8cCA/edit?usp=sharing"",""อุดรธานี!L475"")"),493580.0)</f>
        <v>493580</v>
      </c>
      <c r="M580" s="406"/>
      <c r="N580" s="406">
        <f>IFERROR(__xludf.DUMMYFUNCTION("IMPORTRANGE(""https://docs.google.com/spreadsheets/d/1XL5vhW3sbDhbH9Cz0tuDiY8C3ctxq1tqvaCgkFb8cCA/edit?usp=sharing"",""อุดรธานี!M475"")"),26935.48)</f>
        <v>26935.48</v>
      </c>
      <c r="O580" s="406">
        <f t="shared" ref="O580:O584" si="125">+IF(L580&gt;0,N580*100/L580,0)</f>
        <v>5.457166012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IFERROR(__xludf.DUMMYFUNCTION("IMPORTRANGE(""https://docs.google.com/spreadsheets/d/1XL5vhW3sbDhbH9Cz0tuDiY8C3ctxq1tqvaCgkFb8cCA/edit?usp=sharing"",""อุดรธานี!L476"")"),0.0)</f>
        <v>0</v>
      </c>
      <c r="M581" s="197"/>
      <c r="N581" s="203">
        <f>IFERROR(__xludf.DUMMYFUNCTION("IMPORTRANGE(""https://docs.google.com/spreadsheets/d/1XL5vhW3sbDhbH9Cz0tuDiY8C3ctxq1tqvaCgkFb8cCA/edit?usp=sharing"",""อุดรธานี!M476"")"),0.0)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IFERROR(__xludf.DUMMYFUNCTION("IMPORTRANGE(""https://docs.google.com/spreadsheets/d/1XL5vhW3sbDhbH9Cz0tuDiY8C3ctxq1tqvaCgkFb8cCA/edit?usp=sharing"",""อุดรธานี!L477"")"),493580.0)</f>
        <v>493580</v>
      </c>
      <c r="M582" s="198"/>
      <c r="N582" s="203">
        <f>IFERROR(__xludf.DUMMYFUNCTION("IMPORTRANGE(""https://docs.google.com/spreadsheets/d/1XL5vhW3sbDhbH9Cz0tuDiY8C3ctxq1tqvaCgkFb8cCA/edit?usp=sharing"",""อุดรธานี!M477"")"),26935.48)</f>
        <v>26935.48</v>
      </c>
      <c r="O582" s="203">
        <f t="shared" si="125"/>
        <v>5.457166012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IFERROR(__xludf.DUMMYFUNCTION("IMPORTRANGE(""https://docs.google.com/spreadsheets/d/1XL5vhW3sbDhbH9Cz0tuDiY8C3ctxq1tqvaCgkFb8cCA/edit?usp=sharing"",""อุดรธานี!L478"")"),0.0)</f>
        <v>0</v>
      </c>
      <c r="M583" s="203"/>
      <c r="N583" s="203">
        <f>IFERROR(__xludf.DUMMYFUNCTION("IMPORTRANGE(""https://docs.google.com/spreadsheets/d/1XL5vhW3sbDhbH9Cz0tuDiY8C3ctxq1tqvaCgkFb8cCA/edit?usp=sharing"",""อุดรธานี!M478"")"),0.0)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IFERROR(__xludf.DUMMYFUNCTION("IMPORTRANGE(""https://docs.google.com/spreadsheets/d/1XL5vhW3sbDhbH9Cz0tuDiY8C3ctxq1tqvaCgkFb8cCA/edit?usp=sharing"",""อุดรธานี!L479"")"),493580.0)</f>
        <v>493580</v>
      </c>
      <c r="M584" s="203"/>
      <c r="N584" s="203">
        <f>IFERROR(__xludf.DUMMYFUNCTION("IMPORTRANGE(""https://docs.google.com/spreadsheets/d/1XL5vhW3sbDhbH9Cz0tuDiY8C3ctxq1tqvaCgkFb8cCA/edit?usp=sharing"",""อุดรธานี!M479"")"),26935.48)</f>
        <v>26935.48</v>
      </c>
      <c r="O584" s="203">
        <f t="shared" si="125"/>
        <v>5.457166012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IFERROR(__xludf.DUMMYFUNCTION("IMPORTRANGE(""https://docs.google.com/spreadsheets/d/1XL5vhW3sbDhbH9Cz0tuDiY8C3ctxq1tqvaCgkFb8cCA/edit?usp=sharing"",""อุดรธานี!M480"")"),0.0)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IFERROR(__xludf.DUMMYFUNCTION("IMPORTRANGE(""https://docs.google.com/spreadsheets/d/1XL5vhW3sbDhbH9Cz0tuDiY8C3ctxq1tqvaCgkFb8cCA/edit?usp=sharing"",""อุดรธานี!M481"")"),0.0)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IFERROR(__xludf.DUMMYFUNCTION("IMPORTRANGE(""https://docs.google.com/spreadsheets/d/1XL5vhW3sbDhbH9Cz0tuDiY8C3ctxq1tqvaCgkFb8cCA/edit?usp=sharing"",""อุดรธานี!M482"")"),26935.48)</f>
        <v>26935.48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IFERROR(__xludf.DUMMYFUNCTION("IMPORTRANGE(""https://docs.google.com/spreadsheets/d/1XL5vhW3sbDhbH9Cz0tuDiY8C3ctxq1tqvaCgkFb8cCA/edit?usp=sharing"",""อุดรธานี!M483"")"),0.0)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IFERROR(__xludf.DUMMYFUNCTION("IMPORTRANGE(""https://docs.google.com/spreadsheets/d/1XL5vhW3sbDhbH9Cz0tuDiY8C3ctxq1tqvaCgkFb8cCA/edit?usp=sharing"",""อุดรธานี!I484"")"),380.0)</f>
        <v>380</v>
      </c>
      <c r="J589" s="222">
        <f>IFERROR(__xludf.DUMMYFUNCTION("IMPORTRANGE(""https://docs.google.com/spreadsheets/d/1XL5vhW3sbDhbH9Cz0tuDiY8C3ctxq1tqvaCgkFb8cCA/edit?usp=sharing"",""อุดรธานี!J484"")"),0.0)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IFERROR(__xludf.DUMMYFUNCTION("IMPORTRANGE(""https://docs.google.com/spreadsheets/d/1XL5vhW3sbDhbH9Cz0tuDiY8C3ctxq1tqvaCgkFb8cCA/edit?usp=sharing"",""อุดรธานี!I485"")"),0.0)</f>
        <v>0</v>
      </c>
      <c r="J590" s="222">
        <f>IFERROR(__xludf.DUMMYFUNCTION("IMPORTRANGE(""https://docs.google.com/spreadsheets/d/1XL5vhW3sbDhbH9Cz0tuDiY8C3ctxq1tqvaCgkFb8cCA/edit?usp=sharing"",""อุดรธานี!J485"")"),0.0)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IFERROR(__xludf.DUMMYFUNCTION("IMPORTRANGE(""https://docs.google.com/spreadsheets/d/1XL5vhW3sbDhbH9Cz0tuDiY8C3ctxq1tqvaCgkFb8cCA/edit?usp=sharing"",""อุดรธานี!I486"")"),380.0)</f>
        <v>380</v>
      </c>
      <c r="J591" s="222">
        <f>IFERROR(__xludf.DUMMYFUNCTION("IMPORTRANGE(""https://docs.google.com/spreadsheets/d/1XL5vhW3sbDhbH9Cz0tuDiY8C3ctxq1tqvaCgkFb8cCA/edit?usp=sharing"",""อุดรธานี!J486"")"),122.0)</f>
        <v>122</v>
      </c>
      <c r="K591" s="196">
        <f t="shared" si="126"/>
        <v>32.10526316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IFERROR(__xludf.DUMMYFUNCTION("IMPORTRANGE(""https://docs.google.com/spreadsheets/d/1XL5vhW3sbDhbH9Cz0tuDiY8C3ctxq1tqvaCgkFb8cCA/edit?usp=sharing"",""อุดรธานี!I487"")"),0.0)</f>
        <v>0</v>
      </c>
      <c r="J592" s="222">
        <f>IFERROR(__xludf.DUMMYFUNCTION("IMPORTRANGE(""https://docs.google.com/spreadsheets/d/1XL5vhW3sbDhbH9Cz0tuDiY8C3ctxq1tqvaCgkFb8cCA/edit?usp=sharing"",""อุดรธานี!J487"")"),53.79)</f>
        <v>53.79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IFERROR(__xludf.DUMMYFUNCTION("IMPORTRANGE(""https://docs.google.com/spreadsheets/d/1XL5vhW3sbDhbH9Cz0tuDiY8C3ctxq1tqvaCgkFb8cCA/edit?usp=sharing"",""อุดรธานี!I488"")"),380.0)</f>
        <v>380</v>
      </c>
      <c r="J593" s="222">
        <f>IFERROR(__xludf.DUMMYFUNCTION("IMPORTRANGE(""https://docs.google.com/spreadsheets/d/1XL5vhW3sbDhbH9Cz0tuDiY8C3ctxq1tqvaCgkFb8cCA/edit?usp=sharing"",""อุดรธานี!J488"")"),1.0)</f>
        <v>1</v>
      </c>
      <c r="K593" s="196">
        <f t="shared" si="126"/>
        <v>0.2631578947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IFERROR(__xludf.DUMMYFUNCTION("IMPORTRANGE(""https://docs.google.com/spreadsheets/d/1XL5vhW3sbDhbH9Cz0tuDiY8C3ctxq1tqvaCgkFb8cCA/edit?usp=sharing"",""อุดรธานี!I489"")"),0.0)</f>
        <v>0</v>
      </c>
      <c r="J594" s="222">
        <f>IFERROR(__xludf.DUMMYFUNCTION("IMPORTRANGE(""https://docs.google.com/spreadsheets/d/1XL5vhW3sbDhbH9Cz0tuDiY8C3ctxq1tqvaCgkFb8cCA/edit?usp=sharing"",""อุดรธานี!J489"")"),1.29)</f>
        <v>1.29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IFERROR(__xludf.DUMMYFUNCTION("IMPORTRANGE(""https://docs.google.com/spreadsheets/d/1XL5vhW3sbDhbH9Cz0tuDiY8C3ctxq1tqvaCgkFb8cCA/edit?usp=sharing"",""อุดรธานี!I490"")"),380.0)</f>
        <v>380</v>
      </c>
      <c r="J595" s="222">
        <f>IFERROR(__xludf.DUMMYFUNCTION("IMPORTRANGE(""https://docs.google.com/spreadsheets/d/1XL5vhW3sbDhbH9Cz0tuDiY8C3ctxq1tqvaCgkFb8cCA/edit?usp=sharing"",""อุดรธานี!J490"")"),0.0)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IFERROR(__xludf.DUMMYFUNCTION("IMPORTRANGE(""https://docs.google.com/spreadsheets/d/1XL5vhW3sbDhbH9Cz0tuDiY8C3ctxq1tqvaCgkFb8cCA/edit?usp=sharing"",""อุดรธานี!I491"")"),0.0)</f>
        <v>0</v>
      </c>
      <c r="J596" s="275">
        <f>IFERROR(__xludf.DUMMYFUNCTION("IMPORTRANGE(""https://docs.google.com/spreadsheets/d/1XL5vhW3sbDhbH9Cz0tuDiY8C3ctxq1tqvaCgkFb8cCA/edit?usp=sharing"",""อุดรธานี!J491"")"),0.0)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IFERROR(__xludf.DUMMYFUNCTION("IMPORTRANGE(""https://docs.google.com/spreadsheets/d/1XL5vhW3sbDhbH9Cz0tuDiY8C3ctxq1tqvaCgkFb8cCA/edit?usp=sharing"",""อุดรธานี!I492"")"),50.0)</f>
        <v>50</v>
      </c>
      <c r="J597" s="520">
        <f>IFERROR(__xludf.DUMMYFUNCTION("IMPORTRANGE(""https://docs.google.com/spreadsheets/d/1XL5vhW3sbDhbH9Cz0tuDiY8C3ctxq1tqvaCgkFb8cCA/edit?usp=sharing"",""อุดรธานี!J492"")"),0.0)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IFERROR(__xludf.DUMMYFUNCTION("IMPORTRANGE(""https://docs.google.com/spreadsheets/d/1XL5vhW3sbDhbH9Cz0tuDiY8C3ctxq1tqvaCgkFb8cCA/edit?usp=sharing"",""อุดรธานี!L492"")"),4550.0)</f>
        <v>4550</v>
      </c>
      <c r="M597" s="445"/>
      <c r="N597" s="445">
        <f>IFERROR(__xludf.DUMMYFUNCTION("IMPORTRANGE(""https://docs.google.com/spreadsheets/d/1XL5vhW3sbDhbH9Cz0tuDiY8C3ctxq1tqvaCgkFb8cCA/edit?usp=sharing"",""อุดรธานี!M492"")"),780.0)</f>
        <v>780</v>
      </c>
      <c r="O597" s="445">
        <f t="shared" ref="O597:O601" si="127">+IF(L597&gt;0,N597*100/L597,0)</f>
        <v>17.14285714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IFERROR(__xludf.DUMMYFUNCTION("IMPORTRANGE(""https://docs.google.com/spreadsheets/d/1XL5vhW3sbDhbH9Cz0tuDiY8C3ctxq1tqvaCgkFb8cCA/edit?usp=sharing"",""อุดรธานี!L493"")"),0.0)</f>
        <v>0</v>
      </c>
      <c r="M598" s="197"/>
      <c r="N598" s="203">
        <f>IFERROR(__xludf.DUMMYFUNCTION("IMPORTRANGE(""https://docs.google.com/spreadsheets/d/1XL5vhW3sbDhbH9Cz0tuDiY8C3ctxq1tqvaCgkFb8cCA/edit?usp=sharing"",""อุดรธานี!M493"")"),0.0)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IFERROR(__xludf.DUMMYFUNCTION("IMPORTRANGE(""https://docs.google.com/spreadsheets/d/1XL5vhW3sbDhbH9Cz0tuDiY8C3ctxq1tqvaCgkFb8cCA/edit?usp=sharing"",""อุดรธานี!L494"")"),4550.0)</f>
        <v>4550</v>
      </c>
      <c r="M599" s="198"/>
      <c r="N599" s="203">
        <f>IFERROR(__xludf.DUMMYFUNCTION("IMPORTRANGE(""https://docs.google.com/spreadsheets/d/1XL5vhW3sbDhbH9Cz0tuDiY8C3ctxq1tqvaCgkFb8cCA/edit?usp=sharing"",""อุดรธานี!M494"")"),780.0)</f>
        <v>780</v>
      </c>
      <c r="O599" s="203">
        <f t="shared" si="127"/>
        <v>17.14285714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IFERROR(__xludf.DUMMYFUNCTION("IMPORTRANGE(""https://docs.google.com/spreadsheets/d/1XL5vhW3sbDhbH9Cz0tuDiY8C3ctxq1tqvaCgkFb8cCA/edit?usp=sharing"",""อุดรธานี!L495"")"),0.0)</f>
        <v>0</v>
      </c>
      <c r="M600" s="203"/>
      <c r="N600" s="203">
        <f>IFERROR(__xludf.DUMMYFUNCTION("IMPORTRANGE(""https://docs.google.com/spreadsheets/d/1XL5vhW3sbDhbH9Cz0tuDiY8C3ctxq1tqvaCgkFb8cCA/edit?usp=sharing"",""อุดรธานี!M495"")"),0.0)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IFERROR(__xludf.DUMMYFUNCTION("IMPORTRANGE(""https://docs.google.com/spreadsheets/d/1XL5vhW3sbDhbH9Cz0tuDiY8C3ctxq1tqvaCgkFb8cCA/edit?usp=sharing"",""อุดรธานี!L496"")"),4550.0)</f>
        <v>4550</v>
      </c>
      <c r="M601" s="203"/>
      <c r="N601" s="203">
        <f>IFERROR(__xludf.DUMMYFUNCTION("IMPORTRANGE(""https://docs.google.com/spreadsheets/d/1XL5vhW3sbDhbH9Cz0tuDiY8C3ctxq1tqvaCgkFb8cCA/edit?usp=sharing"",""อุดรธานี!M496"")"),780.0)</f>
        <v>780</v>
      </c>
      <c r="O601" s="203">
        <f t="shared" si="127"/>
        <v>17.14285714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IFERROR(__xludf.DUMMYFUNCTION("IMPORTRANGE(""https://docs.google.com/spreadsheets/d/1XL5vhW3sbDhbH9Cz0tuDiY8C3ctxq1tqvaCgkFb8cCA/edit?usp=sharing"",""อุดรธานี!M497"")"),0.0)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IFERROR(__xludf.DUMMYFUNCTION("IMPORTRANGE(""https://docs.google.com/spreadsheets/d/1XL5vhW3sbDhbH9Cz0tuDiY8C3ctxq1tqvaCgkFb8cCA/edit?usp=sharing"",""อุดรธานี!M498"")"),0.0)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IFERROR(__xludf.DUMMYFUNCTION("IMPORTRANGE(""https://docs.google.com/spreadsheets/d/1XL5vhW3sbDhbH9Cz0tuDiY8C3ctxq1tqvaCgkFb8cCA/edit?usp=sharing"",""อุดรธานี!M499"")"),0.0)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IFERROR(__xludf.DUMMYFUNCTION("IMPORTRANGE(""https://docs.google.com/spreadsheets/d/1XL5vhW3sbDhbH9Cz0tuDiY8C3ctxq1tqvaCgkFb8cCA/edit?usp=sharing"",""อุดรธานี!M500"")"),780.0)</f>
        <v>780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IFERROR(__xludf.DUMMYFUNCTION("IMPORTRANGE(""https://docs.google.com/spreadsheets/d/1XL5vhW3sbDhbH9Cz0tuDiY8C3ctxq1tqvaCgkFb8cCA/edit?usp=sharing"",""อุดรธานี!J502"")"),0.0)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IFERROR(__xludf.DUMMYFUNCTION("IMPORTRANGE(""https://docs.google.com/spreadsheets/d/1XL5vhW3sbDhbH9Cz0tuDiY8C3ctxq1tqvaCgkFb8cCA/edit?usp=sharing"",""อุดรธานี!J503"")"),1.0)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IFERROR(__xludf.DUMMYFUNCTION("IMPORTRANGE(""https://docs.google.com/spreadsheets/d/1XL5vhW3sbDhbH9Cz0tuDiY8C3ctxq1tqvaCgkFb8cCA/edit?usp=sharing"",""อุดรธานี!J166"")"),0.0)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IFERROR(__xludf.DUMMYFUNCTION("IMPORTRANGE(""https://docs.google.com/spreadsheets/d/1XL5vhW3sbDhbH9Cz0tuDiY8C3ctxq1tqvaCgkFb8cCA/edit?usp=sharing"",""อุดรธานี!J166"")"),0.0)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IFERROR(__xludf.DUMMYFUNCTION("IMPORTRANGE(""https://docs.google.com/spreadsheets/d/1XL5vhW3sbDhbH9Cz0tuDiY8C3ctxq1tqvaCgkFb8cCA/edit?usp=sharing"",""อุดรธานี!I506"")"),50.0)</f>
        <v>50</v>
      </c>
      <c r="J611" s="195">
        <f>IFERROR(__xludf.DUMMYFUNCTION("IMPORTRANGE(""https://docs.google.com/spreadsheets/d/1XL5vhW3sbDhbH9Cz0tuDiY8C3ctxq1tqvaCgkFb8cCA/edit?usp=sharing"",""อุดรธานี!J506"")"),0.0)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IFERROR(__xludf.DUMMYFUNCTION("IMPORTRANGE(""https://docs.google.com/spreadsheets/d/1XL5vhW3sbDhbH9Cz0tuDiY8C3ctxq1tqvaCgkFb8cCA/edit?usp=sharing"",""อุดรธานี!I507"")"),0.0)</f>
        <v>0</v>
      </c>
      <c r="J612" s="232">
        <f>IFERROR(__xludf.DUMMYFUNCTION("IMPORTRANGE(""https://docs.google.com/spreadsheets/d/1XL5vhW3sbDhbH9Cz0tuDiY8C3ctxq1tqvaCgkFb8cCA/edit?usp=sharing"",""อุดรธานี!J507"")"),0.0)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IFERROR(__xludf.DUMMYFUNCTION("IMPORTRANGE(""https://docs.google.com/spreadsheets/d/1XL5vhW3sbDhbH9Cz0tuDiY8C3ctxq1tqvaCgkFb8cCA/edit?usp=sharing"",""อุดรธานี!I508"")"),0.0)</f>
        <v>0</v>
      </c>
      <c r="J613" s="232">
        <f>IFERROR(__xludf.DUMMYFUNCTION("IMPORTRANGE(""https://docs.google.com/spreadsheets/d/1XL5vhW3sbDhbH9Cz0tuDiY8C3ctxq1tqvaCgkFb8cCA/edit?usp=sharing"",""อุดรธานี!J508"")"),0.0)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IFERROR(__xludf.DUMMYFUNCTION("IMPORTRANGE(""https://docs.google.com/spreadsheets/d/1XL5vhW3sbDhbH9Cz0tuDiY8C3ctxq1tqvaCgkFb8cCA/edit?usp=sharing"",""อุดรธานี!I509"")"),0.0)</f>
        <v>0</v>
      </c>
      <c r="J614" s="232">
        <f>IFERROR(__xludf.DUMMYFUNCTION("IMPORTRANGE(""https://docs.google.com/spreadsheets/d/1XL5vhW3sbDhbH9Cz0tuDiY8C3ctxq1tqvaCgkFb8cCA/edit?usp=sharing"",""อุดรธานี!J509"")"),0.0)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IFERROR(__xludf.DUMMYFUNCTION("IMPORTRANGE(""https://docs.google.com/spreadsheets/d/1XL5vhW3sbDhbH9Cz0tuDiY8C3ctxq1tqvaCgkFb8cCA/edit?usp=sharing"",""อุดรธานี!I510"")"),0.0)</f>
        <v>0</v>
      </c>
      <c r="J615" s="232">
        <f>IFERROR(__xludf.DUMMYFUNCTION("IMPORTRANGE(""https://docs.google.com/spreadsheets/d/1XL5vhW3sbDhbH9Cz0tuDiY8C3ctxq1tqvaCgkFb8cCA/edit?usp=sharing"",""อุดรธานี!J510"")"),0.0)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IFERROR(__xludf.DUMMYFUNCTION("IMPORTRANGE(""https://docs.google.com/spreadsheets/d/1XL5vhW3sbDhbH9Cz0tuDiY8C3ctxq1tqvaCgkFb8cCA/edit?usp=sharing"",""อุดรธานี!I511"")"),0.0)</f>
        <v>0</v>
      </c>
      <c r="J616" s="232">
        <f>IFERROR(__xludf.DUMMYFUNCTION("IMPORTRANGE(""https://docs.google.com/spreadsheets/d/1XL5vhW3sbDhbH9Cz0tuDiY8C3ctxq1tqvaCgkFb8cCA/edit?usp=sharing"",""อุดรธานี!J511"")"),0.0)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IFERROR(__xludf.DUMMYFUNCTION("IMPORTRANGE(""https://docs.google.com/spreadsheets/d/1XL5vhW3sbDhbH9Cz0tuDiY8C3ctxq1tqvaCgkFb8cCA/edit?usp=sharing"",""อุดรธานี!I512"")"),0.0)</f>
        <v>0</v>
      </c>
      <c r="J617" s="222">
        <f>IFERROR(__xludf.DUMMYFUNCTION("IMPORTRANGE(""https://docs.google.com/spreadsheets/d/1XL5vhW3sbDhbH9Cz0tuDiY8C3ctxq1tqvaCgkFb8cCA/edit?usp=sharing"",""อุดรธานี!J512"")"),0.0)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IFERROR(__xludf.DUMMYFUNCTION("IMPORTRANGE(""https://docs.google.com/spreadsheets/d/1XL5vhW3sbDhbH9Cz0tuDiY8C3ctxq1tqvaCgkFb8cCA/edit?usp=sharing"",""อุดรธานี!I513"")"),0.0)</f>
        <v>0</v>
      </c>
      <c r="J618" s="223">
        <f>IFERROR(__xludf.DUMMYFUNCTION("IMPORTRANGE(""https://docs.google.com/spreadsheets/d/1XL5vhW3sbDhbH9Cz0tuDiY8C3ctxq1tqvaCgkFb8cCA/edit?usp=sharing"",""อุดรธานี!J513"")"),0.0)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IFERROR(__xludf.DUMMYFUNCTION("IMPORTRANGE(""https://docs.google.com/spreadsheets/d/1XL5vhW3sbDhbH9Cz0tuDiY8C3ctxq1tqvaCgkFb8cCA/edit?usp=sharing"",""อุดรธานี!I514"")"),0.0)</f>
        <v>0</v>
      </c>
      <c r="J619" s="223">
        <f>IFERROR(__xludf.DUMMYFUNCTION("IMPORTRANGE(""https://docs.google.com/spreadsheets/d/1XL5vhW3sbDhbH9Cz0tuDiY8C3ctxq1tqvaCgkFb8cCA/edit?usp=sharing"",""อุดรธานี!J514"")"),0.0)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IFERROR(__xludf.DUMMYFUNCTION("IMPORTRANGE(""https://docs.google.com/spreadsheets/d/1XL5vhW3sbDhbH9Cz0tuDiY8C3ctxq1tqvaCgkFb8cCA/edit?usp=sharing"",""อุดรธานี!I515"")"),0.0)</f>
        <v>0</v>
      </c>
      <c r="J620" s="237">
        <f>IFERROR(__xludf.DUMMYFUNCTION("IMPORTRANGE(""https://docs.google.com/spreadsheets/d/1XL5vhW3sbDhbH9Cz0tuDiY8C3ctxq1tqvaCgkFb8cCA/edit?usp=sharing"",""อุดรธานี!J515"")"),0.0)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IFERROR(__xludf.DUMMYFUNCTION("IMPORTRANGE(""https://docs.google.com/spreadsheets/d/1XL5vhW3sbDhbH9Cz0tuDiY8C3ctxq1tqvaCgkFb8cCA/edit?usp=sharing"",""อุดรธานี!I516"")"),0.0)</f>
        <v>0</v>
      </c>
      <c r="J621" s="237">
        <f>IFERROR(__xludf.DUMMYFUNCTION("IMPORTRANGE(""https://docs.google.com/spreadsheets/d/1XL5vhW3sbDhbH9Cz0tuDiY8C3ctxq1tqvaCgkFb8cCA/edit?usp=sharing"",""อุดรธานี!J516"")"),0.0)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IFERROR(__xludf.DUMMYFUNCTION("IMPORTRANGE(""https://docs.google.com/spreadsheets/d/1XL5vhW3sbDhbH9Cz0tuDiY8C3ctxq1tqvaCgkFb8cCA/edit?usp=sharing"",""อุดรธานี!I517"")"),0.0)</f>
        <v>0</v>
      </c>
      <c r="J622" s="223">
        <f>IFERROR(__xludf.DUMMYFUNCTION("IMPORTRANGE(""https://docs.google.com/spreadsheets/d/1XL5vhW3sbDhbH9Cz0tuDiY8C3ctxq1tqvaCgkFb8cCA/edit?usp=sharing"",""อุดรธานี!J517"")"),0.0)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IFERROR(__xludf.DUMMYFUNCTION("IMPORTRANGE(""https://docs.google.com/spreadsheets/d/1XL5vhW3sbDhbH9Cz0tuDiY8C3ctxq1tqvaCgkFb8cCA/edit?usp=sharing"",""อุดรธานี!I518"")"),0.0)</f>
        <v>0</v>
      </c>
      <c r="J623" s="223">
        <f>IFERROR(__xludf.DUMMYFUNCTION("IMPORTRANGE(""https://docs.google.com/spreadsheets/d/1XL5vhW3sbDhbH9Cz0tuDiY8C3ctxq1tqvaCgkFb8cCA/edit?usp=sharing"",""อุดรธานี!J518"")"),0.0)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IFERROR(__xludf.DUMMYFUNCTION("IMPORTRANGE(""https://docs.google.com/spreadsheets/d/1XL5vhW3sbDhbH9Cz0tuDiY8C3ctxq1tqvaCgkFb8cCA/edit?usp=sharing"",""อุดรธานี!I519"")"),0.0)</f>
        <v>0</v>
      </c>
      <c r="J624" s="222">
        <f>IFERROR(__xludf.DUMMYFUNCTION("IMPORTRANGE(""https://docs.google.com/spreadsheets/d/1XL5vhW3sbDhbH9Cz0tuDiY8C3ctxq1tqvaCgkFb8cCA/edit?usp=sharing"",""อุดรธานี!J519"")"),0.0)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IFERROR(__xludf.DUMMYFUNCTION("IMPORTRANGE(""https://docs.google.com/spreadsheets/d/1XL5vhW3sbDhbH9Cz0tuDiY8C3ctxq1tqvaCgkFb8cCA/edit?usp=sharing"",""อุดรธานี!I520"")"),0.0)</f>
        <v>0</v>
      </c>
      <c r="J625" s="223">
        <f>IFERROR(__xludf.DUMMYFUNCTION("IMPORTRANGE(""https://docs.google.com/spreadsheets/d/1XL5vhW3sbDhbH9Cz0tuDiY8C3ctxq1tqvaCgkFb8cCA/edit?usp=sharing"",""อุดรธานี!J520"")"),0.0)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IFERROR(__xludf.DUMMYFUNCTION("IMPORTRANGE(""https://docs.google.com/spreadsheets/d/1XL5vhW3sbDhbH9Cz0tuDiY8C3ctxq1tqvaCgkFb8cCA/edit?usp=sharing"",""อุดรธานี!I521"")"),0.0)</f>
        <v>0</v>
      </c>
      <c r="J626" s="223">
        <f>IFERROR(__xludf.DUMMYFUNCTION("IMPORTRANGE(""https://docs.google.com/spreadsheets/d/1XL5vhW3sbDhbH9Cz0tuDiY8C3ctxq1tqvaCgkFb8cCA/edit?usp=sharing"",""อุดรธานี!J521"")"),0.0)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IFERROR(__xludf.DUMMYFUNCTION("IMPORTRANGE(""https://docs.google.com/spreadsheets/d/1XL5vhW3sbDhbH9Cz0tuDiY8C3ctxq1tqvaCgkFb8cCA/edit?usp=sharing"",""อุดรธานี!I523"")"),4327839.11)</f>
        <v>4327839.11</v>
      </c>
      <c r="J628" s="374">
        <f>IFERROR(__xludf.DUMMYFUNCTION("IMPORTRANGE(""https://docs.google.com/spreadsheets/d/1XL5vhW3sbDhbH9Cz0tuDiY8C3ctxq1tqvaCgkFb8cCA/edit?usp=sharing"",""อุดรธานี!J523"")"),706047.76)</f>
        <v>706047.76</v>
      </c>
      <c r="K628" s="375">
        <f t="shared" ref="K628:K635" si="130">IF(I628&gt;0,J628*100/I628,0)</f>
        <v>16.31409445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IFERROR(__xludf.DUMMYFUNCTION("IMPORTRANGE(""https://docs.google.com/spreadsheets/d/1XL5vhW3sbDhbH9Cz0tuDiY8C3ctxq1tqvaCgkFb8cCA/edit?usp=sharing"",""อุดรธานี!I524"")"),302.0)</f>
        <v>302</v>
      </c>
      <c r="J629" s="374">
        <f>IFERROR(__xludf.DUMMYFUNCTION("IMPORTRANGE(""https://docs.google.com/spreadsheets/d/1XL5vhW3sbDhbH9Cz0tuDiY8C3ctxq1tqvaCgkFb8cCA/edit?usp=sharing"",""อุดรธานี!J524"")"),37.0)</f>
        <v>37</v>
      </c>
      <c r="K629" s="375">
        <f t="shared" si="130"/>
        <v>12.25165563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IFERROR(__xludf.DUMMYFUNCTION("IMPORTRANGE(""https://docs.google.com/spreadsheets/d/1XL5vhW3sbDhbH9Cz0tuDiY8C3ctxq1tqvaCgkFb8cCA/edit?usp=sharing"",""อุดรธานี!I525"")"),1890659.63)</f>
        <v>1890659.63</v>
      </c>
      <c r="J630" s="374">
        <f>IFERROR(__xludf.DUMMYFUNCTION("IMPORTRANGE(""https://docs.google.com/spreadsheets/d/1XL5vhW3sbDhbH9Cz0tuDiY8C3ctxq1tqvaCgkFb8cCA/edit?usp=sharing"",""อุดรธานี!J525"")"),276413.6)</f>
        <v>276413.6</v>
      </c>
      <c r="K630" s="375">
        <f t="shared" si="130"/>
        <v>14.61995568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IFERROR(__xludf.DUMMYFUNCTION("IMPORTRANGE(""https://docs.google.com/spreadsheets/d/1XL5vhW3sbDhbH9Cz0tuDiY8C3ctxq1tqvaCgkFb8cCA/edit?usp=sharing"",""อุดรธานี!I526"")"),120.0)</f>
        <v>120</v>
      </c>
      <c r="J631" s="374">
        <f>IFERROR(__xludf.DUMMYFUNCTION("IMPORTRANGE(""https://docs.google.com/spreadsheets/d/1XL5vhW3sbDhbH9Cz0tuDiY8C3ctxq1tqvaCgkFb8cCA/edit?usp=sharing"",""อุดรธานี!J526"")"),32.0)</f>
        <v>32</v>
      </c>
      <c r="K631" s="375">
        <f t="shared" si="130"/>
        <v>26.66666667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IFERROR(__xludf.DUMMYFUNCTION("IMPORTRANGE(""https://docs.google.com/spreadsheets/d/1XL5vhW3sbDhbH9Cz0tuDiY8C3ctxq1tqvaCgkFb8cCA/edit?usp=sharing"",""อุดรธานี!I527"")"),697893.65)</f>
        <v>697893.65</v>
      </c>
      <c r="J632" s="374">
        <f>IFERROR(__xludf.DUMMYFUNCTION("IMPORTRANGE(""https://docs.google.com/spreadsheets/d/1XL5vhW3sbDhbH9Cz0tuDiY8C3ctxq1tqvaCgkFb8cCA/edit?usp=sharing"",""อุดรธานี!J527"")"),84268.86)</f>
        <v>84268.86</v>
      </c>
      <c r="K632" s="375">
        <f t="shared" si="130"/>
        <v>12.07474233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IFERROR(__xludf.DUMMYFUNCTION("IMPORTRANGE(""https://docs.google.com/spreadsheets/d/1XL5vhW3sbDhbH9Cz0tuDiY8C3ctxq1tqvaCgkFb8cCA/edit?usp=sharing"",""อุดรธานี!I528"")"),24.0)</f>
        <v>24</v>
      </c>
      <c r="J633" s="374">
        <f>IFERROR(__xludf.DUMMYFUNCTION("IMPORTRANGE(""https://docs.google.com/spreadsheets/d/1XL5vhW3sbDhbH9Cz0tuDiY8C3ctxq1tqvaCgkFb8cCA/edit?usp=sharing"",""อุดรธานี!J528"")"),16.0)</f>
        <v>16</v>
      </c>
      <c r="K633" s="375">
        <f t="shared" si="130"/>
        <v>66.66666667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IFERROR(__xludf.DUMMYFUNCTION("IMPORTRANGE(""https://docs.google.com/spreadsheets/d/1XL5vhW3sbDhbH9Cz0tuDiY8C3ctxq1tqvaCgkFb8cCA/edit?usp=sharing"",""อุดรธานี!I529"")"),5000000.0)</f>
        <v>5000000</v>
      </c>
      <c r="J634" s="374">
        <f>IFERROR(__xludf.DUMMYFUNCTION("IMPORTRANGE(""https://docs.google.com/spreadsheets/d/1XL5vhW3sbDhbH9Cz0tuDiY8C3ctxq1tqvaCgkFb8cCA/edit?usp=sharing"",""อุดรธานี!J529"")"),1170000.0)</f>
        <v>1170000</v>
      </c>
      <c r="K634" s="375">
        <f t="shared" si="130"/>
        <v>23.4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IFERROR(__xludf.DUMMYFUNCTION("IMPORTRANGE(""https://docs.google.com/spreadsheets/d/1XL5vhW3sbDhbH9Cz0tuDiY8C3ctxq1tqvaCgkFb8cCA/edit?usp=sharing"",""อุดรธานี!I530"")"),200.0)</f>
        <v>200</v>
      </c>
      <c r="J635" s="544">
        <f>IFERROR(__xludf.DUMMYFUNCTION("IMPORTRANGE(""https://docs.google.com/spreadsheets/d/1XL5vhW3sbDhbH9Cz0tuDiY8C3ctxq1tqvaCgkFb8cCA/edit?usp=sharing"",""อุดรธานี!J530"")"),40.0)</f>
        <v>40</v>
      </c>
      <c r="K635" s="519">
        <f t="shared" si="130"/>
        <v>20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277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8577870</v>
      </c>
      <c r="M8" s="41">
        <f t="shared" si="1"/>
        <v>2340325</v>
      </c>
      <c r="N8" s="41">
        <f t="shared" si="1"/>
        <v>2774614.3</v>
      </c>
      <c r="O8" s="40">
        <f t="shared" ref="O8:O16" si="3">IF(L8&gt;0,N8*100/L8,0)</f>
        <v>32.346192</v>
      </c>
      <c r="P8" s="40">
        <f t="shared" ref="P8:P16" si="4">IF(M8&gt;0,N8*100/M8,0)</f>
        <v>118.5567945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8577870</v>
      </c>
      <c r="M10" s="48">
        <f t="shared" si="5"/>
        <v>2340325</v>
      </c>
      <c r="N10" s="48">
        <f t="shared" si="5"/>
        <v>2774614.3</v>
      </c>
      <c r="O10" s="47">
        <f t="shared" si="3"/>
        <v>32.346192</v>
      </c>
      <c r="P10" s="47">
        <f t="shared" si="4"/>
        <v>118.5567945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7709470</v>
      </c>
      <c r="M12" s="58">
        <f t="shared" si="7"/>
        <v>2340325</v>
      </c>
      <c r="N12" s="58">
        <f t="shared" si="7"/>
        <v>1918614.3</v>
      </c>
      <c r="O12" s="58">
        <f t="shared" si="3"/>
        <v>24.88646172</v>
      </c>
      <c r="P12" s="58">
        <f t="shared" si="4"/>
        <v>81.9806779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2384300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5325170</v>
      </c>
      <c r="M14" s="58">
        <f t="shared" si="9"/>
        <v>0</v>
      </c>
      <c r="N14" s="58">
        <f t="shared" si="9"/>
        <v>493953.3</v>
      </c>
      <c r="O14" s="61">
        <f t="shared" si="3"/>
        <v>9.27582218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868400</v>
      </c>
      <c r="M16" s="58">
        <f t="shared" si="11"/>
        <v>0</v>
      </c>
      <c r="N16" s="58">
        <f t="shared" si="11"/>
        <v>856000</v>
      </c>
      <c r="O16" s="70">
        <f t="shared" si="3"/>
        <v>98.5720866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5201625</v>
      </c>
      <c r="M18" s="41">
        <f t="shared" si="12"/>
        <v>2340325</v>
      </c>
      <c r="N18" s="41">
        <f t="shared" si="12"/>
        <v>2280661</v>
      </c>
      <c r="O18" s="40">
        <f t="shared" ref="O18:O20" si="14">IF(L18&gt;0,N18*100/L18,0)</f>
        <v>43.84516377</v>
      </c>
      <c r="P18" s="40">
        <f t="shared" ref="P18:P26" si="15">IF(M18&gt;0,N18*100/M18,0)</f>
        <v>97.45061049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5201625</v>
      </c>
      <c r="M20" s="48">
        <f t="shared" si="16"/>
        <v>2340325</v>
      </c>
      <c r="N20" s="48">
        <f t="shared" si="16"/>
        <v>2280661</v>
      </c>
      <c r="O20" s="47">
        <f t="shared" si="14"/>
        <v>43.84516377</v>
      </c>
      <c r="P20" s="47">
        <f t="shared" si="15"/>
        <v>97.45061049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4333225</v>
      </c>
      <c r="M22" s="62">
        <f t="shared" si="18"/>
        <v>2340325</v>
      </c>
      <c r="N22" s="61">
        <f t="shared" si="18"/>
        <v>1424661</v>
      </c>
      <c r="O22" s="61">
        <f t="shared" si="19"/>
        <v>32.87761425</v>
      </c>
      <c r="P22" s="61">
        <f t="shared" si="15"/>
        <v>60.87449393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2384300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1948925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868400</v>
      </c>
      <c r="M26" s="70">
        <f t="shared" si="23"/>
        <v>0</v>
      </c>
      <c r="N26" s="70">
        <f t="shared" si="23"/>
        <v>856000</v>
      </c>
      <c r="O26" s="70">
        <f t="shared" si="19"/>
        <v>98.5720866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3376245</v>
      </c>
      <c r="M28" s="41">
        <f t="shared" si="24"/>
        <v>0</v>
      </c>
      <c r="N28" s="41">
        <f t="shared" si="24"/>
        <v>493953.3</v>
      </c>
      <c r="O28" s="40">
        <f t="shared" ref="O28:O30" si="26">IF(L28&gt;0,N28*100/L28,0)</f>
        <v>14.63025639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3376245</v>
      </c>
      <c r="M30" s="48">
        <f t="shared" si="28"/>
        <v>0</v>
      </c>
      <c r="N30" s="48">
        <f t="shared" si="28"/>
        <v>493953.3</v>
      </c>
      <c r="O30" s="47">
        <f t="shared" si="26"/>
        <v>14.63025639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3376245</v>
      </c>
      <c r="M32" s="61">
        <f t="shared" si="30"/>
        <v>0</v>
      </c>
      <c r="N32" s="61">
        <f t="shared" si="30"/>
        <v>493953.3</v>
      </c>
      <c r="O32" s="61">
        <f t="shared" si="31"/>
        <v>14.63025639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3376245</v>
      </c>
      <c r="M34" s="61">
        <f t="shared" si="33"/>
        <v>0</v>
      </c>
      <c r="N34" s="61">
        <f t="shared" si="33"/>
        <v>493953.3</v>
      </c>
      <c r="O34" s="61">
        <f t="shared" si="31"/>
        <v>14.63025639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5201625</v>
      </c>
      <c r="M37" s="75">
        <f t="shared" si="34"/>
        <v>2340325</v>
      </c>
      <c r="N37" s="75">
        <f t="shared" si="34"/>
        <v>2280661</v>
      </c>
      <c r="O37" s="76">
        <f t="shared" si="31"/>
        <v>43.84516377</v>
      </c>
      <c r="P37" s="76">
        <f t="shared" si="27"/>
        <v>97.45061049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1730100</v>
      </c>
      <c r="M41" s="102">
        <f t="shared" si="35"/>
        <v>477000</v>
      </c>
      <c r="N41" s="102">
        <f t="shared" si="35"/>
        <v>1080271</v>
      </c>
      <c r="O41" s="101">
        <f t="shared" ref="O41:O43" si="37">IF(L41&gt;0,N41*100/L41,0)</f>
        <v>62.43980117</v>
      </c>
      <c r="P41" s="101">
        <f t="shared" ref="P41:P43" si="38">IF(M41&gt;0,N41*100/M41,0)</f>
        <v>226.4719078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1730100</v>
      </c>
      <c r="M43" s="102">
        <f t="shared" si="39"/>
        <v>477000</v>
      </c>
      <c r="N43" s="102">
        <f t="shared" si="39"/>
        <v>1080271</v>
      </c>
      <c r="O43" s="101">
        <f t="shared" si="37"/>
        <v>62.43980117</v>
      </c>
      <c r="P43" s="101">
        <f t="shared" si="38"/>
        <v>226.4719078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954100</v>
      </c>
      <c r="M45" s="115">
        <f>IFERROR(__xludf.DUMMYFUNCTION("IMPORTRANGE(""https://docs.google.com/spreadsheets/d/1Yj_ptqi66GCucihVvJfMjLAmec39IyEx_6qawtMGysU/edit?usp=sharing"",""สบก!Q57"")"),477000.0)</f>
        <v>477000</v>
      </c>
      <c r="N45" s="115">
        <f>IFERROR(__xludf.DUMMYFUNCTION("IMPORTRANGE(""https://docs.google.com/spreadsheets/d/1Yj_ptqi66GCucihVvJfMjLAmec39IyEx_6qawtMGysU/edit?usp=sharing"",""สบก!R57"")"),316271.0)</f>
        <v>316271</v>
      </c>
      <c r="O45" s="116">
        <f>IF(L45&gt;0,N45*100/L45,0)</f>
        <v>33.14862174</v>
      </c>
      <c r="P45" s="116">
        <f>IF(M45&gt;0,N45*100/M45,0)</f>
        <v>66.30419287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IFERROR(__xludf.DUMMYFUNCTION("IMPORTRANGE(""https://docs.google.com/spreadsheets/d/1Yj_ptqi66GCucihVvJfMjLAmec39IyEx_6qawtMGysU/edit?usp=sharing"",""สบก!M57"")"),954100.0)</f>
        <v>954100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IFERROR(__xludf.DUMMYFUNCTION("IMPORTRANGE(""https://docs.google.com/spreadsheets/d/1Yj_ptqi66GCucihVvJfMjLAmec39IyEx_6qawtMGysU/edit?usp=sharing"",""สบก!N57"")"),0.0)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IFERROR(__xludf.DUMMYFUNCTION("IMPORTRANGE(""https://docs.google.com/spreadsheets/d/1Yj_ptqi66GCucihVvJfMjLAmec39IyEx_6qawtMGysU/edit?usp=sharing"",""สบก!O57"")"),776000.0)</f>
        <v>776000</v>
      </c>
      <c r="M49" s="125"/>
      <c r="N49" s="115">
        <f>IFERROR(__xludf.DUMMYFUNCTION("IMPORTRANGE(""https://docs.google.com/spreadsheets/d/1Yj_ptqi66GCucihVvJfMjLAmec39IyEx_6qawtMGysU/edit?usp=sharing"",""สบก!S57"")"),764000.0)</f>
        <v>764000</v>
      </c>
      <c r="O49" s="125">
        <f>IF(L49&gt;0,N49*100/L49,0)</f>
        <v>98.45360825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460800</v>
      </c>
      <c r="M53" s="151">
        <f t="shared" si="40"/>
        <v>247680</v>
      </c>
      <c r="N53" s="151">
        <f t="shared" si="40"/>
        <v>166489</v>
      </c>
      <c r="O53" s="150">
        <f t="shared" ref="O53:O55" si="42">IF(L53&gt;0,N53*100/L53,0)</f>
        <v>36.13042535</v>
      </c>
      <c r="P53" s="150">
        <f t="shared" ref="P53:P55" si="43">IF(M53&gt;0,N53*100/M53,0)</f>
        <v>67.21939599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460800</v>
      </c>
      <c r="M55" s="151">
        <f t="shared" si="44"/>
        <v>247680</v>
      </c>
      <c r="N55" s="151">
        <f t="shared" si="44"/>
        <v>166489</v>
      </c>
      <c r="O55" s="150">
        <f t="shared" si="42"/>
        <v>36.13042535</v>
      </c>
      <c r="P55" s="150">
        <f t="shared" si="43"/>
        <v>67.21939599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460800</v>
      </c>
      <c r="M57" s="115">
        <f>IFERROR(__xludf.DUMMYFUNCTION("IMPORTRANGE(""https://docs.google.com/spreadsheets/d/1Yj_ptqi66GCucihVvJfMjLAmec39IyEx_6qawtMGysU/edit?usp=sharing"",""สบก!Z57"")"),247680.0)</f>
        <v>247680</v>
      </c>
      <c r="N57" s="115">
        <f>IFERROR(__xludf.DUMMYFUNCTION("IMPORTRANGE(""https://docs.google.com/spreadsheets/d/1Yj_ptqi66GCucihVvJfMjLAmec39IyEx_6qawtMGysU/edit?usp=sharing"",""สบก!AA57"")"),166489.0)</f>
        <v>166489</v>
      </c>
      <c r="O57" s="116">
        <f>IF(L57&gt;0,N57*100/L57,0)</f>
        <v>36.13042535</v>
      </c>
      <c r="P57" s="116">
        <f>IF(M57&gt;0,N57*100/M57,0)</f>
        <v>67.21939599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IFERROR(__xludf.DUMMYFUNCTION("IMPORTRANGE(""https://docs.google.com/spreadsheets/d/1Yj_ptqi66GCucihVvJfMjLAmec39IyEx_6qawtMGysU/edit?usp=sharing"",""สบก!V57"")"),460800.0)</f>
        <v>460800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IFERROR(__xludf.DUMMYFUNCTION("IMPORTRANGE(""https://docs.google.com/spreadsheets/d/1Yj_ptqi66GCucihVvJfMjLAmec39IyEx_6qawtMGysU/edit?usp=sharing"",""สบก!W57"")"),0.0)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IFERROR(__xludf.DUMMYFUNCTION("IMPORTRANGE(""https://docs.google.com/spreadsheets/d/1Yj_ptqi66GCucihVvJfMjLAmec39IyEx_6qawtMGysU/edit?usp=sharing"",""สบก!X57"")"),0.0)</f>
        <v>0</v>
      </c>
      <c r="M61" s="125"/>
      <c r="N61" s="115">
        <f>IFERROR(__xludf.DUMMYFUNCTION("IMPORTRANGE(""https://docs.google.com/spreadsheets/d/1Yj_ptqi66GCucihVvJfMjLAmec39IyEx_6qawtMGysU/edit?usp=sharing"",""สบก!AB57"")"),0.0)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IFERROR(__xludf.DUMMYFUNCTION("IMPORTRANGE(""https://docs.google.com/spreadsheets/d/1XL5vhW3sbDhbH9Cz0tuDiY8C3ctxq1tqvaCgkFb8cCA/edit?usp=sharing"",""อุบลราชธานี!I9"")"),0.0)</f>
        <v>0</v>
      </c>
      <c r="J64" s="172">
        <f>IFERROR(__xludf.DUMMYFUNCTION("IMPORTRANGE(""https://docs.google.com/spreadsheets/d/1XL5vhW3sbDhbH9Cz0tuDiY8C3ctxq1tqvaCgkFb8cCA/edit?usp=sharing"",""อุบลราชธานี!J9"")"),0.0)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IFERROR(__xludf.DUMMYFUNCTION("IMPORTRANGE(""https://docs.google.com/spreadsheets/d/1XL5vhW3sbDhbH9Cz0tuDiY8C3ctxq1tqvaCgkFb8cCA/edit?usp=sharing"",""อุบลราชธานี!I10"")"),0.0)</f>
        <v>0</v>
      </c>
      <c r="J65" s="172">
        <f>IFERROR(__xludf.DUMMYFUNCTION("IMPORTRANGE(""https://docs.google.com/spreadsheets/d/1XL5vhW3sbDhbH9Cz0tuDiY8C3ctxq1tqvaCgkFb8cCA/edit?usp=sharing"",""อุบลราชธานี!J10"")"),0.0)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IFERROR(__xludf.DUMMYFUNCTION("IMPORTRANGE(""https://docs.google.com/spreadsheets/d/1Yj_ptqi66GCucihVvJfMjLAmec39IyEx_6qawtMGysU/edit?usp=sharing"",""สบก!AI57"")"),0.0)</f>
        <v>0</v>
      </c>
      <c r="N70" s="202">
        <f>IFERROR(__xludf.DUMMYFUNCTION("IMPORTRANGE(""https://docs.google.com/spreadsheets/d/1Yj_ptqi66GCucihVvJfMjLAmec39IyEx_6qawtMGysU/edit?usp=sharing"",""สบก!AJ57"")"),0.0)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IFERROR(__xludf.DUMMYFUNCTION("IMPORTRANGE(""https://docs.google.com/spreadsheets/d/1Yj_ptqi66GCucihVvJfMjLAmec39IyEx_6qawtMGysU/edit?usp=sharing"",""สบก!AE57"")"),0.0)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IFERROR(__xludf.DUMMYFUNCTION("IMPORTRANGE(""https://docs.google.com/spreadsheets/d/1Yj_ptqi66GCucihVvJfMjLAmec39IyEx_6qawtMGysU/edit?usp=sharing"",""สบก!AF57"")"),0.0)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IFERROR(__xludf.DUMMYFUNCTION("IMPORTRANGE(""https://docs.google.com/spreadsheets/d/1Yj_ptqi66GCucihVvJfMjLAmec39IyEx_6qawtMGysU/edit?usp=sharing"",""สบก!AG57"")"),0.0)</f>
        <v>0</v>
      </c>
      <c r="M74" s="125"/>
      <c r="N74" s="115">
        <f>IFERROR(__xludf.DUMMYFUNCTION("IMPORTRANGE(""https://docs.google.com/spreadsheets/d/1Yj_ptqi66GCucihVvJfMjLAmec39IyEx_6qawtMGysU/edit?usp=sharing"",""สบก!AK57"")"),0.0)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IFERROR(__xludf.DUMMYFUNCTION("IMPORTRANGE(""https://docs.google.com/spreadsheets/d/1XL5vhW3sbDhbH9Cz0tuDiY8C3ctxq1tqvaCgkFb8cCA/edit?usp=sharing"",""อุบลราชธานี!J16"")"),0.0)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IFERROR(__xludf.DUMMYFUNCTION("IMPORTRANGE(""https://docs.google.com/spreadsheets/d/1XL5vhW3sbDhbH9Cz0tuDiY8C3ctxq1tqvaCgkFb8cCA/edit?usp=sharing"",""อุบลราชธานี!J17"")"),0.0)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IFERROR(__xludf.DUMMYFUNCTION("IMPORTRANGE(""https://docs.google.com/spreadsheets/d/1XL5vhW3sbDhbH9Cz0tuDiY8C3ctxq1tqvaCgkFb8cCA/edit?usp=sharing"",""อุบลราชธานี!J18"")"),0.0)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IFERROR(__xludf.DUMMYFUNCTION("IMPORTRANGE(""https://docs.google.com/spreadsheets/d/1XL5vhW3sbDhbH9Cz0tuDiY8C3ctxq1tqvaCgkFb8cCA/edit?usp=sharing"",""อุบลราชธานี!J19"")"),0.0)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IFERROR(__xludf.DUMMYFUNCTION("IMPORTRANGE(""https://docs.google.com/spreadsheets/d/1XL5vhW3sbDhbH9Cz0tuDiY8C3ctxq1tqvaCgkFb8cCA/edit?usp=sharing"",""อุบลราชธานี!I20"")"),0.0)</f>
        <v>0</v>
      </c>
      <c r="J80" s="235">
        <f>IFERROR(__xludf.DUMMYFUNCTION("IMPORTRANGE(""https://docs.google.com/spreadsheets/d/1XL5vhW3sbDhbH9Cz0tuDiY8C3ctxq1tqvaCgkFb8cCA/edit?usp=sharing"",""อุบลราชธานี!J20"")"),0.0)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IFERROR(__xludf.DUMMYFUNCTION("IMPORTRANGE(""https://docs.google.com/spreadsheets/d/1XL5vhW3sbDhbH9Cz0tuDiY8C3ctxq1tqvaCgkFb8cCA/edit?usp=sharing"",""อุบลราชธานี!I21"")"),0.0)</f>
        <v>0</v>
      </c>
      <c r="J81" s="235">
        <f>IFERROR(__xludf.DUMMYFUNCTION("IMPORTRANGE(""https://docs.google.com/spreadsheets/d/1XL5vhW3sbDhbH9Cz0tuDiY8C3ctxq1tqvaCgkFb8cCA/edit?usp=sharing"",""อุบลราชธานี!J21"")"),0.0)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IFERROR(__xludf.DUMMYFUNCTION("IMPORTRANGE(""https://docs.google.com/spreadsheets/d/1XL5vhW3sbDhbH9Cz0tuDiY8C3ctxq1tqvaCgkFb8cCA/edit?usp=sharing"",""อุบลราชธานี!I22"")"),0.0)</f>
        <v>0</v>
      </c>
      <c r="J82" s="238">
        <f>IFERROR(__xludf.DUMMYFUNCTION("IMPORTRANGE(""https://docs.google.com/spreadsheets/d/1XL5vhW3sbDhbH9Cz0tuDiY8C3ctxq1tqvaCgkFb8cCA/edit?usp=sharing"",""อุบลราชธานี!J22"")"),0.0)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IFERROR(__xludf.DUMMYFUNCTION("IMPORTRANGE(""https://docs.google.com/spreadsheets/d/1XL5vhW3sbDhbH9Cz0tuDiY8C3ctxq1tqvaCgkFb8cCA/edit?usp=sharing"",""อุบลราชธานี!I23"")"),0.0)</f>
        <v>0</v>
      </c>
      <c r="J83" s="238">
        <f>IFERROR(__xludf.DUMMYFUNCTION("IMPORTRANGE(""https://docs.google.com/spreadsheets/d/1XL5vhW3sbDhbH9Cz0tuDiY8C3ctxq1tqvaCgkFb8cCA/edit?usp=sharing"",""อุบลราชธานี!J23"")"),0.0)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IFERROR(__xludf.DUMMYFUNCTION("IMPORTRANGE(""https://docs.google.com/spreadsheets/d/1XL5vhW3sbDhbH9Cz0tuDiY8C3ctxq1tqvaCgkFb8cCA/edit?usp=sharing"",""อุบลราชธานี!I24"")"),0.0)</f>
        <v>0</v>
      </c>
      <c r="J84" s="223">
        <f>IFERROR(__xludf.DUMMYFUNCTION("IMPORTRANGE(""https://docs.google.com/spreadsheets/d/1XL5vhW3sbDhbH9Cz0tuDiY8C3ctxq1tqvaCgkFb8cCA/edit?usp=sharing"",""อุบลราชธานี!J24"")"),0.0)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IFERROR(__xludf.DUMMYFUNCTION("IMPORTRANGE(""https://docs.google.com/spreadsheets/d/1XL5vhW3sbDhbH9Cz0tuDiY8C3ctxq1tqvaCgkFb8cCA/edit?usp=sharing"",""อุบลราชธานี!I25"")"),0.0)</f>
        <v>0</v>
      </c>
      <c r="J85" s="223">
        <f>IFERROR(__xludf.DUMMYFUNCTION("IMPORTRANGE(""https://docs.google.com/spreadsheets/d/1XL5vhW3sbDhbH9Cz0tuDiY8C3ctxq1tqvaCgkFb8cCA/edit?usp=sharing"",""อุบลราชธานี!J25"")"),0.0)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IFERROR(__xludf.DUMMYFUNCTION("IMPORTRANGE(""https://docs.google.com/spreadsheets/d/1XL5vhW3sbDhbH9Cz0tuDiY8C3ctxq1tqvaCgkFb8cCA/edit?usp=sharing"",""อุบลราชธานี!I26"")"),0.0)</f>
        <v>0</v>
      </c>
      <c r="J86" s="238">
        <f>IFERROR(__xludf.DUMMYFUNCTION("IMPORTRANGE(""https://docs.google.com/spreadsheets/d/1XL5vhW3sbDhbH9Cz0tuDiY8C3ctxq1tqvaCgkFb8cCA/edit?usp=sharing"",""อุบลราชธานี!J26"")"),0.0)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IFERROR(__xludf.DUMMYFUNCTION("IMPORTRANGE(""https://docs.google.com/spreadsheets/d/1XL5vhW3sbDhbH9Cz0tuDiY8C3ctxq1tqvaCgkFb8cCA/edit?usp=sharing"",""อุบลราชธานี!I27"")"),0.0)</f>
        <v>0</v>
      </c>
      <c r="J87" s="238">
        <f>IFERROR(__xludf.DUMMYFUNCTION("IMPORTRANGE(""https://docs.google.com/spreadsheets/d/1XL5vhW3sbDhbH9Cz0tuDiY8C3ctxq1tqvaCgkFb8cCA/edit?usp=sharing"",""อุบลราชธานี!J27"")"),0.0)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IFERROR(__xludf.DUMMYFUNCTION("IMPORTRANGE(""https://docs.google.com/spreadsheets/d/1XL5vhW3sbDhbH9Cz0tuDiY8C3ctxq1tqvaCgkFb8cCA/edit?usp=sharing"",""อุบลราชธานี!I28"")"),0.0)</f>
        <v>0</v>
      </c>
      <c r="J88" s="238">
        <f>IFERROR(__xludf.DUMMYFUNCTION("IMPORTRANGE(""https://docs.google.com/spreadsheets/d/1XL5vhW3sbDhbH9Cz0tuDiY8C3ctxq1tqvaCgkFb8cCA/edit?usp=sharing"",""อุบลราชธานี!J28"")"),0.0)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IFERROR(__xludf.DUMMYFUNCTION("IMPORTRANGE(""https://docs.google.com/spreadsheets/d/1XL5vhW3sbDhbH9Cz0tuDiY8C3ctxq1tqvaCgkFb8cCA/edit?usp=sharing"",""อุบลราชธานี!J29"")"),0.0)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IFERROR(__xludf.DUMMYFUNCTION("IMPORTRANGE(""https://docs.google.com/spreadsheets/d/1XL5vhW3sbDhbH9Cz0tuDiY8C3ctxq1tqvaCgkFb8cCA/edit?usp=sharing"",""อุบลราชธานี!J30"")"),0.0)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IFERROR(__xludf.DUMMYFUNCTION("IMPORTRANGE(""https://docs.google.com/spreadsheets/d/1XL5vhW3sbDhbH9Cz0tuDiY8C3ctxq1tqvaCgkFb8cCA/edit?usp=sharing"",""อุบลราชธานี!I32"")"),4.0)</f>
        <v>4</v>
      </c>
      <c r="J92" s="172">
        <f>IFERROR(__xludf.DUMMYFUNCTION("IMPORTRANGE(""https://docs.google.com/spreadsheets/d/1XL5vhW3sbDhbH9Cz0tuDiY8C3ctxq1tqvaCgkFb8cCA/edit?usp=sharing"",""อุบลราชธานี!J32"")"),0.0)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IFERROR(__xludf.DUMMYFUNCTION("IMPORTRANGE(""https://docs.google.com/spreadsheets/d/1XL5vhW3sbDhbH9Cz0tuDiY8C3ctxq1tqvaCgkFb8cCA/edit?usp=sharing"",""อุบลราชธานี!I33"")"),1.0)</f>
        <v>1</v>
      </c>
      <c r="J93" s="172">
        <f>IFERROR(__xludf.DUMMYFUNCTION("IMPORTRANGE(""https://docs.google.com/spreadsheets/d/1XL5vhW3sbDhbH9Cz0tuDiY8C3ctxq1tqvaCgkFb8cCA/edit?usp=sharing"",""อุบลราชธานี!J33"")"),0.0)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135139</v>
      </c>
      <c r="O94" s="182">
        <f t="shared" ref="O94:O96" si="55">IF(L94&gt;0,N94*100/L94,0)</f>
        <v>63.0018648</v>
      </c>
      <c r="P94" s="182">
        <f t="shared" ref="P94:P96" si="56">IF(M94&gt;0,N94*100/M94,0)</f>
        <v>196.6230176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135139</v>
      </c>
      <c r="O96" s="187">
        <f t="shared" si="55"/>
        <v>63.0018648</v>
      </c>
      <c r="P96" s="187">
        <f t="shared" si="56"/>
        <v>196.6230176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IFERROR(__xludf.DUMMYFUNCTION("IMPORTRANGE(""https://docs.google.com/spreadsheets/d/1Yj_ptqi66GCucihVvJfMjLAmec39IyEx_6qawtMGysU/edit?usp=sharing"",""สบก!AR57"")"),68730.0)</f>
        <v>68730</v>
      </c>
      <c r="N98" s="202">
        <f>IFERROR(__xludf.DUMMYFUNCTION("IMPORTRANGE(""https://docs.google.com/spreadsheets/d/1Yj_ptqi66GCucihVvJfMjLAmec39IyEx_6qawtMGysU/edit?usp=sharing"",""สบก!AS57"")"),43139.0)</f>
        <v>43139</v>
      </c>
      <c r="O98" s="203">
        <f>IF(L98&gt;0,N98*100/L98,0)</f>
        <v>35.33087633</v>
      </c>
      <c r="P98" s="203">
        <f>IF(M98&gt;0,N98*100/M98,0)</f>
        <v>62.76589553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IFERROR(__xludf.DUMMYFUNCTION("IMPORTRANGE(""https://docs.google.com/spreadsheets/d/1Yj_ptqi66GCucihVvJfMjLAmec39IyEx_6qawtMGysU/edit?usp=sharing"",""สบก!AN57"")"),0.0)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IFERROR(__xludf.DUMMYFUNCTION("IMPORTRANGE(""https://docs.google.com/spreadsheets/d/1Yj_ptqi66GCucihVvJfMjLAmec39IyEx_6qawtMGysU/edit?usp=sharing"",""สบก!AO57"")"),122100.0)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IFERROR(__xludf.DUMMYFUNCTION("IMPORTRANGE(""https://docs.google.com/spreadsheets/d/1Yj_ptqi66GCucihVvJfMjLAmec39IyEx_6qawtMGysU/edit?usp=sharing"",""สบก!AP57"")"),92400.0)</f>
        <v>92400</v>
      </c>
      <c r="M102" s="125"/>
      <c r="N102" s="115">
        <f>IFERROR(__xludf.DUMMYFUNCTION("IMPORTRANGE(""https://docs.google.com/spreadsheets/d/1Yj_ptqi66GCucihVvJfMjLAmec39IyEx_6qawtMGysU/edit?usp=sharing"",""สบก!AT57"")"),92000.0)</f>
        <v>92000</v>
      </c>
      <c r="O102" s="125">
        <f>IF(L102&gt;0,N102*100/L102,0)</f>
        <v>99.56709957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IFERROR(__xludf.DUMMYFUNCTION("IMPORTRANGE(""https://docs.google.com/spreadsheets/d/1XL5vhW3sbDhbH9Cz0tuDiY8C3ctxq1tqvaCgkFb8cCA/edit?usp=sharing"",""อุบลราชธานี!J39"")"),0.0)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IFERROR(__xludf.DUMMYFUNCTION("IMPORTRANGE(""https://docs.google.com/spreadsheets/d/1XL5vhW3sbDhbH9Cz0tuDiY8C3ctxq1tqvaCgkFb8cCA/edit?usp=sharing"",""อุบลราชธานี!J40"")"),1.0)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IFERROR(__xludf.DUMMYFUNCTION("IMPORTRANGE(""https://docs.google.com/spreadsheets/d/1XL5vhW3sbDhbH9Cz0tuDiY8C3ctxq1tqvaCgkFb8cCA/edit?usp=sharing"",""อุบลราชธานี!J41"")"),1.0)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IFERROR(__xludf.DUMMYFUNCTION("IMPORTRANGE(""https://docs.google.com/spreadsheets/d/1XL5vhW3sbDhbH9Cz0tuDiY8C3ctxq1tqvaCgkFb8cCA/edit?usp=sharing"",""อุบลราชธานี!J42"")"),1.0)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IFERROR(__xludf.DUMMYFUNCTION("IMPORTRANGE(""https://docs.google.com/spreadsheets/d/1XL5vhW3sbDhbH9Cz0tuDiY8C3ctxq1tqvaCgkFb8cCA/edit?usp=sharing"",""อุบลราชธานี!I43"")"),1.0)</f>
        <v>1</v>
      </c>
      <c r="J108" s="238">
        <f>IFERROR(__xludf.DUMMYFUNCTION("IMPORTRANGE(""https://docs.google.com/spreadsheets/d/1XL5vhW3sbDhbH9Cz0tuDiY8C3ctxq1tqvaCgkFb8cCA/edit?usp=sharing"",""อุบลราชธานี!J43"")"),0.0)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IFERROR(__xludf.DUMMYFUNCTION("IMPORTRANGE(""https://docs.google.com/spreadsheets/d/1XL5vhW3sbDhbH9Cz0tuDiY8C3ctxq1tqvaCgkFb8cCA/edit?usp=sharing"",""อุบลราชธานี!I44"")"),4.0)</f>
        <v>4</v>
      </c>
      <c r="J109" s="238">
        <f>IFERROR(__xludf.DUMMYFUNCTION("IMPORTRANGE(""https://docs.google.com/spreadsheets/d/1XL5vhW3sbDhbH9Cz0tuDiY8C3ctxq1tqvaCgkFb8cCA/edit?usp=sharing"",""อุบลราชธานี!J44"")"),0.0)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IFERROR(__xludf.DUMMYFUNCTION("IMPORTRANGE(""https://docs.google.com/spreadsheets/d/1XL5vhW3sbDhbH9Cz0tuDiY8C3ctxq1tqvaCgkFb8cCA/edit?usp=sharing"",""อุบลราชธานี!I45"")"),4.0)</f>
        <v>4</v>
      </c>
      <c r="J110" s="238">
        <f>IFERROR(__xludf.DUMMYFUNCTION("IMPORTRANGE(""https://docs.google.com/spreadsheets/d/1XL5vhW3sbDhbH9Cz0tuDiY8C3ctxq1tqvaCgkFb8cCA/edit?usp=sharing"",""อุบลราชธานี!J45"")"),4.0)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IFERROR(__xludf.DUMMYFUNCTION("IMPORTRANGE(""https://docs.google.com/spreadsheets/d/1XL5vhW3sbDhbH9Cz0tuDiY8C3ctxq1tqvaCgkFb8cCA/edit?usp=sharing"",""อุบลราชธานี!I46"")"),4.0)</f>
        <v>4</v>
      </c>
      <c r="J111" s="238">
        <f>IFERROR(__xludf.DUMMYFUNCTION("IMPORTRANGE(""https://docs.google.com/spreadsheets/d/1XL5vhW3sbDhbH9Cz0tuDiY8C3ctxq1tqvaCgkFb8cCA/edit?usp=sharing"",""อุบลราชธานี!J46"")"),4.0)</f>
        <v>4</v>
      </c>
      <c r="K111" s="258">
        <f t="shared" si="58"/>
        <v>100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IFERROR(__xludf.DUMMYFUNCTION("IMPORTRANGE(""https://docs.google.com/spreadsheets/d/1XL5vhW3sbDhbH9Cz0tuDiY8C3ctxq1tqvaCgkFb8cCA/edit?usp=sharing"",""อุบลราชธานี!I47"")"),4.0)</f>
        <v>4</v>
      </c>
      <c r="J112" s="238">
        <f>IFERROR(__xludf.DUMMYFUNCTION("IMPORTRANGE(""https://docs.google.com/spreadsheets/d/1XL5vhW3sbDhbH9Cz0tuDiY8C3ctxq1tqvaCgkFb8cCA/edit?usp=sharing"",""อุบลราชธานี!J47"")"),0.0)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IFERROR(__xludf.DUMMYFUNCTION("IMPORTRANGE(""https://docs.google.com/spreadsheets/d/1XL5vhW3sbDhbH9Cz0tuDiY8C3ctxq1tqvaCgkFb8cCA/edit?usp=sharing"",""อุบลราชธานี!I48"")"),1.0)</f>
        <v>1</v>
      </c>
      <c r="J113" s="238">
        <f>IFERROR(__xludf.DUMMYFUNCTION("IMPORTRANGE(""https://docs.google.com/spreadsheets/d/1XL5vhW3sbDhbH9Cz0tuDiY8C3ctxq1tqvaCgkFb8cCA/edit?usp=sharing"",""อุบลราชธานี!J48"")"),0.0)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IFERROR(__xludf.DUMMYFUNCTION("IMPORTRANGE(""https://docs.google.com/spreadsheets/d/1XL5vhW3sbDhbH9Cz0tuDiY8C3ctxq1tqvaCgkFb8cCA/edit?usp=sharing"",""อุบลราชธานี!J49"")"),0.0)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IFERROR(__xludf.DUMMYFUNCTION("IMPORTRANGE(""https://docs.google.com/spreadsheets/d/1XL5vhW3sbDhbH9Cz0tuDiY8C3ctxq1tqvaCgkFb8cCA/edit?usp=sharing"",""อุบลราชธานี!J50"")"),0.0)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IFERROR(__xludf.DUMMYFUNCTION("IMPORTRANGE(""https://docs.google.com/spreadsheets/d/1XL5vhW3sbDhbH9Cz0tuDiY8C3ctxq1tqvaCgkFb8cCA/edit?usp=sharing"",""อุบลราชธานี!I52"")"),0.0)</f>
        <v>0</v>
      </c>
      <c r="J117" s="172">
        <f>IFERROR(__xludf.DUMMYFUNCTION("IMPORTRANGE(""https://docs.google.com/spreadsheets/d/1XL5vhW3sbDhbH9Cz0tuDiY8C3ctxq1tqvaCgkFb8cCA/edit?usp=sharing"",""อุบลราชธานี!J52"")"),0.0)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IFERROR(__xludf.DUMMYFUNCTION("IMPORTRANGE(""https://docs.google.com/spreadsheets/d/1Yj_ptqi66GCucihVvJfMjLAmec39IyEx_6qawtMGysU/edit?usp=sharing"",""สบก!BA57"")"),0.0)</f>
        <v>0</v>
      </c>
      <c r="N122" s="202">
        <f>IFERROR(__xludf.DUMMYFUNCTION("IMPORTRANGE(""https://docs.google.com/spreadsheets/d/1Yj_ptqi66GCucihVvJfMjLAmec39IyEx_6qawtMGysU/edit?usp=sharing"",""สบก!BB57"")"),0.0)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IFERROR(__xludf.DUMMYFUNCTION("IMPORTRANGE(""https://docs.google.com/spreadsheets/d/1Yj_ptqi66GCucihVvJfMjLAmec39IyEx_6qawtMGysU/edit?usp=sharing"",""สบก!AW57"")"),0.0)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IFERROR(__xludf.DUMMYFUNCTION("IMPORTRANGE(""https://docs.google.com/spreadsheets/d/1Yj_ptqi66GCucihVvJfMjLAmec39IyEx_6qawtMGysU/edit?usp=sharing"",""สบก!AX57"")"),0.0)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IFERROR(__xludf.DUMMYFUNCTION("IMPORTRANGE(""https://docs.google.com/spreadsheets/d/1Yj_ptqi66GCucihVvJfMjLAmec39IyEx_6qawtMGysU/edit?usp=sharing"",""สบก!AY57"")"),0.0)</f>
        <v>0</v>
      </c>
      <c r="M126" s="125"/>
      <c r="N126" s="115">
        <f>IFERROR(__xludf.DUMMYFUNCTION("IMPORTRANGE(""https://docs.google.com/spreadsheets/d/1Yj_ptqi66GCucihVvJfMjLAmec39IyEx_6qawtMGysU/edit?usp=sharing"",""สบก!BC57"")"),0.0)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278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IFERROR(__xludf.DUMMYFUNCTION("IMPORTRANGE(""https://docs.google.com/spreadsheets/d/1XL5vhW3sbDhbH9Cz0tuDiY8C3ctxq1tqvaCgkFb8cCA/edit?usp=sharing"",""อุบลราชธานี!J58"")"),0.0)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IFERROR(__xludf.DUMMYFUNCTION("IMPORTRANGE(""https://docs.google.com/spreadsheets/d/1XL5vhW3sbDhbH9Cz0tuDiY8C3ctxq1tqvaCgkFb8cCA/edit?usp=sharing"",""อุบลราชธานี!J59"")"),0.0)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IFERROR(__xludf.DUMMYFUNCTION("IMPORTRANGE(""https://docs.google.com/spreadsheets/d/1XL5vhW3sbDhbH9Cz0tuDiY8C3ctxq1tqvaCgkFb8cCA/edit?usp=sharing"",""อุบลราชธานี!J60"")"),0.0)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IFERROR(__xludf.DUMMYFUNCTION("IMPORTRANGE(""https://docs.google.com/spreadsheets/d/1XL5vhW3sbDhbH9Cz0tuDiY8C3ctxq1tqvaCgkFb8cCA/edit?usp=sharing"",""อุบลราชธานี!J61"")"),0.0)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IFERROR(__xludf.DUMMYFUNCTION("IMPORTRANGE(""https://docs.google.com/spreadsheets/d/1XL5vhW3sbDhbH9Cz0tuDiY8C3ctxq1tqvaCgkFb8cCA/edit?usp=sharing"",""อุบลราชธานี!I62"")"),0.0)</f>
        <v>0</v>
      </c>
      <c r="J132" s="238">
        <f>IFERROR(__xludf.DUMMYFUNCTION("IMPORTRANGE(""https://docs.google.com/spreadsheets/d/1XL5vhW3sbDhbH9Cz0tuDiY8C3ctxq1tqvaCgkFb8cCA/edit?usp=sharing"",""อุบลราชธานี!J62"")"),0.0)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IFERROR(__xludf.DUMMYFUNCTION("IMPORTRANGE(""https://docs.google.com/spreadsheets/d/1XL5vhW3sbDhbH9Cz0tuDiY8C3ctxq1tqvaCgkFb8cCA/edit?usp=sharing"",""อุบลราชธานี!I63"")"),0.0)</f>
        <v>0</v>
      </c>
      <c r="J133" s="238">
        <f>IFERROR(__xludf.DUMMYFUNCTION("IMPORTRANGE(""https://docs.google.com/spreadsheets/d/1XL5vhW3sbDhbH9Cz0tuDiY8C3ctxq1tqvaCgkFb8cCA/edit?usp=sharing"",""อุบลราชธานี!J63"")"),0.0)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IFERROR(__xludf.DUMMYFUNCTION("IMPORTRANGE(""https://docs.google.com/spreadsheets/d/1XL5vhW3sbDhbH9Cz0tuDiY8C3ctxq1tqvaCgkFb8cCA/edit?usp=sharing"",""อุบลราชธานี!J64"")"),0.0)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IFERROR(__xludf.DUMMYFUNCTION("IMPORTRANGE(""https://docs.google.com/spreadsheets/d/1XL5vhW3sbDhbH9Cz0tuDiY8C3ctxq1tqvaCgkFb8cCA/edit?usp=sharing"",""อุบลราชธานี!J65"")"),0.0)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IFERROR(__xludf.DUMMYFUNCTION("IMPORTRANGE(""https://docs.google.com/spreadsheets/d/1XL5vhW3sbDhbH9Cz0tuDiY8C3ctxq1tqvaCgkFb8cCA/edit?usp=sharing"",""อุบลราชธานี!I68"")"),50.0)</f>
        <v>50</v>
      </c>
      <c r="J138" s="301">
        <f>IFERROR(__xludf.DUMMYFUNCTION("IMPORTRANGE(""https://docs.google.com/spreadsheets/d/1XL5vhW3sbDhbH9Cz0tuDiY8C3ctxq1tqvaCgkFb8cCA/edit?usp=sharing"",""อุบลราชธานี!J68"")"),50.0)</f>
        <v>50</v>
      </c>
      <c r="K138" s="302">
        <f>IF(I138&gt;0,J138*100/I138,0)</f>
        <v>100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912850</v>
      </c>
      <c r="M140" s="183">
        <f t="shared" si="65"/>
        <v>466100</v>
      </c>
      <c r="N140" s="183">
        <f t="shared" si="65"/>
        <v>286804</v>
      </c>
      <c r="O140" s="182">
        <f t="shared" ref="O140:O142" si="67">IF(L140&gt;0,N140*100/L140,0)</f>
        <v>31.4185244</v>
      </c>
      <c r="P140" s="182">
        <f t="shared" ref="P140:P142" si="68">IF(M140&gt;0,N140*100/M140,0)</f>
        <v>61.5327183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912850</v>
      </c>
      <c r="M142" s="188">
        <f t="shared" si="69"/>
        <v>466100</v>
      </c>
      <c r="N142" s="188">
        <f t="shared" si="69"/>
        <v>286804</v>
      </c>
      <c r="O142" s="187">
        <f t="shared" si="67"/>
        <v>31.4185244</v>
      </c>
      <c r="P142" s="187">
        <f t="shared" si="68"/>
        <v>61.5327183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912850</v>
      </c>
      <c r="M144" s="201">
        <f>IFERROR(__xludf.DUMMYFUNCTION("IMPORTRANGE(""https://docs.google.com/spreadsheets/d/1Yj_ptqi66GCucihVvJfMjLAmec39IyEx_6qawtMGysU/edit?usp=sharing"",""สบก!BJ57"")"),466100.0)</f>
        <v>466100</v>
      </c>
      <c r="N144" s="202">
        <f>IFERROR(__xludf.DUMMYFUNCTION("IMPORTRANGE(""https://docs.google.com/spreadsheets/d/1Yj_ptqi66GCucihVvJfMjLAmec39IyEx_6qawtMGysU/edit?usp=sharing"",""สบก!BK57"")"),286804.0)</f>
        <v>286804</v>
      </c>
      <c r="O144" s="203">
        <f>IF(L144&gt;0,N144*100/L144,0)</f>
        <v>31.4185244</v>
      </c>
      <c r="P144" s="203">
        <f>IF(M144&gt;0,N144*100/M144,0)</f>
        <v>61.5327183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IFERROR(__xludf.DUMMYFUNCTION("IMPORTRANGE(""https://docs.google.com/spreadsheets/d/1Yj_ptqi66GCucihVvJfMjLAmec39IyEx_6qawtMGysU/edit?usp=sharing"",""สบก!BF57"")"),469000.0)</f>
        <v>469000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IFERROR(__xludf.DUMMYFUNCTION("IMPORTRANGE(""https://docs.google.com/spreadsheets/d/1Yj_ptqi66GCucihVvJfMjLAmec39IyEx_6qawtMGysU/edit?usp=sharing"",""สบก!BG57"")"),443850.0)</f>
        <v>443850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IFERROR(__xludf.DUMMYFUNCTION("IMPORTRANGE(""https://docs.google.com/spreadsheets/d/1Yj_ptqi66GCucihVvJfMjLAmec39IyEx_6qawtMGysU/edit?usp=sharing"",""สบก!BH57"")"),0.0)</f>
        <v>0</v>
      </c>
      <c r="M148" s="125"/>
      <c r="N148" s="115">
        <f>IFERROR(__xludf.DUMMYFUNCTION("IMPORTRANGE(""https://docs.google.com/spreadsheets/d/1Yj_ptqi66GCucihVvJfMjLAmec39IyEx_6qawtMGysU/edit?usp=sharing"",""สบก!BL57"")"),0.0)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IFERROR(__xludf.DUMMYFUNCTION("IMPORTRANGE(""https://docs.google.com/spreadsheets/d/1XL5vhW3sbDhbH9Cz0tuDiY8C3ctxq1tqvaCgkFb8cCA/edit?usp=sharing"",""อุบลราชธานี!I74"")"),4.0)</f>
        <v>4</v>
      </c>
      <c r="J149" s="309">
        <f>IFERROR(__xludf.DUMMYFUNCTION("IMPORTRANGE(""https://docs.google.com/spreadsheets/d/1XL5vhW3sbDhbH9Cz0tuDiY8C3ctxq1tqvaCgkFb8cCA/edit?usp=sharing"",""อุบลราชธานี!J74"")"),1.0)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IFERROR(__xludf.DUMMYFUNCTION("IMPORTRANGE(""https://docs.google.com/spreadsheets/d/1XL5vhW3sbDhbH9Cz0tuDiY8C3ctxq1tqvaCgkFb8cCA/edit?usp=sharing"",""อุบลราชธานี!J79"")"),0.0)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IFERROR(__xludf.DUMMYFUNCTION("IMPORTRANGE(""https://docs.google.com/spreadsheets/d/1XL5vhW3sbDhbH9Cz0tuDiY8C3ctxq1tqvaCgkFb8cCA/edit?usp=sharing"",""อุบลราชธานี!J80"")"),1.0)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IFERROR(__xludf.DUMMYFUNCTION("IMPORTRANGE(""https://docs.google.com/spreadsheets/d/1XL5vhW3sbDhbH9Cz0tuDiY8C3ctxq1tqvaCgkFb8cCA/edit?usp=sharing"",""อุบลราชธานี!J81"")"),1.0)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IFERROR(__xludf.DUMMYFUNCTION("IMPORTRANGE(""https://docs.google.com/spreadsheets/d/1XL5vhW3sbDhbH9Cz0tuDiY8C3ctxq1tqvaCgkFb8cCA/edit?usp=sharing"",""อุบลราชธานี!J82"")"),1.0)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IFERROR(__xludf.DUMMYFUNCTION("IMPORTRANGE(""https://docs.google.com/spreadsheets/d/1XL5vhW3sbDhbH9Cz0tuDiY8C3ctxq1tqvaCgkFb8cCA/edit?usp=sharing"",""อุบลราชธานี!I83"")"),4.0)</f>
        <v>4</v>
      </c>
      <c r="J158" s="223">
        <f>IFERROR(__xludf.DUMMYFUNCTION("IMPORTRANGE(""https://docs.google.com/spreadsheets/d/1XL5vhW3sbDhbH9Cz0tuDiY8C3ctxq1tqvaCgkFb8cCA/edit?usp=sharing"",""อุบลราชธานี!J83"")"),1.0)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IFERROR(__xludf.DUMMYFUNCTION("IMPORTRANGE(""https://docs.google.com/spreadsheets/d/1XL5vhW3sbDhbH9Cz0tuDiY8C3ctxq1tqvaCgkFb8cCA/edit?usp=sharing"",""อุบลราชธานี!J84"")"),50.0)</f>
        <v>50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IFERROR(__xludf.DUMMYFUNCTION("IMPORTRANGE(""https://docs.google.com/spreadsheets/d/1XL5vhW3sbDhbH9Cz0tuDiY8C3ctxq1tqvaCgkFb8cCA/edit?usp=sharing"",""อุบลราชธานี!J85"")"),50.0)</f>
        <v>50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IFERROR(__xludf.DUMMYFUNCTION("IMPORTRANGE(""https://docs.google.com/spreadsheets/d/1XL5vhW3sbDhbH9Cz0tuDiY8C3ctxq1tqvaCgkFb8cCA/edit?usp=sharing"",""อุบลราชธานี!J86"")"),0.0)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IFERROR(__xludf.DUMMYFUNCTION("IMPORTRANGE(""https://docs.google.com/spreadsheets/d/1XL5vhW3sbDhbH9Cz0tuDiY8C3ctxq1tqvaCgkFb8cCA/edit?usp=sharing"",""อุบลราชธานี!J87"")"),0.0)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IFERROR(__xludf.DUMMYFUNCTION("IMPORTRANGE(""https://docs.google.com/spreadsheets/d/1XL5vhW3sbDhbH9Cz0tuDiY8C3ctxq1tqvaCgkFb8cCA/edit?usp=sharing"",""อุบลราชธานี!J88"")"),0.0)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IFERROR(__xludf.DUMMYFUNCTION("IMPORTRANGE(""https://docs.google.com/spreadsheets/d/1XL5vhW3sbDhbH9Cz0tuDiY8C3ctxq1tqvaCgkFb8cCA/edit?usp=sharing"",""อุบลราชธานี!I89"")"),4.0)</f>
        <v>4</v>
      </c>
      <c r="J164" s="317">
        <f>IFERROR(__xludf.DUMMYFUNCTION("IMPORTRANGE(""https://docs.google.com/spreadsheets/d/1XL5vhW3sbDhbH9Cz0tuDiY8C3ctxq1tqvaCgkFb8cCA/edit?usp=sharing"",""อุบลราชธานี!J89"")"),0.0)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IFERROR(__xludf.DUMMYFUNCTION("IMPORTRANGE(""https://docs.google.com/spreadsheets/d/1XL5vhW3sbDhbH9Cz0tuDiY8C3ctxq1tqvaCgkFb8cCA/edit?usp=sharing"",""อุบลราชธานี!J94"")"),0.0)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IFERROR(__xludf.DUMMYFUNCTION("IMPORTRANGE(""https://docs.google.com/spreadsheets/d/1XL5vhW3sbDhbH9Cz0tuDiY8C3ctxq1tqvaCgkFb8cCA/edit?usp=sharing"",""อุบลราชธานี!J95"")"),1.0)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IFERROR(__xludf.DUMMYFUNCTION("IMPORTRANGE(""https://docs.google.com/spreadsheets/d/1XL5vhW3sbDhbH9Cz0tuDiY8C3ctxq1tqvaCgkFb8cCA/edit?usp=sharing"",""อุบลราชธานี!J96"")"),1.0)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IFERROR(__xludf.DUMMYFUNCTION("IMPORTRANGE(""https://docs.google.com/spreadsheets/d/1XL5vhW3sbDhbH9Cz0tuDiY8C3ctxq1tqvaCgkFb8cCA/edit?usp=sharing"",""อุบลราชธานี!J97"")"),0.0)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IFERROR(__xludf.DUMMYFUNCTION("IMPORTRANGE(""https://docs.google.com/spreadsheets/d/1XL5vhW3sbDhbH9Cz0tuDiY8C3ctxq1tqvaCgkFb8cCA/edit?usp=sharing"",""อุบลราชธานี!I98"")"),4.0)</f>
        <v>4</v>
      </c>
      <c r="J173" s="223">
        <f>IFERROR(__xludf.DUMMYFUNCTION("IMPORTRANGE(""https://docs.google.com/spreadsheets/d/1XL5vhW3sbDhbH9Cz0tuDiY8C3ctxq1tqvaCgkFb8cCA/edit?usp=sharing"",""อุบลราชธานี!J98"")"),0.0)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IFERROR(__xludf.DUMMYFUNCTION("IMPORTRANGE(""https://docs.google.com/spreadsheets/d/1XL5vhW3sbDhbH9Cz0tuDiY8C3ctxq1tqvaCgkFb8cCA/edit?usp=sharing"",""อุบลราชธานี!J99"")"),0.0)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IFERROR(__xludf.DUMMYFUNCTION("IMPORTRANGE(""https://docs.google.com/spreadsheets/d/1XL5vhW3sbDhbH9Cz0tuDiY8C3ctxq1tqvaCgkFb8cCA/edit?usp=sharing"",""อุบลราชธานี!J100"")"),0.0)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IFERROR(__xludf.DUMMYFUNCTION("IMPORTRANGE(""https://docs.google.com/spreadsheets/d/1XL5vhW3sbDhbH9Cz0tuDiY8C3ctxq1tqvaCgkFb8cCA/edit?usp=sharing"",""อุบลราชธานี!I101"")"),2.0)</f>
        <v>2</v>
      </c>
      <c r="J176" s="317">
        <f>IFERROR(__xludf.DUMMYFUNCTION("IMPORTRANGE(""https://docs.google.com/spreadsheets/d/1XL5vhW3sbDhbH9Cz0tuDiY8C3ctxq1tqvaCgkFb8cCA/edit?usp=sharing"",""อุบลราชธานี!J101"")"),0.0)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IFERROR(__xludf.DUMMYFUNCTION("IMPORTRANGE(""https://docs.google.com/spreadsheets/d/1XL5vhW3sbDhbH9Cz0tuDiY8C3ctxq1tqvaCgkFb8cCA/edit?usp=sharing"",""อุบลราชธานี!J106"")"),0.0)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IFERROR(__xludf.DUMMYFUNCTION("IMPORTRANGE(""https://docs.google.com/spreadsheets/d/1XL5vhW3sbDhbH9Cz0tuDiY8C3ctxq1tqvaCgkFb8cCA/edit?usp=sharing"",""อุบลราชธานี!J107"")"),1.0)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IFERROR(__xludf.DUMMYFUNCTION("IMPORTRANGE(""https://docs.google.com/spreadsheets/d/1XL5vhW3sbDhbH9Cz0tuDiY8C3ctxq1tqvaCgkFb8cCA/edit?usp=sharing"",""อุบลราชธานี!J108"")"),1.0)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IFERROR(__xludf.DUMMYFUNCTION("IMPORTRANGE(""https://docs.google.com/spreadsheets/d/1XL5vhW3sbDhbH9Cz0tuDiY8C3ctxq1tqvaCgkFb8cCA/edit?usp=sharing"",""อุบลราชธานี!J109"")"),0.0)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IFERROR(__xludf.DUMMYFUNCTION("IMPORTRANGE(""https://docs.google.com/spreadsheets/d/1XL5vhW3sbDhbH9Cz0tuDiY8C3ctxq1tqvaCgkFb8cCA/edit?usp=sharing"",""อุบลราชธานี!I110"")"),2.0)</f>
        <v>2</v>
      </c>
      <c r="J185" s="238">
        <f>IFERROR(__xludf.DUMMYFUNCTION("IMPORTRANGE(""https://docs.google.com/spreadsheets/d/1XL5vhW3sbDhbH9Cz0tuDiY8C3ctxq1tqvaCgkFb8cCA/edit?usp=sharing"",""อุบลราชธานี!J110"")"),0.0)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IFERROR(__xludf.DUMMYFUNCTION("IMPORTRANGE(""https://docs.google.com/spreadsheets/d/1XL5vhW3sbDhbH9Cz0tuDiY8C3ctxq1tqvaCgkFb8cCA/edit?usp=sharing"",""อุบลราชธานี!I111"")"),2.0)</f>
        <v>2</v>
      </c>
      <c r="J186" s="238">
        <f>IFERROR(__xludf.DUMMYFUNCTION("IMPORTRANGE(""https://docs.google.com/spreadsheets/d/1XL5vhW3sbDhbH9Cz0tuDiY8C3ctxq1tqvaCgkFb8cCA/edit?usp=sharing"",""อุบลราชธานี!J111"")"),0.0)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IFERROR(__xludf.DUMMYFUNCTION("IMPORTRANGE(""https://docs.google.com/spreadsheets/d/1XL5vhW3sbDhbH9Cz0tuDiY8C3ctxq1tqvaCgkFb8cCA/edit?usp=sharing"",""อุบลราชธานี!J112"")"),0.0)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IFERROR(__xludf.DUMMYFUNCTION("IMPORTRANGE(""https://docs.google.com/spreadsheets/d/1XL5vhW3sbDhbH9Cz0tuDiY8C3ctxq1tqvaCgkFb8cCA/edit?usp=sharing"",""อุบลราชธานี!J113"")"),0.0)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IFERROR(__xludf.DUMMYFUNCTION("IMPORTRANGE(""https://docs.google.com/spreadsheets/d/1XL5vhW3sbDhbH9Cz0tuDiY8C3ctxq1tqvaCgkFb8cCA/edit?usp=sharing"",""อุบลราชธานี!I114"")"),30000.0)</f>
        <v>30000</v>
      </c>
      <c r="J189" s="317">
        <f>IFERROR(__xludf.DUMMYFUNCTION("IMPORTRANGE(""https://docs.google.com/spreadsheets/d/1XL5vhW3sbDhbH9Cz0tuDiY8C3ctxq1tqvaCgkFb8cCA/edit?usp=sharing"",""อุบลราชธานี!J114"")"),0.0)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IFERROR(__xludf.DUMMYFUNCTION("IMPORTRANGE(""https://docs.google.com/spreadsheets/d/1XL5vhW3sbDhbH9Cz0tuDiY8C3ctxq1tqvaCgkFb8cCA/edit?usp=sharing"",""อุบลราชธานี!J119"")"),0.0)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IFERROR(__xludf.DUMMYFUNCTION("IMPORTRANGE(""https://docs.google.com/spreadsheets/d/1XL5vhW3sbDhbH9Cz0tuDiY8C3ctxq1tqvaCgkFb8cCA/edit?usp=sharing"",""อุบลราชธานี!J120"")"),1.0)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IFERROR(__xludf.DUMMYFUNCTION("IMPORTRANGE(""https://docs.google.com/spreadsheets/d/1XL5vhW3sbDhbH9Cz0tuDiY8C3ctxq1tqvaCgkFb8cCA/edit?usp=sharing"",""อุบลราชธานี!J121"")"),1.0)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IFERROR(__xludf.DUMMYFUNCTION("IMPORTRANGE(""https://docs.google.com/spreadsheets/d/1XL5vhW3sbDhbH9Cz0tuDiY8C3ctxq1tqvaCgkFb8cCA/edit?usp=sharing"",""อุบลราชธานี!J122"")"),0.0)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IFERROR(__xludf.DUMMYFUNCTION("IMPORTRANGE(""https://docs.google.com/spreadsheets/d/1XL5vhW3sbDhbH9Cz0tuDiY8C3ctxq1tqvaCgkFb8cCA/edit?usp=sharing"",""อุบลราชธานี!I124"")"),30000.0)</f>
        <v>30000</v>
      </c>
      <c r="J199" s="223">
        <f>IFERROR(__xludf.DUMMYFUNCTION("IMPORTRANGE(""https://docs.google.com/spreadsheets/d/1XL5vhW3sbDhbH9Cz0tuDiY8C3ctxq1tqvaCgkFb8cCA/edit?usp=sharing"",""อุบลราชธานี!J124"")"),30000.0)</f>
        <v>30000</v>
      </c>
      <c r="K199" s="196">
        <f t="shared" ref="K199:K201" si="71">IF(I199&gt;0,J199*100/I199,0)</f>
        <v>100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IFERROR(__xludf.DUMMYFUNCTION("IMPORTRANGE(""https://docs.google.com/spreadsheets/d/1XL5vhW3sbDhbH9Cz0tuDiY8C3ctxq1tqvaCgkFb8cCA/edit?usp=sharing"",""อุบลราชธานี!I125"")"),30000.0)</f>
        <v>30000</v>
      </c>
      <c r="J200" s="223">
        <f>IFERROR(__xludf.DUMMYFUNCTION("IMPORTRANGE(""https://docs.google.com/spreadsheets/d/1XL5vhW3sbDhbH9Cz0tuDiY8C3ctxq1tqvaCgkFb8cCA/edit?usp=sharing"",""อุบลราชธานี!J125"")"),0.0)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IFERROR(__xludf.DUMMYFUNCTION("IMPORTRANGE(""https://docs.google.com/spreadsheets/d/1XL5vhW3sbDhbH9Cz0tuDiY8C3ctxq1tqvaCgkFb8cCA/edit?usp=sharing"",""อุบลราชธานี!I126"")"),0.0)</f>
        <v>0</v>
      </c>
      <c r="J201" s="223">
        <f>IFERROR(__xludf.DUMMYFUNCTION("IMPORTRANGE(""https://docs.google.com/spreadsheets/d/1XL5vhW3sbDhbH9Cz0tuDiY8C3ctxq1tqvaCgkFb8cCA/edit?usp=sharing"",""อุบลราชธานี!J126"")"),0.0)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IFERROR(__xludf.DUMMYFUNCTION("IMPORTRANGE(""https://docs.google.com/spreadsheets/d/1XL5vhW3sbDhbH9Cz0tuDiY8C3ctxq1tqvaCgkFb8cCA/edit?usp=sharing"",""อุบลราชธานี!J127"")"),0.0)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IFERROR(__xludf.DUMMYFUNCTION("IMPORTRANGE(""https://docs.google.com/spreadsheets/d/1XL5vhW3sbDhbH9Cz0tuDiY8C3ctxq1tqvaCgkFb8cCA/edit?usp=sharing"",""อุบลราชธานี!J128"")"),0.0)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IFERROR(__xludf.DUMMYFUNCTION("IMPORTRANGE(""https://docs.google.com/spreadsheets/d/1XL5vhW3sbDhbH9Cz0tuDiY8C3ctxq1tqvaCgkFb8cCA/edit?usp=sharing"",""อุบลราชธานี!I129"")"),50.0)</f>
        <v>50</v>
      </c>
      <c r="J204" s="317">
        <f>IFERROR(__xludf.DUMMYFUNCTION("IMPORTRANGE(""https://docs.google.com/spreadsheets/d/1XL5vhW3sbDhbH9Cz0tuDiY8C3ctxq1tqvaCgkFb8cCA/edit?usp=sharing"",""อุบลราชธานี!J129"")"),50.0)</f>
        <v>50</v>
      </c>
      <c r="K204" s="318">
        <f>IF(I204&gt;0,J204*100/I204,0)</f>
        <v>100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IFERROR(__xludf.DUMMYFUNCTION("IMPORTRANGE(""https://docs.google.com/spreadsheets/d/1XL5vhW3sbDhbH9Cz0tuDiY8C3ctxq1tqvaCgkFb8cCA/edit?usp=sharing"",""อุบลราชธานี!J134"")"),0.0)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IFERROR(__xludf.DUMMYFUNCTION("IMPORTRANGE(""https://docs.google.com/spreadsheets/d/1XL5vhW3sbDhbH9Cz0tuDiY8C3ctxq1tqvaCgkFb8cCA/edit?usp=sharing"",""อุบลราชธานี!J135"")"),1.0)</f>
        <v>1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IFERROR(__xludf.DUMMYFUNCTION("IMPORTRANGE(""https://docs.google.com/spreadsheets/d/1XL5vhW3sbDhbH9Cz0tuDiY8C3ctxq1tqvaCgkFb8cCA/edit?usp=sharing"",""อุบลราชธานี!J136"")"),1.0)</f>
        <v>1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IFERROR(__xludf.DUMMYFUNCTION("IMPORTRANGE(""https://docs.google.com/spreadsheets/d/1XL5vhW3sbDhbH9Cz0tuDiY8C3ctxq1tqvaCgkFb8cCA/edit?usp=sharing"",""อุบลราชธานี!J137"")"),1.0)</f>
        <v>1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IFERROR(__xludf.DUMMYFUNCTION("IMPORTRANGE(""https://docs.google.com/spreadsheets/d/1XL5vhW3sbDhbH9Cz0tuDiY8C3ctxq1tqvaCgkFb8cCA/edit?usp=sharing"",""อุบลราชธานี!I138"")"),50.0)</f>
        <v>50</v>
      </c>
      <c r="J213" s="238">
        <f>IFERROR(__xludf.DUMMYFUNCTION("IMPORTRANGE(""https://docs.google.com/spreadsheets/d/1XL5vhW3sbDhbH9Cz0tuDiY8C3ctxq1tqvaCgkFb8cCA/edit?usp=sharing"",""อุบลราชธานี!J138"")"),50.0)</f>
        <v>50</v>
      </c>
      <c r="K213" s="258">
        <f>IF(I213&gt;0,J213*100/I213,0)</f>
        <v>100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IFERROR(__xludf.DUMMYFUNCTION("IMPORTRANGE(""https://docs.google.com/spreadsheets/d/1XL5vhW3sbDhbH9Cz0tuDiY8C3ctxq1tqvaCgkFb8cCA/edit?usp=sharing"",""อุบลราชธานี!I140"")"),0.0)</f>
        <v>0</v>
      </c>
      <c r="J215" s="238">
        <f>IFERROR(__xludf.DUMMYFUNCTION("IMPORTRANGE(""https://docs.google.com/spreadsheets/d/1XL5vhW3sbDhbH9Cz0tuDiY8C3ctxq1tqvaCgkFb8cCA/edit?usp=sharing"",""อุบลราชธานี!J140"")"),0.0)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IFERROR(__xludf.DUMMYFUNCTION("IMPORTRANGE(""https://docs.google.com/spreadsheets/d/1XL5vhW3sbDhbH9Cz0tuDiY8C3ctxq1tqvaCgkFb8cCA/edit?usp=sharing"",""อุบลราชธานี!I141"")"),15.0)</f>
        <v>15</v>
      </c>
      <c r="J216" s="238">
        <f>IFERROR(__xludf.DUMMYFUNCTION("IMPORTRANGE(""https://docs.google.com/spreadsheets/d/1XL5vhW3sbDhbH9Cz0tuDiY8C3ctxq1tqvaCgkFb8cCA/edit?usp=sharing"",""อุบลราชธานี!J141"")"),0.0)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IFERROR(__xludf.DUMMYFUNCTION("IMPORTRANGE(""https://docs.google.com/spreadsheets/d/1XL5vhW3sbDhbH9Cz0tuDiY8C3ctxq1tqvaCgkFb8cCA/edit?usp=sharing"",""อุบลราชธานี!J142"")"),0.0)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IFERROR(__xludf.DUMMYFUNCTION("IMPORTRANGE(""https://docs.google.com/spreadsheets/d/1XL5vhW3sbDhbH9Cz0tuDiY8C3ctxq1tqvaCgkFb8cCA/edit?usp=sharing"",""อุบลราชธานี!J143"")"),0.0)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IFERROR(__xludf.DUMMYFUNCTION("IMPORTRANGE(""https://docs.google.com/spreadsheets/d/1XL5vhW3sbDhbH9Cz0tuDiY8C3ctxq1tqvaCgkFb8cCA/edit?usp=sharing"",""อุบลราชธานี!I144"")"),15.0)</f>
        <v>15</v>
      </c>
      <c r="J219" s="301">
        <f>IFERROR(__xludf.DUMMYFUNCTION("IMPORTRANGE(""https://docs.google.com/spreadsheets/d/1XL5vhW3sbDhbH9Cz0tuDiY8C3ctxq1tqvaCgkFb8cCA/edit?usp=sharing"",""อุบลราชธานี!J144"")"),0.0)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IFERROR(__xludf.DUMMYFUNCTION("IMPORTRANGE(""https://docs.google.com/spreadsheets/d/1Yj_ptqi66GCucihVvJfMjLAmec39IyEx_6qawtMGysU/edit?usp=sharing"",""สบก!BS57"")"),21125.0)</f>
        <v>21125</v>
      </c>
      <c r="N224" s="202">
        <f>IFERROR(__xludf.DUMMYFUNCTION("IMPORTRANGE(""https://docs.google.com/spreadsheets/d/1Yj_ptqi66GCucihVvJfMjLAmec39IyEx_6qawtMGysU/edit?usp=sharing"",""สบก!BT57"")"),0.0)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IFERROR(__xludf.DUMMYFUNCTION("IMPORTRANGE(""https://docs.google.com/spreadsheets/d/1Yj_ptqi66GCucihVvJfMjLAmec39IyEx_6qawtMGysU/edit?usp=sharing"",""สบก!BO57"")"),0.0)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IFERROR(__xludf.DUMMYFUNCTION("IMPORTRANGE(""https://docs.google.com/spreadsheets/d/1Yj_ptqi66GCucihVvJfMjLAmec39IyEx_6qawtMGysU/edit?usp=sharing"",""สบก!BP57"")"),21125.0)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IFERROR(__xludf.DUMMYFUNCTION("IMPORTRANGE(""https://docs.google.com/spreadsheets/d/1Yj_ptqi66GCucihVvJfMjLAmec39IyEx_6qawtMGysU/edit?usp=sharing"",""สบก!BQ57"")"),0.0)</f>
        <v>0</v>
      </c>
      <c r="M228" s="125"/>
      <c r="N228" s="115">
        <f>IFERROR(__xludf.DUMMYFUNCTION("IMPORTRANGE(""https://docs.google.com/spreadsheets/d/1Yj_ptqi66GCucihVvJfMjLAmec39IyEx_6qawtMGysU/edit?usp=sharing"",""สบก!BU57"")"),0.0)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IFERROR(__xludf.DUMMYFUNCTION("IMPORTRANGE(""https://docs.google.com/spreadsheets/d/1XL5vhW3sbDhbH9Cz0tuDiY8C3ctxq1tqvaCgkFb8cCA/edit?usp=sharing"",""อุบลราชธานี!I149"")"),15.0)</f>
        <v>15</v>
      </c>
      <c r="J229" s="301">
        <f>IFERROR(__xludf.DUMMYFUNCTION("IMPORTRANGE(""https://docs.google.com/spreadsheets/d/1XL5vhW3sbDhbH9Cz0tuDiY8C3ctxq1tqvaCgkFb8cCA/edit?usp=sharing"",""อุบลราชธานี!J149"")"),0.0)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IFERROR(__xludf.DUMMYFUNCTION("IMPORTRANGE(""https://docs.google.com/spreadsheets/d/1XL5vhW3sbDhbH9Cz0tuDiY8C3ctxq1tqvaCgkFb8cCA/edit?usp=sharing"",""อุบลราชธานี!J151"")"),0.0)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IFERROR(__xludf.DUMMYFUNCTION("IMPORTRANGE(""https://docs.google.com/spreadsheets/d/1XL5vhW3sbDhbH9Cz0tuDiY8C3ctxq1tqvaCgkFb8cCA/edit?usp=sharing"",""อุบลราชธานี!J152"")"),1.0)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IFERROR(__xludf.DUMMYFUNCTION("IMPORTRANGE(""https://docs.google.com/spreadsheets/d/1XL5vhW3sbDhbH9Cz0tuDiY8C3ctxq1tqvaCgkFb8cCA/edit?usp=sharing"",""อุบลราชธานี!J153"")"),1.0)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IFERROR(__xludf.DUMMYFUNCTION("IMPORTRANGE(""https://docs.google.com/spreadsheets/d/1XL5vhW3sbDhbH9Cz0tuDiY8C3ctxq1tqvaCgkFb8cCA/edit?usp=sharing"",""อุบลราชธานี!J154"")"),0.0)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IFERROR(__xludf.DUMMYFUNCTION("IMPORTRANGE(""https://docs.google.com/spreadsheets/d/1XL5vhW3sbDhbH9Cz0tuDiY8C3ctxq1tqvaCgkFb8cCA/edit?usp=sharing"",""อุบลราชธานี!I155"")"),15.0)</f>
        <v>15</v>
      </c>
      <c r="J235" s="223">
        <f>IFERROR(__xludf.DUMMYFUNCTION("IMPORTRANGE(""https://docs.google.com/spreadsheets/d/1XL5vhW3sbDhbH9Cz0tuDiY8C3ctxq1tqvaCgkFb8cCA/edit?usp=sharing"",""อุบลราชธานี!J155"")"),0.0)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IFERROR(__xludf.DUMMYFUNCTION("IMPORTRANGE(""https://docs.google.com/spreadsheets/d/1XL5vhW3sbDhbH9Cz0tuDiY8C3ctxq1tqvaCgkFb8cCA/edit?usp=sharing"",""อุบลราชธานี!J156"")"),0.0)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IFERROR(__xludf.DUMMYFUNCTION("IMPORTRANGE(""https://docs.google.com/spreadsheets/d/1XL5vhW3sbDhbH9Cz0tuDiY8C3ctxq1tqvaCgkFb8cCA/edit?usp=sharing"",""อุบลราชธานี!J157"")"),0.0)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IFERROR(__xludf.DUMMYFUNCTION("IMPORTRANGE(""https://docs.google.com/spreadsheets/d/1XL5vhW3sbDhbH9Cz0tuDiY8C3ctxq1tqvaCgkFb8cCA/edit?usp=sharing"",""อุบลราชธานี!I158"")"),0.0)</f>
        <v>0</v>
      </c>
      <c r="J238" s="301">
        <f>IFERROR(__xludf.DUMMYFUNCTION("IMPORTRANGE(""https://docs.google.com/spreadsheets/d/1XL5vhW3sbDhbH9Cz0tuDiY8C3ctxq1tqvaCgkFb8cCA/edit?usp=sharing"",""อุบลราชธานี!J158"")"),0.0)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IFERROR(__xludf.DUMMYFUNCTION("IMPORTRANGE(""https://docs.google.com/spreadsheets/d/1XL5vhW3sbDhbH9Cz0tuDiY8C3ctxq1tqvaCgkFb8cCA/edit?usp=sharing"",""อุบลราชธานี!J159"")"),"")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IFERROR(__xludf.DUMMYFUNCTION("IMPORTRANGE(""https://docs.google.com/spreadsheets/d/1XL5vhW3sbDhbH9Cz0tuDiY8C3ctxq1tqvaCgkFb8cCA/edit?usp=sharing"",""อุบลราชธานี!J161"")"),0.0)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IFERROR(__xludf.DUMMYFUNCTION("IMPORTRANGE(""https://docs.google.com/spreadsheets/d/1XL5vhW3sbDhbH9Cz0tuDiY8C3ctxq1tqvaCgkFb8cCA/edit?usp=sharing"",""อุบลราชธานี!J162"")"),0.0)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IFERROR(__xludf.DUMMYFUNCTION("IMPORTRANGE(""https://docs.google.com/spreadsheets/d/1XL5vhW3sbDhbH9Cz0tuDiY8C3ctxq1tqvaCgkFb8cCA/edit?usp=sharing"",""อุบลราชธานี!J163"")"),0.0)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IFERROR(__xludf.DUMMYFUNCTION("IMPORTRANGE(""https://docs.google.com/spreadsheets/d/1XL5vhW3sbDhbH9Cz0tuDiY8C3ctxq1tqvaCgkFb8cCA/edit?usp=sharing"",""อุบลราชธานี!I164"")"),0.0)</f>
        <v>0</v>
      </c>
      <c r="J244" s="222">
        <f>IFERROR(__xludf.DUMMYFUNCTION("IMPORTRANGE(""https://docs.google.com/spreadsheets/d/1XL5vhW3sbDhbH9Cz0tuDiY8C3ctxq1tqvaCgkFb8cCA/edit?usp=sharing"",""อุบลราชธานี!J164"")"),0.0)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IFERROR(__xludf.DUMMYFUNCTION("IMPORTRANGE(""https://docs.google.com/spreadsheets/d/1XL5vhW3sbDhbH9Cz0tuDiY8C3ctxq1tqvaCgkFb8cCA/edit?usp=sharing"",""อุบลราชธานี!J165"")"),0.0)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IFERROR(__xludf.DUMMYFUNCTION("IMPORTRANGE(""https://docs.google.com/spreadsheets/d/1XL5vhW3sbDhbH9Cz0tuDiY8C3ctxq1tqvaCgkFb8cCA/edit?usp=sharing"",""อุบลราชธานี!J166"")"),0.0)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IFERROR(__xludf.DUMMYFUNCTION("IMPORTRANGE(""https://docs.google.com/spreadsheets/d/1XL5vhW3sbDhbH9Cz0tuDiY8C3ctxq1tqvaCgkFb8cCA/edit?usp=sharing"",""อุบลราชธานี!I169"")"),25.0)</f>
        <v>25</v>
      </c>
      <c r="J249" s="349">
        <f>IFERROR(__xludf.DUMMYFUNCTION("IMPORTRANGE(""https://docs.google.com/spreadsheets/d/1XL5vhW3sbDhbH9Cz0tuDiY8C3ctxq1tqvaCgkFb8cCA/edit?usp=sharing"",""อุบลราชธานี!J169"")"),25.0)</f>
        <v>25</v>
      </c>
      <c r="K249" s="350">
        <f>IF(I249&gt;0,J249*100/I249,0)</f>
        <v>100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89000</v>
      </c>
      <c r="M250" s="183">
        <f t="shared" si="78"/>
        <v>42500</v>
      </c>
      <c r="N250" s="183">
        <f t="shared" si="78"/>
        <v>36386</v>
      </c>
      <c r="O250" s="182">
        <f t="shared" ref="O250:O252" si="80">IF(L250&gt;0,N250*100/L250,0)</f>
        <v>40.88314607</v>
      </c>
      <c r="P250" s="182">
        <f t="shared" ref="P250:P252" si="81">IF(M250&gt;0,N250*100/M250,0)</f>
        <v>85.61411765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89000</v>
      </c>
      <c r="M252" s="188">
        <f t="shared" si="82"/>
        <v>42500</v>
      </c>
      <c r="N252" s="188">
        <f t="shared" si="82"/>
        <v>36386</v>
      </c>
      <c r="O252" s="187">
        <f t="shared" si="80"/>
        <v>40.88314607</v>
      </c>
      <c r="P252" s="187">
        <f t="shared" si="81"/>
        <v>85.61411765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89000</v>
      </c>
      <c r="M254" s="201">
        <f>IFERROR(__xludf.DUMMYFUNCTION("IMPORTRANGE(""https://docs.google.com/spreadsheets/d/1Yj_ptqi66GCucihVvJfMjLAmec39IyEx_6qawtMGysU/edit?usp=sharing"",""สบก!CB57"")"),42500.0)</f>
        <v>42500</v>
      </c>
      <c r="N254" s="202">
        <f>IFERROR(__xludf.DUMMYFUNCTION("IMPORTRANGE(""https://docs.google.com/spreadsheets/d/1Yj_ptqi66GCucihVvJfMjLAmec39IyEx_6qawtMGysU/edit?usp=sharing"",""สบก!CC57"")"),36386.0)</f>
        <v>36386</v>
      </c>
      <c r="O254" s="203">
        <f>IF(L254&gt;0,N254*100/L254,0)</f>
        <v>40.88314607</v>
      </c>
      <c r="P254" s="203">
        <f>IF(M254&gt;0,N254*100/M254,0)</f>
        <v>85.61411765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IFERROR(__xludf.DUMMYFUNCTION("IMPORTRANGE(""https://docs.google.com/spreadsheets/d/1Yj_ptqi66GCucihVvJfMjLAmec39IyEx_6qawtMGysU/edit?usp=sharing"",""สบก!BX57"")"),0.0)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IFERROR(__xludf.DUMMYFUNCTION("IMPORTRANGE(""https://docs.google.com/spreadsheets/d/1Yj_ptqi66GCucihVvJfMjLAmec39IyEx_6qawtMGysU/edit?usp=sharing"",""สบก!BY57"")"),89000.0)</f>
        <v>89000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IFERROR(__xludf.DUMMYFUNCTION("IMPORTRANGE(""https://docs.google.com/spreadsheets/d/1Yj_ptqi66GCucihVvJfMjLAmec39IyEx_6qawtMGysU/edit?usp=sharing"",""สบก!BZ57"")"),0.0)</f>
        <v>0</v>
      </c>
      <c r="M258" s="125"/>
      <c r="N258" s="115">
        <f>IFERROR(__xludf.DUMMYFUNCTION("IMPORTRANGE(""https://docs.google.com/spreadsheets/d/1Yj_ptqi66GCucihVvJfMjLAmec39IyEx_6qawtMGysU/edit?usp=sharing"",""สบก!CD57"")"),0.0)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IFERROR(__xludf.DUMMYFUNCTION("IMPORTRANGE(""https://docs.google.com/spreadsheets/d/1XL5vhW3sbDhbH9Cz0tuDiY8C3ctxq1tqvaCgkFb8cCA/edit?usp=sharing"",""อุบลราชธานี!J175"")"),0.0)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IFERROR(__xludf.DUMMYFUNCTION("IMPORTRANGE(""https://docs.google.com/spreadsheets/d/1XL5vhW3sbDhbH9Cz0tuDiY8C3ctxq1tqvaCgkFb8cCA/edit?usp=sharing"",""อุบลราชธานี!J176"")"),1.0)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IFERROR(__xludf.DUMMYFUNCTION("IMPORTRANGE(""https://docs.google.com/spreadsheets/d/1XL5vhW3sbDhbH9Cz0tuDiY8C3ctxq1tqvaCgkFb8cCA/edit?usp=sharing"",""อุบลราชธานี!J177"")"),1.0)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IFERROR(__xludf.DUMMYFUNCTION("IMPORTRANGE(""https://docs.google.com/spreadsheets/d/1XL5vhW3sbDhbH9Cz0tuDiY8C3ctxq1tqvaCgkFb8cCA/edit?usp=sharing"",""อุบลราชธานี!J178"")"),1.0)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IFERROR(__xludf.DUMMYFUNCTION("IMPORTRANGE(""https://docs.google.com/spreadsheets/d/1XL5vhW3sbDhbH9Cz0tuDiY8C3ctxq1tqvaCgkFb8cCA/edit?usp=sharing"",""อุบลราชธานี!I179"")"),1.0)</f>
        <v>1</v>
      </c>
      <c r="J264" s="223">
        <f>IFERROR(__xludf.DUMMYFUNCTION("IMPORTRANGE(""https://docs.google.com/spreadsheets/d/1XL5vhW3sbDhbH9Cz0tuDiY8C3ctxq1tqvaCgkFb8cCA/edit?usp=sharing"",""อุบลราชธานี!J179"")"),1.0)</f>
        <v>1</v>
      </c>
      <c r="K264" s="196">
        <f t="shared" ref="K264:K267" si="83">IF(I264&gt;0,J264*100/I264,0)</f>
        <v>100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IFERROR(__xludf.DUMMYFUNCTION("IMPORTRANGE(""https://docs.google.com/spreadsheets/d/1XL5vhW3sbDhbH9Cz0tuDiY8C3ctxq1tqvaCgkFb8cCA/edit?usp=sharing"",""อุบลราชธานี!I180"")"),25.0)</f>
        <v>25</v>
      </c>
      <c r="J265" s="223">
        <f>IFERROR(__xludf.DUMMYFUNCTION("IMPORTRANGE(""https://docs.google.com/spreadsheets/d/1XL5vhW3sbDhbH9Cz0tuDiY8C3ctxq1tqvaCgkFb8cCA/edit?usp=sharing"",""อุบลราชธานี!J180"")"),25.0)</f>
        <v>25</v>
      </c>
      <c r="K265" s="196">
        <f t="shared" si="83"/>
        <v>100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IFERROR(__xludf.DUMMYFUNCTION("IMPORTRANGE(""https://docs.google.com/spreadsheets/d/1XL5vhW3sbDhbH9Cz0tuDiY8C3ctxq1tqvaCgkFb8cCA/edit?usp=sharing"",""อุบลราชธานี!I181"")"),25.0)</f>
        <v>25</v>
      </c>
      <c r="J266" s="223">
        <f>IFERROR(__xludf.DUMMYFUNCTION("IMPORTRANGE(""https://docs.google.com/spreadsheets/d/1XL5vhW3sbDhbH9Cz0tuDiY8C3ctxq1tqvaCgkFb8cCA/edit?usp=sharing"",""อุบลราชธานี!J181"")"),0.0)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IFERROR(__xludf.DUMMYFUNCTION("IMPORTRANGE(""https://docs.google.com/spreadsheets/d/1XL5vhW3sbDhbH9Cz0tuDiY8C3ctxq1tqvaCgkFb8cCA/edit?usp=sharing"",""อุบลราชธานี!I182"")"),1.0)</f>
        <v>1</v>
      </c>
      <c r="J267" s="223">
        <f>IFERROR(__xludf.DUMMYFUNCTION("IMPORTRANGE(""https://docs.google.com/spreadsheets/d/1XL5vhW3sbDhbH9Cz0tuDiY8C3ctxq1tqvaCgkFb8cCA/edit?usp=sharing"",""อุบลราชธานี!J182"")"),1.0)</f>
        <v>1</v>
      </c>
      <c r="K267" s="196">
        <f t="shared" si="83"/>
        <v>100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IFERROR(__xludf.DUMMYFUNCTION("IMPORTRANGE(""https://docs.google.com/spreadsheets/d/1XL5vhW3sbDhbH9Cz0tuDiY8C3ctxq1tqvaCgkFb8cCA/edit?usp=sharing"",""อุบลราชธานี!J183"")"),0.0)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IFERROR(__xludf.DUMMYFUNCTION("IMPORTRANGE(""https://docs.google.com/spreadsheets/d/1XL5vhW3sbDhbH9Cz0tuDiY8C3ctxq1tqvaCgkFb8cCA/edit?usp=sharing"",""อุบลราชธานี!J184"")"),0.0)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IFERROR(__xludf.DUMMYFUNCTION("IMPORTRANGE(""https://docs.google.com/spreadsheets/d/1XL5vhW3sbDhbH9Cz0tuDiY8C3ctxq1tqvaCgkFb8cCA/edit?usp=sharing"",""อุบลราชธานี!I185"")"),20.0)</f>
        <v>20</v>
      </c>
      <c r="J270" s="349">
        <f>IFERROR(__xludf.DUMMYFUNCTION("IMPORTRANGE(""https://docs.google.com/spreadsheets/d/1XL5vhW3sbDhbH9Cz0tuDiY8C3ctxq1tqvaCgkFb8cCA/edit?usp=sharing"",""อุบลราชธานี!J185"")"),20.0)</f>
        <v>20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183600</v>
      </c>
      <c r="M271" s="183">
        <f t="shared" si="84"/>
        <v>93000</v>
      </c>
      <c r="N271" s="183">
        <f t="shared" si="84"/>
        <v>33430</v>
      </c>
      <c r="O271" s="182">
        <f t="shared" ref="O271:O273" si="86">IF(L271&gt;0,N271*100/L271,0)</f>
        <v>18.208061</v>
      </c>
      <c r="P271" s="182">
        <f t="shared" ref="P271:P273" si="87">IF(M271&gt;0,N271*100/M271,0)</f>
        <v>35.94623656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183600</v>
      </c>
      <c r="M273" s="188">
        <f t="shared" si="88"/>
        <v>93000</v>
      </c>
      <c r="N273" s="188">
        <f t="shared" si="88"/>
        <v>33430</v>
      </c>
      <c r="O273" s="187">
        <f t="shared" si="86"/>
        <v>18.208061</v>
      </c>
      <c r="P273" s="187">
        <f t="shared" si="87"/>
        <v>35.94623656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183600</v>
      </c>
      <c r="M275" s="201">
        <f>IFERROR(__xludf.DUMMYFUNCTION("IMPORTRANGE(""https://docs.google.com/spreadsheets/d/1Yj_ptqi66GCucihVvJfMjLAmec39IyEx_6qawtMGysU/edit?usp=sharing"",""สบก!CK57"")"),93000.0)</f>
        <v>93000</v>
      </c>
      <c r="N275" s="202">
        <f>IFERROR(__xludf.DUMMYFUNCTION("IMPORTRANGE(""https://docs.google.com/spreadsheets/d/1Yj_ptqi66GCucihVvJfMjLAmec39IyEx_6qawtMGysU/edit?usp=sharing"",""สบก!CL57"")"),33430.0)</f>
        <v>33430</v>
      </c>
      <c r="O275" s="203">
        <f>IF(L275&gt;0,N275*100/L275,0)</f>
        <v>18.208061</v>
      </c>
      <c r="P275" s="203">
        <f>IF(M275&gt;0,N275*100/M275,0)</f>
        <v>35.94623656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IFERROR(__xludf.DUMMYFUNCTION("IMPORTRANGE(""https://docs.google.com/spreadsheets/d/1Yj_ptqi66GCucihVvJfMjLAmec39IyEx_6qawtMGysU/edit?usp=sharing"",""สบก!CG57"")"),0.0)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IFERROR(__xludf.DUMMYFUNCTION("IMPORTRANGE(""https://docs.google.com/spreadsheets/d/1Yj_ptqi66GCucihVvJfMjLAmec39IyEx_6qawtMGysU/edit?usp=sharing"",""สบก!CH57"")"),183600.0)</f>
        <v>183600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IFERROR(__xludf.DUMMYFUNCTION("IMPORTRANGE(""https://docs.google.com/spreadsheets/d/1Yj_ptqi66GCucihVvJfMjLAmec39IyEx_6qawtMGysU/edit?usp=sharing"",""สบก!CI57"")"),0.0)</f>
        <v>0</v>
      </c>
      <c r="M279" s="125"/>
      <c r="N279" s="115">
        <f>IFERROR(__xludf.DUMMYFUNCTION("IMPORTRANGE(""https://docs.google.com/spreadsheets/d/1Yj_ptqi66GCucihVvJfMjLAmec39IyEx_6qawtMGysU/edit?usp=sharing"",""สบก!CM57"")"),0.0)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IFERROR(__xludf.DUMMYFUNCTION("IMPORTRANGE(""https://docs.google.com/spreadsheets/d/1XL5vhW3sbDhbH9Cz0tuDiY8C3ctxq1tqvaCgkFb8cCA/edit?usp=sharing"",""อุบลราชธานี!J191"")"),0.0)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IFERROR(__xludf.DUMMYFUNCTION("IMPORTRANGE(""https://docs.google.com/spreadsheets/d/1XL5vhW3sbDhbH9Cz0tuDiY8C3ctxq1tqvaCgkFb8cCA/edit?usp=sharing"",""อุบลราชธานี!J192"")"),1.0)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IFERROR(__xludf.DUMMYFUNCTION("IMPORTRANGE(""https://docs.google.com/spreadsheets/d/1XL5vhW3sbDhbH9Cz0tuDiY8C3ctxq1tqvaCgkFb8cCA/edit?usp=sharing"",""อุบลราชธานี!J193"")"),1.0)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IFERROR(__xludf.DUMMYFUNCTION("IMPORTRANGE(""https://docs.google.com/spreadsheets/d/1XL5vhW3sbDhbH9Cz0tuDiY8C3ctxq1tqvaCgkFb8cCA/edit?usp=sharing"",""อุบลราชธานี!J194"")"),1.0)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IFERROR(__xludf.DUMMYFUNCTION("IMPORTRANGE(""https://docs.google.com/spreadsheets/d/1XL5vhW3sbDhbH9Cz0tuDiY8C3ctxq1tqvaCgkFb8cCA/edit?usp=sharing"",""อุบลราชธานี!I195"")"),20.0)</f>
        <v>20</v>
      </c>
      <c r="J285" s="223">
        <f>IFERROR(__xludf.DUMMYFUNCTION("IMPORTRANGE(""https://docs.google.com/spreadsheets/d/1XL5vhW3sbDhbH9Cz0tuDiY8C3ctxq1tqvaCgkFb8cCA/edit?usp=sharing"",""อุบลราชธานี!J195"")"),20.0)</f>
        <v>20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IFERROR(__xludf.DUMMYFUNCTION("IMPORTRANGE(""https://docs.google.com/spreadsheets/d/1XL5vhW3sbDhbH9Cz0tuDiY8C3ctxq1tqvaCgkFb8cCA/edit?usp=sharing"",""อุบลราชธานี!J196"")"),0.0)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IFERROR(__xludf.DUMMYFUNCTION("IMPORTRANGE(""https://docs.google.com/spreadsheets/d/1XL5vhW3sbDhbH9Cz0tuDiY8C3ctxq1tqvaCgkFb8cCA/edit?usp=sharing"",""อุบลราชธานี!J197"")"),0.0)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IFERROR(__xludf.DUMMYFUNCTION("IMPORTRANGE(""https://docs.google.com/spreadsheets/d/1XL5vhW3sbDhbH9Cz0tuDiY8C3ctxq1tqvaCgkFb8cCA/edit?usp=sharing"",""อุบลราชธานี!I199"")"),0.0)</f>
        <v>0</v>
      </c>
      <c r="J289" s="349">
        <f>IFERROR(__xludf.DUMMYFUNCTION("IMPORTRANGE(""https://docs.google.com/spreadsheets/d/1XL5vhW3sbDhbH9Cz0tuDiY8C3ctxq1tqvaCgkFb8cCA/edit?usp=sharing"",""อุบลราชธานี!J199"")"),0.0)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IFERROR(__xludf.DUMMYFUNCTION("IMPORTRANGE(""https://docs.google.com/spreadsheets/d/1Yj_ptqi66GCucihVvJfMjLAmec39IyEx_6qawtMGysU/edit?usp=sharing"",""สบก!CT57"")"),0.0)</f>
        <v>0</v>
      </c>
      <c r="N294" s="202">
        <f>IFERROR(__xludf.DUMMYFUNCTION("IMPORTRANGE(""https://docs.google.com/spreadsheets/d/1Yj_ptqi66GCucihVvJfMjLAmec39IyEx_6qawtMGysU/edit?usp=sharing"",""สบก!CU57"")"),0.0)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IFERROR(__xludf.DUMMYFUNCTION("IMPORTRANGE(""https://docs.google.com/spreadsheets/d/1Yj_ptqi66GCucihVvJfMjLAmec39IyEx_6qawtMGysU/edit?usp=sharing"",""สบก!CP57"")"),0.0)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IFERROR(__xludf.DUMMYFUNCTION("IMPORTRANGE(""https://docs.google.com/spreadsheets/d/1Yj_ptqi66GCucihVvJfMjLAmec39IyEx_6qawtMGysU/edit?usp=sharing"",""สบก!CQ57"")"),0.0)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IFERROR(__xludf.DUMMYFUNCTION("IMPORTRANGE(""https://docs.google.com/spreadsheets/d/1Yj_ptqi66GCucihVvJfMjLAmec39IyEx_6qawtMGysU/edit?usp=sharing"",""สบก!CR57"")"),0.0)</f>
        <v>0</v>
      </c>
      <c r="M298" s="125"/>
      <c r="N298" s="115">
        <f>IFERROR(__xludf.DUMMYFUNCTION("IMPORTRANGE(""https://docs.google.com/spreadsheets/d/1Yj_ptqi66GCucihVvJfMjLAmec39IyEx_6qawtMGysU/edit?usp=sharing"",""สบก!CV57"")"),0.0)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IFERROR(__xludf.DUMMYFUNCTION("IMPORTRANGE(""https://docs.google.com/spreadsheets/d/1XL5vhW3sbDhbH9Cz0tuDiY8C3ctxq1tqvaCgkFb8cCA/edit?usp=sharing"",""อุบลราชธานี!J205"")"),0.0)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IFERROR(__xludf.DUMMYFUNCTION("IMPORTRANGE(""https://docs.google.com/spreadsheets/d/1XL5vhW3sbDhbH9Cz0tuDiY8C3ctxq1tqvaCgkFb8cCA/edit?usp=sharing"",""อุบลราชธานี!J206"")"),0.0)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IFERROR(__xludf.DUMMYFUNCTION("IMPORTRANGE(""https://docs.google.com/spreadsheets/d/1XL5vhW3sbDhbH9Cz0tuDiY8C3ctxq1tqvaCgkFb8cCA/edit?usp=sharing"",""อุบลราชธานี!J207"")"),0.0)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IFERROR(__xludf.DUMMYFUNCTION("IMPORTRANGE(""https://docs.google.com/spreadsheets/d/1XL5vhW3sbDhbH9Cz0tuDiY8C3ctxq1tqvaCgkFb8cCA/edit?usp=sharing"",""อุบลราชธานี!J208"")"),0.0)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IFERROR(__xludf.DUMMYFUNCTION("IMPORTRANGE(""https://docs.google.com/spreadsheets/d/1XL5vhW3sbDhbH9Cz0tuDiY8C3ctxq1tqvaCgkFb8cCA/edit?usp=sharing"",""อุบลราชธานี!I209"")"),0.0)</f>
        <v>0</v>
      </c>
      <c r="J304" s="238">
        <f>IFERROR(__xludf.DUMMYFUNCTION("IMPORTRANGE(""https://docs.google.com/spreadsheets/d/1XL5vhW3sbDhbH9Cz0tuDiY8C3ctxq1tqvaCgkFb8cCA/edit?usp=sharing"",""อุบลราชธานี!J209"")"),0.0)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IFERROR(__xludf.DUMMYFUNCTION("IMPORTRANGE(""https://docs.google.com/spreadsheets/d/1XL5vhW3sbDhbH9Cz0tuDiY8C3ctxq1tqvaCgkFb8cCA/edit?usp=sharing"",""อุบลราชธานี!I211"")"),0.0)</f>
        <v>0</v>
      </c>
      <c r="J306" s="238">
        <f>IFERROR(__xludf.DUMMYFUNCTION("IMPORTRANGE(""https://docs.google.com/spreadsheets/d/1XL5vhW3sbDhbH9Cz0tuDiY8C3ctxq1tqvaCgkFb8cCA/edit?usp=sharing"",""อุบลราชธานี!J211"")"),0.0)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IFERROR(__xludf.DUMMYFUNCTION("IMPORTRANGE(""https://docs.google.com/spreadsheets/d/1XL5vhW3sbDhbH9Cz0tuDiY8C3ctxq1tqvaCgkFb8cCA/edit?usp=sharing"",""อุบลราชธานี!J212"")"),0.0)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IFERROR(__xludf.DUMMYFUNCTION("IMPORTRANGE(""https://docs.google.com/spreadsheets/d/1XL5vhW3sbDhbH9Cz0tuDiY8C3ctxq1tqvaCgkFb8cCA/edit?usp=sharing"",""อุบลราชธานี!J213"")"),0.0)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IFERROR(__xludf.DUMMYFUNCTION("IMPORTRANGE(""https://docs.google.com/spreadsheets/d/1XL5vhW3sbDhbH9Cz0tuDiY8C3ctxq1tqvaCgkFb8cCA/edit?usp=sharing"",""อุบลราชธานี!I214"")"),0.0)</f>
        <v>0</v>
      </c>
      <c r="J309" s="366">
        <f>IFERROR(__xludf.DUMMYFUNCTION("IMPORTRANGE(""https://docs.google.com/spreadsheets/d/1XL5vhW3sbDhbH9Cz0tuDiY8C3ctxq1tqvaCgkFb8cCA/edit?usp=sharing"",""อุบลราชธานี!J214"")"),0.0)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IFERROR(__xludf.DUMMYFUNCTION("IMPORTRANGE(""https://docs.google.com/spreadsheets/d/1Yj_ptqi66GCucihVvJfMjLAmec39IyEx_6qawtMGysU/edit?usp=sharing"",""สบก!DC57"")"),0.0)</f>
        <v>0</v>
      </c>
      <c r="N314" s="202">
        <f>IFERROR(__xludf.DUMMYFUNCTION("IMPORTRANGE(""https://docs.google.com/spreadsheets/d/1Yj_ptqi66GCucihVvJfMjLAmec39IyEx_6qawtMGysU/edit?usp=sharing"",""สบก!DD57"")"),0.0)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IFERROR(__xludf.DUMMYFUNCTION("IMPORTRANGE(""https://docs.google.com/spreadsheets/d/1Yj_ptqi66GCucihVvJfMjLAmec39IyEx_6qawtMGysU/edit?usp=sharing"",""สบก!CY57"")"),0.0)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IFERROR(__xludf.DUMMYFUNCTION("IMPORTRANGE(""https://docs.google.com/spreadsheets/d/1Yj_ptqi66GCucihVvJfMjLAmec39IyEx_6qawtMGysU/edit?usp=sharing"",""สบก!CZ57"")"),0.0)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IFERROR(__xludf.DUMMYFUNCTION("IMPORTRANGE(""https://docs.google.com/spreadsheets/d/1Yj_ptqi66GCucihVvJfMjLAmec39IyEx_6qawtMGysU/edit?usp=sharing"",""สบก!DA57"")"),0.0)</f>
        <v>0</v>
      </c>
      <c r="M318" s="125"/>
      <c r="N318" s="115">
        <f>IFERROR(__xludf.DUMMYFUNCTION("IMPORTRANGE(""https://docs.google.com/spreadsheets/d/1Yj_ptqi66GCucihVvJfMjLAmec39IyEx_6qawtMGysU/edit?usp=sharing"",""สบก!DE57"")"),0.0)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IFERROR(__xludf.DUMMYFUNCTION("IMPORTRANGE(""https://docs.google.com/spreadsheets/d/1XL5vhW3sbDhbH9Cz0tuDiY8C3ctxq1tqvaCgkFb8cCA/edit?usp=sharing"",""อุบลราชธานี!J220"")"),0.0)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IFERROR(__xludf.DUMMYFUNCTION("IMPORTRANGE(""https://docs.google.com/spreadsheets/d/1XL5vhW3sbDhbH9Cz0tuDiY8C3ctxq1tqvaCgkFb8cCA/edit?usp=sharing"",""อุบลราชธานี!J221"")"),0.0)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IFERROR(__xludf.DUMMYFUNCTION("IMPORTRANGE(""https://docs.google.com/spreadsheets/d/1XL5vhW3sbDhbH9Cz0tuDiY8C3ctxq1tqvaCgkFb8cCA/edit?usp=sharing"",""อุบลราชธานี!J222"")"),0.0)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IFERROR(__xludf.DUMMYFUNCTION("IMPORTRANGE(""https://docs.google.com/spreadsheets/d/1XL5vhW3sbDhbH9Cz0tuDiY8C3ctxq1tqvaCgkFb8cCA/edit?usp=sharing"",""อุบลราชธานี!J223"")"),0.0)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IFERROR(__xludf.DUMMYFUNCTION("IMPORTRANGE(""https://docs.google.com/spreadsheets/d/1XL5vhW3sbDhbH9Cz0tuDiY8C3ctxq1tqvaCgkFb8cCA/edit?usp=sharing"",""อุบลราชธานี!I224"")"),0.0)</f>
        <v>0</v>
      </c>
      <c r="J324" s="238">
        <f>IFERROR(__xludf.DUMMYFUNCTION("IMPORTRANGE(""https://docs.google.com/spreadsheets/d/1XL5vhW3sbDhbH9Cz0tuDiY8C3ctxq1tqvaCgkFb8cCA/edit?usp=sharing"",""อุบลราชธานี!J224"")"),0.0)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IFERROR(__xludf.DUMMYFUNCTION("IMPORTRANGE(""https://docs.google.com/spreadsheets/d/1XL5vhW3sbDhbH9Cz0tuDiY8C3ctxq1tqvaCgkFb8cCA/edit?usp=sharing"",""อุบลราชธานี!J225"")"),0.0)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IFERROR(__xludf.DUMMYFUNCTION("IMPORTRANGE(""https://docs.google.com/spreadsheets/d/1XL5vhW3sbDhbH9Cz0tuDiY8C3ctxq1tqvaCgkFb8cCA/edit?usp=sharing"",""อุบลราชธานี!J226"")"),0.0)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IFERROR(__xludf.DUMMYFUNCTION("IMPORTRANGE(""https://docs.google.com/spreadsheets/d/1XL5vhW3sbDhbH9Cz0tuDiY8C3ctxq1tqvaCgkFb8cCA/edit?usp=sharing"",""อุบลราชธานี!I228"")"),820.0)</f>
        <v>820</v>
      </c>
      <c r="J328" s="372">
        <f>IFERROR(__xludf.DUMMYFUNCTION("IMPORTRANGE(""https://docs.google.com/spreadsheets/d/1XL5vhW3sbDhbH9Cz0tuDiY8C3ctxq1tqvaCgkFb8cCA/edit?usp=sharing"",""อุบลราชธานี!J228"")"),65.0)</f>
        <v>65</v>
      </c>
      <c r="K328" s="350">
        <f>IF(I328&gt;0,J328*100/I328,0)</f>
        <v>7.926829268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1589650</v>
      </c>
      <c r="M329" s="183">
        <f t="shared" si="99"/>
        <v>924190</v>
      </c>
      <c r="N329" s="183">
        <f t="shared" si="99"/>
        <v>542142</v>
      </c>
      <c r="O329" s="182">
        <f t="shared" ref="O329:O331" si="101">IF(L329&gt;0,N329*100/L329,0)</f>
        <v>34.10448841</v>
      </c>
      <c r="P329" s="182">
        <f t="shared" ref="P329:P331" si="102">IF(M329&gt;0,N329*100/M329,0)</f>
        <v>58.66131423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1589650</v>
      </c>
      <c r="M331" s="188">
        <f t="shared" si="103"/>
        <v>924190</v>
      </c>
      <c r="N331" s="188">
        <f t="shared" si="103"/>
        <v>542142</v>
      </c>
      <c r="O331" s="187">
        <f t="shared" si="101"/>
        <v>34.10448841</v>
      </c>
      <c r="P331" s="187">
        <f t="shared" si="102"/>
        <v>58.66131423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1589650</v>
      </c>
      <c r="M333" s="201">
        <f>IFERROR(__xludf.DUMMYFUNCTION("IMPORTRANGE(""https://docs.google.com/spreadsheets/d/1Yj_ptqi66GCucihVvJfMjLAmec39IyEx_6qawtMGysU/edit?usp=sharing"",""สบก!DL57"")"),924190.0)</f>
        <v>924190</v>
      </c>
      <c r="N333" s="202">
        <f>IFERROR(__xludf.DUMMYFUNCTION("IMPORTRANGE(""https://docs.google.com/spreadsheets/d/1Yj_ptqi66GCucihVvJfMjLAmec39IyEx_6qawtMGysU/edit?usp=sharing"",""สบก!DM57"")"),542142.0)</f>
        <v>542142</v>
      </c>
      <c r="O333" s="203">
        <f>IF(L333&gt;0,N333*100/L333,0)</f>
        <v>34.10448841</v>
      </c>
      <c r="P333" s="203">
        <f>IF(M333&gt;0,N333*100/M333,0)</f>
        <v>58.66131423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IFERROR(__xludf.DUMMYFUNCTION("IMPORTRANGE(""https://docs.google.com/spreadsheets/d/1Yj_ptqi66GCucihVvJfMjLAmec39IyEx_6qawtMGysU/edit?usp=sharing"",""สบก!DH57"")"),500400.0)</f>
        <v>500400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IFERROR(__xludf.DUMMYFUNCTION("IMPORTRANGE(""https://docs.google.com/spreadsheets/d/1Yj_ptqi66GCucihVvJfMjLAmec39IyEx_6qawtMGysU/edit?usp=sharing"",""สบก!DI57"")"),1089250.0)</f>
        <v>1089250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IFERROR(__xludf.DUMMYFUNCTION("IMPORTRANGE(""https://docs.google.com/spreadsheets/d/1Yj_ptqi66GCucihVvJfMjLAmec39IyEx_6qawtMGysU/edit?usp=sharing"",""สบก!DJ57"")"),0.0)</f>
        <v>0</v>
      </c>
      <c r="M337" s="125"/>
      <c r="N337" s="115">
        <f>IFERROR(__xludf.DUMMYFUNCTION("IMPORTRANGE(""https://docs.google.com/spreadsheets/d/1Yj_ptqi66GCucihVvJfMjLAmec39IyEx_6qawtMGysU/edit?usp=sharing"",""สบก!DN57"")"),0.0)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IFERROR(__xludf.DUMMYFUNCTION("IMPORTRANGE(""https://docs.google.com/spreadsheets/d/1XL5vhW3sbDhbH9Cz0tuDiY8C3ctxq1tqvaCgkFb8cCA/edit?usp=sharing"",""อุบลราชธานี!I234"")"),0.0)</f>
        <v>0</v>
      </c>
      <c r="J339" s="222">
        <f>IFERROR(__xludf.DUMMYFUNCTION("IMPORTRANGE(""https://docs.google.com/spreadsheets/d/1XL5vhW3sbDhbH9Cz0tuDiY8C3ctxq1tqvaCgkFb8cCA/edit?usp=sharing"",""อุบลราชธานี!J234"")"),324.0)</f>
        <v>324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IFERROR(__xludf.DUMMYFUNCTION("IMPORTRANGE(""https://docs.google.com/spreadsheets/d/1XL5vhW3sbDhbH9Cz0tuDiY8C3ctxq1tqvaCgkFb8cCA/edit?usp=sharing"",""อุบลราชธานี!I235"")"),6640.0)</f>
        <v>6640</v>
      </c>
      <c r="J340" s="222">
        <f>IFERROR(__xludf.DUMMYFUNCTION("IMPORTRANGE(""https://docs.google.com/spreadsheets/d/1XL5vhW3sbDhbH9Cz0tuDiY8C3ctxq1tqvaCgkFb8cCA/edit?usp=sharing"",""อุบลราชธานี!J235"")"),2355.06)</f>
        <v>2355.06</v>
      </c>
      <c r="K340" s="375">
        <f t="shared" si="104"/>
        <v>35.46777108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IFERROR(__xludf.DUMMYFUNCTION("IMPORTRANGE(""https://docs.google.com/spreadsheets/d/1XL5vhW3sbDhbH9Cz0tuDiY8C3ctxq1tqvaCgkFb8cCA/edit?usp=sharing"",""อุบลราชธานี!I236"")"),820.0)</f>
        <v>820</v>
      </c>
      <c r="J341" s="222">
        <f>IFERROR(__xludf.DUMMYFUNCTION("IMPORTRANGE(""https://docs.google.com/spreadsheets/d/1XL5vhW3sbDhbH9Cz0tuDiY8C3ctxq1tqvaCgkFb8cCA/edit?usp=sharing"",""อุบลราชธานี!J236"")"),213.0)</f>
        <v>213</v>
      </c>
      <c r="K341" s="375">
        <f t="shared" si="104"/>
        <v>25.97560976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IFERROR(__xludf.DUMMYFUNCTION("IMPORTRANGE(""https://docs.google.com/spreadsheets/d/1XL5vhW3sbDhbH9Cz0tuDiY8C3ctxq1tqvaCgkFb8cCA/edit?usp=sharing"",""อุบลราชธานี!I237"")"),0.0)</f>
        <v>0</v>
      </c>
      <c r="J342" s="222">
        <f>IFERROR(__xludf.DUMMYFUNCTION("IMPORTRANGE(""https://docs.google.com/spreadsheets/d/1XL5vhW3sbDhbH9Cz0tuDiY8C3ctxq1tqvaCgkFb8cCA/edit?usp=sharing"",""อุบลราชธานี!J237"")"),2225.23)</f>
        <v>2225.23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IFERROR(__xludf.DUMMYFUNCTION("IMPORTRANGE(""https://docs.google.com/spreadsheets/d/1XL5vhW3sbDhbH9Cz0tuDiY8C3ctxq1tqvaCgkFb8cCA/edit?usp=sharing"",""อุบลราชธานี!I238"")"),820.0)</f>
        <v>820</v>
      </c>
      <c r="J343" s="222">
        <f>IFERROR(__xludf.DUMMYFUNCTION("IMPORTRANGE(""https://docs.google.com/spreadsheets/d/1XL5vhW3sbDhbH9Cz0tuDiY8C3ctxq1tqvaCgkFb8cCA/edit?usp=sharing"",""อุบลราชธานี!J238"")"),0.0)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IFERROR(__xludf.DUMMYFUNCTION("IMPORTRANGE(""https://docs.google.com/spreadsheets/d/1XL5vhW3sbDhbH9Cz0tuDiY8C3ctxq1tqvaCgkFb8cCA/edit?usp=sharing"",""อุบลราชธานี!I239"")"),0.0)</f>
        <v>0</v>
      </c>
      <c r="J344" s="222">
        <f>IFERROR(__xludf.DUMMYFUNCTION("IMPORTRANGE(""https://docs.google.com/spreadsheets/d/1XL5vhW3sbDhbH9Cz0tuDiY8C3ctxq1tqvaCgkFb8cCA/edit?usp=sharing"",""อุบลราชธานี!J239"")"),0.0)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IFERROR(__xludf.DUMMYFUNCTION("IMPORTRANGE(""https://docs.google.com/spreadsheets/d/1XL5vhW3sbDhbH9Cz0tuDiY8C3ctxq1tqvaCgkFb8cCA/edit?usp=sharing"",""อุบลราชธานี!I240"")"),820.0)</f>
        <v>820</v>
      </c>
      <c r="J345" s="222">
        <f>IFERROR(__xludf.DUMMYFUNCTION("IMPORTRANGE(""https://docs.google.com/spreadsheets/d/1XL5vhW3sbDhbH9Cz0tuDiY8C3ctxq1tqvaCgkFb8cCA/edit?usp=sharing"",""อุบลราชธานี!J240"")"),65.0)</f>
        <v>65</v>
      </c>
      <c r="K345" s="375">
        <f t="shared" si="104"/>
        <v>7.926829268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IFERROR(__xludf.DUMMYFUNCTION("IMPORTRANGE(""https://docs.google.com/spreadsheets/d/1XL5vhW3sbDhbH9Cz0tuDiY8C3ctxq1tqvaCgkFb8cCA/edit?usp=sharing"",""อุบลราชธานี!I241"")"),0.0)</f>
        <v>0</v>
      </c>
      <c r="J346" s="222">
        <f>IFERROR(__xludf.DUMMYFUNCTION("IMPORTRANGE(""https://docs.google.com/spreadsheets/d/1XL5vhW3sbDhbH9Cz0tuDiY8C3ctxq1tqvaCgkFb8cCA/edit?usp=sharing"",""อุบลราชธานี!J241"")"),916.68)</f>
        <v>916.68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IFERROR(__xludf.DUMMYFUNCTION("IMPORTRANGE(""https://docs.google.com/spreadsheets/d/1XL5vhW3sbDhbH9Cz0tuDiY8C3ctxq1tqvaCgkFb8cCA/edit?usp=sharing"",""อุบลราชธานี!L242"")"),3376245.0)</f>
        <v>3376245</v>
      </c>
      <c r="M347" s="391"/>
      <c r="N347" s="391">
        <f>IFERROR(__xludf.DUMMYFUNCTION("IMPORTRANGE(""https://docs.google.com/spreadsheets/d/1XL5vhW3sbDhbH9Cz0tuDiY8C3ctxq1tqvaCgkFb8cCA/edit?usp=sharing"",""อุบลราชธานี!M242"")"),493953.3)</f>
        <v>493953.3</v>
      </c>
      <c r="O347" s="391">
        <f>+IF(L347&gt;0,N347*100/L347,0)</f>
        <v>14.63025639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IFERROR(__xludf.DUMMYFUNCTION("IMPORTRANGE(""https://docs.google.com/spreadsheets/d/1XL5vhW3sbDhbH9Cz0tuDiY8C3ctxq1tqvaCgkFb8cCA/edit?usp=sharing"",""อุบลราชธานี!I244"")"),300.0)</f>
        <v>300</v>
      </c>
      <c r="J349" s="404">
        <f>IFERROR(__xludf.DUMMYFUNCTION("IMPORTRANGE(""https://docs.google.com/spreadsheets/d/1XL5vhW3sbDhbH9Cz0tuDiY8C3ctxq1tqvaCgkFb8cCA/edit?usp=sharing"",""อุบลราชธานี!J244"")"),0.0)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IFERROR(__xludf.DUMMYFUNCTION("IMPORTRANGE(""https://docs.google.com/spreadsheets/d/1XL5vhW3sbDhbH9Cz0tuDiY8C3ctxq1tqvaCgkFb8cCA/edit?usp=sharing"",""อุบลราชธานี!L244"")"),550180.0)</f>
        <v>550180</v>
      </c>
      <c r="M349" s="406"/>
      <c r="N349" s="406">
        <f>IFERROR(__xludf.DUMMYFUNCTION("IMPORTRANGE(""https://docs.google.com/spreadsheets/d/1XL5vhW3sbDhbH9Cz0tuDiY8C3ctxq1tqvaCgkFb8cCA/edit?usp=sharing"",""อุบลราชธานี!M244"")"),139666.0)</f>
        <v>139666</v>
      </c>
      <c r="O349" s="406">
        <f>+IF(L349&gt;0,N349*100/L349,0)</f>
        <v>25.3855102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IFERROR(__xludf.DUMMYFUNCTION("IMPORTRANGE(""https://docs.google.com/spreadsheets/d/1XL5vhW3sbDhbH9Cz0tuDiY8C3ctxq1tqvaCgkFb8cCA/edit?usp=sharing"",""อุบลราชธานี!I245"")"),90.0)</f>
        <v>90</v>
      </c>
      <c r="J350" s="404">
        <f>IFERROR(__xludf.DUMMYFUNCTION("IMPORTRANGE(""https://docs.google.com/spreadsheets/d/1XL5vhW3sbDhbH9Cz0tuDiY8C3ctxq1tqvaCgkFb8cCA/edit?usp=sharing"",""อุบลราชธานี!J245"")"),90.0)</f>
        <v>90</v>
      </c>
      <c r="K350" s="405">
        <f t="shared" si="105"/>
        <v>100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IFERROR(__xludf.DUMMYFUNCTION("IMPORTRANGE(""https://docs.google.com/spreadsheets/d/1XL5vhW3sbDhbH9Cz0tuDiY8C3ctxq1tqvaCgkFb8cCA/edit?usp=sharing"",""อุบลราชธานี!L246"")"),0.0)</f>
        <v>0</v>
      </c>
      <c r="M351" s="197"/>
      <c r="N351" s="197">
        <f>IFERROR(__xludf.DUMMYFUNCTION("IMPORTRANGE(""https://docs.google.com/spreadsheets/d/1XL5vhW3sbDhbH9Cz0tuDiY8C3ctxq1tqvaCgkFb8cCA/edit?usp=sharing"",""อุบลราชธานี!M246"")"),0.0)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IFERROR(__xludf.DUMMYFUNCTION("IMPORTRANGE(""https://docs.google.com/spreadsheets/d/1XL5vhW3sbDhbH9Cz0tuDiY8C3ctxq1tqvaCgkFb8cCA/edit?usp=sharing"",""อุบลราชธานี!L247"")"),550180.0)</f>
        <v>550180</v>
      </c>
      <c r="M352" s="198"/>
      <c r="N352" s="197">
        <f>IFERROR(__xludf.DUMMYFUNCTION("IMPORTRANGE(""https://docs.google.com/spreadsheets/d/1XL5vhW3sbDhbH9Cz0tuDiY8C3ctxq1tqvaCgkFb8cCA/edit?usp=sharing"",""อุบลราชธานี!M247"")"),139666.0)</f>
        <v>139666</v>
      </c>
      <c r="O352" s="198">
        <f t="shared" si="106"/>
        <v>25.3855102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IFERROR(__xludf.DUMMYFUNCTION("IMPORTRANGE(""https://docs.google.com/spreadsheets/d/1XL5vhW3sbDhbH9Cz0tuDiY8C3ctxq1tqvaCgkFb8cCA/edit?usp=sharing"",""อุบลราชธานี!L248"")"),0.0)</f>
        <v>0</v>
      </c>
      <c r="M353" s="203"/>
      <c r="N353" s="203">
        <f>IFERROR(__xludf.DUMMYFUNCTION("IMPORTRANGE(""https://docs.google.com/spreadsheets/d/1XL5vhW3sbDhbH9Cz0tuDiY8C3ctxq1tqvaCgkFb8cCA/edit?usp=sharing"",""อุบลราชธานี!M248"")"),0.0)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IFERROR(__xludf.DUMMYFUNCTION("IMPORTRANGE(""https://docs.google.com/spreadsheets/d/1XL5vhW3sbDhbH9Cz0tuDiY8C3ctxq1tqvaCgkFb8cCA/edit?usp=sharing"",""อุบลราชธานี!L249"")"),550180.0)</f>
        <v>550180</v>
      </c>
      <c r="M354" s="203"/>
      <c r="N354" s="200">
        <f>IFERROR(__xludf.DUMMYFUNCTION("IMPORTRANGE(""https://docs.google.com/spreadsheets/d/1XL5vhW3sbDhbH9Cz0tuDiY8C3ctxq1tqvaCgkFb8cCA/edit?usp=sharing"",""อุบลราชธานี!M249"")"),139666.0)</f>
        <v>139666</v>
      </c>
      <c r="O354" s="203">
        <f t="shared" si="106"/>
        <v>25.3855102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IFERROR(__xludf.DUMMYFUNCTION("IMPORTRANGE(""https://docs.google.com/spreadsheets/d/1XL5vhW3sbDhbH9Cz0tuDiY8C3ctxq1tqvaCgkFb8cCA/edit?usp=sharing"",""อุบลราชธานี!M250"")"),107400.0)</f>
        <v>107400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IFERROR(__xludf.DUMMYFUNCTION("IMPORTRANGE(""https://docs.google.com/spreadsheets/d/1XL5vhW3sbDhbH9Cz0tuDiY8C3ctxq1tqvaCgkFb8cCA/edit?usp=sharing"",""อุบลราชธานี!M251"")"),0.0)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IFERROR(__xludf.DUMMYFUNCTION("IMPORTRANGE(""https://docs.google.com/spreadsheets/d/1XL5vhW3sbDhbH9Cz0tuDiY8C3ctxq1tqvaCgkFb8cCA/edit?usp=sharing"",""อุบลราชธานี!M252"")"),32266.0)</f>
        <v>32266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IFERROR(__xludf.DUMMYFUNCTION("IMPORTRANGE(""https://docs.google.com/spreadsheets/d/1XL5vhW3sbDhbH9Cz0tuDiY8C3ctxq1tqvaCgkFb8cCA/edit?usp=sharing"",""อุบลราชธานี!M253"")"),0.0)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IFERROR(__xludf.DUMMYFUNCTION("IMPORTRANGE(""https://docs.google.com/spreadsheets/d/1XL5vhW3sbDhbH9Cz0tuDiY8C3ctxq1tqvaCgkFb8cCA/edit?usp=sharing"",""อุบลราชธานี!J255"")"),0.0)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IFERROR(__xludf.DUMMYFUNCTION("IMPORTRANGE(""https://docs.google.com/spreadsheets/d/1XL5vhW3sbDhbH9Cz0tuDiY8C3ctxq1tqvaCgkFb8cCA/edit?usp=sharing"",""อุบลราชธานี!J256"")"),1.0)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IFERROR(__xludf.DUMMYFUNCTION("IMPORTRANGE(""https://docs.google.com/spreadsheets/d/1XL5vhW3sbDhbH9Cz0tuDiY8C3ctxq1tqvaCgkFb8cCA/edit?usp=sharing"",""อุบลราชธานี!J257"")"),1.0)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IFERROR(__xludf.DUMMYFUNCTION("IMPORTRANGE(""https://docs.google.com/spreadsheets/d/1XL5vhW3sbDhbH9Cz0tuDiY8C3ctxq1tqvaCgkFb8cCA/edit?usp=sharing"",""อุบลราชธานี!J258"")"),1.0)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IFERROR(__xludf.DUMMYFUNCTION("IMPORTRANGE(""https://docs.google.com/spreadsheets/d/1XL5vhW3sbDhbH9Cz0tuDiY8C3ctxq1tqvaCgkFb8cCA/edit?usp=sharing"",""อุบลราชธานี!J166"")"),0.0)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IFERROR(__xludf.DUMMYFUNCTION("IMPORTRANGE(""https://docs.google.com/spreadsheets/d/1XL5vhW3sbDhbH9Cz0tuDiY8C3ctxq1tqvaCgkFb8cCA/edit?usp=sharing"",""อุบลราชธานี!J166"")"),0.0)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IFERROR(__xludf.DUMMYFUNCTION("IMPORTRANGE(""https://docs.google.com/spreadsheets/d/1XL5vhW3sbDhbH9Cz0tuDiY8C3ctxq1tqvaCgkFb8cCA/edit?usp=sharing"",""อุบลราชธานี!J166"")"),0.0)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IFERROR(__xludf.DUMMYFUNCTION("IMPORTRANGE(""https://docs.google.com/spreadsheets/d/1XL5vhW3sbDhbH9Cz0tuDiY8C3ctxq1tqvaCgkFb8cCA/edit?usp=sharing"",""อุบลราชธานี!J166"")"),0.0)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IFERROR(__xludf.DUMMYFUNCTION("IMPORTRANGE(""https://docs.google.com/spreadsheets/d/1XL5vhW3sbDhbH9Cz0tuDiY8C3ctxq1tqvaCgkFb8cCA/edit?usp=sharing"",""อุบลราชธานี!I263"")"),90.0)</f>
        <v>90</v>
      </c>
      <c r="J368" s="222">
        <f>IFERROR(__xludf.DUMMYFUNCTION("IMPORTRANGE(""https://docs.google.com/spreadsheets/d/1XL5vhW3sbDhbH9Cz0tuDiY8C3ctxq1tqvaCgkFb8cCA/edit?usp=sharing"",""อุบลราชธานี!J263"")"),90.0)</f>
        <v>90</v>
      </c>
      <c r="K368" s="196">
        <f t="shared" si="107"/>
        <v>100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IFERROR(__xludf.DUMMYFUNCTION("IMPORTRANGE(""https://docs.google.com/spreadsheets/d/1XL5vhW3sbDhbH9Cz0tuDiY8C3ctxq1tqvaCgkFb8cCA/edit?usp=sharing"",""อุบลราชธานี!I164"")"),0.0)</f>
        <v>0</v>
      </c>
      <c r="J369" s="238">
        <f>IFERROR(__xludf.DUMMYFUNCTION("IMPORTRANGE(""https://docs.google.com/spreadsheets/d/1XL5vhW3sbDhbH9Cz0tuDiY8C3ctxq1tqvaCgkFb8cCA/edit?usp=sharing"",""อุบลราชธานี!J164"")"),0.0)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IFERROR(__xludf.DUMMYFUNCTION("IMPORTRANGE(""https://docs.google.com/spreadsheets/d/1XL5vhW3sbDhbH9Cz0tuDiY8C3ctxq1tqvaCgkFb8cCA/edit?usp=sharing"",""อุบลราชธานี!I265"")"),90.0)</f>
        <v>90</v>
      </c>
      <c r="J370" s="238">
        <f>IFERROR(__xludf.DUMMYFUNCTION("IMPORTRANGE(""https://docs.google.com/spreadsheets/d/1XL5vhW3sbDhbH9Cz0tuDiY8C3ctxq1tqvaCgkFb8cCA/edit?usp=sharing"",""อุบลราชธานี!J265"")"),90.0)</f>
        <v>90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IFERROR(__xludf.DUMMYFUNCTION("IMPORTRANGE(""https://docs.google.com/spreadsheets/d/1XL5vhW3sbDhbH9Cz0tuDiY8C3ctxq1tqvaCgkFb8cCA/edit?usp=sharing"",""อุบลราชธานี!I164"")"),0.0)</f>
        <v>0</v>
      </c>
      <c r="J371" s="223">
        <f>IFERROR(__xludf.DUMMYFUNCTION("IMPORTRANGE(""https://docs.google.com/spreadsheets/d/1XL5vhW3sbDhbH9Cz0tuDiY8C3ctxq1tqvaCgkFb8cCA/edit?usp=sharing"",""อุบลราชธานี!J164"")"),0.0)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IFERROR(__xludf.DUMMYFUNCTION("IMPORTRANGE(""https://docs.google.com/spreadsheets/d/1XL5vhW3sbDhbH9Cz0tuDiY8C3ctxq1tqvaCgkFb8cCA/edit?usp=sharing"",""อุบลราชธานี!I267"")"),90.0)</f>
        <v>90</v>
      </c>
      <c r="J372" s="223">
        <f>IFERROR(__xludf.DUMMYFUNCTION("IMPORTRANGE(""https://docs.google.com/spreadsheets/d/1XL5vhW3sbDhbH9Cz0tuDiY8C3ctxq1tqvaCgkFb8cCA/edit?usp=sharing"",""อุบลราชธานี!J267"")"),90.0)</f>
        <v>90</v>
      </c>
      <c r="K372" s="196">
        <f t="shared" si="107"/>
        <v>100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IFERROR(__xludf.DUMMYFUNCTION("IMPORTRANGE(""https://docs.google.com/spreadsheets/d/1XL5vhW3sbDhbH9Cz0tuDiY8C3ctxq1tqvaCgkFb8cCA/edit?usp=sharing"",""อุบลราชธานี!I164"")"),0.0)</f>
        <v>0</v>
      </c>
      <c r="J373" s="238">
        <f>IFERROR(__xludf.DUMMYFUNCTION("IMPORTRANGE(""https://docs.google.com/spreadsheets/d/1XL5vhW3sbDhbH9Cz0tuDiY8C3ctxq1tqvaCgkFb8cCA/edit?usp=sharing"",""อุบลราชธานี!J164"")"),0.0)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IFERROR(__xludf.DUMMYFUNCTION("IMPORTRANGE(""https://docs.google.com/spreadsheets/d/1XL5vhW3sbDhbH9Cz0tuDiY8C3ctxq1tqvaCgkFb8cCA/edit?usp=sharing"",""อุบลราชธานี!I164"")"),0.0)</f>
        <v>0</v>
      </c>
      <c r="J374" s="222">
        <f>IFERROR(__xludf.DUMMYFUNCTION("IMPORTRANGE(""https://docs.google.com/spreadsheets/d/1XL5vhW3sbDhbH9Cz0tuDiY8C3ctxq1tqvaCgkFb8cCA/edit?usp=sharing"",""อุบลราชธานี!J164"")"),0.0)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IFERROR(__xludf.DUMMYFUNCTION("IMPORTRANGE(""https://docs.google.com/spreadsheets/d/1XL5vhW3sbDhbH9Cz0tuDiY8C3ctxq1tqvaCgkFb8cCA/edit?usp=sharing"",""อุบลราชธานี!I270"")"),300.0)</f>
        <v>300</v>
      </c>
      <c r="J375" s="222">
        <f>IFERROR(__xludf.DUMMYFUNCTION("IMPORTRANGE(""https://docs.google.com/spreadsheets/d/1XL5vhW3sbDhbH9Cz0tuDiY8C3ctxq1tqvaCgkFb8cCA/edit?usp=sharing"",""อุบลราชธานี!J270"")"),0.0)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IFERROR(__xludf.DUMMYFUNCTION("IMPORTRANGE(""https://docs.google.com/spreadsheets/d/1XL5vhW3sbDhbH9Cz0tuDiY8C3ctxq1tqvaCgkFb8cCA/edit?usp=sharing"",""อุบลราชธานี!I271"")"),100.0)</f>
        <v>100</v>
      </c>
      <c r="J376" s="223">
        <f>IFERROR(__xludf.DUMMYFUNCTION("IMPORTRANGE(""https://docs.google.com/spreadsheets/d/1XL5vhW3sbDhbH9Cz0tuDiY8C3ctxq1tqvaCgkFb8cCA/edit?usp=sharing"",""อุบลราชธานี!J271"")"),0.0)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IFERROR(__xludf.DUMMYFUNCTION("IMPORTRANGE(""https://docs.google.com/spreadsheets/d/1XL5vhW3sbDhbH9Cz0tuDiY8C3ctxq1tqvaCgkFb8cCA/edit?usp=sharing"",""อุบลราชธานี!I272"")"),200.0)</f>
        <v>200</v>
      </c>
      <c r="J377" s="238">
        <f>IFERROR(__xludf.DUMMYFUNCTION("IMPORTRANGE(""https://docs.google.com/spreadsheets/d/1XL5vhW3sbDhbH9Cz0tuDiY8C3ctxq1tqvaCgkFb8cCA/edit?usp=sharing"",""อุบลราชธานี!J272"")"),0.0)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IFERROR(__xludf.DUMMYFUNCTION("IMPORTRANGE(""https://docs.google.com/spreadsheets/d/1XL5vhW3sbDhbH9Cz0tuDiY8C3ctxq1tqvaCgkFb8cCA/edit?usp=sharing"",""อุบลราชธานี!J273"")"),0.0)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IFERROR(__xludf.DUMMYFUNCTION("IMPORTRANGE(""https://docs.google.com/spreadsheets/d/1XL5vhW3sbDhbH9Cz0tuDiY8C3ctxq1tqvaCgkFb8cCA/edit?usp=sharing"",""อุบลราชธานี!J274"")"),0.0)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IFERROR(__xludf.DUMMYFUNCTION("IMPORTRANGE(""https://docs.google.com/spreadsheets/d/1XL5vhW3sbDhbH9Cz0tuDiY8C3ctxq1tqvaCgkFb8cCA/edit?usp=sharing"",""อุบลราชธานี!I275"")"),1000.0)</f>
        <v>1000</v>
      </c>
      <c r="J380" s="404">
        <f>IFERROR(__xludf.DUMMYFUNCTION("IMPORTRANGE(""https://docs.google.com/spreadsheets/d/1XL5vhW3sbDhbH9Cz0tuDiY8C3ctxq1tqvaCgkFb8cCA/edit?usp=sharing"",""อุบลราชธานี!J275"")"),0.0)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IFERROR(__xludf.DUMMYFUNCTION("IMPORTRANGE(""https://docs.google.com/spreadsheets/d/1XL5vhW3sbDhbH9Cz0tuDiY8C3ctxq1tqvaCgkFb8cCA/edit?usp=sharing"",""อุบลราชธานี!L275"")"),1028520.0)</f>
        <v>1028520</v>
      </c>
      <c r="M380" s="406"/>
      <c r="N380" s="406">
        <f>IFERROR(__xludf.DUMMYFUNCTION("IMPORTRANGE(""https://docs.google.com/spreadsheets/d/1XL5vhW3sbDhbH9Cz0tuDiY8C3ctxq1tqvaCgkFb8cCA/edit?usp=sharing"",""อุบลราชธานี!M275"")"),68850.0)</f>
        <v>68850</v>
      </c>
      <c r="O380" s="406">
        <f>+IF(L380&gt;0,N380*100/L380,0)</f>
        <v>6.694084704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IFERROR(__xludf.DUMMYFUNCTION("IMPORTRANGE(""https://docs.google.com/spreadsheets/d/1XL5vhW3sbDhbH9Cz0tuDiY8C3ctxq1tqvaCgkFb8cCA/edit?usp=sharing"",""อุบลราชธานี!I276"")"),100.0)</f>
        <v>100</v>
      </c>
      <c r="J381" s="404">
        <f>IFERROR(__xludf.DUMMYFUNCTION("IMPORTRANGE(""https://docs.google.com/spreadsheets/d/1XL5vhW3sbDhbH9Cz0tuDiY8C3ctxq1tqvaCgkFb8cCA/edit?usp=sharing"",""อุบลราชธานี!J276"")"),100.0)</f>
        <v>100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IFERROR(__xludf.DUMMYFUNCTION("IMPORTRANGE(""https://docs.google.com/spreadsheets/d/1XL5vhW3sbDhbH9Cz0tuDiY8C3ctxq1tqvaCgkFb8cCA/edit?usp=sharing"",""อุบลราชธานี!L277"")"),0.0)</f>
        <v>0</v>
      </c>
      <c r="M382" s="197"/>
      <c r="N382" s="197">
        <f>IFERROR(__xludf.DUMMYFUNCTION("IMPORTRANGE(""https://docs.google.com/spreadsheets/d/1XL5vhW3sbDhbH9Cz0tuDiY8C3ctxq1tqvaCgkFb8cCA/edit?usp=sharing"",""อุบลราชธานี!M277"")"),0.0)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IFERROR(__xludf.DUMMYFUNCTION("IMPORTRANGE(""https://docs.google.com/spreadsheets/d/1XL5vhW3sbDhbH9Cz0tuDiY8C3ctxq1tqvaCgkFb8cCA/edit?usp=sharing"",""อุบลราชธานี!L278"")"),1028520.0)</f>
        <v>1028520</v>
      </c>
      <c r="M383" s="198"/>
      <c r="N383" s="198">
        <f>IFERROR(__xludf.DUMMYFUNCTION("IMPORTRANGE(""https://docs.google.com/spreadsheets/d/1XL5vhW3sbDhbH9Cz0tuDiY8C3ctxq1tqvaCgkFb8cCA/edit?usp=sharing"",""อุบลราชธานี!M278"")"),68850.0)</f>
        <v>68850</v>
      </c>
      <c r="O383" s="198">
        <f t="shared" si="110"/>
        <v>6.694084704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IFERROR(__xludf.DUMMYFUNCTION("IMPORTRANGE(""https://docs.google.com/spreadsheets/d/1XL5vhW3sbDhbH9Cz0tuDiY8C3ctxq1tqvaCgkFb8cCA/edit?usp=sharing"",""อุบลราชธานี!L279"")"),0.0)</f>
        <v>0</v>
      </c>
      <c r="M384" s="203"/>
      <c r="N384" s="203">
        <f>IFERROR(__xludf.DUMMYFUNCTION("IMPORTRANGE(""https://docs.google.com/spreadsheets/d/1XL5vhW3sbDhbH9Cz0tuDiY8C3ctxq1tqvaCgkFb8cCA/edit?usp=sharing"",""อุบลราชธานี!M279"")"),0.0)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IFERROR(__xludf.DUMMYFUNCTION("IMPORTRANGE(""https://docs.google.com/spreadsheets/d/1XL5vhW3sbDhbH9Cz0tuDiY8C3ctxq1tqvaCgkFb8cCA/edit?usp=sharing"",""อุบลราชธานี!L280"")"),1028520.0)</f>
        <v>1028520</v>
      </c>
      <c r="M385" s="203"/>
      <c r="N385" s="200">
        <f>IFERROR(__xludf.DUMMYFUNCTION("IMPORTRANGE(""https://docs.google.com/spreadsheets/d/1XL5vhW3sbDhbH9Cz0tuDiY8C3ctxq1tqvaCgkFb8cCA/edit?usp=sharing"",""อุบลราชธานี!M280"")"),68850.0)</f>
        <v>68850</v>
      </c>
      <c r="O385" s="203">
        <f t="shared" si="110"/>
        <v>6.694084704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IFERROR(__xludf.DUMMYFUNCTION("IMPORTRANGE(""https://docs.google.com/spreadsheets/d/1XL5vhW3sbDhbH9Cz0tuDiY8C3ctxq1tqvaCgkFb8cCA/edit?usp=sharing"",""อุบลราชธานี!M281"")"),0.0)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IFERROR(__xludf.DUMMYFUNCTION("IMPORTRANGE(""https://docs.google.com/spreadsheets/d/1XL5vhW3sbDhbH9Cz0tuDiY8C3ctxq1tqvaCgkFb8cCA/edit?usp=sharing"",""อุบลราชธานี!M282"")"),0.0)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IFERROR(__xludf.DUMMYFUNCTION("IMPORTRANGE(""https://docs.google.com/spreadsheets/d/1XL5vhW3sbDhbH9Cz0tuDiY8C3ctxq1tqvaCgkFb8cCA/edit?usp=sharing"",""อุบลราชธานี!M283"")"),44400.0)</f>
        <v>44400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IFERROR(__xludf.DUMMYFUNCTION("IMPORTRANGE(""https://docs.google.com/spreadsheets/d/1XL5vhW3sbDhbH9Cz0tuDiY8C3ctxq1tqvaCgkFb8cCA/edit?usp=sharing"",""อุบลราชธานี!M284"")"),24450.0)</f>
        <v>24450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IFERROR(__xludf.DUMMYFUNCTION("IMPORTRANGE(""https://docs.google.com/spreadsheets/d/1XL5vhW3sbDhbH9Cz0tuDiY8C3ctxq1tqvaCgkFb8cCA/edit?usp=sharing"",""อุบลราชธานี!J286"")"),0.0)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IFERROR(__xludf.DUMMYFUNCTION("IMPORTRANGE(""https://docs.google.com/spreadsheets/d/1XL5vhW3sbDhbH9Cz0tuDiY8C3ctxq1tqvaCgkFb8cCA/edit?usp=sharing"",""อุบลราชธานี!J287"")"),1.0)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IFERROR(__xludf.DUMMYFUNCTION("IMPORTRANGE(""https://docs.google.com/spreadsheets/d/1XL5vhW3sbDhbH9Cz0tuDiY8C3ctxq1tqvaCgkFb8cCA/edit?usp=sharing"",""อุบลราชธานี!J288"")"),1.0)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IFERROR(__xludf.DUMMYFUNCTION("IMPORTRANGE(""https://docs.google.com/spreadsheets/d/1XL5vhW3sbDhbH9Cz0tuDiY8C3ctxq1tqvaCgkFb8cCA/edit?usp=sharing"",""อุบลราชธานี!J289"")"),1.0)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IFERROR(__xludf.DUMMYFUNCTION("IMPORTRANGE(""https://docs.google.com/spreadsheets/d/1XL5vhW3sbDhbH9Cz0tuDiY8C3ctxq1tqvaCgkFb8cCA/edit?usp=sharing"",""อุบลราชธานี!I291"")"),100.0)</f>
        <v>100</v>
      </c>
      <c r="J396" s="232">
        <f>IFERROR(__xludf.DUMMYFUNCTION("IMPORTRANGE(""https://docs.google.com/spreadsheets/d/1XL5vhW3sbDhbH9Cz0tuDiY8C3ctxq1tqvaCgkFb8cCA/edit?usp=sharing"",""อุบลราชธานี!J291"")"),100.0)</f>
        <v>100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IFERROR(__xludf.DUMMYFUNCTION("IMPORTRANGE(""https://docs.google.com/spreadsheets/d/1XL5vhW3sbDhbH9Cz0tuDiY8C3ctxq1tqvaCgkFb8cCA/edit?usp=sharing"",""อุบลราชธานี!I292"")"),1000.0)</f>
        <v>1000</v>
      </c>
      <c r="J397" s="232">
        <f>IFERROR(__xludf.DUMMYFUNCTION("IMPORTRANGE(""https://docs.google.com/spreadsheets/d/1XL5vhW3sbDhbH9Cz0tuDiY8C3ctxq1tqvaCgkFb8cCA/edit?usp=sharing"",""อุบลราชธานี!J292"")"),0.0)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IFERROR(__xludf.DUMMYFUNCTION("IMPORTRANGE(""https://docs.google.com/spreadsheets/d/1XL5vhW3sbDhbH9Cz0tuDiY8C3ctxq1tqvaCgkFb8cCA/edit?usp=sharing"",""อุบลราชธานี!I293"")"),100.0)</f>
        <v>100</v>
      </c>
      <c r="J398" s="232">
        <f>IFERROR(__xludf.DUMMYFUNCTION("IMPORTRANGE(""https://docs.google.com/spreadsheets/d/1XL5vhW3sbDhbH9Cz0tuDiY8C3ctxq1tqvaCgkFb8cCA/edit?usp=sharing"",""อุบลราชธานี!J293"")"),0.0)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IFERROR(__xludf.DUMMYFUNCTION("IMPORTRANGE(""https://docs.google.com/spreadsheets/d/1XL5vhW3sbDhbH9Cz0tuDiY8C3ctxq1tqvaCgkFb8cCA/edit?usp=sharing"",""อุบลราชธานี!J294"")"),0.0)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IFERROR(__xludf.DUMMYFUNCTION("IMPORTRANGE(""https://docs.google.com/spreadsheets/d/1XL5vhW3sbDhbH9Cz0tuDiY8C3ctxq1tqvaCgkFb8cCA/edit?usp=sharing"",""อุบลราชธานี!J295"")"),0.0)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IFERROR(__xludf.DUMMYFUNCTION("IMPORTRANGE(""https://docs.google.com/spreadsheets/d/1XL5vhW3sbDhbH9Cz0tuDiY8C3ctxq1tqvaCgkFb8cCA/edit?usp=sharing"",""อุบลราชธานี!I296"")"),213.0)</f>
        <v>213</v>
      </c>
      <c r="J401" s="404">
        <f>IFERROR(__xludf.DUMMYFUNCTION("IMPORTRANGE(""https://docs.google.com/spreadsheets/d/1XL5vhW3sbDhbH9Cz0tuDiY8C3ctxq1tqvaCgkFb8cCA/edit?usp=sharing"",""อุบลราชธานี!J296"")"),0.0)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IFERROR(__xludf.DUMMYFUNCTION("IMPORTRANGE(""https://docs.google.com/spreadsheets/d/1XL5vhW3sbDhbH9Cz0tuDiY8C3ctxq1tqvaCgkFb8cCA/edit?usp=sharing"",""อุบลราชธานี!L296"")"),233280.0)</f>
        <v>233280</v>
      </c>
      <c r="M401" s="406"/>
      <c r="N401" s="406">
        <f>IFERROR(__xludf.DUMMYFUNCTION("IMPORTRANGE(""https://docs.google.com/spreadsheets/d/1XL5vhW3sbDhbH9Cz0tuDiY8C3ctxq1tqvaCgkFb8cCA/edit?usp=sharing"",""อุบลราชธานี!M296"")"),0.0)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IFERROR(__xludf.DUMMYFUNCTION("IMPORTRANGE(""https://docs.google.com/spreadsheets/d/1XL5vhW3sbDhbH9Cz0tuDiY8C3ctxq1tqvaCgkFb8cCA/edit?usp=sharing"",""อุบลราชธานี!I297"")"),71.0)</f>
        <v>71</v>
      </c>
      <c r="J402" s="404">
        <f>IFERROR(__xludf.DUMMYFUNCTION("IMPORTRANGE(""https://docs.google.com/spreadsheets/d/1XL5vhW3sbDhbH9Cz0tuDiY8C3ctxq1tqvaCgkFb8cCA/edit?usp=sharing"",""อุบลราชธานี!J297"")"),0.0)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IFERROR(__xludf.DUMMYFUNCTION("IMPORTRANGE(""https://docs.google.com/spreadsheets/d/1XL5vhW3sbDhbH9Cz0tuDiY8C3ctxq1tqvaCgkFb8cCA/edit?usp=sharing"",""อุบลราชธานี!L298"")"),0.0)</f>
        <v>0</v>
      </c>
      <c r="M403" s="197"/>
      <c r="N403" s="203">
        <f>IFERROR(__xludf.DUMMYFUNCTION("IMPORTRANGE(""https://docs.google.com/spreadsheets/d/1XL5vhW3sbDhbH9Cz0tuDiY8C3ctxq1tqvaCgkFb8cCA/edit?usp=sharing"",""อุบลราชธานี!M298"")"),0.0)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IFERROR(__xludf.DUMMYFUNCTION("IMPORTRANGE(""https://docs.google.com/spreadsheets/d/1XL5vhW3sbDhbH9Cz0tuDiY8C3ctxq1tqvaCgkFb8cCA/edit?usp=sharing"",""อุบลราชธานี!L299"")"),233280.0)</f>
        <v>233280</v>
      </c>
      <c r="M404" s="198"/>
      <c r="N404" s="203">
        <f>IFERROR(__xludf.DUMMYFUNCTION("IMPORTRANGE(""https://docs.google.com/spreadsheets/d/1XL5vhW3sbDhbH9Cz0tuDiY8C3ctxq1tqvaCgkFb8cCA/edit?usp=sharing"",""อุบลราชธานี!M299"")"),0.0)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IFERROR(__xludf.DUMMYFUNCTION("IMPORTRANGE(""https://docs.google.com/spreadsheets/d/1XL5vhW3sbDhbH9Cz0tuDiY8C3ctxq1tqvaCgkFb8cCA/edit?usp=sharing"",""อุบลราชธานี!L300"")"),0.0)</f>
        <v>0</v>
      </c>
      <c r="M405" s="203"/>
      <c r="N405" s="203">
        <f>IFERROR(__xludf.DUMMYFUNCTION("IMPORTRANGE(""https://docs.google.com/spreadsheets/d/1XL5vhW3sbDhbH9Cz0tuDiY8C3ctxq1tqvaCgkFb8cCA/edit?usp=sharing"",""อุบลราชธานี!M300"")"),0.0)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IFERROR(__xludf.DUMMYFUNCTION("IMPORTRANGE(""https://docs.google.com/spreadsheets/d/1XL5vhW3sbDhbH9Cz0tuDiY8C3ctxq1tqvaCgkFb8cCA/edit?usp=sharing"",""อุบลราชธานี!L301"")"),233280.0)</f>
        <v>233280</v>
      </c>
      <c r="M406" s="203"/>
      <c r="N406" s="203">
        <f>IFERROR(__xludf.DUMMYFUNCTION("IMPORTRANGE(""https://docs.google.com/spreadsheets/d/1XL5vhW3sbDhbH9Cz0tuDiY8C3ctxq1tqvaCgkFb8cCA/edit?usp=sharing"",""อุบลราชธานี!M301"")"),0.0)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IFERROR(__xludf.DUMMYFUNCTION("IMPORTRANGE(""https://docs.google.com/spreadsheets/d/1XL5vhW3sbDhbH9Cz0tuDiY8C3ctxq1tqvaCgkFb8cCA/edit?usp=sharing"",""อุบลราชธานี!M302"")"),0.0)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IFERROR(__xludf.DUMMYFUNCTION("IMPORTRANGE(""https://docs.google.com/spreadsheets/d/1XL5vhW3sbDhbH9Cz0tuDiY8C3ctxq1tqvaCgkFb8cCA/edit?usp=sharing"",""อุบลราชธานี!M303"")"),0.0)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IFERROR(__xludf.DUMMYFUNCTION("IMPORTRANGE(""https://docs.google.com/spreadsheets/d/1XL5vhW3sbDhbH9Cz0tuDiY8C3ctxq1tqvaCgkFb8cCA/edit?usp=sharing"",""อุบลราชธานี!M304"")"),0.0)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IFERROR(__xludf.DUMMYFUNCTION("IMPORTRANGE(""https://docs.google.com/spreadsheets/d/1XL5vhW3sbDhbH9Cz0tuDiY8C3ctxq1tqvaCgkFb8cCA/edit?usp=sharing"",""อุบลราชธานี!M305"")"),0.0)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IFERROR(__xludf.DUMMYFUNCTION("IMPORTRANGE(""https://docs.google.com/spreadsheets/d/1XL5vhW3sbDhbH9Cz0tuDiY8C3ctxq1tqvaCgkFb8cCA/edit?usp=sharing"",""อุบลราชธานี!J307"")"),0.0)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IFERROR(__xludf.DUMMYFUNCTION("IMPORTRANGE(""https://docs.google.com/spreadsheets/d/1XL5vhW3sbDhbH9Cz0tuDiY8C3ctxq1tqvaCgkFb8cCA/edit?usp=sharing"",""อุบลราชธานี!J308"")"),1.0)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IFERROR(__xludf.DUMMYFUNCTION("IMPORTRANGE(""https://docs.google.com/spreadsheets/d/1XL5vhW3sbDhbH9Cz0tuDiY8C3ctxq1tqvaCgkFb8cCA/edit?usp=sharing"",""อุบลราชธานี!J309"")"),1.0)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IFERROR(__xludf.DUMMYFUNCTION("IMPORTRANGE(""https://docs.google.com/spreadsheets/d/1XL5vhW3sbDhbH9Cz0tuDiY8C3ctxq1tqvaCgkFb8cCA/edit?usp=sharing"",""อุบลราชธานี!J310"")"),1.0)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IFERROR(__xludf.DUMMYFUNCTION("IMPORTRANGE(""https://docs.google.com/spreadsheets/d/1XL5vhW3sbDhbH9Cz0tuDiY8C3ctxq1tqvaCgkFb8cCA/edit?usp=sharing"",""อุบลราชธานี!I311"")"),71.0)</f>
        <v>71</v>
      </c>
      <c r="J416" s="235">
        <f>IFERROR(__xludf.DUMMYFUNCTION("IMPORTRANGE(""https://docs.google.com/spreadsheets/d/1XL5vhW3sbDhbH9Cz0tuDiY8C3ctxq1tqvaCgkFb8cCA/edit?usp=sharing"",""อุบลราชธานี!J311"")"),0.0)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IFERROR(__xludf.DUMMYFUNCTION("IMPORTRANGE(""https://docs.google.com/spreadsheets/d/1XL5vhW3sbDhbH9Cz0tuDiY8C3ctxq1tqvaCgkFb8cCA/edit?usp=sharing"",""อุบลราชธานี!I312"")"),13.0)</f>
        <v>13</v>
      </c>
      <c r="J417" s="425">
        <f>IFERROR(__xludf.DUMMYFUNCTION("IMPORTRANGE(""https://docs.google.com/spreadsheets/d/1XL5vhW3sbDhbH9Cz0tuDiY8C3ctxq1tqvaCgkFb8cCA/edit?usp=sharing"",""อุบลราชธานี!J312"")"),0.0)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IFERROR(__xludf.DUMMYFUNCTION("IMPORTRANGE(""https://docs.google.com/spreadsheets/d/1XL5vhW3sbDhbH9Cz0tuDiY8C3ctxq1tqvaCgkFb8cCA/edit?usp=sharing"",""อุบลราชธานี!I313"")"),39.0)</f>
        <v>39</v>
      </c>
      <c r="J418" s="426">
        <f>IFERROR(__xludf.DUMMYFUNCTION("IMPORTRANGE(""https://docs.google.com/spreadsheets/d/1XL5vhW3sbDhbH9Cz0tuDiY8C3ctxq1tqvaCgkFb8cCA/edit?usp=sharing"",""อุบลราชธานี!J313"")"),0.0)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IFERROR(__xludf.DUMMYFUNCTION("IMPORTRANGE(""https://docs.google.com/spreadsheets/d/1XL5vhW3sbDhbH9Cz0tuDiY8C3ctxq1tqvaCgkFb8cCA/edit?usp=sharing"",""อุบลราชธานี!I314"")"),13.0)</f>
        <v>13</v>
      </c>
      <c r="J419" s="427">
        <f>IFERROR(__xludf.DUMMYFUNCTION("IMPORTRANGE(""https://docs.google.com/spreadsheets/d/1XL5vhW3sbDhbH9Cz0tuDiY8C3ctxq1tqvaCgkFb8cCA/edit?usp=sharing"",""อุบลราชธานี!J314"")"),0.0)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IFERROR(__xludf.DUMMYFUNCTION("IMPORTRANGE(""https://docs.google.com/spreadsheets/d/1XL5vhW3sbDhbH9Cz0tuDiY8C3ctxq1tqvaCgkFb8cCA/edit?usp=sharing"",""อุบลราชธานี!I315"")"),13.0)</f>
        <v>13</v>
      </c>
      <c r="J420" s="427">
        <f>IFERROR(__xludf.DUMMYFUNCTION("IMPORTRANGE(""https://docs.google.com/spreadsheets/d/1XL5vhW3sbDhbH9Cz0tuDiY8C3ctxq1tqvaCgkFb8cCA/edit?usp=sharing"",""อุบลราชธานี!J315"")"),0.0)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IFERROR(__xludf.DUMMYFUNCTION("IMPORTRANGE(""https://docs.google.com/spreadsheets/d/1XL5vhW3sbDhbH9Cz0tuDiY8C3ctxq1tqvaCgkFb8cCA/edit?usp=sharing"",""อุบลราชธานี!I316"")"),48.0)</f>
        <v>48</v>
      </c>
      <c r="J421" s="425">
        <f>IFERROR(__xludf.DUMMYFUNCTION("IMPORTRANGE(""https://docs.google.com/spreadsheets/d/1XL5vhW3sbDhbH9Cz0tuDiY8C3ctxq1tqvaCgkFb8cCA/edit?usp=sharing"",""อุบลราชธานี!J316"")"),0.0)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IFERROR(__xludf.DUMMYFUNCTION("IMPORTRANGE(""https://docs.google.com/spreadsheets/d/1XL5vhW3sbDhbH9Cz0tuDiY8C3ctxq1tqvaCgkFb8cCA/edit?usp=sharing"",""อุบลราชธานี!I317"")"),144.0)</f>
        <v>144</v>
      </c>
      <c r="J422" s="426">
        <f>IFERROR(__xludf.DUMMYFUNCTION("IMPORTRANGE(""https://docs.google.com/spreadsheets/d/1XL5vhW3sbDhbH9Cz0tuDiY8C3ctxq1tqvaCgkFb8cCA/edit?usp=sharing"",""อุบลราชธานี!J317"")"),0.0)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IFERROR(__xludf.DUMMYFUNCTION("IMPORTRANGE(""https://docs.google.com/spreadsheets/d/1XL5vhW3sbDhbH9Cz0tuDiY8C3ctxq1tqvaCgkFb8cCA/edit?usp=sharing"",""อุบลราชธานี!I318"")"),48.0)</f>
        <v>48</v>
      </c>
      <c r="J423" s="427">
        <f>IFERROR(__xludf.DUMMYFUNCTION("IMPORTRANGE(""https://docs.google.com/spreadsheets/d/1XL5vhW3sbDhbH9Cz0tuDiY8C3ctxq1tqvaCgkFb8cCA/edit?usp=sharing"",""อุบลราชธานี!J318"")"),0.0)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IFERROR(__xludf.DUMMYFUNCTION("IMPORTRANGE(""https://docs.google.com/spreadsheets/d/1XL5vhW3sbDhbH9Cz0tuDiY8C3ctxq1tqvaCgkFb8cCA/edit?usp=sharing"",""อุบลราชธานี!I319"")"),48.0)</f>
        <v>48</v>
      </c>
      <c r="J424" s="427">
        <f>IFERROR(__xludf.DUMMYFUNCTION("IMPORTRANGE(""https://docs.google.com/spreadsheets/d/1XL5vhW3sbDhbH9Cz0tuDiY8C3ctxq1tqvaCgkFb8cCA/edit?usp=sharing"",""อุบลราชธานี!J319"")"),0.0)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IFERROR(__xludf.DUMMYFUNCTION("IMPORTRANGE(""https://docs.google.com/spreadsheets/d/1XL5vhW3sbDhbH9Cz0tuDiY8C3ctxq1tqvaCgkFb8cCA/edit?usp=sharing"",""อุบลราชธานี!I320"")"),48.0)</f>
        <v>48</v>
      </c>
      <c r="J425" s="427">
        <f>IFERROR(__xludf.DUMMYFUNCTION("IMPORTRANGE(""https://docs.google.com/spreadsheets/d/1XL5vhW3sbDhbH9Cz0tuDiY8C3ctxq1tqvaCgkFb8cCA/edit?usp=sharing"",""อุบลราชธานี!J320"")"),0.0)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IFERROR(__xludf.DUMMYFUNCTION("IMPORTRANGE(""https://docs.google.com/spreadsheets/d/1XL5vhW3sbDhbH9Cz0tuDiY8C3ctxq1tqvaCgkFb8cCA/edit?usp=sharing"",""อุบลราชธานี!I321"")"),10.0)</f>
        <v>10</v>
      </c>
      <c r="J426" s="425">
        <f>IFERROR(__xludf.DUMMYFUNCTION("IMPORTRANGE(""https://docs.google.com/spreadsheets/d/1XL5vhW3sbDhbH9Cz0tuDiY8C3ctxq1tqvaCgkFb8cCA/edit?usp=sharing"",""อุบลราชธานี!J321"")"),0.0)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IFERROR(__xludf.DUMMYFUNCTION("IMPORTRANGE(""https://docs.google.com/spreadsheets/d/1XL5vhW3sbDhbH9Cz0tuDiY8C3ctxq1tqvaCgkFb8cCA/edit?usp=sharing"",""อุบลราชธานี!I322"")"),30.0)</f>
        <v>30</v>
      </c>
      <c r="J427" s="426">
        <f>IFERROR(__xludf.DUMMYFUNCTION("IMPORTRANGE(""https://docs.google.com/spreadsheets/d/1XL5vhW3sbDhbH9Cz0tuDiY8C3ctxq1tqvaCgkFb8cCA/edit?usp=sharing"",""อุบลราชธานี!J322"")"),0.0)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IFERROR(__xludf.DUMMYFUNCTION("IMPORTRANGE(""https://docs.google.com/spreadsheets/d/1XL5vhW3sbDhbH9Cz0tuDiY8C3ctxq1tqvaCgkFb8cCA/edit?usp=sharing"",""อุบลราชธานี!I323"")"),10.0)</f>
        <v>10</v>
      </c>
      <c r="J428" s="427">
        <f>IFERROR(__xludf.DUMMYFUNCTION("IMPORTRANGE(""https://docs.google.com/spreadsheets/d/1XL5vhW3sbDhbH9Cz0tuDiY8C3ctxq1tqvaCgkFb8cCA/edit?usp=sharing"",""อุบลราชธานี!J323"")"),0.0)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IFERROR(__xludf.DUMMYFUNCTION("IMPORTRANGE(""https://docs.google.com/spreadsheets/d/1XL5vhW3sbDhbH9Cz0tuDiY8C3ctxq1tqvaCgkFb8cCA/edit?usp=sharing"",""อุบลราชธานี!I324"")"),10.0)</f>
        <v>10</v>
      </c>
      <c r="J429" s="427">
        <f>IFERROR(__xludf.DUMMYFUNCTION("IMPORTRANGE(""https://docs.google.com/spreadsheets/d/1XL5vhW3sbDhbH9Cz0tuDiY8C3ctxq1tqvaCgkFb8cCA/edit?usp=sharing"",""อุบลราชธานี!J324"")"),0.0)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IFERROR(__xludf.DUMMYFUNCTION("IMPORTRANGE(""https://docs.google.com/spreadsheets/d/1XL5vhW3sbDhbH9Cz0tuDiY8C3ctxq1tqvaCgkFb8cCA/edit?usp=sharing"",""อุบลราชธานี!I325"")"),61.0)</f>
        <v>61</v>
      </c>
      <c r="J430" s="425">
        <f>IFERROR(__xludf.DUMMYFUNCTION("IMPORTRANGE(""https://docs.google.com/spreadsheets/d/1XL5vhW3sbDhbH9Cz0tuDiY8C3ctxq1tqvaCgkFb8cCA/edit?usp=sharing"",""อุบลราชธานี!J325"")"),0.0)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IFERROR(__xludf.DUMMYFUNCTION("IMPORTRANGE(""https://docs.google.com/spreadsheets/d/1XL5vhW3sbDhbH9Cz0tuDiY8C3ctxq1tqvaCgkFb8cCA/edit?usp=sharing"",""อุบลราชธานี!I326"")"),13.0)</f>
        <v>13</v>
      </c>
      <c r="J431" s="427">
        <f>IFERROR(__xludf.DUMMYFUNCTION("IMPORTRANGE(""https://docs.google.com/spreadsheets/d/1XL5vhW3sbDhbH9Cz0tuDiY8C3ctxq1tqvaCgkFb8cCA/edit?usp=sharing"",""อุบลราชธานี!J326"")"),0.0)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IFERROR(__xludf.DUMMYFUNCTION("IMPORTRANGE(""https://docs.google.com/spreadsheets/d/1XL5vhW3sbDhbH9Cz0tuDiY8C3ctxq1tqvaCgkFb8cCA/edit?usp=sharing"",""อุบลราชธานี!I327"")"),48.0)</f>
        <v>48</v>
      </c>
      <c r="J432" s="427">
        <f>IFERROR(__xludf.DUMMYFUNCTION("IMPORTRANGE(""https://docs.google.com/spreadsheets/d/1XL5vhW3sbDhbH9Cz0tuDiY8C3ctxq1tqvaCgkFb8cCA/edit?usp=sharing"",""อุบลราชธานี!J327"")"),0.0)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IFERROR(__xludf.DUMMYFUNCTION("IMPORTRANGE(""https://docs.google.com/spreadsheets/d/1XL5vhW3sbDhbH9Cz0tuDiY8C3ctxq1tqvaCgkFb8cCA/edit?usp=sharing"",""อุบลราชธานี!J328"")"),0.0)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IFERROR(__xludf.DUMMYFUNCTION("IMPORTRANGE(""https://docs.google.com/spreadsheets/d/1XL5vhW3sbDhbH9Cz0tuDiY8C3ctxq1tqvaCgkFb8cCA/edit?usp=sharing"",""อุบลราชธานี!J329"")"),0.0)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IFERROR(__xludf.DUMMYFUNCTION("IMPORTRANGE(""https://docs.google.com/spreadsheets/d/1XL5vhW3sbDhbH9Cz0tuDiY8C3ctxq1tqvaCgkFb8cCA/edit?usp=sharing"",""อุบลราชธานี!I330"")"),40.0)</f>
        <v>40</v>
      </c>
      <c r="J435" s="443">
        <f>IFERROR(__xludf.DUMMYFUNCTION("IMPORTRANGE(""https://docs.google.com/spreadsheets/d/1XL5vhW3sbDhbH9Cz0tuDiY8C3ctxq1tqvaCgkFb8cCA/edit?usp=sharing"",""อุบลราชธานี!J330"")"),40.0)</f>
        <v>40</v>
      </c>
      <c r="K435" s="444">
        <f>IF(I435&gt;0,J435*100/I435,0)</f>
        <v>100</v>
      </c>
      <c r="L435" s="445">
        <f>IFERROR(__xludf.DUMMYFUNCTION("IMPORTRANGE(""https://docs.google.com/spreadsheets/d/1XL5vhW3sbDhbH9Cz0tuDiY8C3ctxq1tqvaCgkFb8cCA/edit?usp=sharing"",""อุบลราชธานี!L330"")"),139000.0)</f>
        <v>139000</v>
      </c>
      <c r="M435" s="445"/>
      <c r="N435" s="445">
        <f>IFERROR(__xludf.DUMMYFUNCTION("IMPORTRANGE(""https://docs.google.com/spreadsheets/d/1XL5vhW3sbDhbH9Cz0tuDiY8C3ctxq1tqvaCgkFb8cCA/edit?usp=sharing"",""อุบลราชธานี!M330"")"),44099.0)</f>
        <v>44099</v>
      </c>
      <c r="O435" s="445">
        <f t="shared" ref="O435:O439" si="115">+IF(L435&gt;0,N435*100/L435,0)</f>
        <v>31.72589928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IFERROR(__xludf.DUMMYFUNCTION("IMPORTRANGE(""https://docs.google.com/spreadsheets/d/1XL5vhW3sbDhbH9Cz0tuDiY8C3ctxq1tqvaCgkFb8cCA/edit?usp=sharing"",""อุบลราชธานี!L331"")"),0.0)</f>
        <v>0</v>
      </c>
      <c r="M436" s="197"/>
      <c r="N436" s="203">
        <f>IFERROR(__xludf.DUMMYFUNCTION("IMPORTRANGE(""https://docs.google.com/spreadsheets/d/1XL5vhW3sbDhbH9Cz0tuDiY8C3ctxq1tqvaCgkFb8cCA/edit?usp=sharing"",""อุบลราชธานี!M331"")"),0.0)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IFERROR(__xludf.DUMMYFUNCTION("IMPORTRANGE(""https://docs.google.com/spreadsheets/d/1XL5vhW3sbDhbH9Cz0tuDiY8C3ctxq1tqvaCgkFb8cCA/edit?usp=sharing"",""อุบลราชธานี!L332"")"),139000.0)</f>
        <v>139000</v>
      </c>
      <c r="M437" s="198"/>
      <c r="N437" s="203">
        <f>IFERROR(__xludf.DUMMYFUNCTION("IMPORTRANGE(""https://docs.google.com/spreadsheets/d/1XL5vhW3sbDhbH9Cz0tuDiY8C3ctxq1tqvaCgkFb8cCA/edit?usp=sharing"",""อุบลราชธานี!M332"")"),44099.0)</f>
        <v>44099</v>
      </c>
      <c r="O437" s="203">
        <f t="shared" si="115"/>
        <v>31.72589928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IFERROR(__xludf.DUMMYFUNCTION("IMPORTRANGE(""https://docs.google.com/spreadsheets/d/1XL5vhW3sbDhbH9Cz0tuDiY8C3ctxq1tqvaCgkFb8cCA/edit?usp=sharing"",""อุบลราชธานี!L333"")"),0.0)</f>
        <v>0</v>
      </c>
      <c r="M438" s="203"/>
      <c r="N438" s="203">
        <f>IFERROR(__xludf.DUMMYFUNCTION("IMPORTRANGE(""https://docs.google.com/spreadsheets/d/1XL5vhW3sbDhbH9Cz0tuDiY8C3ctxq1tqvaCgkFb8cCA/edit?usp=sharing"",""อุบลราชธานี!M333"")"),0.0)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IFERROR(__xludf.DUMMYFUNCTION("IMPORTRANGE(""https://docs.google.com/spreadsheets/d/1XL5vhW3sbDhbH9Cz0tuDiY8C3ctxq1tqvaCgkFb8cCA/edit?usp=sharing"",""อุบลราชธานี!L334"")"),139000.0)</f>
        <v>139000</v>
      </c>
      <c r="M439" s="203"/>
      <c r="N439" s="203">
        <f>IFERROR(__xludf.DUMMYFUNCTION("IMPORTRANGE(""https://docs.google.com/spreadsheets/d/1XL5vhW3sbDhbH9Cz0tuDiY8C3ctxq1tqvaCgkFb8cCA/edit?usp=sharing"",""อุบลราชธานี!M334"")"),44099.0)</f>
        <v>44099</v>
      </c>
      <c r="O439" s="203">
        <f t="shared" si="115"/>
        <v>31.72589928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IFERROR(__xludf.DUMMYFUNCTION("IMPORTRANGE(""https://docs.google.com/spreadsheets/d/1XL5vhW3sbDhbH9Cz0tuDiY8C3ctxq1tqvaCgkFb8cCA/edit?usp=sharing"",""อุบลราชธานี!M335"")"),36409.0)</f>
        <v>36409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IFERROR(__xludf.DUMMYFUNCTION("IMPORTRANGE(""https://docs.google.com/spreadsheets/d/1XL5vhW3sbDhbH9Cz0tuDiY8C3ctxq1tqvaCgkFb8cCA/edit?usp=sharing"",""อุบลราชธานี!M336"")"),0.0)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IFERROR(__xludf.DUMMYFUNCTION("IMPORTRANGE(""https://docs.google.com/spreadsheets/d/1XL5vhW3sbDhbH9Cz0tuDiY8C3ctxq1tqvaCgkFb8cCA/edit?usp=sharing"",""อุบลราชธานี!M337"")"),0.0)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IFERROR(__xludf.DUMMYFUNCTION("IMPORTRANGE(""https://docs.google.com/spreadsheets/d/1XL5vhW3sbDhbH9Cz0tuDiY8C3ctxq1tqvaCgkFb8cCA/edit?usp=sharing"",""อุบลราชธานี!M338"")"),7690.0)</f>
        <v>7690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IFERROR(__xludf.DUMMYFUNCTION("IMPORTRANGE(""https://docs.google.com/spreadsheets/d/1XL5vhW3sbDhbH9Cz0tuDiY8C3ctxq1tqvaCgkFb8cCA/edit?usp=sharing"",""อุบลราชธานี!J340"")"),0.0)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IFERROR(__xludf.DUMMYFUNCTION("IMPORTRANGE(""https://docs.google.com/spreadsheets/d/1XL5vhW3sbDhbH9Cz0tuDiY8C3ctxq1tqvaCgkFb8cCA/edit?usp=sharing"",""อุบลราชธานี!J341"")"),1.0)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IFERROR(__xludf.DUMMYFUNCTION("IMPORTRANGE(""https://docs.google.com/spreadsheets/d/1XL5vhW3sbDhbH9Cz0tuDiY8C3ctxq1tqvaCgkFb8cCA/edit?usp=sharing"",""อุบลราชธานี!J342"")"),1.0)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IFERROR(__xludf.DUMMYFUNCTION("IMPORTRANGE(""https://docs.google.com/spreadsheets/d/1XL5vhW3sbDhbH9Cz0tuDiY8C3ctxq1tqvaCgkFb8cCA/edit?usp=sharing"",""อุบลราชธานี!J343"")"),1.0)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IFERROR(__xludf.DUMMYFUNCTION("IMPORTRANGE(""https://docs.google.com/spreadsheets/d/1XL5vhW3sbDhbH9Cz0tuDiY8C3ctxq1tqvaCgkFb8cCA/edit?usp=sharing"",""อุบลราชธานี!I344"")"),40.0)</f>
        <v>40</v>
      </c>
      <c r="J449" s="235">
        <f>IFERROR(__xludf.DUMMYFUNCTION("IMPORTRANGE(""https://docs.google.com/spreadsheets/d/1XL5vhW3sbDhbH9Cz0tuDiY8C3ctxq1tqvaCgkFb8cCA/edit?usp=sharing"",""อุบลราชธานี!J344"")"),40.0)</f>
        <v>40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IFERROR(__xludf.DUMMYFUNCTION("IMPORTRANGE(""https://docs.google.com/spreadsheets/d/1XL5vhW3sbDhbH9Cz0tuDiY8C3ctxq1tqvaCgkFb8cCA/edit?usp=sharing"",""อุบลราชธานี!I345"")"),40.0)</f>
        <v>40</v>
      </c>
      <c r="J450" s="223">
        <f>IFERROR(__xludf.DUMMYFUNCTION("IMPORTRANGE(""https://docs.google.com/spreadsheets/d/1XL5vhW3sbDhbH9Cz0tuDiY8C3ctxq1tqvaCgkFb8cCA/edit?usp=sharing"",""อุบลราชธานี!J345"")"),40.0)</f>
        <v>40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IFERROR(__xludf.DUMMYFUNCTION("IMPORTRANGE(""https://docs.google.com/spreadsheets/d/1XL5vhW3sbDhbH9Cz0tuDiY8C3ctxq1tqvaCgkFb8cCA/edit?usp=sharing"",""อุบลราชธานี!I346"")"),0.0)</f>
        <v>0</v>
      </c>
      <c r="J451" s="222">
        <f>IFERROR(__xludf.DUMMYFUNCTION("IMPORTRANGE(""https://docs.google.com/spreadsheets/d/1XL5vhW3sbDhbH9Cz0tuDiY8C3ctxq1tqvaCgkFb8cCA/edit?usp=sharing"",""อุบลราชธานี!J346"")"),0.0)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IFERROR(__xludf.DUMMYFUNCTION("IMPORTRANGE(""https://docs.google.com/spreadsheets/d/1XL5vhW3sbDhbH9Cz0tuDiY8C3ctxq1tqvaCgkFb8cCA/edit?usp=sharing"",""อุบลราชธานี!I347"")"),0.0)</f>
        <v>0</v>
      </c>
      <c r="J452" s="222">
        <f>IFERROR(__xludf.DUMMYFUNCTION("IMPORTRANGE(""https://docs.google.com/spreadsheets/d/1XL5vhW3sbDhbH9Cz0tuDiY8C3ctxq1tqvaCgkFb8cCA/edit?usp=sharing"",""อุบลราชธานี!J347"")"),0.0)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IFERROR(__xludf.DUMMYFUNCTION("IMPORTRANGE(""https://docs.google.com/spreadsheets/d/1XL5vhW3sbDhbH9Cz0tuDiY8C3ctxq1tqvaCgkFb8cCA/edit?usp=sharing"",""อุบลราชธานี!J348"")"),1.0)</f>
        <v>1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IFERROR(__xludf.DUMMYFUNCTION("IMPORTRANGE(""https://docs.google.com/spreadsheets/d/1XL5vhW3sbDhbH9Cz0tuDiY8C3ctxq1tqvaCgkFb8cCA/edit?usp=sharing"",""อุบลราชธานี!J349"")"),1.0)</f>
        <v>1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IFERROR(__xludf.DUMMYFUNCTION("IMPORTRANGE(""https://docs.google.com/spreadsheets/d/1XL5vhW3sbDhbH9Cz0tuDiY8C3ctxq1tqvaCgkFb8cCA/edit?usp=sharing"",""อุบลราชธานี!I350"")"),42047.0)</f>
        <v>42047</v>
      </c>
      <c r="J455" s="404">
        <f>IFERROR(__xludf.DUMMYFUNCTION("IMPORTRANGE(""https://docs.google.com/spreadsheets/d/1XL5vhW3sbDhbH9Cz0tuDiY8C3ctxq1tqvaCgkFb8cCA/edit?usp=sharing"",""อุบลราชธานี!J350"")"),0.0)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IFERROR(__xludf.DUMMYFUNCTION("IMPORTRANGE(""https://docs.google.com/spreadsheets/d/1XL5vhW3sbDhbH9Cz0tuDiY8C3ctxq1tqvaCgkFb8cCA/edit?usp=sharing"",""อุบลราชธานี!L350"")"),519375.0)</f>
        <v>519375</v>
      </c>
      <c r="M455" s="406"/>
      <c r="N455" s="406">
        <f>IFERROR(__xludf.DUMMYFUNCTION("IMPORTRANGE(""https://docs.google.com/spreadsheets/d/1XL5vhW3sbDhbH9Cz0tuDiY8C3ctxq1tqvaCgkFb8cCA/edit?usp=sharing"",""อุบลราชธานี!M350"")"),36334.0)</f>
        <v>36334</v>
      </c>
      <c r="O455" s="406">
        <f t="shared" ref="O455:O459" si="117">+IF(L455&gt;0,N455*100/L455,0)</f>
        <v>6.995716005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IFERROR(__xludf.DUMMYFUNCTION("IMPORTRANGE(""https://docs.google.com/spreadsheets/d/1XL5vhW3sbDhbH9Cz0tuDiY8C3ctxq1tqvaCgkFb8cCA/edit?usp=sharing"",""อุบลราชธานี!L351"")"),0.0)</f>
        <v>0</v>
      </c>
      <c r="M456" s="197"/>
      <c r="N456" s="203">
        <f>IFERROR(__xludf.DUMMYFUNCTION("IMPORTRANGE(""https://docs.google.com/spreadsheets/d/1XL5vhW3sbDhbH9Cz0tuDiY8C3ctxq1tqvaCgkFb8cCA/edit?usp=sharing"",""อุบลราชธานี!M351"")"),0.0)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IFERROR(__xludf.DUMMYFUNCTION("IMPORTRANGE(""https://docs.google.com/spreadsheets/d/1XL5vhW3sbDhbH9Cz0tuDiY8C3ctxq1tqvaCgkFb8cCA/edit?usp=sharing"",""อุบลราชธานี!L352"")"),519375.0)</f>
        <v>519375</v>
      </c>
      <c r="M457" s="198"/>
      <c r="N457" s="203">
        <f>IFERROR(__xludf.DUMMYFUNCTION("IMPORTRANGE(""https://docs.google.com/spreadsheets/d/1XL5vhW3sbDhbH9Cz0tuDiY8C3ctxq1tqvaCgkFb8cCA/edit?usp=sharing"",""อุบลราชธานี!M352"")"),36334.0)</f>
        <v>36334</v>
      </c>
      <c r="O457" s="203">
        <f t="shared" si="117"/>
        <v>6.995716005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IFERROR(__xludf.DUMMYFUNCTION("IMPORTRANGE(""https://docs.google.com/spreadsheets/d/1XL5vhW3sbDhbH9Cz0tuDiY8C3ctxq1tqvaCgkFb8cCA/edit?usp=sharing"",""อุบลราชธานี!L353"")"),0.0)</f>
        <v>0</v>
      </c>
      <c r="M458" s="203"/>
      <c r="N458" s="203">
        <f>IFERROR(__xludf.DUMMYFUNCTION("IMPORTRANGE(""https://docs.google.com/spreadsheets/d/1XL5vhW3sbDhbH9Cz0tuDiY8C3ctxq1tqvaCgkFb8cCA/edit?usp=sharing"",""อุบลราชธานี!M353"")"),0.0)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IFERROR(__xludf.DUMMYFUNCTION("IMPORTRANGE(""https://docs.google.com/spreadsheets/d/1XL5vhW3sbDhbH9Cz0tuDiY8C3ctxq1tqvaCgkFb8cCA/edit?usp=sharing"",""อุบลราชธานี!L354"")"),519375.0)</f>
        <v>519375</v>
      </c>
      <c r="M459" s="203"/>
      <c r="N459" s="203">
        <f>IFERROR(__xludf.DUMMYFUNCTION("IMPORTRANGE(""https://docs.google.com/spreadsheets/d/1XL5vhW3sbDhbH9Cz0tuDiY8C3ctxq1tqvaCgkFb8cCA/edit?usp=sharing"",""อุบลราชธานี!M354"")"),36334.0)</f>
        <v>36334</v>
      </c>
      <c r="O459" s="203">
        <f t="shared" si="117"/>
        <v>6.995716005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IFERROR(__xludf.DUMMYFUNCTION("IMPORTRANGE(""https://docs.google.com/spreadsheets/d/1XL5vhW3sbDhbH9Cz0tuDiY8C3ctxq1tqvaCgkFb8cCA/edit?usp=sharing"",""อุบลราชธานี!M355"")"),0.0)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IFERROR(__xludf.DUMMYFUNCTION("IMPORTRANGE(""https://docs.google.com/spreadsheets/d/1XL5vhW3sbDhbH9Cz0tuDiY8C3ctxq1tqvaCgkFb8cCA/edit?usp=sharing"",""อุบลราชธานี!M356"")"),0.0)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IFERROR(__xludf.DUMMYFUNCTION("IMPORTRANGE(""https://docs.google.com/spreadsheets/d/1XL5vhW3sbDhbH9Cz0tuDiY8C3ctxq1tqvaCgkFb8cCA/edit?usp=sharing"",""อุบลราชธานี!M357"")"),36334.0)</f>
        <v>36334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IFERROR(__xludf.DUMMYFUNCTION("IMPORTRANGE(""https://docs.google.com/spreadsheets/d/1XL5vhW3sbDhbH9Cz0tuDiY8C3ctxq1tqvaCgkFb8cCA/edit?usp=sharing"",""อุบลราชธานี!M358"")"),0.0)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IFERROR(__xludf.DUMMYFUNCTION("IMPORTRANGE(""https://docs.google.com/spreadsheets/d/1XL5vhW3sbDhbH9Cz0tuDiY8C3ctxq1tqvaCgkFb8cCA/edit?usp=sharing"",""อุบลราชธานี!I359"")"),42047.0)</f>
        <v>42047</v>
      </c>
      <c r="J464" s="301">
        <f>IFERROR(__xludf.DUMMYFUNCTION("IMPORTRANGE(""https://docs.google.com/spreadsheets/d/1XL5vhW3sbDhbH9Cz0tuDiY8C3ctxq1tqvaCgkFb8cCA/edit?usp=sharing"",""อุบลราชธานี!J359"")"),0.0)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IFERROR(__xludf.DUMMYFUNCTION("IMPORTRANGE(""https://docs.google.com/spreadsheets/d/1XL5vhW3sbDhbH9Cz0tuDiY8C3ctxq1tqvaCgkFb8cCA/edit?usp=sharing"",""อุบลราชธานี!I360"")"),42047.0)</f>
        <v>42047</v>
      </c>
      <c r="J465" s="453">
        <f>IFERROR(__xludf.DUMMYFUNCTION("IMPORTRANGE(""https://docs.google.com/spreadsheets/d/1XL5vhW3sbDhbH9Cz0tuDiY8C3ctxq1tqvaCgkFb8cCA/edit?usp=sharing"",""อุบลราชธานี!J360"")"),0.0)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IFERROR(__xludf.DUMMYFUNCTION("IMPORTRANGE(""https://docs.google.com/spreadsheets/d/1XL5vhW3sbDhbH9Cz0tuDiY8C3ctxq1tqvaCgkFb8cCA/edit?usp=sharing"",""อุบลราชธานี!I361"")"),5816.0)</f>
        <v>5816</v>
      </c>
      <c r="J466" s="453">
        <f>IFERROR(__xludf.DUMMYFUNCTION("IMPORTRANGE(""https://docs.google.com/spreadsheets/d/1XL5vhW3sbDhbH9Cz0tuDiY8C3ctxq1tqvaCgkFb8cCA/edit?usp=sharing"",""อุบลราชธานี!J361"")"),0.0)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IFERROR(__xludf.DUMMYFUNCTION("IMPORTRANGE(""https://docs.google.com/spreadsheets/d/1XL5vhW3sbDhbH9Cz0tuDiY8C3ctxq1tqvaCgkFb8cCA/edit?usp=sharing"",""อุบลราชธานี!I362"")"),0.0)</f>
        <v>0</v>
      </c>
      <c r="J467" s="223">
        <f>IFERROR(__xludf.DUMMYFUNCTION("IMPORTRANGE(""https://docs.google.com/spreadsheets/d/1XL5vhW3sbDhbH9Cz0tuDiY8C3ctxq1tqvaCgkFb8cCA/edit?usp=sharing"",""อุบลราชธานี!J362"")"),0.0)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IFERROR(__xludf.DUMMYFUNCTION("IMPORTRANGE(""https://docs.google.com/spreadsheets/d/1XL5vhW3sbDhbH9Cz0tuDiY8C3ctxq1tqvaCgkFb8cCA/edit?usp=sharing"",""อุบลราชธานี!I363"")"),0.0)</f>
        <v>0</v>
      </c>
      <c r="J468" s="223">
        <f>IFERROR(__xludf.DUMMYFUNCTION("IMPORTRANGE(""https://docs.google.com/spreadsheets/d/1XL5vhW3sbDhbH9Cz0tuDiY8C3ctxq1tqvaCgkFb8cCA/edit?usp=sharing"",""อุบลราชธานี!J363"")"),0.0)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IFERROR(__xludf.DUMMYFUNCTION("IMPORTRANGE(""https://docs.google.com/spreadsheets/d/1XL5vhW3sbDhbH9Cz0tuDiY8C3ctxq1tqvaCgkFb8cCA/edit?usp=sharing"",""อุบลราชธานี!I364"")"),0.0)</f>
        <v>0</v>
      </c>
      <c r="J469" s="223">
        <f>IFERROR(__xludf.DUMMYFUNCTION("IMPORTRANGE(""https://docs.google.com/spreadsheets/d/1XL5vhW3sbDhbH9Cz0tuDiY8C3ctxq1tqvaCgkFb8cCA/edit?usp=sharing"",""อุบลราชธานี!J364"")"),0.0)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IFERROR(__xludf.DUMMYFUNCTION("IMPORTRANGE(""https://docs.google.com/spreadsheets/d/1XL5vhW3sbDhbH9Cz0tuDiY8C3ctxq1tqvaCgkFb8cCA/edit?usp=sharing"",""อุบลราชธานี!I365"")"),0.0)</f>
        <v>0</v>
      </c>
      <c r="J470" s="223">
        <f>IFERROR(__xludf.DUMMYFUNCTION("IMPORTRANGE(""https://docs.google.com/spreadsheets/d/1XL5vhW3sbDhbH9Cz0tuDiY8C3ctxq1tqvaCgkFb8cCA/edit?usp=sharing"",""อุบลราชธานี!J365"")"),0.0)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IFERROR(__xludf.DUMMYFUNCTION("IMPORTRANGE(""https://docs.google.com/spreadsheets/d/1XL5vhW3sbDhbH9Cz0tuDiY8C3ctxq1tqvaCgkFb8cCA/edit?usp=sharing"",""อุบลราชธานี!I366"")"),0.0)</f>
        <v>0</v>
      </c>
      <c r="J471" s="223">
        <f>IFERROR(__xludf.DUMMYFUNCTION("IMPORTRANGE(""https://docs.google.com/spreadsheets/d/1XL5vhW3sbDhbH9Cz0tuDiY8C3ctxq1tqvaCgkFb8cCA/edit?usp=sharing"",""อุบลราชธานี!J366"")"),0.0)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IFERROR(__xludf.DUMMYFUNCTION("IMPORTRANGE(""https://docs.google.com/spreadsheets/d/1XL5vhW3sbDhbH9Cz0tuDiY8C3ctxq1tqvaCgkFb8cCA/edit?usp=sharing"",""อุบลราชธานี!I367"")"),0.0)</f>
        <v>0</v>
      </c>
      <c r="J472" s="223">
        <f>IFERROR(__xludf.DUMMYFUNCTION("IMPORTRANGE(""https://docs.google.com/spreadsheets/d/1XL5vhW3sbDhbH9Cz0tuDiY8C3ctxq1tqvaCgkFb8cCA/edit?usp=sharing"",""อุบลราชธานี!J367"")"),0.0)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IFERROR(__xludf.DUMMYFUNCTION("IMPORTRANGE(""https://docs.google.com/spreadsheets/d/1XL5vhW3sbDhbH9Cz0tuDiY8C3ctxq1tqvaCgkFb8cCA/edit?usp=sharing"",""อุบลราชธานี!I368"")"),42047.0)</f>
        <v>42047</v>
      </c>
      <c r="J473" s="453">
        <f>IFERROR(__xludf.DUMMYFUNCTION("IMPORTRANGE(""https://docs.google.com/spreadsheets/d/1XL5vhW3sbDhbH9Cz0tuDiY8C3ctxq1tqvaCgkFb8cCA/edit?usp=sharing"",""อุบลราชธานี!J368"")"),42047.0)</f>
        <v>42047</v>
      </c>
      <c r="K473" s="236">
        <f t="shared" si="118"/>
        <v>100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IFERROR(__xludf.DUMMYFUNCTION("IMPORTRANGE(""https://docs.google.com/spreadsheets/d/1XL5vhW3sbDhbH9Cz0tuDiY8C3ctxq1tqvaCgkFb8cCA/edit?usp=sharing"",""อุบลราชธานี!I369"")"),5816.0)</f>
        <v>5816</v>
      </c>
      <c r="J474" s="453">
        <f>IFERROR(__xludf.DUMMYFUNCTION("IMPORTRANGE(""https://docs.google.com/spreadsheets/d/1XL5vhW3sbDhbH9Cz0tuDiY8C3ctxq1tqvaCgkFb8cCA/edit?usp=sharing"",""อุบลราชธานี!J369"")"),5816.0)</f>
        <v>5816</v>
      </c>
      <c r="K474" s="196">
        <f t="shared" si="118"/>
        <v>100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IFERROR(__xludf.DUMMYFUNCTION("IMPORTRANGE(""https://docs.google.com/spreadsheets/d/1XL5vhW3sbDhbH9Cz0tuDiY8C3ctxq1tqvaCgkFb8cCA/edit?usp=sharing"",""อุบลราชธานี!I370"")"),0.0)</f>
        <v>0</v>
      </c>
      <c r="J475" s="223">
        <f>IFERROR(__xludf.DUMMYFUNCTION("IMPORTRANGE(""https://docs.google.com/spreadsheets/d/1XL5vhW3sbDhbH9Cz0tuDiY8C3ctxq1tqvaCgkFb8cCA/edit?usp=sharing"",""อุบลราชธานี!J370"")"),40100.0)</f>
        <v>40100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IFERROR(__xludf.DUMMYFUNCTION("IMPORTRANGE(""https://docs.google.com/spreadsheets/d/1XL5vhW3sbDhbH9Cz0tuDiY8C3ctxq1tqvaCgkFb8cCA/edit?usp=sharing"",""อุบลราชธานี!I371"")"),0.0)</f>
        <v>0</v>
      </c>
      <c r="J476" s="223">
        <f>IFERROR(__xludf.DUMMYFUNCTION("IMPORTRANGE(""https://docs.google.com/spreadsheets/d/1XL5vhW3sbDhbH9Cz0tuDiY8C3ctxq1tqvaCgkFb8cCA/edit?usp=sharing"",""อุบลราชธานี!J371"")"),5684.0)</f>
        <v>5684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IFERROR(__xludf.DUMMYFUNCTION("IMPORTRANGE(""https://docs.google.com/spreadsheets/d/1XL5vhW3sbDhbH9Cz0tuDiY8C3ctxq1tqvaCgkFb8cCA/edit?usp=sharing"",""อุบลราชธานี!I372"")"),0.0)</f>
        <v>0</v>
      </c>
      <c r="J477" s="223">
        <f>IFERROR(__xludf.DUMMYFUNCTION("IMPORTRANGE(""https://docs.google.com/spreadsheets/d/1XL5vhW3sbDhbH9Cz0tuDiY8C3ctxq1tqvaCgkFb8cCA/edit?usp=sharing"",""อุบลราชธานี!J372"")"),1947.0)</f>
        <v>1947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IFERROR(__xludf.DUMMYFUNCTION("IMPORTRANGE(""https://docs.google.com/spreadsheets/d/1XL5vhW3sbDhbH9Cz0tuDiY8C3ctxq1tqvaCgkFb8cCA/edit?usp=sharing"",""อุบลราชธานี!I373"")"),0.0)</f>
        <v>0</v>
      </c>
      <c r="J478" s="223">
        <f>IFERROR(__xludf.DUMMYFUNCTION("IMPORTRANGE(""https://docs.google.com/spreadsheets/d/1XL5vhW3sbDhbH9Cz0tuDiY8C3ctxq1tqvaCgkFb8cCA/edit?usp=sharing"",""อุบลราชธานี!J373"")"),132.0)</f>
        <v>132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IFERROR(__xludf.DUMMYFUNCTION("IMPORTRANGE(""https://docs.google.com/spreadsheets/d/1XL5vhW3sbDhbH9Cz0tuDiY8C3ctxq1tqvaCgkFb8cCA/edit?usp=sharing"",""อุบลราชธานี!I374"")"),0.0)</f>
        <v>0</v>
      </c>
      <c r="J479" s="223">
        <f>IFERROR(__xludf.DUMMYFUNCTION("IMPORTRANGE(""https://docs.google.com/spreadsheets/d/1XL5vhW3sbDhbH9Cz0tuDiY8C3ctxq1tqvaCgkFb8cCA/edit?usp=sharing"",""อุบลราชธานี!J374"")"),0.0)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IFERROR(__xludf.DUMMYFUNCTION("IMPORTRANGE(""https://docs.google.com/spreadsheets/d/1XL5vhW3sbDhbH9Cz0tuDiY8C3ctxq1tqvaCgkFb8cCA/edit?usp=sharing"",""อุบลราชธานี!I375"")"),0.0)</f>
        <v>0</v>
      </c>
      <c r="J480" s="223">
        <f>IFERROR(__xludf.DUMMYFUNCTION("IMPORTRANGE(""https://docs.google.com/spreadsheets/d/1XL5vhW3sbDhbH9Cz0tuDiY8C3ctxq1tqvaCgkFb8cCA/edit?usp=sharing"",""อุบลราชธานี!J375"")"),0.0)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IFERROR(__xludf.DUMMYFUNCTION("IMPORTRANGE(""https://docs.google.com/spreadsheets/d/1XL5vhW3sbDhbH9Cz0tuDiY8C3ctxq1tqvaCgkFb8cCA/edit?usp=sharing"",""อุบลราชธานี!I376"")"),42047.0)</f>
        <v>42047</v>
      </c>
      <c r="J481" s="453">
        <f>IFERROR(__xludf.DUMMYFUNCTION("IMPORTRANGE(""https://docs.google.com/spreadsheets/d/1XL5vhW3sbDhbH9Cz0tuDiY8C3ctxq1tqvaCgkFb8cCA/edit?usp=sharing"",""อุบลราชธานี!J376"")"),0.0)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IFERROR(__xludf.DUMMYFUNCTION("IMPORTRANGE(""https://docs.google.com/spreadsheets/d/1XL5vhW3sbDhbH9Cz0tuDiY8C3ctxq1tqvaCgkFb8cCA/edit?usp=sharing"",""อุบลราชธานี!I377"")"),5816.0)</f>
        <v>5816</v>
      </c>
      <c r="J482" s="453">
        <f>IFERROR(__xludf.DUMMYFUNCTION("IMPORTRANGE(""https://docs.google.com/spreadsheets/d/1XL5vhW3sbDhbH9Cz0tuDiY8C3ctxq1tqvaCgkFb8cCA/edit?usp=sharing"",""อุบลราชธานี!J377"")"),0.0)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IFERROR(__xludf.DUMMYFUNCTION("IMPORTRANGE(""https://docs.google.com/spreadsheets/d/1XL5vhW3sbDhbH9Cz0tuDiY8C3ctxq1tqvaCgkFb8cCA/edit?usp=sharing"",""อุบลราชธานี!I378"")"),0.0)</f>
        <v>0</v>
      </c>
      <c r="J483" s="223">
        <f>IFERROR(__xludf.DUMMYFUNCTION("IMPORTRANGE(""https://docs.google.com/spreadsheets/d/1XL5vhW3sbDhbH9Cz0tuDiY8C3ctxq1tqvaCgkFb8cCA/edit?usp=sharing"",""อุบลราชธานี!J378"")"),0.0)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IFERROR(__xludf.DUMMYFUNCTION("IMPORTRANGE(""https://docs.google.com/spreadsheets/d/1XL5vhW3sbDhbH9Cz0tuDiY8C3ctxq1tqvaCgkFb8cCA/edit?usp=sharing"",""อุบลราชธานี!I379"")"),0.0)</f>
        <v>0</v>
      </c>
      <c r="J484" s="223">
        <f>IFERROR(__xludf.DUMMYFUNCTION("IMPORTRANGE(""https://docs.google.com/spreadsheets/d/1XL5vhW3sbDhbH9Cz0tuDiY8C3ctxq1tqvaCgkFb8cCA/edit?usp=sharing"",""อุบลราชธานี!J379"")"),0.0)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IFERROR(__xludf.DUMMYFUNCTION("IMPORTRANGE(""https://docs.google.com/spreadsheets/d/1XL5vhW3sbDhbH9Cz0tuDiY8C3ctxq1tqvaCgkFb8cCA/edit?usp=sharing"",""อุบลราชธานี!I380"")"),0.0)</f>
        <v>0</v>
      </c>
      <c r="J485" s="223">
        <f>IFERROR(__xludf.DUMMYFUNCTION("IMPORTRANGE(""https://docs.google.com/spreadsheets/d/1XL5vhW3sbDhbH9Cz0tuDiY8C3ctxq1tqvaCgkFb8cCA/edit?usp=sharing"",""อุบลราชธานี!J380"")"),0.0)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IFERROR(__xludf.DUMMYFUNCTION("IMPORTRANGE(""https://docs.google.com/spreadsheets/d/1XL5vhW3sbDhbH9Cz0tuDiY8C3ctxq1tqvaCgkFb8cCA/edit?usp=sharing"",""อุบลราชธานี!I381"")"),0.0)</f>
        <v>0</v>
      </c>
      <c r="J486" s="223">
        <f>IFERROR(__xludf.DUMMYFUNCTION("IMPORTRANGE(""https://docs.google.com/spreadsheets/d/1XL5vhW3sbDhbH9Cz0tuDiY8C3ctxq1tqvaCgkFb8cCA/edit?usp=sharing"",""อุบลราชธานี!J381"")"),0.0)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IFERROR(__xludf.DUMMYFUNCTION("IMPORTRANGE(""https://docs.google.com/spreadsheets/d/1XL5vhW3sbDhbH9Cz0tuDiY8C3ctxq1tqvaCgkFb8cCA/edit?usp=sharing"",""อุบลราชธานี!I382"")"),0.0)</f>
        <v>0</v>
      </c>
      <c r="J487" s="453">
        <f>IFERROR(__xludf.DUMMYFUNCTION("IMPORTRANGE(""https://docs.google.com/spreadsheets/d/1XL5vhW3sbDhbH9Cz0tuDiY8C3ctxq1tqvaCgkFb8cCA/edit?usp=sharing"",""อุบลราชธานี!J382"")"),0.0)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IFERROR(__xludf.DUMMYFUNCTION("IMPORTRANGE(""https://docs.google.com/spreadsheets/d/1XL5vhW3sbDhbH9Cz0tuDiY8C3ctxq1tqvaCgkFb8cCA/edit?usp=sharing"",""อุบลราชธานี!I383"")"),0.0)</f>
        <v>0</v>
      </c>
      <c r="J488" s="453">
        <f>IFERROR(__xludf.DUMMYFUNCTION("IMPORTRANGE(""https://docs.google.com/spreadsheets/d/1XL5vhW3sbDhbH9Cz0tuDiY8C3ctxq1tqvaCgkFb8cCA/edit?usp=sharing"",""อุบลราชธานี!J383"")"),0.0)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IFERROR(__xludf.DUMMYFUNCTION("IMPORTRANGE(""https://docs.google.com/spreadsheets/d/1XL5vhW3sbDhbH9Cz0tuDiY8C3ctxq1tqvaCgkFb8cCA/edit?usp=sharing"",""อุบลราชธานี!I384"")"),0.0)</f>
        <v>0</v>
      </c>
      <c r="J489" s="223">
        <f>IFERROR(__xludf.DUMMYFUNCTION("IMPORTRANGE(""https://docs.google.com/spreadsheets/d/1XL5vhW3sbDhbH9Cz0tuDiY8C3ctxq1tqvaCgkFb8cCA/edit?usp=sharing"",""อุบลราชธานี!J384"")"),0.0)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IFERROR(__xludf.DUMMYFUNCTION("IMPORTRANGE(""https://docs.google.com/spreadsheets/d/1XL5vhW3sbDhbH9Cz0tuDiY8C3ctxq1tqvaCgkFb8cCA/edit?usp=sharing"",""อุบลราชธานี!I385"")"),0.0)</f>
        <v>0</v>
      </c>
      <c r="J490" s="223">
        <f>IFERROR(__xludf.DUMMYFUNCTION("IMPORTRANGE(""https://docs.google.com/spreadsheets/d/1XL5vhW3sbDhbH9Cz0tuDiY8C3ctxq1tqvaCgkFb8cCA/edit?usp=sharing"",""อุบลราชธานี!J385"")"),0.0)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IFERROR(__xludf.DUMMYFUNCTION("IMPORTRANGE(""https://docs.google.com/spreadsheets/d/1XL5vhW3sbDhbH9Cz0tuDiY8C3ctxq1tqvaCgkFb8cCA/edit?usp=sharing"",""อุบลราชธานี!I386"")"),0.0)</f>
        <v>0</v>
      </c>
      <c r="J491" s="223">
        <f>IFERROR(__xludf.DUMMYFUNCTION("IMPORTRANGE(""https://docs.google.com/spreadsheets/d/1XL5vhW3sbDhbH9Cz0tuDiY8C3ctxq1tqvaCgkFb8cCA/edit?usp=sharing"",""อุบลราชธานี!J386"")"),0.0)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IFERROR(__xludf.DUMMYFUNCTION("IMPORTRANGE(""https://docs.google.com/spreadsheets/d/1XL5vhW3sbDhbH9Cz0tuDiY8C3ctxq1tqvaCgkFb8cCA/edit?usp=sharing"",""อุบลราชธานี!I387"")"),0.0)</f>
        <v>0</v>
      </c>
      <c r="J492" s="223">
        <f>IFERROR(__xludf.DUMMYFUNCTION("IMPORTRANGE(""https://docs.google.com/spreadsheets/d/1XL5vhW3sbDhbH9Cz0tuDiY8C3ctxq1tqvaCgkFb8cCA/edit?usp=sharing"",""อุบลราชธานี!J387"")"),0.0)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IFERROR(__xludf.DUMMYFUNCTION("IMPORTRANGE(""https://docs.google.com/spreadsheets/d/1XL5vhW3sbDhbH9Cz0tuDiY8C3ctxq1tqvaCgkFb8cCA/edit?usp=sharing"",""อุบลราชธานี!I388"")"),0.0)</f>
        <v>0</v>
      </c>
      <c r="J493" s="223">
        <f>IFERROR(__xludf.DUMMYFUNCTION("IMPORTRANGE(""https://docs.google.com/spreadsheets/d/1XL5vhW3sbDhbH9Cz0tuDiY8C3ctxq1tqvaCgkFb8cCA/edit?usp=sharing"",""อุบลราชธานี!J388"")"),0.0)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IFERROR(__xludf.DUMMYFUNCTION("IMPORTRANGE(""https://docs.google.com/spreadsheets/d/1XL5vhW3sbDhbH9Cz0tuDiY8C3ctxq1tqvaCgkFb8cCA/edit?usp=sharing"",""อุบลราชธานี!I389"")"),0.0)</f>
        <v>0</v>
      </c>
      <c r="J494" s="469">
        <f>IFERROR(__xludf.DUMMYFUNCTION("IMPORTRANGE(""https://docs.google.com/spreadsheets/d/1XL5vhW3sbDhbH9Cz0tuDiY8C3ctxq1tqvaCgkFb8cCA/edit?usp=sharing"",""อุบลราชธานี!J389"")"),0.0)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IFERROR(__xludf.DUMMYFUNCTION("IMPORTRANGE(""https://docs.google.com/spreadsheets/d/1XL5vhW3sbDhbH9Cz0tuDiY8C3ctxq1tqvaCgkFb8cCA/edit?usp=sharing"",""อุบลราชธานี!I390"")"),0.0)</f>
        <v>0</v>
      </c>
      <c r="J495" s="469">
        <f>IFERROR(__xludf.DUMMYFUNCTION("IMPORTRANGE(""https://docs.google.com/spreadsheets/d/1XL5vhW3sbDhbH9Cz0tuDiY8C3ctxq1tqvaCgkFb8cCA/edit?usp=sharing"",""อุบลราชธานี!J390"")"),0.0)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IFERROR(__xludf.DUMMYFUNCTION("IMPORTRANGE(""https://docs.google.com/spreadsheets/d/1XL5vhW3sbDhbH9Cz0tuDiY8C3ctxq1tqvaCgkFb8cCA/edit?usp=sharing"",""อุบลราชธานี!I391"")"),0.0)</f>
        <v>0</v>
      </c>
      <c r="J496" s="469">
        <f>IFERROR(__xludf.DUMMYFUNCTION("IMPORTRANGE(""https://docs.google.com/spreadsheets/d/1XL5vhW3sbDhbH9Cz0tuDiY8C3ctxq1tqvaCgkFb8cCA/edit?usp=sharing"",""อุบลราชธานี!J391"")"),0.0)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IFERROR(__xludf.DUMMYFUNCTION("IMPORTRANGE(""https://docs.google.com/spreadsheets/d/1XL5vhW3sbDhbH9Cz0tuDiY8C3ctxq1tqvaCgkFb8cCA/edit?usp=sharing"",""อุบลราชธานี!I392"")"),2175.0)</f>
        <v>2175</v>
      </c>
      <c r="J497" s="476">
        <f>IFERROR(__xludf.DUMMYFUNCTION("IMPORTRANGE(""https://docs.google.com/spreadsheets/d/1XL5vhW3sbDhbH9Cz0tuDiY8C3ctxq1tqvaCgkFb8cCA/edit?usp=sharing"",""อุบลราชธานี!J392"")"),0.0)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IFERROR(__xludf.DUMMYFUNCTION("IMPORTRANGE(""https://docs.google.com/spreadsheets/d/1XL5vhW3sbDhbH9Cz0tuDiY8C3ctxq1tqvaCgkFb8cCA/edit?usp=sharing"",""อุบลราชธานี!I393"")"),2175.0)</f>
        <v>2175</v>
      </c>
      <c r="J498" s="453">
        <f>IFERROR(__xludf.DUMMYFUNCTION("IMPORTRANGE(""https://docs.google.com/spreadsheets/d/1XL5vhW3sbDhbH9Cz0tuDiY8C3ctxq1tqvaCgkFb8cCA/edit?usp=sharing"",""อุบลราชธานี!J393"")"),0.0)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IFERROR(__xludf.DUMMYFUNCTION("IMPORTRANGE(""https://docs.google.com/spreadsheets/d/1XL5vhW3sbDhbH9Cz0tuDiY8C3ctxq1tqvaCgkFb8cCA/edit?usp=sharing"",""อุบลราชธานี!I394"")"),375.0)</f>
        <v>375</v>
      </c>
      <c r="J499" s="453">
        <f>IFERROR(__xludf.DUMMYFUNCTION("IMPORTRANGE(""https://docs.google.com/spreadsheets/d/1XL5vhW3sbDhbH9Cz0tuDiY8C3ctxq1tqvaCgkFb8cCA/edit?usp=sharing"",""อุบลราชธานี!J394"")"),0.0)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IFERROR(__xludf.DUMMYFUNCTION("IMPORTRANGE(""https://docs.google.com/spreadsheets/d/1XL5vhW3sbDhbH9Cz0tuDiY8C3ctxq1tqvaCgkFb8cCA/edit?usp=sharing"",""อุบลราชธานี!I395"")"),0.0)</f>
        <v>0</v>
      </c>
      <c r="J500" s="195">
        <f>IFERROR(__xludf.DUMMYFUNCTION("IMPORTRANGE(""https://docs.google.com/spreadsheets/d/1XL5vhW3sbDhbH9Cz0tuDiY8C3ctxq1tqvaCgkFb8cCA/edit?usp=sharing"",""อุบลราชธานี!J395"")"),0.0)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IFERROR(__xludf.DUMMYFUNCTION("IMPORTRANGE(""https://docs.google.com/spreadsheets/d/1XL5vhW3sbDhbH9Cz0tuDiY8C3ctxq1tqvaCgkFb8cCA/edit?usp=sharing"",""อุบลราชธานี!I396"")"),0.0)</f>
        <v>0</v>
      </c>
      <c r="J501" s="195">
        <f>IFERROR(__xludf.DUMMYFUNCTION("IMPORTRANGE(""https://docs.google.com/spreadsheets/d/1XL5vhW3sbDhbH9Cz0tuDiY8C3ctxq1tqvaCgkFb8cCA/edit?usp=sharing"",""อุบลราชธานี!J396"")"),0.0)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IFERROR(__xludf.DUMMYFUNCTION("IMPORTRANGE(""https://docs.google.com/spreadsheets/d/1XL5vhW3sbDhbH9Cz0tuDiY8C3ctxq1tqvaCgkFb8cCA/edit?usp=sharing"",""อุบลราชธานี!I397"")"),0.0)</f>
        <v>0</v>
      </c>
      <c r="J502" s="223">
        <f>IFERROR(__xludf.DUMMYFUNCTION("IMPORTRANGE(""https://docs.google.com/spreadsheets/d/1XL5vhW3sbDhbH9Cz0tuDiY8C3ctxq1tqvaCgkFb8cCA/edit?usp=sharing"",""อุบลราชธานี!J397"")"),0.0)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IFERROR(__xludf.DUMMYFUNCTION("IMPORTRANGE(""https://docs.google.com/spreadsheets/d/1XL5vhW3sbDhbH9Cz0tuDiY8C3ctxq1tqvaCgkFb8cCA/edit?usp=sharing"",""อุบลราชธานี!I398"")"),0.0)</f>
        <v>0</v>
      </c>
      <c r="J503" s="232">
        <f>IFERROR(__xludf.DUMMYFUNCTION("IMPORTRANGE(""https://docs.google.com/spreadsheets/d/1XL5vhW3sbDhbH9Cz0tuDiY8C3ctxq1tqvaCgkFb8cCA/edit?usp=sharing"",""อุบลราชธานี!J398"")"),0.0)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IFERROR(__xludf.DUMMYFUNCTION("IMPORTRANGE(""https://docs.google.com/spreadsheets/d/1XL5vhW3sbDhbH9Cz0tuDiY8C3ctxq1tqvaCgkFb8cCA/edit?usp=sharing"",""อุบลราชธานี!I399"")"),0.0)</f>
        <v>0</v>
      </c>
      <c r="J504" s="223">
        <f>IFERROR(__xludf.DUMMYFUNCTION("IMPORTRANGE(""https://docs.google.com/spreadsheets/d/1XL5vhW3sbDhbH9Cz0tuDiY8C3ctxq1tqvaCgkFb8cCA/edit?usp=sharing"",""อุบลราชธานี!J399"")"),0.0)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IFERROR(__xludf.DUMMYFUNCTION("IMPORTRANGE(""https://docs.google.com/spreadsheets/d/1XL5vhW3sbDhbH9Cz0tuDiY8C3ctxq1tqvaCgkFb8cCA/edit?usp=sharing"",""อุบลราชธานี!I400"")"),0.0)</f>
        <v>0</v>
      </c>
      <c r="J505" s="232">
        <f>IFERROR(__xludf.DUMMYFUNCTION("IMPORTRANGE(""https://docs.google.com/spreadsheets/d/1XL5vhW3sbDhbH9Cz0tuDiY8C3ctxq1tqvaCgkFb8cCA/edit?usp=sharing"",""อุบลราชธานี!J400"")"),0.0)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IFERROR(__xludf.DUMMYFUNCTION("IMPORTRANGE(""https://docs.google.com/spreadsheets/d/1XL5vhW3sbDhbH9Cz0tuDiY8C3ctxq1tqvaCgkFb8cCA/edit?usp=sharing"",""อุบลราชธานี!I401"")"),0.0)</f>
        <v>0</v>
      </c>
      <c r="J506" s="223">
        <f>IFERROR(__xludf.DUMMYFUNCTION("IMPORTRANGE(""https://docs.google.com/spreadsheets/d/1XL5vhW3sbDhbH9Cz0tuDiY8C3ctxq1tqvaCgkFb8cCA/edit?usp=sharing"",""อุบลราชธานี!J401"")"),0.0)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IFERROR(__xludf.DUMMYFUNCTION("IMPORTRANGE(""https://docs.google.com/spreadsheets/d/1XL5vhW3sbDhbH9Cz0tuDiY8C3ctxq1tqvaCgkFb8cCA/edit?usp=sharing"",""อุบลราชธานี!I402"")"),0.0)</f>
        <v>0</v>
      </c>
      <c r="J507" s="232">
        <f>IFERROR(__xludf.DUMMYFUNCTION("IMPORTRANGE(""https://docs.google.com/spreadsheets/d/1XL5vhW3sbDhbH9Cz0tuDiY8C3ctxq1tqvaCgkFb8cCA/edit?usp=sharing"",""อุบลราชธานี!J402"")"),0.0)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IFERROR(__xludf.DUMMYFUNCTION("IMPORTRANGE(""https://docs.google.com/spreadsheets/d/1XL5vhW3sbDhbH9Cz0tuDiY8C3ctxq1tqvaCgkFb8cCA/edit?usp=sharing"",""อุบลราชธานี!I403"")"),0.0)</f>
        <v>0</v>
      </c>
      <c r="J508" s="195">
        <f>IFERROR(__xludf.DUMMYFUNCTION("IMPORTRANGE(""https://docs.google.com/spreadsheets/d/1XL5vhW3sbDhbH9Cz0tuDiY8C3ctxq1tqvaCgkFb8cCA/edit?usp=sharing"",""อุบลราชธานี!J403"")"),0.0)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IFERROR(__xludf.DUMMYFUNCTION("IMPORTRANGE(""https://docs.google.com/spreadsheets/d/1XL5vhW3sbDhbH9Cz0tuDiY8C3ctxq1tqvaCgkFb8cCA/edit?usp=sharing"",""อุบลราชธานี!I404"")"),0.0)</f>
        <v>0</v>
      </c>
      <c r="J509" s="195">
        <f>IFERROR(__xludf.DUMMYFUNCTION("IMPORTRANGE(""https://docs.google.com/spreadsheets/d/1XL5vhW3sbDhbH9Cz0tuDiY8C3ctxq1tqvaCgkFb8cCA/edit?usp=sharing"",""อุบลราชธานี!J404"")"),0.0)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IFERROR(__xludf.DUMMYFUNCTION("IMPORTRANGE(""https://docs.google.com/spreadsheets/d/1XL5vhW3sbDhbH9Cz0tuDiY8C3ctxq1tqvaCgkFb8cCA/edit?usp=sharing"",""อุบลราชธานี!I405"")"),0.0)</f>
        <v>0</v>
      </c>
      <c r="J510" s="232">
        <f>IFERROR(__xludf.DUMMYFUNCTION("IMPORTRANGE(""https://docs.google.com/spreadsheets/d/1XL5vhW3sbDhbH9Cz0tuDiY8C3ctxq1tqvaCgkFb8cCA/edit?usp=sharing"",""อุบลราชธานี!J405"")"),0.0)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IFERROR(__xludf.DUMMYFUNCTION("IMPORTRANGE(""https://docs.google.com/spreadsheets/d/1XL5vhW3sbDhbH9Cz0tuDiY8C3ctxq1tqvaCgkFb8cCA/edit?usp=sharing"",""อุบลราชธานี!I406"")"),0.0)</f>
        <v>0</v>
      </c>
      <c r="J511" s="232">
        <f>IFERROR(__xludf.DUMMYFUNCTION("IMPORTRANGE(""https://docs.google.com/spreadsheets/d/1XL5vhW3sbDhbH9Cz0tuDiY8C3ctxq1tqvaCgkFb8cCA/edit?usp=sharing"",""อุบลราชธานี!J406"")"),0.0)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IFERROR(__xludf.DUMMYFUNCTION("IMPORTRANGE(""https://docs.google.com/spreadsheets/d/1XL5vhW3sbDhbH9Cz0tuDiY8C3ctxq1tqvaCgkFb8cCA/edit?usp=sharing"",""อุบลราชธานี!I407"")"),0.0)</f>
        <v>0</v>
      </c>
      <c r="J512" s="232">
        <f>IFERROR(__xludf.DUMMYFUNCTION("IMPORTRANGE(""https://docs.google.com/spreadsheets/d/1XL5vhW3sbDhbH9Cz0tuDiY8C3ctxq1tqvaCgkFb8cCA/edit?usp=sharing"",""อุบลราชธานี!J407"")"),0.0)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IFERROR(__xludf.DUMMYFUNCTION("IMPORTRANGE(""https://docs.google.com/spreadsheets/d/1XL5vhW3sbDhbH9Cz0tuDiY8C3ctxq1tqvaCgkFb8cCA/edit?usp=sharing"",""อุบลราชธานี!I408"")"),0.0)</f>
        <v>0</v>
      </c>
      <c r="J513" s="232">
        <f>IFERROR(__xludf.DUMMYFUNCTION("IMPORTRANGE(""https://docs.google.com/spreadsheets/d/1XL5vhW3sbDhbH9Cz0tuDiY8C3ctxq1tqvaCgkFb8cCA/edit?usp=sharing"",""อุบลราชธานี!J408"")"),0.0)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IFERROR(__xludf.DUMMYFUNCTION("IMPORTRANGE(""https://docs.google.com/spreadsheets/d/1XL5vhW3sbDhbH9Cz0tuDiY8C3ctxq1tqvaCgkFb8cCA/edit?usp=sharing"",""อุบลราชธานี!I409"")"),0.0)</f>
        <v>0</v>
      </c>
      <c r="J514" s="232">
        <f>IFERROR(__xludf.DUMMYFUNCTION("IMPORTRANGE(""https://docs.google.com/spreadsheets/d/1XL5vhW3sbDhbH9Cz0tuDiY8C3ctxq1tqvaCgkFb8cCA/edit?usp=sharing"",""อุบลราชธานี!J409"")"),0.0)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IFERROR(__xludf.DUMMYFUNCTION("IMPORTRANGE(""https://docs.google.com/spreadsheets/d/1XL5vhW3sbDhbH9Cz0tuDiY8C3ctxq1tqvaCgkFb8cCA/edit?usp=sharing"",""อุบลราชธานี!I410"")"),0.0)</f>
        <v>0</v>
      </c>
      <c r="J515" s="232">
        <f>IFERROR(__xludf.DUMMYFUNCTION("IMPORTRANGE(""https://docs.google.com/spreadsheets/d/1XL5vhW3sbDhbH9Cz0tuDiY8C3ctxq1tqvaCgkFb8cCA/edit?usp=sharing"",""อุบลราชธานี!J410"")"),0.0)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IFERROR(__xludf.DUMMYFUNCTION("IMPORTRANGE(""https://docs.google.com/spreadsheets/d/1XL5vhW3sbDhbH9Cz0tuDiY8C3ctxq1tqvaCgkFb8cCA/edit?usp=sharing"",""อุบลราชธานี!I411"")"),0.0)</f>
        <v>0</v>
      </c>
      <c r="J516" s="301">
        <f>IFERROR(__xludf.DUMMYFUNCTION("IMPORTRANGE(""https://docs.google.com/spreadsheets/d/1XL5vhW3sbDhbH9Cz0tuDiY8C3ctxq1tqvaCgkFb8cCA/edit?usp=sharing"",""อุบลราชธานี!J411"")"),0.0)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IFERROR(__xludf.DUMMYFUNCTION("IMPORTRANGE(""https://docs.google.com/spreadsheets/d/1XL5vhW3sbDhbH9Cz0tuDiY8C3ctxq1tqvaCgkFb8cCA/edit?usp=sharing"",""อุบลราชธานี!I412"")"),0.0)</f>
        <v>0</v>
      </c>
      <c r="J517" s="317">
        <f>IFERROR(__xludf.DUMMYFUNCTION("IMPORTRANGE(""https://docs.google.com/spreadsheets/d/1XL5vhW3sbDhbH9Cz0tuDiY8C3ctxq1tqvaCgkFb8cCA/edit?usp=sharing"",""อุบลราชธานี!J412"")"),0.0)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IFERROR(__xludf.DUMMYFUNCTION("IMPORTRANGE(""https://docs.google.com/spreadsheets/d/1XL5vhW3sbDhbH9Cz0tuDiY8C3ctxq1tqvaCgkFb8cCA/edit?usp=sharing"",""อุบลราชธานี!I413"")"),0.0)</f>
        <v>0</v>
      </c>
      <c r="J518" s="317">
        <f>IFERROR(__xludf.DUMMYFUNCTION("IMPORTRANGE(""https://docs.google.com/spreadsheets/d/1XL5vhW3sbDhbH9Cz0tuDiY8C3ctxq1tqvaCgkFb8cCA/edit?usp=sharing"",""อุบลราชธานี!J413"")"),0.0)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IFERROR(__xludf.DUMMYFUNCTION("IMPORTRANGE(""https://docs.google.com/spreadsheets/d/1XL5vhW3sbDhbH9Cz0tuDiY8C3ctxq1tqvaCgkFb8cCA/edit?usp=sharing"",""อุบลราชธานี!I414"")"),0.0)</f>
        <v>0</v>
      </c>
      <c r="J519" s="222">
        <f>IFERROR(__xludf.DUMMYFUNCTION("IMPORTRANGE(""https://docs.google.com/spreadsheets/d/1XL5vhW3sbDhbH9Cz0tuDiY8C3ctxq1tqvaCgkFb8cCA/edit?usp=sharing"",""อุบลราชธานี!J414"")"),0.0)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IFERROR(__xludf.DUMMYFUNCTION("IMPORTRANGE(""https://docs.google.com/spreadsheets/d/1XL5vhW3sbDhbH9Cz0tuDiY8C3ctxq1tqvaCgkFb8cCA/edit?usp=sharing"",""อุบลราชธานี!I415"")"),0.0)</f>
        <v>0</v>
      </c>
      <c r="J520" s="222">
        <f>IFERROR(__xludf.DUMMYFUNCTION("IMPORTRANGE(""https://docs.google.com/spreadsheets/d/1XL5vhW3sbDhbH9Cz0tuDiY8C3ctxq1tqvaCgkFb8cCA/edit?usp=sharing"",""อุบลราชธานี!J415"")"),0.0)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IFERROR(__xludf.DUMMYFUNCTION("IMPORTRANGE(""https://docs.google.com/spreadsheets/d/1XL5vhW3sbDhbH9Cz0tuDiY8C3ctxq1tqvaCgkFb8cCA/edit?usp=sharing"",""อุบลราชธานี!I416"")"),0.0)</f>
        <v>0</v>
      </c>
      <c r="J521" s="222">
        <f>IFERROR(__xludf.DUMMYFUNCTION("IMPORTRANGE(""https://docs.google.com/spreadsheets/d/1XL5vhW3sbDhbH9Cz0tuDiY8C3ctxq1tqvaCgkFb8cCA/edit?usp=sharing"",""อุบลราชธานี!J416"")"),0.0)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IFERROR(__xludf.DUMMYFUNCTION("IMPORTRANGE(""https://docs.google.com/spreadsheets/d/1XL5vhW3sbDhbH9Cz0tuDiY8C3ctxq1tqvaCgkFb8cCA/edit?usp=sharing"",""อุบลราชธานี!I417"")"),0.0)</f>
        <v>0</v>
      </c>
      <c r="J522" s="222">
        <f>IFERROR(__xludf.DUMMYFUNCTION("IMPORTRANGE(""https://docs.google.com/spreadsheets/d/1XL5vhW3sbDhbH9Cz0tuDiY8C3ctxq1tqvaCgkFb8cCA/edit?usp=sharing"",""อุบลราชธานี!J417"")"),0.0)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IFERROR(__xludf.DUMMYFUNCTION("IMPORTRANGE(""https://docs.google.com/spreadsheets/d/1XL5vhW3sbDhbH9Cz0tuDiY8C3ctxq1tqvaCgkFb8cCA/edit?usp=sharing"",""อุบลราชธานี!I418"")"),0.0)</f>
        <v>0</v>
      </c>
      <c r="J523" s="222">
        <f>IFERROR(__xludf.DUMMYFUNCTION("IMPORTRANGE(""https://docs.google.com/spreadsheets/d/1XL5vhW3sbDhbH9Cz0tuDiY8C3ctxq1tqvaCgkFb8cCA/edit?usp=sharing"",""อุบลราชธานี!J418"")"),0.0)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IFERROR(__xludf.DUMMYFUNCTION("IMPORTRANGE(""https://docs.google.com/spreadsheets/d/1XL5vhW3sbDhbH9Cz0tuDiY8C3ctxq1tqvaCgkFb8cCA/edit?usp=sharing"",""อุบลราชธานี!I419"")"),0.0)</f>
        <v>0</v>
      </c>
      <c r="J524" s="222">
        <f>IFERROR(__xludf.DUMMYFUNCTION("IMPORTRANGE(""https://docs.google.com/spreadsheets/d/1XL5vhW3sbDhbH9Cz0tuDiY8C3ctxq1tqvaCgkFb8cCA/edit?usp=sharing"",""อุบลราชธานี!J419"")"),0.0)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IFERROR(__xludf.DUMMYFUNCTION("IMPORTRANGE(""https://docs.google.com/spreadsheets/d/1XL5vhW3sbDhbH9Cz0tuDiY8C3ctxq1tqvaCgkFb8cCA/edit?usp=sharing"",""อุบลราชธานี!I420"")"),0.0)</f>
        <v>0</v>
      </c>
      <c r="J525" s="317">
        <f>IFERROR(__xludf.DUMMYFUNCTION("IMPORTRANGE(""https://docs.google.com/spreadsheets/d/1XL5vhW3sbDhbH9Cz0tuDiY8C3ctxq1tqvaCgkFb8cCA/edit?usp=sharing"",""อุบลราชธานี!J420"")"),0.0)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IFERROR(__xludf.DUMMYFUNCTION("IMPORTRANGE(""https://docs.google.com/spreadsheets/d/1XL5vhW3sbDhbH9Cz0tuDiY8C3ctxq1tqvaCgkFb8cCA/edit?usp=sharing"",""อุบลราชธานี!I421"")"),0.0)</f>
        <v>0</v>
      </c>
      <c r="J526" s="317">
        <f>IFERROR(__xludf.DUMMYFUNCTION("IMPORTRANGE(""https://docs.google.com/spreadsheets/d/1XL5vhW3sbDhbH9Cz0tuDiY8C3ctxq1tqvaCgkFb8cCA/edit?usp=sharing"",""อุบลราชธานี!J421"")"),0.0)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IFERROR(__xludf.DUMMYFUNCTION("IMPORTRANGE(""https://docs.google.com/spreadsheets/d/1XL5vhW3sbDhbH9Cz0tuDiY8C3ctxq1tqvaCgkFb8cCA/edit?usp=sharing"",""อุบลราชธานี!I422"")"),0.0)</f>
        <v>0</v>
      </c>
      <c r="J527" s="232">
        <f>IFERROR(__xludf.DUMMYFUNCTION("IMPORTRANGE(""https://docs.google.com/spreadsheets/d/1XL5vhW3sbDhbH9Cz0tuDiY8C3ctxq1tqvaCgkFb8cCA/edit?usp=sharing"",""อุบลราชธานี!J422"")"),0.0)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IFERROR(__xludf.DUMMYFUNCTION("IMPORTRANGE(""https://docs.google.com/spreadsheets/d/1XL5vhW3sbDhbH9Cz0tuDiY8C3ctxq1tqvaCgkFb8cCA/edit?usp=sharing"",""อุบลราชธานี!I423"")"),0.0)</f>
        <v>0</v>
      </c>
      <c r="J528" s="232">
        <f>IFERROR(__xludf.DUMMYFUNCTION("IMPORTRANGE(""https://docs.google.com/spreadsheets/d/1XL5vhW3sbDhbH9Cz0tuDiY8C3ctxq1tqvaCgkFb8cCA/edit?usp=sharing"",""อุบลราชธานี!J423"")"),0.0)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IFERROR(__xludf.DUMMYFUNCTION("IMPORTRANGE(""https://docs.google.com/spreadsheets/d/1XL5vhW3sbDhbH9Cz0tuDiY8C3ctxq1tqvaCgkFb8cCA/edit?usp=sharing"",""อุบลราชธานี!I424"")"),0.0)</f>
        <v>0</v>
      </c>
      <c r="J529" s="232">
        <f>IFERROR(__xludf.DUMMYFUNCTION("IMPORTRANGE(""https://docs.google.com/spreadsheets/d/1XL5vhW3sbDhbH9Cz0tuDiY8C3ctxq1tqvaCgkFb8cCA/edit?usp=sharing"",""อุบลราชธานี!J424"")"),0.0)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IFERROR(__xludf.DUMMYFUNCTION("IMPORTRANGE(""https://docs.google.com/spreadsheets/d/1XL5vhW3sbDhbH9Cz0tuDiY8C3ctxq1tqvaCgkFb8cCA/edit?usp=sharing"",""อุบลราชธานี!I425"")"),0.0)</f>
        <v>0</v>
      </c>
      <c r="J530" s="232">
        <f>IFERROR(__xludf.DUMMYFUNCTION("IMPORTRANGE(""https://docs.google.com/spreadsheets/d/1XL5vhW3sbDhbH9Cz0tuDiY8C3ctxq1tqvaCgkFb8cCA/edit?usp=sharing"",""อุบลราชธานี!J425"")"),0.0)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IFERROR(__xludf.DUMMYFUNCTION("IMPORTRANGE(""https://docs.google.com/spreadsheets/d/1XL5vhW3sbDhbH9Cz0tuDiY8C3ctxq1tqvaCgkFb8cCA/edit?usp=sharing"",""อุบลราชธานี!I426"")"),0.0)</f>
        <v>0</v>
      </c>
      <c r="J531" s="232">
        <f>IFERROR(__xludf.DUMMYFUNCTION("IMPORTRANGE(""https://docs.google.com/spreadsheets/d/1XL5vhW3sbDhbH9Cz0tuDiY8C3ctxq1tqvaCgkFb8cCA/edit?usp=sharing"",""อุบลราชธานี!J426"")"),0.0)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IFERROR(__xludf.DUMMYFUNCTION("IMPORTRANGE(""https://docs.google.com/spreadsheets/d/1XL5vhW3sbDhbH9Cz0tuDiY8C3ctxq1tqvaCgkFb8cCA/edit?usp=sharing"",""อุบลราชธานี!I427"")"),0.0)</f>
        <v>0</v>
      </c>
      <c r="J532" s="499">
        <f>IFERROR(__xludf.DUMMYFUNCTION("IMPORTRANGE(""https://docs.google.com/spreadsheets/d/1XL5vhW3sbDhbH9Cz0tuDiY8C3ctxq1tqvaCgkFb8cCA/edit?usp=sharing"",""อุบลราชธานี!J427"")"),0.0)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IFERROR(__xludf.DUMMYFUNCTION("IMPORTRANGE(""https://docs.google.com/spreadsheets/d/1XL5vhW3sbDhbH9Cz0tuDiY8C3ctxq1tqvaCgkFb8cCA/edit?usp=sharing"",""อุบลราชธานี!I428"")"),24.0)</f>
        <v>24</v>
      </c>
      <c r="J533" s="443">
        <f>IFERROR(__xludf.DUMMYFUNCTION("IMPORTRANGE(""https://docs.google.com/spreadsheets/d/1XL5vhW3sbDhbH9Cz0tuDiY8C3ctxq1tqvaCgkFb8cCA/edit?usp=sharing"",""อุบลราชธานี!J428"")"),24.0)</f>
        <v>24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IFERROR(__xludf.DUMMYFUNCTION("IMPORTRANGE(""https://docs.google.com/spreadsheets/d/1XL5vhW3sbDhbH9Cz0tuDiY8C3ctxq1tqvaCgkFb8cCA/edit?usp=sharing"",""อุบลราชธานี!L428"")"),36040.0)</f>
        <v>36040</v>
      </c>
      <c r="M533" s="445"/>
      <c r="N533" s="445">
        <f>IFERROR(__xludf.DUMMYFUNCTION("IMPORTRANGE(""https://docs.google.com/spreadsheets/d/1XL5vhW3sbDhbH9Cz0tuDiY8C3ctxq1tqvaCgkFb8cCA/edit?usp=sharing"",""อุบลราชธานี!M428"")"),27680.0)</f>
        <v>27680</v>
      </c>
      <c r="O533" s="445">
        <f t="shared" ref="O533:O537" si="119">+IF(L533&gt;0,N533*100/L533,0)</f>
        <v>76.80355161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IFERROR(__xludf.DUMMYFUNCTION("IMPORTRANGE(""https://docs.google.com/spreadsheets/d/1XL5vhW3sbDhbH9Cz0tuDiY8C3ctxq1tqvaCgkFb8cCA/edit?usp=sharing"",""อุบลราชธานี!L429"")"),0.0)</f>
        <v>0</v>
      </c>
      <c r="M534" s="197"/>
      <c r="N534" s="203">
        <f>IFERROR(__xludf.DUMMYFUNCTION("IMPORTRANGE(""https://docs.google.com/spreadsheets/d/1XL5vhW3sbDhbH9Cz0tuDiY8C3ctxq1tqvaCgkFb8cCA/edit?usp=sharing"",""อุบลราชธานี!M429"")"),0.0)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IFERROR(__xludf.DUMMYFUNCTION("IMPORTRANGE(""https://docs.google.com/spreadsheets/d/1XL5vhW3sbDhbH9Cz0tuDiY8C3ctxq1tqvaCgkFb8cCA/edit?usp=sharing"",""อุบลราชธานี!L430"")"),36040.0)</f>
        <v>36040</v>
      </c>
      <c r="M535" s="198"/>
      <c r="N535" s="203">
        <f>IFERROR(__xludf.DUMMYFUNCTION("IMPORTRANGE(""https://docs.google.com/spreadsheets/d/1XL5vhW3sbDhbH9Cz0tuDiY8C3ctxq1tqvaCgkFb8cCA/edit?usp=sharing"",""อุบลราชธานี!M430"")"),27680.0)</f>
        <v>27680</v>
      </c>
      <c r="O535" s="203">
        <f t="shared" si="119"/>
        <v>76.80355161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IFERROR(__xludf.DUMMYFUNCTION("IMPORTRANGE(""https://docs.google.com/spreadsheets/d/1XL5vhW3sbDhbH9Cz0tuDiY8C3ctxq1tqvaCgkFb8cCA/edit?usp=sharing"",""อุบลราชธานี!L431"")"),0.0)</f>
        <v>0</v>
      </c>
      <c r="M536" s="203"/>
      <c r="N536" s="203">
        <f>IFERROR(__xludf.DUMMYFUNCTION("IMPORTRANGE(""https://docs.google.com/spreadsheets/d/1XL5vhW3sbDhbH9Cz0tuDiY8C3ctxq1tqvaCgkFb8cCA/edit?usp=sharing"",""อุบลราชธานี!M431"")"),0.0)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IFERROR(__xludf.DUMMYFUNCTION("IMPORTRANGE(""https://docs.google.com/spreadsheets/d/1XL5vhW3sbDhbH9Cz0tuDiY8C3ctxq1tqvaCgkFb8cCA/edit?usp=sharing"",""อุบลราชธานี!L432"")"),36040.0)</f>
        <v>36040</v>
      </c>
      <c r="M537" s="203"/>
      <c r="N537" s="203">
        <f>IFERROR(__xludf.DUMMYFUNCTION("IMPORTRANGE(""https://docs.google.com/spreadsheets/d/1XL5vhW3sbDhbH9Cz0tuDiY8C3ctxq1tqvaCgkFb8cCA/edit?usp=sharing"",""อุบลราชธานี!M432"")"),27680.0)</f>
        <v>27680</v>
      </c>
      <c r="O537" s="203">
        <f t="shared" si="119"/>
        <v>76.80355161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IFERROR(__xludf.DUMMYFUNCTION("IMPORTRANGE(""https://docs.google.com/spreadsheets/d/1XL5vhW3sbDhbH9Cz0tuDiY8C3ctxq1tqvaCgkFb8cCA/edit?usp=sharing"",""อุบลราชธานี!M433"")"),20780.0)</f>
        <v>20780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IFERROR(__xludf.DUMMYFUNCTION("IMPORTRANGE(""https://docs.google.com/spreadsheets/d/1XL5vhW3sbDhbH9Cz0tuDiY8C3ctxq1tqvaCgkFb8cCA/edit?usp=sharing"",""อุบลราชธานี!M434"")"),0.0)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IFERROR(__xludf.DUMMYFUNCTION("IMPORTRANGE(""https://docs.google.com/spreadsheets/d/1XL5vhW3sbDhbH9Cz0tuDiY8C3ctxq1tqvaCgkFb8cCA/edit?usp=sharing"",""อุบลราชธานี!M435"")"),0.0)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IFERROR(__xludf.DUMMYFUNCTION("IMPORTRANGE(""https://docs.google.com/spreadsheets/d/1XL5vhW3sbDhbH9Cz0tuDiY8C3ctxq1tqvaCgkFb8cCA/edit?usp=sharing"",""อุบลราชธานี!M436"")"),6900.0)</f>
        <v>6900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IFERROR(__xludf.DUMMYFUNCTION("IMPORTRANGE(""https://docs.google.com/spreadsheets/d/1XL5vhW3sbDhbH9Cz0tuDiY8C3ctxq1tqvaCgkFb8cCA/edit?usp=sharing"",""อุบลราชธานี!J438"")"),0.0)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IFERROR(__xludf.DUMMYFUNCTION("IMPORTRANGE(""https://docs.google.com/spreadsheets/d/1XL5vhW3sbDhbH9Cz0tuDiY8C3ctxq1tqvaCgkFb8cCA/edit?usp=sharing"",""อุบลราชธานี!J439"")"),1.0)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IFERROR(__xludf.DUMMYFUNCTION("IMPORTRANGE(""https://docs.google.com/spreadsheets/d/1XL5vhW3sbDhbH9Cz0tuDiY8C3ctxq1tqvaCgkFb8cCA/edit?usp=sharing"",""อุบลราชธานี!J440"")"),1.0)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IFERROR(__xludf.DUMMYFUNCTION("IMPORTRANGE(""https://docs.google.com/spreadsheets/d/1XL5vhW3sbDhbH9Cz0tuDiY8C3ctxq1tqvaCgkFb8cCA/edit?usp=sharing"",""อุบลราชธานี!J441"")"),1.0)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IFERROR(__xludf.DUMMYFUNCTION("IMPORTRANGE(""https://docs.google.com/spreadsheets/d/1XL5vhW3sbDhbH9Cz0tuDiY8C3ctxq1tqvaCgkFb8cCA/edit?usp=sharing"",""อุบลราชธานี!I442"")"),24.0)</f>
        <v>24</v>
      </c>
      <c r="J547" s="223">
        <f>IFERROR(__xludf.DUMMYFUNCTION("IMPORTRANGE(""https://docs.google.com/spreadsheets/d/1XL5vhW3sbDhbH9Cz0tuDiY8C3ctxq1tqvaCgkFb8cCA/edit?usp=sharing"",""อุบลราชธานี!J442"")"),24.0)</f>
        <v>24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IFERROR(__xludf.DUMMYFUNCTION("IMPORTRANGE(""https://docs.google.com/spreadsheets/d/1XL5vhW3sbDhbH9Cz0tuDiY8C3ctxq1tqvaCgkFb8cCA/edit?usp=sharing"",""อุบลราชธานี!J166"")"),0.0)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IFERROR(__xludf.DUMMYFUNCTION("IMPORTRANGE(""https://docs.google.com/spreadsheets/d/1XL5vhW3sbDhbH9Cz0tuDiY8C3ctxq1tqvaCgkFb8cCA/edit?usp=sharing"",""อุบลราชธานี!J444"")"),0.0)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IFERROR(__xludf.DUMMYFUNCTION("IMPORTRANGE(""https://docs.google.com/spreadsheets/d/1XL5vhW3sbDhbH9Cz0tuDiY8C3ctxq1tqvaCgkFb8cCA/edit?usp=sharing"",""อุบลราชธานี!J445"")"),0.0)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IFERROR(__xludf.DUMMYFUNCTION("IMPORTRANGE(""https://docs.google.com/spreadsheets/d/1XL5vhW3sbDhbH9Cz0tuDiY8C3ctxq1tqvaCgkFb8cCA/edit?usp=sharing"",""อุบลราชธานี!I446"")"),5000.0)</f>
        <v>5000</v>
      </c>
      <c r="J551" s="443">
        <f>IFERROR(__xludf.DUMMYFUNCTION("IMPORTRANGE(""https://docs.google.com/spreadsheets/d/1XL5vhW3sbDhbH9Cz0tuDiY8C3ctxq1tqvaCgkFb8cCA/edit?usp=sharing"",""อุบลราชธานี!J446"")"),1273.0)</f>
        <v>1273</v>
      </c>
      <c r="K551" s="444">
        <f>IF(I551&gt;0,J551*100/I551,0)</f>
        <v>25.46</v>
      </c>
      <c r="L551" s="445">
        <f>IFERROR(__xludf.DUMMYFUNCTION("IMPORTRANGE(""https://docs.google.com/spreadsheets/d/1XL5vhW3sbDhbH9Cz0tuDiY8C3ctxq1tqvaCgkFb8cCA/edit?usp=sharing"",""อุบลราชธานี!L446"")"),320000.0)</f>
        <v>320000</v>
      </c>
      <c r="M551" s="445"/>
      <c r="N551" s="445">
        <f>IFERROR(__xludf.DUMMYFUNCTION("IMPORTRANGE(""https://docs.google.com/spreadsheets/d/1XL5vhW3sbDhbH9Cz0tuDiY8C3ctxq1tqvaCgkFb8cCA/edit?usp=sharing"",""อุบลราชธานี!M446"")"),83298.3)</f>
        <v>83298.3</v>
      </c>
      <c r="O551" s="445">
        <f t="shared" ref="O551:O555" si="121">+IF(L551&gt;0,N551*100/L551,0)</f>
        <v>26.03071875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IFERROR(__xludf.DUMMYFUNCTION("IMPORTRANGE(""https://docs.google.com/spreadsheets/d/1XL5vhW3sbDhbH9Cz0tuDiY8C3ctxq1tqvaCgkFb8cCA/edit?usp=sharing"",""อุบลราชธานี!L447"")"),0.0)</f>
        <v>0</v>
      </c>
      <c r="M552" s="197"/>
      <c r="N552" s="203">
        <f>IFERROR(__xludf.DUMMYFUNCTION("IMPORTRANGE(""https://docs.google.com/spreadsheets/d/1XL5vhW3sbDhbH9Cz0tuDiY8C3ctxq1tqvaCgkFb8cCA/edit?usp=sharing"",""อุบลราชธานี!M447"")"),0.0)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IFERROR(__xludf.DUMMYFUNCTION("IMPORTRANGE(""https://docs.google.com/spreadsheets/d/1XL5vhW3sbDhbH9Cz0tuDiY8C3ctxq1tqvaCgkFb8cCA/edit?usp=sharing"",""อุบลราชธานี!L448"")"),320000.0)</f>
        <v>320000</v>
      </c>
      <c r="M553" s="198"/>
      <c r="N553" s="203">
        <f>IFERROR(__xludf.DUMMYFUNCTION("IMPORTRANGE(""https://docs.google.com/spreadsheets/d/1XL5vhW3sbDhbH9Cz0tuDiY8C3ctxq1tqvaCgkFb8cCA/edit?usp=sharing"",""อุบลราชธานี!M448"")"),83298.3)</f>
        <v>83298.3</v>
      </c>
      <c r="O553" s="203">
        <f t="shared" si="121"/>
        <v>26.03071875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IFERROR(__xludf.DUMMYFUNCTION("IMPORTRANGE(""https://docs.google.com/spreadsheets/d/1XL5vhW3sbDhbH9Cz0tuDiY8C3ctxq1tqvaCgkFb8cCA/edit?usp=sharing"",""อุบลราชธานี!L449"")"),0.0)</f>
        <v>0</v>
      </c>
      <c r="M554" s="203"/>
      <c r="N554" s="203">
        <f>IFERROR(__xludf.DUMMYFUNCTION("IMPORTRANGE(""https://docs.google.com/spreadsheets/d/1XL5vhW3sbDhbH9Cz0tuDiY8C3ctxq1tqvaCgkFb8cCA/edit?usp=sharing"",""อุบลราชธานี!M449"")"),0.0)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IFERROR(__xludf.DUMMYFUNCTION("IMPORTRANGE(""https://docs.google.com/spreadsheets/d/1XL5vhW3sbDhbH9Cz0tuDiY8C3ctxq1tqvaCgkFb8cCA/edit?usp=sharing"",""อุบลราชธานี!L450"")"),320000.0)</f>
        <v>320000</v>
      </c>
      <c r="M555" s="203"/>
      <c r="N555" s="203">
        <f>IFERROR(__xludf.DUMMYFUNCTION("IMPORTRANGE(""https://docs.google.com/spreadsheets/d/1XL5vhW3sbDhbH9Cz0tuDiY8C3ctxq1tqvaCgkFb8cCA/edit?usp=sharing"",""อุบลราชธานี!M450"")"),83298.3)</f>
        <v>83298.3</v>
      </c>
      <c r="O555" s="203">
        <f t="shared" si="121"/>
        <v>26.03071875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IFERROR(__xludf.DUMMYFUNCTION("IMPORTRANGE(""https://docs.google.com/spreadsheets/d/1XL5vhW3sbDhbH9Cz0tuDiY8C3ctxq1tqvaCgkFb8cCA/edit?usp=sharing"",""อุบลราชธานี!M451"")"),0.0)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IFERROR(__xludf.DUMMYFUNCTION("IMPORTRANGE(""https://docs.google.com/spreadsheets/d/1XL5vhW3sbDhbH9Cz0tuDiY8C3ctxq1tqvaCgkFb8cCA/edit?usp=sharing"",""อุบลราชธานี!M452"")"),0.0)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IFERROR(__xludf.DUMMYFUNCTION("IMPORTRANGE(""https://docs.google.com/spreadsheets/d/1XL5vhW3sbDhbH9Cz0tuDiY8C3ctxq1tqvaCgkFb8cCA/edit?usp=sharing"",""อุบลราชธานี!M453"")"),18000.0)</f>
        <v>18000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IFERROR(__xludf.DUMMYFUNCTION("IMPORTRANGE(""https://docs.google.com/spreadsheets/d/1XL5vhW3sbDhbH9Cz0tuDiY8C3ctxq1tqvaCgkFb8cCA/edit?usp=sharing"",""อุบลราชธานี!M454"")"),65298.3)</f>
        <v>65298.3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IFERROR(__xludf.DUMMYFUNCTION("IMPORTRANGE(""https://docs.google.com/spreadsheets/d/1XL5vhW3sbDhbH9Cz0tuDiY8C3ctxq1tqvaCgkFb8cCA/edit?usp=sharing"",""อุบลราชธานี!I455"")"),5000.0)</f>
        <v>5000</v>
      </c>
      <c r="J560" s="195">
        <f>IFERROR(__xludf.DUMMYFUNCTION("IMPORTRANGE(""https://docs.google.com/spreadsheets/d/1XL5vhW3sbDhbH9Cz0tuDiY8C3ctxq1tqvaCgkFb8cCA/edit?usp=sharing"",""อุบลราชธานี!J455"")"),1273.0)</f>
        <v>1273</v>
      </c>
      <c r="K560" s="258">
        <f t="shared" ref="K560:K564" si="122">IF(I560&gt;0,J560*100/I560,0)</f>
        <v>25.46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IFERROR(__xludf.DUMMYFUNCTION("IMPORTRANGE(""https://docs.google.com/spreadsheets/d/1XL5vhW3sbDhbH9Cz0tuDiY8C3ctxq1tqvaCgkFb8cCA/edit?usp=sharing"",""อุบลราชธานี!I456"")"),0.0)</f>
        <v>0</v>
      </c>
      <c r="J561" s="238">
        <f>IFERROR(__xludf.DUMMYFUNCTION("IMPORTRANGE(""https://docs.google.com/spreadsheets/d/1XL5vhW3sbDhbH9Cz0tuDiY8C3ctxq1tqvaCgkFb8cCA/edit?usp=sharing"",""อุบลราชธานี!J456"")"),82.0)</f>
        <v>82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IFERROR(__xludf.DUMMYFUNCTION("IMPORTRANGE(""https://docs.google.com/spreadsheets/d/1XL5vhW3sbDhbH9Cz0tuDiY8C3ctxq1tqvaCgkFb8cCA/edit?usp=sharing"",""อุบลราชธานี!I457"")"),"")</f>
        <v/>
      </c>
      <c r="J562" s="238" t="str">
        <f>IFERROR(__xludf.DUMMYFUNCTION("IMPORTRANGE(""https://docs.google.com/spreadsheets/d/1XL5vhW3sbDhbH9Cz0tuDiY8C3ctxq1tqvaCgkFb8cCA/edit?usp=sharing"",""อุบลราชธานี!J457"")"),"")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IFERROR(__xludf.DUMMYFUNCTION("IMPORTRANGE(""https://docs.google.com/spreadsheets/d/1XL5vhW3sbDhbH9Cz0tuDiY8C3ctxq1tqvaCgkFb8cCA/edit?usp=sharing"",""อุบลราชธานี!I458"")"),"")</f>
        <v/>
      </c>
      <c r="J563" s="222" t="str">
        <f>IFERROR(__xludf.DUMMYFUNCTION("IMPORTRANGE(""https://docs.google.com/spreadsheets/d/1XL5vhW3sbDhbH9Cz0tuDiY8C3ctxq1tqvaCgkFb8cCA/edit?usp=sharing"",""อุบลราชธานี!J458"")"),"")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IFERROR(__xludf.DUMMYFUNCTION("IMPORTRANGE(""https://docs.google.com/spreadsheets/d/1XL5vhW3sbDhbH9Cz0tuDiY8C3ctxq1tqvaCgkFb8cCA/edit?usp=sharing"",""อุบลราชธานี!I459"")"),7200.0)</f>
        <v>7200</v>
      </c>
      <c r="J564" s="404">
        <f>IFERROR(__xludf.DUMMYFUNCTION("IMPORTRANGE(""https://docs.google.com/spreadsheets/d/1XL5vhW3sbDhbH9Cz0tuDiY8C3ctxq1tqvaCgkFb8cCA/edit?usp=sharing"",""อุบลราชธานี!J459"")"),3557.0)</f>
        <v>3557</v>
      </c>
      <c r="K564" s="405">
        <f t="shared" si="122"/>
        <v>49.40277778</v>
      </c>
      <c r="L564" s="406">
        <f>IFERROR(__xludf.DUMMYFUNCTION("IMPORTRANGE(""https://docs.google.com/spreadsheets/d/1XL5vhW3sbDhbH9Cz0tuDiY8C3ctxq1tqvaCgkFb8cCA/edit?usp=sharing"",""อุบลราชธานี!L459"")"),197200.0)</f>
        <v>197200</v>
      </c>
      <c r="M564" s="406"/>
      <c r="N564" s="406">
        <f>IFERROR(__xludf.DUMMYFUNCTION("IMPORTRANGE(""https://docs.google.com/spreadsheets/d/1XL5vhW3sbDhbH9Cz0tuDiY8C3ctxq1tqvaCgkFb8cCA/edit?usp=sharing"",""อุบลราชธานี!M459"")"),42568.0)</f>
        <v>42568</v>
      </c>
      <c r="O564" s="406">
        <f t="shared" ref="O564:O568" si="123">+IF(L564&gt;0,N564*100/L564,0)</f>
        <v>21.5862069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IFERROR(__xludf.DUMMYFUNCTION("IMPORTRANGE(""https://docs.google.com/spreadsheets/d/1XL5vhW3sbDhbH9Cz0tuDiY8C3ctxq1tqvaCgkFb8cCA/edit?usp=sharing"",""อุบลราชธานี!L460"")"),0.0)</f>
        <v>0</v>
      </c>
      <c r="M565" s="197"/>
      <c r="N565" s="203">
        <f>IFERROR(__xludf.DUMMYFUNCTION("IMPORTRANGE(""https://docs.google.com/spreadsheets/d/1XL5vhW3sbDhbH9Cz0tuDiY8C3ctxq1tqvaCgkFb8cCA/edit?usp=sharing"",""อุบลราชธานี!M460"")"),0.0)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IFERROR(__xludf.DUMMYFUNCTION("IMPORTRANGE(""https://docs.google.com/spreadsheets/d/1XL5vhW3sbDhbH9Cz0tuDiY8C3ctxq1tqvaCgkFb8cCA/edit?usp=sharing"",""อุบลราชธานี!L461"")"),197200.0)</f>
        <v>197200</v>
      </c>
      <c r="M566" s="198"/>
      <c r="N566" s="203">
        <f>IFERROR(__xludf.DUMMYFUNCTION("IMPORTRANGE(""https://docs.google.com/spreadsheets/d/1XL5vhW3sbDhbH9Cz0tuDiY8C3ctxq1tqvaCgkFb8cCA/edit?usp=sharing"",""อุบลราชธานี!M461"")"),42568.0)</f>
        <v>42568</v>
      </c>
      <c r="O566" s="203">
        <f t="shared" si="123"/>
        <v>21.5862069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IFERROR(__xludf.DUMMYFUNCTION("IMPORTRANGE(""https://docs.google.com/spreadsheets/d/1XL5vhW3sbDhbH9Cz0tuDiY8C3ctxq1tqvaCgkFb8cCA/edit?usp=sharing"",""อุบลราชธานี!L462"")"),0.0)</f>
        <v>0</v>
      </c>
      <c r="M567" s="203"/>
      <c r="N567" s="203">
        <f>IFERROR(__xludf.DUMMYFUNCTION("IMPORTRANGE(""https://docs.google.com/spreadsheets/d/1XL5vhW3sbDhbH9Cz0tuDiY8C3ctxq1tqvaCgkFb8cCA/edit?usp=sharing"",""อุบลราชธานี!M462"")"),0.0)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IFERROR(__xludf.DUMMYFUNCTION("IMPORTRANGE(""https://docs.google.com/spreadsheets/d/1XL5vhW3sbDhbH9Cz0tuDiY8C3ctxq1tqvaCgkFb8cCA/edit?usp=sharing"",""อุบลราชธานี!L463"")"),197200.0)</f>
        <v>197200</v>
      </c>
      <c r="M568" s="203"/>
      <c r="N568" s="203">
        <f>IFERROR(__xludf.DUMMYFUNCTION("IMPORTRANGE(""https://docs.google.com/spreadsheets/d/1XL5vhW3sbDhbH9Cz0tuDiY8C3ctxq1tqvaCgkFb8cCA/edit?usp=sharing"",""อุบลราชธานี!M463"")"),42568.0)</f>
        <v>42568</v>
      </c>
      <c r="O568" s="203">
        <f t="shared" si="123"/>
        <v>21.5862069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IFERROR(__xludf.DUMMYFUNCTION("IMPORTRANGE(""https://docs.google.com/spreadsheets/d/1XL5vhW3sbDhbH9Cz0tuDiY8C3ctxq1tqvaCgkFb8cCA/edit?usp=sharing"",""อุบลราชธานี!M464"")"),0.0)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IFERROR(__xludf.DUMMYFUNCTION("IMPORTRANGE(""https://docs.google.com/spreadsheets/d/1XL5vhW3sbDhbH9Cz0tuDiY8C3ctxq1tqvaCgkFb8cCA/edit?usp=sharing"",""อุบลราชธานี!M465"")"),0.0)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IFERROR(__xludf.DUMMYFUNCTION("IMPORTRANGE(""https://docs.google.com/spreadsheets/d/1XL5vhW3sbDhbH9Cz0tuDiY8C3ctxq1tqvaCgkFb8cCA/edit?usp=sharing"",""อุบลราชธานี!M466"")"),42568.0)</f>
        <v>42568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IFERROR(__xludf.DUMMYFUNCTION("IMPORTRANGE(""https://docs.google.com/spreadsheets/d/1XL5vhW3sbDhbH9Cz0tuDiY8C3ctxq1tqvaCgkFb8cCA/edit?usp=sharing"",""อุบลราชธานี!M467"")"),0.0)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IFERROR(__xludf.DUMMYFUNCTION("IMPORTRANGE(""https://docs.google.com/spreadsheets/d/1XL5vhW3sbDhbH9Cz0tuDiY8C3ctxq1tqvaCgkFb8cCA/edit?usp=sharing"",""อุบลราชธานี!I468"")"),7200.0)</f>
        <v>7200</v>
      </c>
      <c r="J573" s="453">
        <f>IFERROR(__xludf.DUMMYFUNCTION("IMPORTRANGE(""https://docs.google.com/spreadsheets/d/1XL5vhW3sbDhbH9Cz0tuDiY8C3ctxq1tqvaCgkFb8cCA/edit?usp=sharing"",""อุบลราชธานี!J468"")"),3557.0)</f>
        <v>3557</v>
      </c>
      <c r="K573" s="236">
        <f>IF(I573&gt;0,J573*100/I573,0)</f>
        <v>49.40277778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IFERROR(__xludf.DUMMYFUNCTION("IMPORTRANGE(""https://docs.google.com/spreadsheets/d/1XL5vhW3sbDhbH9Cz0tuDiY8C3ctxq1tqvaCgkFb8cCA/edit?usp=sharing"",""อุบลราชธานี!I470"")"),0.0)</f>
        <v>0</v>
      </c>
      <c r="J575" s="232">
        <f>IFERROR(__xludf.DUMMYFUNCTION("IMPORTRANGE(""https://docs.google.com/spreadsheets/d/1XL5vhW3sbDhbH9Cz0tuDiY8C3ctxq1tqvaCgkFb8cCA/edit?usp=sharing"",""อุบลราชธานี!J470"")"),1.0)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IFERROR(__xludf.DUMMYFUNCTION("IMPORTRANGE(""https://docs.google.com/spreadsheets/d/1XL5vhW3sbDhbH9Cz0tuDiY8C3ctxq1tqvaCgkFb8cCA/edit?usp=sharing"",""อุบลราชธานี!I471"")"),0.0)</f>
        <v>0</v>
      </c>
      <c r="J576" s="232">
        <f>IFERROR(__xludf.DUMMYFUNCTION("IMPORTRANGE(""https://docs.google.com/spreadsheets/d/1XL5vhW3sbDhbH9Cz0tuDiY8C3ctxq1tqvaCgkFb8cCA/edit?usp=sharing"",""อุบลราชธานี!J471"")"),212.0)</f>
        <v>212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IFERROR(__xludf.DUMMYFUNCTION("IMPORTRANGE(""https://docs.google.com/spreadsheets/d/1XL5vhW3sbDhbH9Cz0tuDiY8C3ctxq1tqvaCgkFb8cCA/edit?usp=sharing"",""อุบลราชธานี!I472"")"),0.0)</f>
        <v>0</v>
      </c>
      <c r="J577" s="223">
        <f>IFERROR(__xludf.DUMMYFUNCTION("IMPORTRANGE(""https://docs.google.com/spreadsheets/d/1XL5vhW3sbDhbH9Cz0tuDiY8C3ctxq1tqvaCgkFb8cCA/edit?usp=sharing"",""อุบลราชธานี!J472"")"),3268.0)</f>
        <v>3268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IFERROR(__xludf.DUMMYFUNCTION("IMPORTRANGE(""https://docs.google.com/spreadsheets/d/1XL5vhW3sbDhbH9Cz0tuDiY8C3ctxq1tqvaCgkFb8cCA/edit?usp=sharing"",""อุบลราชธานี!I473"")"),0.0)</f>
        <v>0</v>
      </c>
      <c r="J578" s="232">
        <f>IFERROR(__xludf.DUMMYFUNCTION("IMPORTRANGE(""https://docs.google.com/spreadsheets/d/1XL5vhW3sbDhbH9Cz0tuDiY8C3ctxq1tqvaCgkFb8cCA/edit?usp=sharing"",""อุบลราชธานี!J473"")"),4.0)</f>
        <v>4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IFERROR(__xludf.DUMMYFUNCTION("IMPORTRANGE(""https://docs.google.com/spreadsheets/d/1XL5vhW3sbDhbH9Cz0tuDiY8C3ctxq1tqvaCgkFb8cCA/edit?usp=sharing"",""อุบลราชธานี!I474"")"),0.0)</f>
        <v>0</v>
      </c>
      <c r="J579" s="232">
        <f>IFERROR(__xludf.DUMMYFUNCTION("IMPORTRANGE(""https://docs.google.com/spreadsheets/d/1XL5vhW3sbDhbH9Cz0tuDiY8C3ctxq1tqvaCgkFb8cCA/edit?usp=sharing"",""อุบลราชธานี!J474"")"),73.0)</f>
        <v>73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IFERROR(__xludf.DUMMYFUNCTION("IMPORTRANGE(""https://docs.google.com/spreadsheets/d/1XL5vhW3sbDhbH9Cz0tuDiY8C3ctxq1tqvaCgkFb8cCA/edit?usp=sharing"",""อุบลราชธานี!I475"")"),100.0)</f>
        <v>100</v>
      </c>
      <c r="J580" s="404">
        <f>IFERROR(__xludf.DUMMYFUNCTION("IMPORTRANGE(""https://docs.google.com/spreadsheets/d/1XL5vhW3sbDhbH9Cz0tuDiY8C3ctxq1tqvaCgkFb8cCA/edit?usp=sharing"",""อุบลราชธานี!J475"")"),0.0)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IFERROR(__xludf.DUMMYFUNCTION("IMPORTRANGE(""https://docs.google.com/spreadsheets/d/1XL5vhW3sbDhbH9Cz0tuDiY8C3ctxq1tqvaCgkFb8cCA/edit?usp=sharing"",""อุบลราชธานี!L475"")"),348100.0)</f>
        <v>348100</v>
      </c>
      <c r="M580" s="406"/>
      <c r="N580" s="406">
        <f>IFERROR(__xludf.DUMMYFUNCTION("IMPORTRANGE(""https://docs.google.com/spreadsheets/d/1XL5vhW3sbDhbH9Cz0tuDiY8C3ctxq1tqvaCgkFb8cCA/edit?usp=sharing"",""อุบลราชธานี!M475"")"),50738.0)</f>
        <v>50738</v>
      </c>
      <c r="O580" s="406">
        <f t="shared" ref="O580:O584" si="125">+IF(L580&gt;0,N580*100/L580,0)</f>
        <v>14.57569664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IFERROR(__xludf.DUMMYFUNCTION("IMPORTRANGE(""https://docs.google.com/spreadsheets/d/1XL5vhW3sbDhbH9Cz0tuDiY8C3ctxq1tqvaCgkFb8cCA/edit?usp=sharing"",""อุบลราชธานี!L476"")"),0.0)</f>
        <v>0</v>
      </c>
      <c r="M581" s="197"/>
      <c r="N581" s="203">
        <f>IFERROR(__xludf.DUMMYFUNCTION("IMPORTRANGE(""https://docs.google.com/spreadsheets/d/1XL5vhW3sbDhbH9Cz0tuDiY8C3ctxq1tqvaCgkFb8cCA/edit?usp=sharing"",""อุบลราชธานี!M476"")"),0.0)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IFERROR(__xludf.DUMMYFUNCTION("IMPORTRANGE(""https://docs.google.com/spreadsheets/d/1XL5vhW3sbDhbH9Cz0tuDiY8C3ctxq1tqvaCgkFb8cCA/edit?usp=sharing"",""อุบลราชธานี!L477"")"),348100.0)</f>
        <v>348100</v>
      </c>
      <c r="M582" s="198"/>
      <c r="N582" s="203">
        <f>IFERROR(__xludf.DUMMYFUNCTION("IMPORTRANGE(""https://docs.google.com/spreadsheets/d/1XL5vhW3sbDhbH9Cz0tuDiY8C3ctxq1tqvaCgkFb8cCA/edit?usp=sharing"",""อุบลราชธานี!M477"")"),50738.0)</f>
        <v>50738</v>
      </c>
      <c r="O582" s="203">
        <f t="shared" si="125"/>
        <v>14.57569664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IFERROR(__xludf.DUMMYFUNCTION("IMPORTRANGE(""https://docs.google.com/spreadsheets/d/1XL5vhW3sbDhbH9Cz0tuDiY8C3ctxq1tqvaCgkFb8cCA/edit?usp=sharing"",""อุบลราชธานี!L478"")"),0.0)</f>
        <v>0</v>
      </c>
      <c r="M583" s="203"/>
      <c r="N583" s="203">
        <f>IFERROR(__xludf.DUMMYFUNCTION("IMPORTRANGE(""https://docs.google.com/spreadsheets/d/1XL5vhW3sbDhbH9Cz0tuDiY8C3ctxq1tqvaCgkFb8cCA/edit?usp=sharing"",""อุบลราชธานี!M478"")"),0.0)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IFERROR(__xludf.DUMMYFUNCTION("IMPORTRANGE(""https://docs.google.com/spreadsheets/d/1XL5vhW3sbDhbH9Cz0tuDiY8C3ctxq1tqvaCgkFb8cCA/edit?usp=sharing"",""อุบลราชธานี!L479"")"),348100.0)</f>
        <v>348100</v>
      </c>
      <c r="M584" s="203"/>
      <c r="N584" s="203">
        <f>IFERROR(__xludf.DUMMYFUNCTION("IMPORTRANGE(""https://docs.google.com/spreadsheets/d/1XL5vhW3sbDhbH9Cz0tuDiY8C3ctxq1tqvaCgkFb8cCA/edit?usp=sharing"",""อุบลราชธานี!M479"")"),50738.0)</f>
        <v>50738</v>
      </c>
      <c r="O584" s="203">
        <f t="shared" si="125"/>
        <v>14.57569664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IFERROR(__xludf.DUMMYFUNCTION("IMPORTRANGE(""https://docs.google.com/spreadsheets/d/1XL5vhW3sbDhbH9Cz0tuDiY8C3ctxq1tqvaCgkFb8cCA/edit?usp=sharing"",""อุบลราชธานี!M480"")"),0.0)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IFERROR(__xludf.DUMMYFUNCTION("IMPORTRANGE(""https://docs.google.com/spreadsheets/d/1XL5vhW3sbDhbH9Cz0tuDiY8C3ctxq1tqvaCgkFb8cCA/edit?usp=sharing"",""อุบลราชธานี!M481"")"),0.0)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IFERROR(__xludf.DUMMYFUNCTION("IMPORTRANGE(""https://docs.google.com/spreadsheets/d/1XL5vhW3sbDhbH9Cz0tuDiY8C3ctxq1tqvaCgkFb8cCA/edit?usp=sharing"",""อุบลราชธานี!M482"")"),42568.0)</f>
        <v>42568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IFERROR(__xludf.DUMMYFUNCTION("IMPORTRANGE(""https://docs.google.com/spreadsheets/d/1XL5vhW3sbDhbH9Cz0tuDiY8C3ctxq1tqvaCgkFb8cCA/edit?usp=sharing"",""อุบลราชธานี!M483"")"),8170.0)</f>
        <v>8170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IFERROR(__xludf.DUMMYFUNCTION("IMPORTRANGE(""https://docs.google.com/spreadsheets/d/1XL5vhW3sbDhbH9Cz0tuDiY8C3ctxq1tqvaCgkFb8cCA/edit?usp=sharing"",""อุบลราชธานี!I484"")"),100.0)</f>
        <v>100</v>
      </c>
      <c r="J589" s="222">
        <f>IFERROR(__xludf.DUMMYFUNCTION("IMPORTRANGE(""https://docs.google.com/spreadsheets/d/1XL5vhW3sbDhbH9Cz0tuDiY8C3ctxq1tqvaCgkFb8cCA/edit?usp=sharing"",""อุบลราชธานี!J484"")"),7.0)</f>
        <v>7</v>
      </c>
      <c r="K589" s="196">
        <f t="shared" ref="K589:K596" si="126">IF(I589&gt;0,J589*100/I589,0)</f>
        <v>7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IFERROR(__xludf.DUMMYFUNCTION("IMPORTRANGE(""https://docs.google.com/spreadsheets/d/1XL5vhW3sbDhbH9Cz0tuDiY8C3ctxq1tqvaCgkFb8cCA/edit?usp=sharing"",""อุบลราชธานี!I485"")"),0.0)</f>
        <v>0</v>
      </c>
      <c r="J590" s="222">
        <f>IFERROR(__xludf.DUMMYFUNCTION("IMPORTRANGE(""https://docs.google.com/spreadsheets/d/1XL5vhW3sbDhbH9Cz0tuDiY8C3ctxq1tqvaCgkFb8cCA/edit?usp=sharing"",""อุบลราชธานี!J485"")"),3.65)</f>
        <v>3.65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IFERROR(__xludf.DUMMYFUNCTION("IMPORTRANGE(""https://docs.google.com/spreadsheets/d/1XL5vhW3sbDhbH9Cz0tuDiY8C3ctxq1tqvaCgkFb8cCA/edit?usp=sharing"",""อุบลราชธานี!I486"")"),100.0)</f>
        <v>100</v>
      </c>
      <c r="J591" s="222">
        <f>IFERROR(__xludf.DUMMYFUNCTION("IMPORTRANGE(""https://docs.google.com/spreadsheets/d/1XL5vhW3sbDhbH9Cz0tuDiY8C3ctxq1tqvaCgkFb8cCA/edit?usp=sharing"",""อุบลราชธานี!J486"")"),0.0)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IFERROR(__xludf.DUMMYFUNCTION("IMPORTRANGE(""https://docs.google.com/spreadsheets/d/1XL5vhW3sbDhbH9Cz0tuDiY8C3ctxq1tqvaCgkFb8cCA/edit?usp=sharing"",""อุบลราชธานี!I487"")"),0.0)</f>
        <v>0</v>
      </c>
      <c r="J592" s="222">
        <f>IFERROR(__xludf.DUMMYFUNCTION("IMPORTRANGE(""https://docs.google.com/spreadsheets/d/1XL5vhW3sbDhbH9Cz0tuDiY8C3ctxq1tqvaCgkFb8cCA/edit?usp=sharing"",""อุบลราชธานี!J487"")"),0.0)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IFERROR(__xludf.DUMMYFUNCTION("IMPORTRANGE(""https://docs.google.com/spreadsheets/d/1XL5vhW3sbDhbH9Cz0tuDiY8C3ctxq1tqvaCgkFb8cCA/edit?usp=sharing"",""อุบลราชธานี!I488"")"),100.0)</f>
        <v>100</v>
      </c>
      <c r="J593" s="222">
        <f>IFERROR(__xludf.DUMMYFUNCTION("IMPORTRANGE(""https://docs.google.com/spreadsheets/d/1XL5vhW3sbDhbH9Cz0tuDiY8C3ctxq1tqvaCgkFb8cCA/edit?usp=sharing"",""อุบลราชธานี!J488"")"),0.0)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IFERROR(__xludf.DUMMYFUNCTION("IMPORTRANGE(""https://docs.google.com/spreadsheets/d/1XL5vhW3sbDhbH9Cz0tuDiY8C3ctxq1tqvaCgkFb8cCA/edit?usp=sharing"",""อุบลราชธานี!I489"")"),0.0)</f>
        <v>0</v>
      </c>
      <c r="J594" s="222">
        <f>IFERROR(__xludf.DUMMYFUNCTION("IMPORTRANGE(""https://docs.google.com/spreadsheets/d/1XL5vhW3sbDhbH9Cz0tuDiY8C3ctxq1tqvaCgkFb8cCA/edit?usp=sharing"",""อุบลราชธานี!J489"")"),0.0)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IFERROR(__xludf.DUMMYFUNCTION("IMPORTRANGE(""https://docs.google.com/spreadsheets/d/1XL5vhW3sbDhbH9Cz0tuDiY8C3ctxq1tqvaCgkFb8cCA/edit?usp=sharing"",""อุบลราชธานี!I490"")"),100.0)</f>
        <v>100</v>
      </c>
      <c r="J595" s="222">
        <f>IFERROR(__xludf.DUMMYFUNCTION("IMPORTRANGE(""https://docs.google.com/spreadsheets/d/1XL5vhW3sbDhbH9Cz0tuDiY8C3ctxq1tqvaCgkFb8cCA/edit?usp=sharing"",""อุบลราชธานี!J490"")"),0.0)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IFERROR(__xludf.DUMMYFUNCTION("IMPORTRANGE(""https://docs.google.com/spreadsheets/d/1XL5vhW3sbDhbH9Cz0tuDiY8C3ctxq1tqvaCgkFb8cCA/edit?usp=sharing"",""อุบลราชธานี!I491"")"),0.0)</f>
        <v>0</v>
      </c>
      <c r="J596" s="275">
        <f>IFERROR(__xludf.DUMMYFUNCTION("IMPORTRANGE(""https://docs.google.com/spreadsheets/d/1XL5vhW3sbDhbH9Cz0tuDiY8C3ctxq1tqvaCgkFb8cCA/edit?usp=sharing"",""อุบลราชธานี!J491"")"),0.0)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IFERROR(__xludf.DUMMYFUNCTION("IMPORTRANGE(""https://docs.google.com/spreadsheets/d/1XL5vhW3sbDhbH9Cz0tuDiY8C3ctxq1tqvaCgkFb8cCA/edit?usp=sharing"",""อุบลราชธานี!I492"")"),50.0)</f>
        <v>50</v>
      </c>
      <c r="J597" s="520">
        <f>IFERROR(__xludf.DUMMYFUNCTION("IMPORTRANGE(""https://docs.google.com/spreadsheets/d/1XL5vhW3sbDhbH9Cz0tuDiY8C3ctxq1tqvaCgkFb8cCA/edit?usp=sharing"",""อุบลราชธานี!J492"")"),0.0)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IFERROR(__xludf.DUMMYFUNCTION("IMPORTRANGE(""https://docs.google.com/spreadsheets/d/1XL5vhW3sbDhbH9Cz0tuDiY8C3ctxq1tqvaCgkFb8cCA/edit?usp=sharing"",""อุบลราชธานี!L492"")"),4550.0)</f>
        <v>4550</v>
      </c>
      <c r="M597" s="445"/>
      <c r="N597" s="445">
        <f>IFERROR(__xludf.DUMMYFUNCTION("IMPORTRANGE(""https://docs.google.com/spreadsheets/d/1XL5vhW3sbDhbH9Cz0tuDiY8C3ctxq1tqvaCgkFb8cCA/edit?usp=sharing"",""อุบลราชธานี!M492"")"),720.0)</f>
        <v>720</v>
      </c>
      <c r="O597" s="445">
        <f t="shared" ref="O597:O601" si="127">+IF(L597&gt;0,N597*100/L597,0)</f>
        <v>15.82417582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IFERROR(__xludf.DUMMYFUNCTION("IMPORTRANGE(""https://docs.google.com/spreadsheets/d/1XL5vhW3sbDhbH9Cz0tuDiY8C3ctxq1tqvaCgkFb8cCA/edit?usp=sharing"",""อุบลราชธานี!L493"")"),0.0)</f>
        <v>0</v>
      </c>
      <c r="M598" s="197"/>
      <c r="N598" s="203">
        <f>IFERROR(__xludf.DUMMYFUNCTION("IMPORTRANGE(""https://docs.google.com/spreadsheets/d/1XL5vhW3sbDhbH9Cz0tuDiY8C3ctxq1tqvaCgkFb8cCA/edit?usp=sharing"",""อุบลราชธานี!M493"")"),0.0)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IFERROR(__xludf.DUMMYFUNCTION("IMPORTRANGE(""https://docs.google.com/spreadsheets/d/1XL5vhW3sbDhbH9Cz0tuDiY8C3ctxq1tqvaCgkFb8cCA/edit?usp=sharing"",""อุบลราชธานี!L494"")"),4550.0)</f>
        <v>4550</v>
      </c>
      <c r="M599" s="198"/>
      <c r="N599" s="203">
        <f>IFERROR(__xludf.DUMMYFUNCTION("IMPORTRANGE(""https://docs.google.com/spreadsheets/d/1XL5vhW3sbDhbH9Cz0tuDiY8C3ctxq1tqvaCgkFb8cCA/edit?usp=sharing"",""อุบลราชธานี!M494"")"),720.0)</f>
        <v>720</v>
      </c>
      <c r="O599" s="203">
        <f t="shared" si="127"/>
        <v>15.82417582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IFERROR(__xludf.DUMMYFUNCTION("IMPORTRANGE(""https://docs.google.com/spreadsheets/d/1XL5vhW3sbDhbH9Cz0tuDiY8C3ctxq1tqvaCgkFb8cCA/edit?usp=sharing"",""อุบลราชธานี!L495"")"),0.0)</f>
        <v>0</v>
      </c>
      <c r="M600" s="203"/>
      <c r="N600" s="203">
        <f>IFERROR(__xludf.DUMMYFUNCTION("IMPORTRANGE(""https://docs.google.com/spreadsheets/d/1XL5vhW3sbDhbH9Cz0tuDiY8C3ctxq1tqvaCgkFb8cCA/edit?usp=sharing"",""อุบลราชธานี!M495"")"),0.0)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IFERROR(__xludf.DUMMYFUNCTION("IMPORTRANGE(""https://docs.google.com/spreadsheets/d/1XL5vhW3sbDhbH9Cz0tuDiY8C3ctxq1tqvaCgkFb8cCA/edit?usp=sharing"",""อุบลราชธานี!L496"")"),4550.0)</f>
        <v>4550</v>
      </c>
      <c r="M601" s="203"/>
      <c r="N601" s="203">
        <f>IFERROR(__xludf.DUMMYFUNCTION("IMPORTRANGE(""https://docs.google.com/spreadsheets/d/1XL5vhW3sbDhbH9Cz0tuDiY8C3ctxq1tqvaCgkFb8cCA/edit?usp=sharing"",""อุบลราชธานี!M496"")"),720.0)</f>
        <v>720</v>
      </c>
      <c r="O601" s="203">
        <f t="shared" si="127"/>
        <v>15.82417582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IFERROR(__xludf.DUMMYFUNCTION("IMPORTRANGE(""https://docs.google.com/spreadsheets/d/1XL5vhW3sbDhbH9Cz0tuDiY8C3ctxq1tqvaCgkFb8cCA/edit?usp=sharing"",""อุบลราชธานี!M497"")"),0.0)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IFERROR(__xludf.DUMMYFUNCTION("IMPORTRANGE(""https://docs.google.com/spreadsheets/d/1XL5vhW3sbDhbH9Cz0tuDiY8C3ctxq1tqvaCgkFb8cCA/edit?usp=sharing"",""อุบลราชธานี!M498"")"),0.0)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IFERROR(__xludf.DUMMYFUNCTION("IMPORTRANGE(""https://docs.google.com/spreadsheets/d/1XL5vhW3sbDhbH9Cz0tuDiY8C3ctxq1tqvaCgkFb8cCA/edit?usp=sharing"",""อุบลราชธานี!M499"")"),0.0)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IFERROR(__xludf.DUMMYFUNCTION("IMPORTRANGE(""https://docs.google.com/spreadsheets/d/1XL5vhW3sbDhbH9Cz0tuDiY8C3ctxq1tqvaCgkFb8cCA/edit?usp=sharing"",""อุบลราชธานี!M500"")"),720.0)</f>
        <v>720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IFERROR(__xludf.DUMMYFUNCTION("IMPORTRANGE(""https://docs.google.com/spreadsheets/d/1XL5vhW3sbDhbH9Cz0tuDiY8C3ctxq1tqvaCgkFb8cCA/edit?usp=sharing"",""อุบลราชธานี!J502"")"),0.0)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IFERROR(__xludf.DUMMYFUNCTION("IMPORTRANGE(""https://docs.google.com/spreadsheets/d/1XL5vhW3sbDhbH9Cz0tuDiY8C3ctxq1tqvaCgkFb8cCA/edit?usp=sharing"",""อุบลราชธานี!J503"")"),1.0)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IFERROR(__xludf.DUMMYFUNCTION("IMPORTRANGE(""https://docs.google.com/spreadsheets/d/1XL5vhW3sbDhbH9Cz0tuDiY8C3ctxq1tqvaCgkFb8cCA/edit?usp=sharing"",""อุบลราชธานี!J166"")"),0.0)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IFERROR(__xludf.DUMMYFUNCTION("IMPORTRANGE(""https://docs.google.com/spreadsheets/d/1XL5vhW3sbDhbH9Cz0tuDiY8C3ctxq1tqvaCgkFb8cCA/edit?usp=sharing"",""อุบลราชธานี!J166"")"),0.0)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IFERROR(__xludf.DUMMYFUNCTION("IMPORTRANGE(""https://docs.google.com/spreadsheets/d/1XL5vhW3sbDhbH9Cz0tuDiY8C3ctxq1tqvaCgkFb8cCA/edit?usp=sharing"",""อุบลราชธานี!I506"")"),50.0)</f>
        <v>50</v>
      </c>
      <c r="J611" s="195">
        <f>IFERROR(__xludf.DUMMYFUNCTION("IMPORTRANGE(""https://docs.google.com/spreadsheets/d/1XL5vhW3sbDhbH9Cz0tuDiY8C3ctxq1tqvaCgkFb8cCA/edit?usp=sharing"",""อุบลราชธานี!J506"")"),0.0)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IFERROR(__xludf.DUMMYFUNCTION("IMPORTRANGE(""https://docs.google.com/spreadsheets/d/1XL5vhW3sbDhbH9Cz0tuDiY8C3ctxq1tqvaCgkFb8cCA/edit?usp=sharing"",""อุบลราชธานี!I507"")"),0.0)</f>
        <v>0</v>
      </c>
      <c r="J612" s="232">
        <f>IFERROR(__xludf.DUMMYFUNCTION("IMPORTRANGE(""https://docs.google.com/spreadsheets/d/1XL5vhW3sbDhbH9Cz0tuDiY8C3ctxq1tqvaCgkFb8cCA/edit?usp=sharing"",""อุบลราชธานี!J507"")"),96.0)</f>
        <v>96</v>
      </c>
      <c r="K612" s="196">
        <f t="shared" si="128"/>
        <v>192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IFERROR(__xludf.DUMMYFUNCTION("IMPORTRANGE(""https://docs.google.com/spreadsheets/d/1XL5vhW3sbDhbH9Cz0tuDiY8C3ctxq1tqvaCgkFb8cCA/edit?usp=sharing"",""อุบลราชธานี!I508"")"),0.0)</f>
        <v>0</v>
      </c>
      <c r="J613" s="232">
        <f>IFERROR(__xludf.DUMMYFUNCTION("IMPORTRANGE(""https://docs.google.com/spreadsheets/d/1XL5vhW3sbDhbH9Cz0tuDiY8C3ctxq1tqvaCgkFb8cCA/edit?usp=sharing"",""อุบลราชธานี!J508"")"),96.0)</f>
        <v>96</v>
      </c>
      <c r="K613" s="196">
        <f t="shared" si="128"/>
        <v>192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IFERROR(__xludf.DUMMYFUNCTION("IMPORTRANGE(""https://docs.google.com/spreadsheets/d/1XL5vhW3sbDhbH9Cz0tuDiY8C3ctxq1tqvaCgkFb8cCA/edit?usp=sharing"",""อุบลราชธานี!I509"")"),0.0)</f>
        <v>0</v>
      </c>
      <c r="J614" s="232">
        <f>IFERROR(__xludf.DUMMYFUNCTION("IMPORTRANGE(""https://docs.google.com/spreadsheets/d/1XL5vhW3sbDhbH9Cz0tuDiY8C3ctxq1tqvaCgkFb8cCA/edit?usp=sharing"",""อุบลราชธานี!J509"")"),0.0)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IFERROR(__xludf.DUMMYFUNCTION("IMPORTRANGE(""https://docs.google.com/spreadsheets/d/1XL5vhW3sbDhbH9Cz0tuDiY8C3ctxq1tqvaCgkFb8cCA/edit?usp=sharing"",""อุบลราชธานี!I510"")"),0.0)</f>
        <v>0</v>
      </c>
      <c r="J615" s="232">
        <f>IFERROR(__xludf.DUMMYFUNCTION("IMPORTRANGE(""https://docs.google.com/spreadsheets/d/1XL5vhW3sbDhbH9Cz0tuDiY8C3ctxq1tqvaCgkFb8cCA/edit?usp=sharing"",""อุบลราชธานี!J510"")"),0.0)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IFERROR(__xludf.DUMMYFUNCTION("IMPORTRANGE(""https://docs.google.com/spreadsheets/d/1XL5vhW3sbDhbH9Cz0tuDiY8C3ctxq1tqvaCgkFb8cCA/edit?usp=sharing"",""อุบลราชธานี!I511"")"),0.0)</f>
        <v>0</v>
      </c>
      <c r="J616" s="232">
        <f>IFERROR(__xludf.DUMMYFUNCTION("IMPORTRANGE(""https://docs.google.com/spreadsheets/d/1XL5vhW3sbDhbH9Cz0tuDiY8C3ctxq1tqvaCgkFb8cCA/edit?usp=sharing"",""อุบลราชธานี!J511"")"),0.0)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IFERROR(__xludf.DUMMYFUNCTION("IMPORTRANGE(""https://docs.google.com/spreadsheets/d/1XL5vhW3sbDhbH9Cz0tuDiY8C3ctxq1tqvaCgkFb8cCA/edit?usp=sharing"",""อุบลราชธานี!I512"")"),0.0)</f>
        <v>0</v>
      </c>
      <c r="J617" s="222">
        <f>IFERROR(__xludf.DUMMYFUNCTION("IMPORTRANGE(""https://docs.google.com/spreadsheets/d/1XL5vhW3sbDhbH9Cz0tuDiY8C3ctxq1tqvaCgkFb8cCA/edit?usp=sharing"",""อุบลราชธานี!J512"")"),0.0)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IFERROR(__xludf.DUMMYFUNCTION("IMPORTRANGE(""https://docs.google.com/spreadsheets/d/1XL5vhW3sbDhbH9Cz0tuDiY8C3ctxq1tqvaCgkFb8cCA/edit?usp=sharing"",""อุบลราชธานี!I513"")"),0.0)</f>
        <v>0</v>
      </c>
      <c r="J618" s="223">
        <f>IFERROR(__xludf.DUMMYFUNCTION("IMPORTRANGE(""https://docs.google.com/spreadsheets/d/1XL5vhW3sbDhbH9Cz0tuDiY8C3ctxq1tqvaCgkFb8cCA/edit?usp=sharing"",""อุบลราชธานี!J513"")"),0.0)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IFERROR(__xludf.DUMMYFUNCTION("IMPORTRANGE(""https://docs.google.com/spreadsheets/d/1XL5vhW3sbDhbH9Cz0tuDiY8C3ctxq1tqvaCgkFb8cCA/edit?usp=sharing"",""อุบลราชธานี!I514"")"),0.0)</f>
        <v>0</v>
      </c>
      <c r="J619" s="223">
        <f>IFERROR(__xludf.DUMMYFUNCTION("IMPORTRANGE(""https://docs.google.com/spreadsheets/d/1XL5vhW3sbDhbH9Cz0tuDiY8C3ctxq1tqvaCgkFb8cCA/edit?usp=sharing"",""อุบลราชธานี!J514"")"),0.0)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IFERROR(__xludf.DUMMYFUNCTION("IMPORTRANGE(""https://docs.google.com/spreadsheets/d/1XL5vhW3sbDhbH9Cz0tuDiY8C3ctxq1tqvaCgkFb8cCA/edit?usp=sharing"",""อุบลราชธานี!I515"")"),0.0)</f>
        <v>0</v>
      </c>
      <c r="J620" s="237">
        <f>IFERROR(__xludf.DUMMYFUNCTION("IMPORTRANGE(""https://docs.google.com/spreadsheets/d/1XL5vhW3sbDhbH9Cz0tuDiY8C3ctxq1tqvaCgkFb8cCA/edit?usp=sharing"",""อุบลราชธานี!J515"")"),0.0)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IFERROR(__xludf.DUMMYFUNCTION("IMPORTRANGE(""https://docs.google.com/spreadsheets/d/1XL5vhW3sbDhbH9Cz0tuDiY8C3ctxq1tqvaCgkFb8cCA/edit?usp=sharing"",""อุบลราชธานี!I516"")"),0.0)</f>
        <v>0</v>
      </c>
      <c r="J621" s="237">
        <f>IFERROR(__xludf.DUMMYFUNCTION("IMPORTRANGE(""https://docs.google.com/spreadsheets/d/1XL5vhW3sbDhbH9Cz0tuDiY8C3ctxq1tqvaCgkFb8cCA/edit?usp=sharing"",""อุบลราชธานี!J516"")"),0.0)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IFERROR(__xludf.DUMMYFUNCTION("IMPORTRANGE(""https://docs.google.com/spreadsheets/d/1XL5vhW3sbDhbH9Cz0tuDiY8C3ctxq1tqvaCgkFb8cCA/edit?usp=sharing"",""อุบลราชธานี!I517"")"),0.0)</f>
        <v>0</v>
      </c>
      <c r="J622" s="223">
        <f>IFERROR(__xludf.DUMMYFUNCTION("IMPORTRANGE(""https://docs.google.com/spreadsheets/d/1XL5vhW3sbDhbH9Cz0tuDiY8C3ctxq1tqvaCgkFb8cCA/edit?usp=sharing"",""อุบลราชธานี!J517"")"),0.0)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IFERROR(__xludf.DUMMYFUNCTION("IMPORTRANGE(""https://docs.google.com/spreadsheets/d/1XL5vhW3sbDhbH9Cz0tuDiY8C3ctxq1tqvaCgkFb8cCA/edit?usp=sharing"",""อุบลราชธานี!I518"")"),0.0)</f>
        <v>0</v>
      </c>
      <c r="J623" s="223">
        <f>IFERROR(__xludf.DUMMYFUNCTION("IMPORTRANGE(""https://docs.google.com/spreadsheets/d/1XL5vhW3sbDhbH9Cz0tuDiY8C3ctxq1tqvaCgkFb8cCA/edit?usp=sharing"",""อุบลราชธานี!J518"")"),0.0)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IFERROR(__xludf.DUMMYFUNCTION("IMPORTRANGE(""https://docs.google.com/spreadsheets/d/1XL5vhW3sbDhbH9Cz0tuDiY8C3ctxq1tqvaCgkFb8cCA/edit?usp=sharing"",""อุบลราชธานี!I519"")"),0.0)</f>
        <v>0</v>
      </c>
      <c r="J624" s="222">
        <f>IFERROR(__xludf.DUMMYFUNCTION("IMPORTRANGE(""https://docs.google.com/spreadsheets/d/1XL5vhW3sbDhbH9Cz0tuDiY8C3ctxq1tqvaCgkFb8cCA/edit?usp=sharing"",""อุบลราชธานี!J519"")"),0.0)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IFERROR(__xludf.DUMMYFUNCTION("IMPORTRANGE(""https://docs.google.com/spreadsheets/d/1XL5vhW3sbDhbH9Cz0tuDiY8C3ctxq1tqvaCgkFb8cCA/edit?usp=sharing"",""อุบลราชธานี!I520"")"),0.0)</f>
        <v>0</v>
      </c>
      <c r="J625" s="223">
        <f>IFERROR(__xludf.DUMMYFUNCTION("IMPORTRANGE(""https://docs.google.com/spreadsheets/d/1XL5vhW3sbDhbH9Cz0tuDiY8C3ctxq1tqvaCgkFb8cCA/edit?usp=sharing"",""อุบลราชธานี!J520"")"),0.0)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IFERROR(__xludf.DUMMYFUNCTION("IMPORTRANGE(""https://docs.google.com/spreadsheets/d/1XL5vhW3sbDhbH9Cz0tuDiY8C3ctxq1tqvaCgkFb8cCA/edit?usp=sharing"",""อุบลราชธานี!I521"")"),0.0)</f>
        <v>0</v>
      </c>
      <c r="J626" s="223">
        <f>IFERROR(__xludf.DUMMYFUNCTION("IMPORTRANGE(""https://docs.google.com/spreadsheets/d/1XL5vhW3sbDhbH9Cz0tuDiY8C3ctxq1tqvaCgkFb8cCA/edit?usp=sharing"",""อุบลราชธานี!J521"")"),0.0)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IFERROR(__xludf.DUMMYFUNCTION("IMPORTRANGE(""https://docs.google.com/spreadsheets/d/1XL5vhW3sbDhbH9Cz0tuDiY8C3ctxq1tqvaCgkFb8cCA/edit?usp=sharing"",""อุบลราชธานี!I523"")"),5295851.07)</f>
        <v>5295851.07</v>
      </c>
      <c r="J628" s="374">
        <f>IFERROR(__xludf.DUMMYFUNCTION("IMPORTRANGE(""https://docs.google.com/spreadsheets/d/1XL5vhW3sbDhbH9Cz0tuDiY8C3ctxq1tqvaCgkFb8cCA/edit?usp=sharing"",""อุบลราชธานี!J523"")"),4032676.62)</f>
        <v>4032676.62</v>
      </c>
      <c r="K628" s="375">
        <f t="shared" ref="K628:K635" si="130">IF(I628&gt;0,J628*100/I628,0)</f>
        <v>76.14784794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IFERROR(__xludf.DUMMYFUNCTION("IMPORTRANGE(""https://docs.google.com/spreadsheets/d/1XL5vhW3sbDhbH9Cz0tuDiY8C3ctxq1tqvaCgkFb8cCA/edit?usp=sharing"",""อุบลราชธานี!I524"")"),285.0)</f>
        <v>285</v>
      </c>
      <c r="J629" s="374">
        <f>IFERROR(__xludf.DUMMYFUNCTION("IMPORTRANGE(""https://docs.google.com/spreadsheets/d/1XL5vhW3sbDhbH9Cz0tuDiY8C3ctxq1tqvaCgkFb8cCA/edit?usp=sharing"",""อุบลราชธานี!J524"")"),175.0)</f>
        <v>175</v>
      </c>
      <c r="K629" s="375">
        <f t="shared" si="130"/>
        <v>61.40350877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IFERROR(__xludf.DUMMYFUNCTION("IMPORTRANGE(""https://docs.google.com/spreadsheets/d/1XL5vhW3sbDhbH9Cz0tuDiY8C3ctxq1tqvaCgkFb8cCA/edit?usp=sharing"",""อุบลราชธานี!I525"")"),4427841.01)</f>
        <v>4427841.01</v>
      </c>
      <c r="J630" s="374">
        <f>IFERROR(__xludf.DUMMYFUNCTION("IMPORTRANGE(""https://docs.google.com/spreadsheets/d/1XL5vhW3sbDhbH9Cz0tuDiY8C3ctxq1tqvaCgkFb8cCA/edit?usp=sharing"",""อุบลราชธานี!J525"")"),254758.65)</f>
        <v>254758.65</v>
      </c>
      <c r="K630" s="375">
        <f t="shared" si="130"/>
        <v>5.753563631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IFERROR(__xludf.DUMMYFUNCTION("IMPORTRANGE(""https://docs.google.com/spreadsheets/d/1XL5vhW3sbDhbH9Cz0tuDiY8C3ctxq1tqvaCgkFb8cCA/edit?usp=sharing"",""อุบลราชธานี!I526"")"),261.0)</f>
        <v>261</v>
      </c>
      <c r="J631" s="374">
        <f>IFERROR(__xludf.DUMMYFUNCTION("IMPORTRANGE(""https://docs.google.com/spreadsheets/d/1XL5vhW3sbDhbH9Cz0tuDiY8C3ctxq1tqvaCgkFb8cCA/edit?usp=sharing"",""อุบลราชธานี!J526"")"),58.0)</f>
        <v>58</v>
      </c>
      <c r="K631" s="375">
        <f t="shared" si="130"/>
        <v>22.22222222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IFERROR(__xludf.DUMMYFUNCTION("IMPORTRANGE(""https://docs.google.com/spreadsheets/d/1XL5vhW3sbDhbH9Cz0tuDiY8C3ctxq1tqvaCgkFb8cCA/edit?usp=sharing"",""อุบลราชธานี!I527"")"),336057.49)</f>
        <v>336057.49</v>
      </c>
      <c r="J632" s="374">
        <f>IFERROR(__xludf.DUMMYFUNCTION("IMPORTRANGE(""https://docs.google.com/spreadsheets/d/1XL5vhW3sbDhbH9Cz0tuDiY8C3ctxq1tqvaCgkFb8cCA/edit?usp=sharing"",""อุบลราชธานี!J527"")"),53417.99)</f>
        <v>53417.99</v>
      </c>
      <c r="K632" s="375">
        <f t="shared" si="130"/>
        <v>15.89549157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IFERROR(__xludf.DUMMYFUNCTION("IMPORTRANGE(""https://docs.google.com/spreadsheets/d/1XL5vhW3sbDhbH9Cz0tuDiY8C3ctxq1tqvaCgkFb8cCA/edit?usp=sharing"",""อุบลราชธานี!I528"")"),165.0)</f>
        <v>165</v>
      </c>
      <c r="J633" s="374">
        <f>IFERROR(__xludf.DUMMYFUNCTION("IMPORTRANGE(""https://docs.google.com/spreadsheets/d/1XL5vhW3sbDhbH9Cz0tuDiY8C3ctxq1tqvaCgkFb8cCA/edit?usp=sharing"",""อุบลราชธานี!J528"")"),11.0)</f>
        <v>11</v>
      </c>
      <c r="K633" s="375">
        <f t="shared" si="130"/>
        <v>6.666666667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IFERROR(__xludf.DUMMYFUNCTION("IMPORTRANGE(""https://docs.google.com/spreadsheets/d/1XL5vhW3sbDhbH9Cz0tuDiY8C3ctxq1tqvaCgkFb8cCA/edit?usp=sharing"",""อุบลราชธานี!I529"")"),7730000.0)</f>
        <v>7730000</v>
      </c>
      <c r="J634" s="374">
        <f>IFERROR(__xludf.DUMMYFUNCTION("IMPORTRANGE(""https://docs.google.com/spreadsheets/d/1XL5vhW3sbDhbH9Cz0tuDiY8C3ctxq1tqvaCgkFb8cCA/edit?usp=sharing"",""อุบลราชธานี!J529"")"),0.0)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IFERROR(__xludf.DUMMYFUNCTION("IMPORTRANGE(""https://docs.google.com/spreadsheets/d/1XL5vhW3sbDhbH9Cz0tuDiY8C3ctxq1tqvaCgkFb8cCA/edit?usp=sharing"",""อุบลราชธานี!I530"")"),189.0)</f>
        <v>189</v>
      </c>
      <c r="J635" s="544">
        <f>IFERROR(__xludf.DUMMYFUNCTION("IMPORTRANGE(""https://docs.google.com/spreadsheets/d/1XL5vhW3sbDhbH9Cz0tuDiY8C3ctxq1tqvaCgkFb8cCA/edit?usp=sharing"",""อุบลราชธานี!J530"")"),0.0)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241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6963271</v>
      </c>
      <c r="M8" s="41">
        <f t="shared" si="1"/>
        <v>2132894</v>
      </c>
      <c r="N8" s="41">
        <f t="shared" si="1"/>
        <v>1840149.79</v>
      </c>
      <c r="O8" s="40">
        <f t="shared" ref="O8:O16" si="3">IF(L8&gt;0,N8*100/L8,0)</f>
        <v>26.42651406</v>
      </c>
      <c r="P8" s="40">
        <f t="shared" ref="P8:P16" si="4">IF(M8&gt;0,N8*100/M8,0)</f>
        <v>86.27478862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6963271</v>
      </c>
      <c r="M10" s="48">
        <f t="shared" si="5"/>
        <v>2132894</v>
      </c>
      <c r="N10" s="48">
        <f t="shared" si="5"/>
        <v>1840149.79</v>
      </c>
      <c r="O10" s="47">
        <f t="shared" si="3"/>
        <v>26.42651406</v>
      </c>
      <c r="P10" s="47">
        <f t="shared" si="4"/>
        <v>86.27478862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6713871</v>
      </c>
      <c r="M12" s="58">
        <f t="shared" si="7"/>
        <v>2132894</v>
      </c>
      <c r="N12" s="58">
        <f t="shared" si="7"/>
        <v>1590749.79</v>
      </c>
      <c r="O12" s="58">
        <f t="shared" si="3"/>
        <v>23.6934816</v>
      </c>
      <c r="P12" s="58">
        <f t="shared" si="4"/>
        <v>74.58175559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2585500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4128371</v>
      </c>
      <c r="M14" s="58">
        <f t="shared" si="9"/>
        <v>0</v>
      </c>
      <c r="N14" s="58">
        <f t="shared" si="9"/>
        <v>231093.79</v>
      </c>
      <c r="O14" s="61">
        <f t="shared" si="3"/>
        <v>5.597699189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249400</v>
      </c>
      <c r="M16" s="58">
        <f t="shared" si="11"/>
        <v>0</v>
      </c>
      <c r="N16" s="58">
        <f t="shared" si="11"/>
        <v>249400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4233350</v>
      </c>
      <c r="M18" s="41">
        <f t="shared" si="12"/>
        <v>2132894</v>
      </c>
      <c r="N18" s="41">
        <f t="shared" si="12"/>
        <v>1609056</v>
      </c>
      <c r="O18" s="40">
        <f t="shared" ref="O18:O20" si="14">IF(L18&gt;0,N18*100/L18,0)</f>
        <v>38.00904721</v>
      </c>
      <c r="P18" s="40">
        <f t="shared" ref="P18:P26" si="15">IF(M18&gt;0,N18*100/M18,0)</f>
        <v>75.44003593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4233350</v>
      </c>
      <c r="M20" s="48">
        <f t="shared" si="16"/>
        <v>2132894</v>
      </c>
      <c r="N20" s="48">
        <f t="shared" si="16"/>
        <v>1609056</v>
      </c>
      <c r="O20" s="47">
        <f t="shared" si="14"/>
        <v>38.00904721</v>
      </c>
      <c r="P20" s="47">
        <f t="shared" si="15"/>
        <v>75.44003593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3983950</v>
      </c>
      <c r="M22" s="62">
        <f t="shared" si="18"/>
        <v>2132894</v>
      </c>
      <c r="N22" s="61">
        <f t="shared" si="18"/>
        <v>1359656</v>
      </c>
      <c r="O22" s="61">
        <f t="shared" si="19"/>
        <v>34.12833996</v>
      </c>
      <c r="P22" s="61">
        <f t="shared" si="15"/>
        <v>63.7470029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2585500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1398450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249400</v>
      </c>
      <c r="M26" s="70">
        <f t="shared" si="23"/>
        <v>0</v>
      </c>
      <c r="N26" s="70">
        <f t="shared" si="23"/>
        <v>249400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2729921</v>
      </c>
      <c r="M28" s="41">
        <f t="shared" si="24"/>
        <v>0</v>
      </c>
      <c r="N28" s="41">
        <f t="shared" si="24"/>
        <v>231093.79</v>
      </c>
      <c r="O28" s="40">
        <f t="shared" ref="O28:O30" si="26">IF(L28&gt;0,N28*100/L28,0)</f>
        <v>8.465218957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2729921</v>
      </c>
      <c r="M30" s="48">
        <f t="shared" si="28"/>
        <v>0</v>
      </c>
      <c r="N30" s="48">
        <f t="shared" si="28"/>
        <v>231093.79</v>
      </c>
      <c r="O30" s="47">
        <f t="shared" si="26"/>
        <v>8.465218957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2729921</v>
      </c>
      <c r="M32" s="61">
        <f t="shared" si="30"/>
        <v>0</v>
      </c>
      <c r="N32" s="61">
        <f t="shared" si="30"/>
        <v>231093.79</v>
      </c>
      <c r="O32" s="61">
        <f t="shared" si="31"/>
        <v>8.465218957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2729921</v>
      </c>
      <c r="M34" s="61">
        <f t="shared" si="33"/>
        <v>0</v>
      </c>
      <c r="N34" s="61">
        <f t="shared" si="33"/>
        <v>231093.79</v>
      </c>
      <c r="O34" s="61">
        <f t="shared" si="31"/>
        <v>8.465218957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4233350</v>
      </c>
      <c r="M37" s="75">
        <f t="shared" si="34"/>
        <v>2132894</v>
      </c>
      <c r="N37" s="75">
        <f t="shared" si="34"/>
        <v>1609056</v>
      </c>
      <c r="O37" s="76">
        <f t="shared" si="31"/>
        <v>38.00904721</v>
      </c>
      <c r="P37" s="76">
        <f t="shared" si="27"/>
        <v>75.44003593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888800</v>
      </c>
      <c r="M41" s="102">
        <f t="shared" si="35"/>
        <v>444300</v>
      </c>
      <c r="N41" s="102">
        <f t="shared" si="35"/>
        <v>349582</v>
      </c>
      <c r="O41" s="101">
        <f t="shared" ref="O41:O43" si="37">IF(L41&gt;0,N41*100/L41,0)</f>
        <v>39.33190819</v>
      </c>
      <c r="P41" s="101">
        <f t="shared" ref="P41:P43" si="38">IF(M41&gt;0,N41*100/M41,0)</f>
        <v>78.68152149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888800</v>
      </c>
      <c r="M43" s="102">
        <f t="shared" si="39"/>
        <v>444300</v>
      </c>
      <c r="N43" s="102">
        <f t="shared" si="39"/>
        <v>349582</v>
      </c>
      <c r="O43" s="101">
        <f t="shared" si="37"/>
        <v>39.33190819</v>
      </c>
      <c r="P43" s="101">
        <f t="shared" si="38"/>
        <v>78.68152149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888800</v>
      </c>
      <c r="M45" s="115">
        <f>IFERROR(__xludf.DUMMYFUNCTION("IMPORTRANGE(""https://docs.google.com/spreadsheets/d/1Yj_ptqi66GCucihVvJfMjLAmec39IyEx_6qawtMGysU/edit?usp=sharing"",""สบก!Q39"")"),444300.0)</f>
        <v>444300</v>
      </c>
      <c r="N45" s="115">
        <f>IFERROR(__xludf.DUMMYFUNCTION("IMPORTRANGE(""https://docs.google.com/spreadsheets/d/1Yj_ptqi66GCucihVvJfMjLAmec39IyEx_6qawtMGysU/edit?usp=sharing"",""สบก!R39"")"),349582.0)</f>
        <v>349582</v>
      </c>
      <c r="O45" s="116">
        <f>IF(L45&gt;0,N45*100/L45,0)</f>
        <v>39.33190819</v>
      </c>
      <c r="P45" s="116">
        <f>IF(M45&gt;0,N45*100/M45,0)</f>
        <v>78.68152149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IFERROR(__xludf.DUMMYFUNCTION("IMPORTRANGE(""https://docs.google.com/spreadsheets/d/1Yj_ptqi66GCucihVvJfMjLAmec39IyEx_6qawtMGysU/edit?usp=sharing"",""สบก!M39"")"),888800.0)</f>
        <v>888800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IFERROR(__xludf.DUMMYFUNCTION("IMPORTRANGE(""https://docs.google.com/spreadsheets/d/1Yj_ptqi66GCucihVvJfMjLAmec39IyEx_6qawtMGysU/edit?usp=sharing"",""สบก!N39"")"),0.0)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IFERROR(__xludf.DUMMYFUNCTION("IMPORTRANGE(""https://docs.google.com/spreadsheets/d/1Yj_ptqi66GCucihVvJfMjLAmec39IyEx_6qawtMGysU/edit?usp=sharing"",""สบก!O39"")"),0.0)</f>
        <v>0</v>
      </c>
      <c r="M49" s="125"/>
      <c r="N49" s="115">
        <f>IFERROR(__xludf.DUMMYFUNCTION("IMPORTRANGE(""https://docs.google.com/spreadsheets/d/1Yj_ptqi66GCucihVvJfMjLAmec39IyEx_6qawtMGysU/edit?usp=sharing"",""สบก!S39"")"),0.0)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726000</v>
      </c>
      <c r="M53" s="151">
        <f t="shared" si="40"/>
        <v>371484</v>
      </c>
      <c r="N53" s="151">
        <f t="shared" si="40"/>
        <v>326695</v>
      </c>
      <c r="O53" s="150">
        <f t="shared" ref="O53:O55" si="42">IF(L53&gt;0,N53*100/L53,0)</f>
        <v>44.99931129</v>
      </c>
      <c r="P53" s="150">
        <f t="shared" ref="P53:P55" si="43">IF(M53&gt;0,N53*100/M53,0)</f>
        <v>87.94322232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726000</v>
      </c>
      <c r="M55" s="151">
        <f t="shared" si="44"/>
        <v>371484</v>
      </c>
      <c r="N55" s="151">
        <f t="shared" si="44"/>
        <v>326695</v>
      </c>
      <c r="O55" s="150">
        <f t="shared" si="42"/>
        <v>44.99931129</v>
      </c>
      <c r="P55" s="150">
        <f t="shared" si="43"/>
        <v>87.94322232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726000</v>
      </c>
      <c r="M57" s="115">
        <f>IFERROR(__xludf.DUMMYFUNCTION("IMPORTRANGE(""https://docs.google.com/spreadsheets/d/1Yj_ptqi66GCucihVvJfMjLAmec39IyEx_6qawtMGysU/edit?usp=sharing"",""สบก!Z39"")"),371484.0)</f>
        <v>371484</v>
      </c>
      <c r="N57" s="115">
        <f>IFERROR(__xludf.DUMMYFUNCTION("IMPORTRANGE(""https://docs.google.com/spreadsheets/d/1Yj_ptqi66GCucihVvJfMjLAmec39IyEx_6qawtMGysU/edit?usp=sharing"",""สบก!AA39"")"),326695.0)</f>
        <v>326695</v>
      </c>
      <c r="O57" s="116">
        <f>IF(L57&gt;0,N57*100/L57,0)</f>
        <v>44.99931129</v>
      </c>
      <c r="P57" s="116">
        <f>IF(M57&gt;0,N57*100/M57,0)</f>
        <v>87.94322232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IFERROR(__xludf.DUMMYFUNCTION("IMPORTRANGE(""https://docs.google.com/spreadsheets/d/1Yj_ptqi66GCucihVvJfMjLAmec39IyEx_6qawtMGysU/edit?usp=sharing"",""สบก!V39"")"),726000.0)</f>
        <v>726000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IFERROR(__xludf.DUMMYFUNCTION("IMPORTRANGE(""https://docs.google.com/spreadsheets/d/1Yj_ptqi66GCucihVvJfMjLAmec39IyEx_6qawtMGysU/edit?usp=sharing"",""สบก!W39"")"),0.0)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IFERROR(__xludf.DUMMYFUNCTION("IMPORTRANGE(""https://docs.google.com/spreadsheets/d/1Yj_ptqi66GCucihVvJfMjLAmec39IyEx_6qawtMGysU/edit?usp=sharing"",""สบก!X39"")"),0.0)</f>
        <v>0</v>
      </c>
      <c r="M61" s="125"/>
      <c r="N61" s="115">
        <f>IFERROR(__xludf.DUMMYFUNCTION("IMPORTRANGE(""https://docs.google.com/spreadsheets/d/1Yj_ptqi66GCucihVvJfMjLAmec39IyEx_6qawtMGysU/edit?usp=sharing"",""สบก!AB39"")"),0.0)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IFERROR(__xludf.DUMMYFUNCTION("IMPORTRANGE(""https://docs.google.com/spreadsheets/d/1XL5vhW3sbDhbH9Cz0tuDiY8C3ctxq1tqvaCgkFb8cCA/edit?usp=sharing"",""ขอนแก่น!I9"")"),1.0)</f>
        <v>1</v>
      </c>
      <c r="J64" s="172">
        <f>IFERROR(__xludf.DUMMYFUNCTION("IMPORTRANGE(""https://docs.google.com/spreadsheets/d/1XL5vhW3sbDhbH9Cz0tuDiY8C3ctxq1tqvaCgkFb8cCA/edit?usp=sharing"",""ขอนแก่น!J9"")"),1.0)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IFERROR(__xludf.DUMMYFUNCTION("IMPORTRANGE(""https://docs.google.com/spreadsheets/d/1XL5vhW3sbDhbH9Cz0tuDiY8C3ctxq1tqvaCgkFb8cCA/edit?usp=sharing"",""ขอนแก่น!I10"")"),30.0)</f>
        <v>30</v>
      </c>
      <c r="J65" s="172">
        <f>IFERROR(__xludf.DUMMYFUNCTION("IMPORTRANGE(""https://docs.google.com/spreadsheets/d/1XL5vhW3sbDhbH9Cz0tuDiY8C3ctxq1tqvaCgkFb8cCA/edit?usp=sharing"",""ขอนแก่น!J10"")"),0.0)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1052300</v>
      </c>
      <c r="M66" s="183">
        <f t="shared" si="46"/>
        <v>492820</v>
      </c>
      <c r="N66" s="183">
        <f t="shared" si="46"/>
        <v>342809</v>
      </c>
      <c r="O66" s="182">
        <f t="shared" ref="O66:O68" si="48">IF(L66&gt;0,N66*100/L66,0)</f>
        <v>32.57711679</v>
      </c>
      <c r="P66" s="182">
        <f t="shared" ref="P66:P68" si="49">IF(M66&gt;0,N66*100/M66,0)</f>
        <v>69.56069153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1052300</v>
      </c>
      <c r="M68" s="188">
        <f t="shared" si="50"/>
        <v>492820</v>
      </c>
      <c r="N68" s="188">
        <f t="shared" si="50"/>
        <v>342809</v>
      </c>
      <c r="O68" s="187">
        <f t="shared" si="48"/>
        <v>32.57711679</v>
      </c>
      <c r="P68" s="187">
        <f t="shared" si="49"/>
        <v>69.56069153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912300</v>
      </c>
      <c r="M70" s="201">
        <f>IFERROR(__xludf.DUMMYFUNCTION("IMPORTRANGE(""https://docs.google.com/spreadsheets/d/1Yj_ptqi66GCucihVvJfMjLAmec39IyEx_6qawtMGysU/edit?usp=sharing"",""สบก!AI39"")"),492820.0)</f>
        <v>492820</v>
      </c>
      <c r="N70" s="202">
        <f>IFERROR(__xludf.DUMMYFUNCTION("IMPORTRANGE(""https://docs.google.com/spreadsheets/d/1Yj_ptqi66GCucihVvJfMjLAmec39IyEx_6qawtMGysU/edit?usp=sharing"",""สบก!AJ39"")"),202809.0)</f>
        <v>202809</v>
      </c>
      <c r="O70" s="203">
        <f>IF(L70&gt;0,N70*100/L70,0)</f>
        <v>22.23051628</v>
      </c>
      <c r="P70" s="203">
        <f>IF(M70&gt;0,N70*100/M70,0)</f>
        <v>41.15275354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IFERROR(__xludf.DUMMYFUNCTION("IMPORTRANGE(""https://docs.google.com/spreadsheets/d/1Yj_ptqi66GCucihVvJfMjLAmec39IyEx_6qawtMGysU/edit?usp=sharing"",""สบก!AE39"")"),470300.0)</f>
        <v>470300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IFERROR(__xludf.DUMMYFUNCTION("IMPORTRANGE(""https://docs.google.com/spreadsheets/d/1Yj_ptqi66GCucihVvJfMjLAmec39IyEx_6qawtMGysU/edit?usp=sharing"",""สบก!AF39"")"),442000.0)</f>
        <v>442000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IFERROR(__xludf.DUMMYFUNCTION("IMPORTRANGE(""https://docs.google.com/spreadsheets/d/1Yj_ptqi66GCucihVvJfMjLAmec39IyEx_6qawtMGysU/edit?usp=sharing"",""สบก!AG39"")"),140000.0)</f>
        <v>140000</v>
      </c>
      <c r="M74" s="125"/>
      <c r="N74" s="115">
        <f>IFERROR(__xludf.DUMMYFUNCTION("IMPORTRANGE(""https://docs.google.com/spreadsheets/d/1Yj_ptqi66GCucihVvJfMjLAmec39IyEx_6qawtMGysU/edit?usp=sharing"",""สบก!AK39"")"),140000.0)</f>
        <v>140000</v>
      </c>
      <c r="O74" s="125">
        <f>IF(L74&gt;0,N74*100/L74,0)</f>
        <v>100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IFERROR(__xludf.DUMMYFUNCTION("IMPORTRANGE(""https://docs.google.com/spreadsheets/d/1XL5vhW3sbDhbH9Cz0tuDiY8C3ctxq1tqvaCgkFb8cCA/edit?usp=sharing"",""ขอนแก่น!J16"")"),0.0)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IFERROR(__xludf.DUMMYFUNCTION("IMPORTRANGE(""https://docs.google.com/spreadsheets/d/1XL5vhW3sbDhbH9Cz0tuDiY8C3ctxq1tqvaCgkFb8cCA/edit?usp=sharing"",""ขอนแก่น!J17"")"),1.0)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IFERROR(__xludf.DUMMYFUNCTION("IMPORTRANGE(""https://docs.google.com/spreadsheets/d/1XL5vhW3sbDhbH9Cz0tuDiY8C3ctxq1tqvaCgkFb8cCA/edit?usp=sharing"",""ขอนแก่น!J18"")"),1.0)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IFERROR(__xludf.DUMMYFUNCTION("IMPORTRANGE(""https://docs.google.com/spreadsheets/d/1XL5vhW3sbDhbH9Cz0tuDiY8C3ctxq1tqvaCgkFb8cCA/edit?usp=sharing"",""ขอนแก่น!J19"")"),1.0)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IFERROR(__xludf.DUMMYFUNCTION("IMPORTRANGE(""https://docs.google.com/spreadsheets/d/1XL5vhW3sbDhbH9Cz0tuDiY8C3ctxq1tqvaCgkFb8cCA/edit?usp=sharing"",""ขอนแก่น!I20"")"),1.0)</f>
        <v>1</v>
      </c>
      <c r="J80" s="235">
        <f>IFERROR(__xludf.DUMMYFUNCTION("IMPORTRANGE(""https://docs.google.com/spreadsheets/d/1XL5vhW3sbDhbH9Cz0tuDiY8C3ctxq1tqvaCgkFb8cCA/edit?usp=sharing"",""ขอนแก่น!J20"")"),1.0)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IFERROR(__xludf.DUMMYFUNCTION("IMPORTRANGE(""https://docs.google.com/spreadsheets/d/1XL5vhW3sbDhbH9Cz0tuDiY8C3ctxq1tqvaCgkFb8cCA/edit?usp=sharing"",""ขอนแก่น!I21"")"),30.0)</f>
        <v>30</v>
      </c>
      <c r="J81" s="235">
        <f>IFERROR(__xludf.DUMMYFUNCTION("IMPORTRANGE(""https://docs.google.com/spreadsheets/d/1XL5vhW3sbDhbH9Cz0tuDiY8C3ctxq1tqvaCgkFb8cCA/edit?usp=sharing"",""ขอนแก่น!J21"")"),0.0)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IFERROR(__xludf.DUMMYFUNCTION("IMPORTRANGE(""https://docs.google.com/spreadsheets/d/1XL5vhW3sbDhbH9Cz0tuDiY8C3ctxq1tqvaCgkFb8cCA/edit?usp=sharing"",""ขอนแก่น!I22"")"),1.0)</f>
        <v>1</v>
      </c>
      <c r="J82" s="238">
        <f>IFERROR(__xludf.DUMMYFUNCTION("IMPORTRANGE(""https://docs.google.com/spreadsheets/d/1XL5vhW3sbDhbH9Cz0tuDiY8C3ctxq1tqvaCgkFb8cCA/edit?usp=sharing"",""ขอนแก่น!J22"")"),1.0)</f>
        <v>1</v>
      </c>
      <c r="K82" s="196">
        <f t="shared" si="51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IFERROR(__xludf.DUMMYFUNCTION("IMPORTRANGE(""https://docs.google.com/spreadsheets/d/1XL5vhW3sbDhbH9Cz0tuDiY8C3ctxq1tqvaCgkFb8cCA/edit?usp=sharing"",""ขอนแก่น!I23"")"),30.0)</f>
        <v>30</v>
      </c>
      <c r="J83" s="238">
        <f>IFERROR(__xludf.DUMMYFUNCTION("IMPORTRANGE(""https://docs.google.com/spreadsheets/d/1XL5vhW3sbDhbH9Cz0tuDiY8C3ctxq1tqvaCgkFb8cCA/edit?usp=sharing"",""ขอนแก่น!J23"")"),0.0)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IFERROR(__xludf.DUMMYFUNCTION("IMPORTRANGE(""https://docs.google.com/spreadsheets/d/1XL5vhW3sbDhbH9Cz0tuDiY8C3ctxq1tqvaCgkFb8cCA/edit?usp=sharing"",""ขอนแก่น!I24"")"),0.0)</f>
        <v>0</v>
      </c>
      <c r="J84" s="223">
        <f>IFERROR(__xludf.DUMMYFUNCTION("IMPORTRANGE(""https://docs.google.com/spreadsheets/d/1XL5vhW3sbDhbH9Cz0tuDiY8C3ctxq1tqvaCgkFb8cCA/edit?usp=sharing"",""ขอนแก่น!J24"")"),0.0)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IFERROR(__xludf.DUMMYFUNCTION("IMPORTRANGE(""https://docs.google.com/spreadsheets/d/1XL5vhW3sbDhbH9Cz0tuDiY8C3ctxq1tqvaCgkFb8cCA/edit?usp=sharing"",""ขอนแก่น!I25"")"),0.0)</f>
        <v>0</v>
      </c>
      <c r="J85" s="223">
        <f>IFERROR(__xludf.DUMMYFUNCTION("IMPORTRANGE(""https://docs.google.com/spreadsheets/d/1XL5vhW3sbDhbH9Cz0tuDiY8C3ctxq1tqvaCgkFb8cCA/edit?usp=sharing"",""ขอนแก่น!J25"")"),0.0)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IFERROR(__xludf.DUMMYFUNCTION("IMPORTRANGE(""https://docs.google.com/spreadsheets/d/1XL5vhW3sbDhbH9Cz0tuDiY8C3ctxq1tqvaCgkFb8cCA/edit?usp=sharing"",""ขอนแก่น!I26"")"),0.0)</f>
        <v>0</v>
      </c>
      <c r="J86" s="238">
        <f>IFERROR(__xludf.DUMMYFUNCTION("IMPORTRANGE(""https://docs.google.com/spreadsheets/d/1XL5vhW3sbDhbH9Cz0tuDiY8C3ctxq1tqvaCgkFb8cCA/edit?usp=sharing"",""ขอนแก่น!J26"")"),0.0)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IFERROR(__xludf.DUMMYFUNCTION("IMPORTRANGE(""https://docs.google.com/spreadsheets/d/1XL5vhW3sbDhbH9Cz0tuDiY8C3ctxq1tqvaCgkFb8cCA/edit?usp=sharing"",""ขอนแก่น!I27"")"),0.0)</f>
        <v>0</v>
      </c>
      <c r="J87" s="238">
        <f>IFERROR(__xludf.DUMMYFUNCTION("IMPORTRANGE(""https://docs.google.com/spreadsheets/d/1XL5vhW3sbDhbH9Cz0tuDiY8C3ctxq1tqvaCgkFb8cCA/edit?usp=sharing"",""ขอนแก่น!J27"")"),0.0)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IFERROR(__xludf.DUMMYFUNCTION("IMPORTRANGE(""https://docs.google.com/spreadsheets/d/1XL5vhW3sbDhbH9Cz0tuDiY8C3ctxq1tqvaCgkFb8cCA/edit?usp=sharing"",""ขอนแก่น!I28"")"),30.0)</f>
        <v>30</v>
      </c>
      <c r="J88" s="238">
        <f>IFERROR(__xludf.DUMMYFUNCTION("IMPORTRANGE(""https://docs.google.com/spreadsheets/d/1XL5vhW3sbDhbH9Cz0tuDiY8C3ctxq1tqvaCgkFb8cCA/edit?usp=sharing"",""ขอนแก่น!J28"")"),0.0)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IFERROR(__xludf.DUMMYFUNCTION("IMPORTRANGE(""https://docs.google.com/spreadsheets/d/1XL5vhW3sbDhbH9Cz0tuDiY8C3ctxq1tqvaCgkFb8cCA/edit?usp=sharing"",""ขอนแก่น!J29"")"),0.0)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IFERROR(__xludf.DUMMYFUNCTION("IMPORTRANGE(""https://docs.google.com/spreadsheets/d/1XL5vhW3sbDhbH9Cz0tuDiY8C3ctxq1tqvaCgkFb8cCA/edit?usp=sharing"",""ขอนแก่น!J30"")"),0.0)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IFERROR(__xludf.DUMMYFUNCTION("IMPORTRANGE(""https://docs.google.com/spreadsheets/d/1XL5vhW3sbDhbH9Cz0tuDiY8C3ctxq1tqvaCgkFb8cCA/edit?usp=sharing"",""ขอนแก่น!I32"")"),4.0)</f>
        <v>4</v>
      </c>
      <c r="J92" s="172">
        <f>IFERROR(__xludf.DUMMYFUNCTION("IMPORTRANGE(""https://docs.google.com/spreadsheets/d/1XL5vhW3sbDhbH9Cz0tuDiY8C3ctxq1tqvaCgkFb8cCA/edit?usp=sharing"",""ขอนแก่น!J32"")"),0.0)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IFERROR(__xludf.DUMMYFUNCTION("IMPORTRANGE(""https://docs.google.com/spreadsheets/d/1XL5vhW3sbDhbH9Cz0tuDiY8C3ctxq1tqvaCgkFb8cCA/edit?usp=sharing"",""ขอนแก่น!I33"")"),1.0)</f>
        <v>1</v>
      </c>
      <c r="J93" s="172">
        <f>IFERROR(__xludf.DUMMYFUNCTION("IMPORTRANGE(""https://docs.google.com/spreadsheets/d/1XL5vhW3sbDhbH9Cz0tuDiY8C3ctxq1tqvaCgkFb8cCA/edit?usp=sharing"",""ขอนแก่น!J33"")"),0.0)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97020</v>
      </c>
      <c r="O94" s="182">
        <f t="shared" ref="O94:O96" si="55">IF(L94&gt;0,N94*100/L94,0)</f>
        <v>45.23076923</v>
      </c>
      <c r="P94" s="182">
        <f t="shared" ref="P94:P96" si="56">IF(M94&gt;0,N94*100/M94,0)</f>
        <v>141.161065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97020</v>
      </c>
      <c r="O96" s="187">
        <f t="shared" si="55"/>
        <v>45.23076923</v>
      </c>
      <c r="P96" s="187">
        <f t="shared" si="56"/>
        <v>141.161065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IFERROR(__xludf.DUMMYFUNCTION("IMPORTRANGE(""https://docs.google.com/spreadsheets/d/1Yj_ptqi66GCucihVvJfMjLAmec39IyEx_6qawtMGysU/edit?usp=sharing"",""สบก!AR39"")"),68730.0)</f>
        <v>68730</v>
      </c>
      <c r="N98" s="202">
        <f>IFERROR(__xludf.DUMMYFUNCTION("IMPORTRANGE(""https://docs.google.com/spreadsheets/d/1Yj_ptqi66GCucihVvJfMjLAmec39IyEx_6qawtMGysU/edit?usp=sharing"",""สบก!AS39"")"),4620.0)</f>
        <v>4620</v>
      </c>
      <c r="O98" s="203">
        <f>IF(L98&gt;0,N98*100/L98,0)</f>
        <v>3.783783784</v>
      </c>
      <c r="P98" s="203">
        <f>IF(M98&gt;0,N98*100/M98,0)</f>
        <v>6.721955478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IFERROR(__xludf.DUMMYFUNCTION("IMPORTRANGE(""https://docs.google.com/spreadsheets/d/1Yj_ptqi66GCucihVvJfMjLAmec39IyEx_6qawtMGysU/edit?usp=sharing"",""สบก!AN39"")"),0.0)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IFERROR(__xludf.DUMMYFUNCTION("IMPORTRANGE(""https://docs.google.com/spreadsheets/d/1Yj_ptqi66GCucihVvJfMjLAmec39IyEx_6qawtMGysU/edit?usp=sharing"",""สบก!AO39"")"),122100.0)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IFERROR(__xludf.DUMMYFUNCTION("IMPORTRANGE(""https://docs.google.com/spreadsheets/d/1Yj_ptqi66GCucihVvJfMjLAmec39IyEx_6qawtMGysU/edit?usp=sharing"",""สบก!AP39"")"),92400.0)</f>
        <v>92400</v>
      </c>
      <c r="M102" s="125"/>
      <c r="N102" s="115">
        <f>IFERROR(__xludf.DUMMYFUNCTION("IMPORTRANGE(""https://docs.google.com/spreadsheets/d/1Yj_ptqi66GCucihVvJfMjLAmec39IyEx_6qawtMGysU/edit?usp=sharing"",""สบก!AT39"")"),92400.0)</f>
        <v>92400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IFERROR(__xludf.DUMMYFUNCTION("IMPORTRANGE(""https://docs.google.com/spreadsheets/d/1XL5vhW3sbDhbH9Cz0tuDiY8C3ctxq1tqvaCgkFb8cCA/edit?usp=sharing"",""ขอนแก่น!J39"")"),0.0)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IFERROR(__xludf.DUMMYFUNCTION("IMPORTRANGE(""https://docs.google.com/spreadsheets/d/1XL5vhW3sbDhbH9Cz0tuDiY8C3ctxq1tqvaCgkFb8cCA/edit?usp=sharing"",""ขอนแก่น!J40"")"),1.0)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IFERROR(__xludf.DUMMYFUNCTION("IMPORTRANGE(""https://docs.google.com/spreadsheets/d/1XL5vhW3sbDhbH9Cz0tuDiY8C3ctxq1tqvaCgkFb8cCA/edit?usp=sharing"",""ขอนแก่น!J41"")"),1.0)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IFERROR(__xludf.DUMMYFUNCTION("IMPORTRANGE(""https://docs.google.com/spreadsheets/d/1XL5vhW3sbDhbH9Cz0tuDiY8C3ctxq1tqvaCgkFb8cCA/edit?usp=sharing"",""ขอนแก่น!J42"")"),0.0)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IFERROR(__xludf.DUMMYFUNCTION("IMPORTRANGE(""https://docs.google.com/spreadsheets/d/1XL5vhW3sbDhbH9Cz0tuDiY8C3ctxq1tqvaCgkFb8cCA/edit?usp=sharing"",""ขอนแก่น!I43"")"),1.0)</f>
        <v>1</v>
      </c>
      <c r="J108" s="238">
        <f>IFERROR(__xludf.DUMMYFUNCTION("IMPORTRANGE(""https://docs.google.com/spreadsheets/d/1XL5vhW3sbDhbH9Cz0tuDiY8C3ctxq1tqvaCgkFb8cCA/edit?usp=sharing"",""ขอนแก่น!J43"")"),0.0)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IFERROR(__xludf.DUMMYFUNCTION("IMPORTRANGE(""https://docs.google.com/spreadsheets/d/1XL5vhW3sbDhbH9Cz0tuDiY8C3ctxq1tqvaCgkFb8cCA/edit?usp=sharing"",""ขอนแก่น!I44"")"),4.0)</f>
        <v>4</v>
      </c>
      <c r="J109" s="238">
        <f>IFERROR(__xludf.DUMMYFUNCTION("IMPORTRANGE(""https://docs.google.com/spreadsheets/d/1XL5vhW3sbDhbH9Cz0tuDiY8C3ctxq1tqvaCgkFb8cCA/edit?usp=sharing"",""ขอนแก่น!J44"")"),0.0)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IFERROR(__xludf.DUMMYFUNCTION("IMPORTRANGE(""https://docs.google.com/spreadsheets/d/1XL5vhW3sbDhbH9Cz0tuDiY8C3ctxq1tqvaCgkFb8cCA/edit?usp=sharing"",""ขอนแก่น!I45"")"),4.0)</f>
        <v>4</v>
      </c>
      <c r="J110" s="238">
        <f>IFERROR(__xludf.DUMMYFUNCTION("IMPORTRANGE(""https://docs.google.com/spreadsheets/d/1XL5vhW3sbDhbH9Cz0tuDiY8C3ctxq1tqvaCgkFb8cCA/edit?usp=sharing"",""ขอนแก่น!J45"")"),4.0)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IFERROR(__xludf.DUMMYFUNCTION("IMPORTRANGE(""https://docs.google.com/spreadsheets/d/1XL5vhW3sbDhbH9Cz0tuDiY8C3ctxq1tqvaCgkFb8cCA/edit?usp=sharing"",""ขอนแก่น!I46"")"),4.0)</f>
        <v>4</v>
      </c>
      <c r="J111" s="238">
        <f>IFERROR(__xludf.DUMMYFUNCTION("IMPORTRANGE(""https://docs.google.com/spreadsheets/d/1XL5vhW3sbDhbH9Cz0tuDiY8C3ctxq1tqvaCgkFb8cCA/edit?usp=sharing"",""ขอนแก่น!J46"")"),0.0)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IFERROR(__xludf.DUMMYFUNCTION("IMPORTRANGE(""https://docs.google.com/spreadsheets/d/1XL5vhW3sbDhbH9Cz0tuDiY8C3ctxq1tqvaCgkFb8cCA/edit?usp=sharing"",""ขอนแก่น!I47"")"),4.0)</f>
        <v>4</v>
      </c>
      <c r="J112" s="238">
        <f>IFERROR(__xludf.DUMMYFUNCTION("IMPORTRANGE(""https://docs.google.com/spreadsheets/d/1XL5vhW3sbDhbH9Cz0tuDiY8C3ctxq1tqvaCgkFb8cCA/edit?usp=sharing"",""ขอนแก่น!J47"")"),0.0)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IFERROR(__xludf.DUMMYFUNCTION("IMPORTRANGE(""https://docs.google.com/spreadsheets/d/1XL5vhW3sbDhbH9Cz0tuDiY8C3ctxq1tqvaCgkFb8cCA/edit?usp=sharing"",""ขอนแก่น!I48"")"),1.0)</f>
        <v>1</v>
      </c>
      <c r="J113" s="238">
        <f>IFERROR(__xludf.DUMMYFUNCTION("IMPORTRANGE(""https://docs.google.com/spreadsheets/d/1XL5vhW3sbDhbH9Cz0tuDiY8C3ctxq1tqvaCgkFb8cCA/edit?usp=sharing"",""ขอนแก่น!J48"")"),0.0)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IFERROR(__xludf.DUMMYFUNCTION("IMPORTRANGE(""https://docs.google.com/spreadsheets/d/1XL5vhW3sbDhbH9Cz0tuDiY8C3ctxq1tqvaCgkFb8cCA/edit?usp=sharing"",""ขอนแก่น!J49"")"),0.0)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IFERROR(__xludf.DUMMYFUNCTION("IMPORTRANGE(""https://docs.google.com/spreadsheets/d/1XL5vhW3sbDhbH9Cz0tuDiY8C3ctxq1tqvaCgkFb8cCA/edit?usp=sharing"",""ขอนแก่น!J50"")"),0.0)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IFERROR(__xludf.DUMMYFUNCTION("IMPORTRANGE(""https://docs.google.com/spreadsheets/d/1XL5vhW3sbDhbH9Cz0tuDiY8C3ctxq1tqvaCgkFb8cCA/edit?usp=sharing"",""ขอนแก่น!I52"")"),0.0)</f>
        <v>0</v>
      </c>
      <c r="J117" s="172">
        <f>IFERROR(__xludf.DUMMYFUNCTION("IMPORTRANGE(""https://docs.google.com/spreadsheets/d/1XL5vhW3sbDhbH9Cz0tuDiY8C3ctxq1tqvaCgkFb8cCA/edit?usp=sharing"",""ขอนแก่น!J52"")"),0.0)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IFERROR(__xludf.DUMMYFUNCTION("IMPORTRANGE(""https://docs.google.com/spreadsheets/d/1Yj_ptqi66GCucihVvJfMjLAmec39IyEx_6qawtMGysU/edit?usp=sharing"",""สบก!BA39"")"),0.0)</f>
        <v>0</v>
      </c>
      <c r="N122" s="202">
        <f>IFERROR(__xludf.DUMMYFUNCTION("IMPORTRANGE(""https://docs.google.com/spreadsheets/d/1Yj_ptqi66GCucihVvJfMjLAmec39IyEx_6qawtMGysU/edit?usp=sharing"",""สบก!BB39"")"),0.0)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IFERROR(__xludf.DUMMYFUNCTION("IMPORTRANGE(""https://docs.google.com/spreadsheets/d/1Yj_ptqi66GCucihVvJfMjLAmec39IyEx_6qawtMGysU/edit?usp=sharing"",""สบก!AW39"")"),0.0)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IFERROR(__xludf.DUMMYFUNCTION("IMPORTRANGE(""https://docs.google.com/spreadsheets/d/1Yj_ptqi66GCucihVvJfMjLAmec39IyEx_6qawtMGysU/edit?usp=sharing"",""สบก!AX39"")"),0.0)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IFERROR(__xludf.DUMMYFUNCTION("IMPORTRANGE(""https://docs.google.com/spreadsheets/d/1Yj_ptqi66GCucihVvJfMjLAmec39IyEx_6qawtMGysU/edit?usp=sharing"",""สบก!AY39"")"),0.0)</f>
        <v>0</v>
      </c>
      <c r="M126" s="125"/>
      <c r="N126" s="115">
        <f>IFERROR(__xludf.DUMMYFUNCTION("IMPORTRANGE(""https://docs.google.com/spreadsheets/d/1Yj_ptqi66GCucihVvJfMjLAmec39IyEx_6qawtMGysU/edit?usp=sharing"",""สบก!BC39"")"),0.0)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IFERROR(__xludf.DUMMYFUNCTION("IMPORTRANGE(""https://docs.google.com/spreadsheets/d/1XL5vhW3sbDhbH9Cz0tuDiY8C3ctxq1tqvaCgkFb8cCA/edit?usp=sharing"",""ขอนแก่น!J58"")"),0.0)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IFERROR(__xludf.DUMMYFUNCTION("IMPORTRANGE(""https://docs.google.com/spreadsheets/d/1XL5vhW3sbDhbH9Cz0tuDiY8C3ctxq1tqvaCgkFb8cCA/edit?usp=sharing"",""ขอนแก่น!J59"")"),0.0)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IFERROR(__xludf.DUMMYFUNCTION("IMPORTRANGE(""https://docs.google.com/spreadsheets/d/1XL5vhW3sbDhbH9Cz0tuDiY8C3ctxq1tqvaCgkFb8cCA/edit?usp=sharing"",""ขอนแก่น!J60"")"),0.0)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IFERROR(__xludf.DUMMYFUNCTION("IMPORTRANGE(""https://docs.google.com/spreadsheets/d/1XL5vhW3sbDhbH9Cz0tuDiY8C3ctxq1tqvaCgkFb8cCA/edit?usp=sharing"",""ขอนแก่น!J61"")"),0.0)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IFERROR(__xludf.DUMMYFUNCTION("IMPORTRANGE(""https://docs.google.com/spreadsheets/d/1XL5vhW3sbDhbH9Cz0tuDiY8C3ctxq1tqvaCgkFb8cCA/edit?usp=sharing"",""ขอนแก่น!I62"")"),0.0)</f>
        <v>0</v>
      </c>
      <c r="J132" s="238">
        <f>IFERROR(__xludf.DUMMYFUNCTION("IMPORTRANGE(""https://docs.google.com/spreadsheets/d/1XL5vhW3sbDhbH9Cz0tuDiY8C3ctxq1tqvaCgkFb8cCA/edit?usp=sharing"",""ขอนแก่น!J62"")"),0.0)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IFERROR(__xludf.DUMMYFUNCTION("IMPORTRANGE(""https://docs.google.com/spreadsheets/d/1XL5vhW3sbDhbH9Cz0tuDiY8C3ctxq1tqvaCgkFb8cCA/edit?usp=sharing"",""ขอนแก่น!I63"")"),0.0)</f>
        <v>0</v>
      </c>
      <c r="J133" s="238">
        <f>IFERROR(__xludf.DUMMYFUNCTION("IMPORTRANGE(""https://docs.google.com/spreadsheets/d/1XL5vhW3sbDhbH9Cz0tuDiY8C3ctxq1tqvaCgkFb8cCA/edit?usp=sharing"",""ขอนแก่น!J63"")"),0.0)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IFERROR(__xludf.DUMMYFUNCTION("IMPORTRANGE(""https://docs.google.com/spreadsheets/d/1XL5vhW3sbDhbH9Cz0tuDiY8C3ctxq1tqvaCgkFb8cCA/edit?usp=sharing"",""ขอนแก่น!J64"")"),0.0)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IFERROR(__xludf.DUMMYFUNCTION("IMPORTRANGE(""https://docs.google.com/spreadsheets/d/1XL5vhW3sbDhbH9Cz0tuDiY8C3ctxq1tqvaCgkFb8cCA/edit?usp=sharing"",""ขอนแก่น!J65"")"),0.0)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IFERROR(__xludf.DUMMYFUNCTION("IMPORTRANGE(""https://docs.google.com/spreadsheets/d/1XL5vhW3sbDhbH9Cz0tuDiY8C3ctxq1tqvaCgkFb8cCA/edit?usp=sharing"",""ขอนแก่น!I68"")"),0.0)</f>
        <v>0</v>
      </c>
      <c r="J138" s="301">
        <f>IFERROR(__xludf.DUMMYFUNCTION("IMPORTRANGE(""https://docs.google.com/spreadsheets/d/1XL5vhW3sbDhbH9Cz0tuDiY8C3ctxq1tqvaCgkFb8cCA/edit?usp=sharing"",""ขอนแก่น!J68"")"),0.0)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69000</v>
      </c>
      <c r="M140" s="183">
        <f t="shared" si="65"/>
        <v>45750</v>
      </c>
      <c r="N140" s="183">
        <f t="shared" si="65"/>
        <v>2360</v>
      </c>
      <c r="O140" s="182">
        <f t="shared" ref="O140:O142" si="67">IF(L140&gt;0,N140*100/L140,0)</f>
        <v>3.420289855</v>
      </c>
      <c r="P140" s="182">
        <f t="shared" ref="P140:P142" si="68">IF(M140&gt;0,N140*100/M140,0)</f>
        <v>5.158469945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69000</v>
      </c>
      <c r="M142" s="188">
        <f t="shared" si="69"/>
        <v>45750</v>
      </c>
      <c r="N142" s="188">
        <f t="shared" si="69"/>
        <v>2360</v>
      </c>
      <c r="O142" s="187">
        <f t="shared" si="67"/>
        <v>3.420289855</v>
      </c>
      <c r="P142" s="187">
        <f t="shared" si="68"/>
        <v>5.158469945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69000</v>
      </c>
      <c r="M144" s="201">
        <f>IFERROR(__xludf.DUMMYFUNCTION("IMPORTRANGE(""https://docs.google.com/spreadsheets/d/1Yj_ptqi66GCucihVvJfMjLAmec39IyEx_6qawtMGysU/edit?usp=sharing"",""สบก!BJ39"")"),45750.0)</f>
        <v>45750</v>
      </c>
      <c r="N144" s="202">
        <f>IFERROR(__xludf.DUMMYFUNCTION("IMPORTRANGE(""https://docs.google.com/spreadsheets/d/1Yj_ptqi66GCucihVvJfMjLAmec39IyEx_6qawtMGysU/edit?usp=sharing"",""สบก!BK39"")"),2360.0)</f>
        <v>2360</v>
      </c>
      <c r="O144" s="203">
        <f>IF(L144&gt;0,N144*100/L144,0)</f>
        <v>3.420289855</v>
      </c>
      <c r="P144" s="203">
        <f>IF(M144&gt;0,N144*100/M144,0)</f>
        <v>5.158469945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IFERROR(__xludf.DUMMYFUNCTION("IMPORTRANGE(""https://docs.google.com/spreadsheets/d/1Yj_ptqi66GCucihVvJfMjLAmec39IyEx_6qawtMGysU/edit?usp=sharing"",""สบก!BF39"")"),0.0)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IFERROR(__xludf.DUMMYFUNCTION("IMPORTRANGE(""https://docs.google.com/spreadsheets/d/1Yj_ptqi66GCucihVvJfMjLAmec39IyEx_6qawtMGysU/edit?usp=sharing"",""สบก!BG39"")"),69000.0)</f>
        <v>69000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IFERROR(__xludf.DUMMYFUNCTION("IMPORTRANGE(""https://docs.google.com/spreadsheets/d/1Yj_ptqi66GCucihVvJfMjLAmec39IyEx_6qawtMGysU/edit?usp=sharing"",""สบก!BH39"")"),0.0)</f>
        <v>0</v>
      </c>
      <c r="M148" s="125"/>
      <c r="N148" s="115">
        <f>IFERROR(__xludf.DUMMYFUNCTION("IMPORTRANGE(""https://docs.google.com/spreadsheets/d/1Yj_ptqi66GCucihVvJfMjLAmec39IyEx_6qawtMGysU/edit?usp=sharing"",""สบก!BL39"")"),0.0)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IFERROR(__xludf.DUMMYFUNCTION("IMPORTRANGE(""https://docs.google.com/spreadsheets/d/1XL5vhW3sbDhbH9Cz0tuDiY8C3ctxq1tqvaCgkFb8cCA/edit?usp=sharing"",""ขอนแก่น!I74"")"),4.0)</f>
        <v>4</v>
      </c>
      <c r="J149" s="309">
        <f>IFERROR(__xludf.DUMMYFUNCTION("IMPORTRANGE(""https://docs.google.com/spreadsheets/d/1XL5vhW3sbDhbH9Cz0tuDiY8C3ctxq1tqvaCgkFb8cCA/edit?usp=sharing"",""ขอนแก่น!J74"")"),0.0)</f>
        <v>0</v>
      </c>
      <c r="K149" s="310">
        <f>IF(I149&gt;0,J149*100/I149,0)</f>
        <v>0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IFERROR(__xludf.DUMMYFUNCTION("IMPORTRANGE(""https://docs.google.com/spreadsheets/d/1XL5vhW3sbDhbH9Cz0tuDiY8C3ctxq1tqvaCgkFb8cCA/edit?usp=sharing"",""ขอนแก่น!J79"")"),0.0)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IFERROR(__xludf.DUMMYFUNCTION("IMPORTRANGE(""https://docs.google.com/spreadsheets/d/1XL5vhW3sbDhbH9Cz0tuDiY8C3ctxq1tqvaCgkFb8cCA/edit?usp=sharing"",""ขอนแก่น!J80"")"),1.0)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IFERROR(__xludf.DUMMYFUNCTION("IMPORTRANGE(""https://docs.google.com/spreadsheets/d/1XL5vhW3sbDhbH9Cz0tuDiY8C3ctxq1tqvaCgkFb8cCA/edit?usp=sharing"",""ขอนแก่น!J81"")"),0.0)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IFERROR(__xludf.DUMMYFUNCTION("IMPORTRANGE(""https://docs.google.com/spreadsheets/d/1XL5vhW3sbDhbH9Cz0tuDiY8C3ctxq1tqvaCgkFb8cCA/edit?usp=sharing"",""ขอนแก่น!J82"")"),0.0)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IFERROR(__xludf.DUMMYFUNCTION("IMPORTRANGE(""https://docs.google.com/spreadsheets/d/1XL5vhW3sbDhbH9Cz0tuDiY8C3ctxq1tqvaCgkFb8cCA/edit?usp=sharing"",""ขอนแก่น!I83"")"),4.0)</f>
        <v>4</v>
      </c>
      <c r="J158" s="223">
        <f>IFERROR(__xludf.DUMMYFUNCTION("IMPORTRANGE(""https://docs.google.com/spreadsheets/d/1XL5vhW3sbDhbH9Cz0tuDiY8C3ctxq1tqvaCgkFb8cCA/edit?usp=sharing"",""ขอนแก่น!J83"")"),0.0)</f>
        <v>0</v>
      </c>
      <c r="K158" s="196">
        <f>IF(I158&gt;0,J158*100/I158,0)</f>
        <v>0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IFERROR(__xludf.DUMMYFUNCTION("IMPORTRANGE(""https://docs.google.com/spreadsheets/d/1XL5vhW3sbDhbH9Cz0tuDiY8C3ctxq1tqvaCgkFb8cCA/edit?usp=sharing"",""ขอนแก่น!J84"")"),0.0)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IFERROR(__xludf.DUMMYFUNCTION("IMPORTRANGE(""https://docs.google.com/spreadsheets/d/1XL5vhW3sbDhbH9Cz0tuDiY8C3ctxq1tqvaCgkFb8cCA/edit?usp=sharing"",""ขอนแก่น!J85"")"),0.0)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IFERROR(__xludf.DUMMYFUNCTION("IMPORTRANGE(""https://docs.google.com/spreadsheets/d/1XL5vhW3sbDhbH9Cz0tuDiY8C3ctxq1tqvaCgkFb8cCA/edit?usp=sharing"",""ขอนแก่น!J86"")"),0.0)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IFERROR(__xludf.DUMMYFUNCTION("IMPORTRANGE(""https://docs.google.com/spreadsheets/d/1XL5vhW3sbDhbH9Cz0tuDiY8C3ctxq1tqvaCgkFb8cCA/edit?usp=sharing"",""ขอนแก่น!J87"")"),0.0)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IFERROR(__xludf.DUMMYFUNCTION("IMPORTRANGE(""https://docs.google.com/spreadsheets/d/1XL5vhW3sbDhbH9Cz0tuDiY8C3ctxq1tqvaCgkFb8cCA/edit?usp=sharing"",""ขอนแก่น!J88"")"),0.0)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IFERROR(__xludf.DUMMYFUNCTION("IMPORTRANGE(""https://docs.google.com/spreadsheets/d/1XL5vhW3sbDhbH9Cz0tuDiY8C3ctxq1tqvaCgkFb8cCA/edit?usp=sharing"",""ขอนแก่น!I89"")"),3.0)</f>
        <v>3</v>
      </c>
      <c r="J164" s="317">
        <f>IFERROR(__xludf.DUMMYFUNCTION("IMPORTRANGE(""https://docs.google.com/spreadsheets/d/1XL5vhW3sbDhbH9Cz0tuDiY8C3ctxq1tqvaCgkFb8cCA/edit?usp=sharing"",""ขอนแก่น!J89"")"),0.0)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IFERROR(__xludf.DUMMYFUNCTION("IMPORTRANGE(""https://docs.google.com/spreadsheets/d/1XL5vhW3sbDhbH9Cz0tuDiY8C3ctxq1tqvaCgkFb8cCA/edit?usp=sharing"",""ขอนแก่น!J94"")"),0.0)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IFERROR(__xludf.DUMMYFUNCTION("IMPORTRANGE(""https://docs.google.com/spreadsheets/d/1XL5vhW3sbDhbH9Cz0tuDiY8C3ctxq1tqvaCgkFb8cCA/edit?usp=sharing"",""ขอนแก่น!J95"")"),1.0)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IFERROR(__xludf.DUMMYFUNCTION("IMPORTRANGE(""https://docs.google.com/spreadsheets/d/1XL5vhW3sbDhbH9Cz0tuDiY8C3ctxq1tqvaCgkFb8cCA/edit?usp=sharing"",""ขอนแก่น!J96"")"),1.0)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IFERROR(__xludf.DUMMYFUNCTION("IMPORTRANGE(""https://docs.google.com/spreadsheets/d/1XL5vhW3sbDhbH9Cz0tuDiY8C3ctxq1tqvaCgkFb8cCA/edit?usp=sharing"",""ขอนแก่น!J97"")"),0.0)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IFERROR(__xludf.DUMMYFUNCTION("IMPORTRANGE(""https://docs.google.com/spreadsheets/d/1XL5vhW3sbDhbH9Cz0tuDiY8C3ctxq1tqvaCgkFb8cCA/edit?usp=sharing"",""ขอนแก่น!I98"")"),3.0)</f>
        <v>3</v>
      </c>
      <c r="J173" s="223">
        <f>IFERROR(__xludf.DUMMYFUNCTION("IMPORTRANGE(""https://docs.google.com/spreadsheets/d/1XL5vhW3sbDhbH9Cz0tuDiY8C3ctxq1tqvaCgkFb8cCA/edit?usp=sharing"",""ขอนแก่น!J98"")"),0.0)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IFERROR(__xludf.DUMMYFUNCTION("IMPORTRANGE(""https://docs.google.com/spreadsheets/d/1XL5vhW3sbDhbH9Cz0tuDiY8C3ctxq1tqvaCgkFb8cCA/edit?usp=sharing"",""ขอนแก่น!J99"")"),0.0)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IFERROR(__xludf.DUMMYFUNCTION("IMPORTRANGE(""https://docs.google.com/spreadsheets/d/1XL5vhW3sbDhbH9Cz0tuDiY8C3ctxq1tqvaCgkFb8cCA/edit?usp=sharing"",""ขอนแก่น!J100"")"),0.0)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IFERROR(__xludf.DUMMYFUNCTION("IMPORTRANGE(""https://docs.google.com/spreadsheets/d/1XL5vhW3sbDhbH9Cz0tuDiY8C3ctxq1tqvaCgkFb8cCA/edit?usp=sharing"",""ขอนแก่น!I101"")"),0.0)</f>
        <v>0</v>
      </c>
      <c r="J176" s="317">
        <f>IFERROR(__xludf.DUMMYFUNCTION("IMPORTRANGE(""https://docs.google.com/spreadsheets/d/1XL5vhW3sbDhbH9Cz0tuDiY8C3ctxq1tqvaCgkFb8cCA/edit?usp=sharing"",""ขอนแก่น!J101"")"),0.0)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IFERROR(__xludf.DUMMYFUNCTION("IMPORTRANGE(""https://docs.google.com/spreadsheets/d/1XL5vhW3sbDhbH9Cz0tuDiY8C3ctxq1tqvaCgkFb8cCA/edit?usp=sharing"",""ขอนแก่น!J106"")"),0.0)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IFERROR(__xludf.DUMMYFUNCTION("IMPORTRANGE(""https://docs.google.com/spreadsheets/d/1XL5vhW3sbDhbH9Cz0tuDiY8C3ctxq1tqvaCgkFb8cCA/edit?usp=sharing"",""ขอนแก่น!J107"")"),0.0)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IFERROR(__xludf.DUMMYFUNCTION("IMPORTRANGE(""https://docs.google.com/spreadsheets/d/1XL5vhW3sbDhbH9Cz0tuDiY8C3ctxq1tqvaCgkFb8cCA/edit?usp=sharing"",""ขอนแก่น!J108"")"),0.0)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IFERROR(__xludf.DUMMYFUNCTION("IMPORTRANGE(""https://docs.google.com/spreadsheets/d/1XL5vhW3sbDhbH9Cz0tuDiY8C3ctxq1tqvaCgkFb8cCA/edit?usp=sharing"",""ขอนแก่น!J109"")"),0.0)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IFERROR(__xludf.DUMMYFUNCTION("IMPORTRANGE(""https://docs.google.com/spreadsheets/d/1XL5vhW3sbDhbH9Cz0tuDiY8C3ctxq1tqvaCgkFb8cCA/edit?usp=sharing"",""ขอนแก่น!I110"")"),0.0)</f>
        <v>0</v>
      </c>
      <c r="J185" s="238">
        <f>IFERROR(__xludf.DUMMYFUNCTION("IMPORTRANGE(""https://docs.google.com/spreadsheets/d/1XL5vhW3sbDhbH9Cz0tuDiY8C3ctxq1tqvaCgkFb8cCA/edit?usp=sharing"",""ขอนแก่น!J110"")"),0.0)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IFERROR(__xludf.DUMMYFUNCTION("IMPORTRANGE(""https://docs.google.com/spreadsheets/d/1XL5vhW3sbDhbH9Cz0tuDiY8C3ctxq1tqvaCgkFb8cCA/edit?usp=sharing"",""ขอนแก่น!I111"")"),0.0)</f>
        <v>0</v>
      </c>
      <c r="J186" s="238">
        <f>IFERROR(__xludf.DUMMYFUNCTION("IMPORTRANGE(""https://docs.google.com/spreadsheets/d/1XL5vhW3sbDhbH9Cz0tuDiY8C3ctxq1tqvaCgkFb8cCA/edit?usp=sharing"",""ขอนแก่น!J111"")"),0.0)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IFERROR(__xludf.DUMMYFUNCTION("IMPORTRANGE(""https://docs.google.com/spreadsheets/d/1XL5vhW3sbDhbH9Cz0tuDiY8C3ctxq1tqvaCgkFb8cCA/edit?usp=sharing"",""ขอนแก่น!J112"")"),0.0)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IFERROR(__xludf.DUMMYFUNCTION("IMPORTRANGE(""https://docs.google.com/spreadsheets/d/1XL5vhW3sbDhbH9Cz0tuDiY8C3ctxq1tqvaCgkFb8cCA/edit?usp=sharing"",""ขอนแก่น!J113"")"),0.0)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IFERROR(__xludf.DUMMYFUNCTION("IMPORTRANGE(""https://docs.google.com/spreadsheets/d/1XL5vhW3sbDhbH9Cz0tuDiY8C3ctxq1tqvaCgkFb8cCA/edit?usp=sharing"",""ขอนแก่น!I114"")"),50000.0)</f>
        <v>50000</v>
      </c>
      <c r="J189" s="317">
        <f>IFERROR(__xludf.DUMMYFUNCTION("IMPORTRANGE(""https://docs.google.com/spreadsheets/d/1XL5vhW3sbDhbH9Cz0tuDiY8C3ctxq1tqvaCgkFb8cCA/edit?usp=sharing"",""ขอนแก่น!J114"")"),0.0)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IFERROR(__xludf.DUMMYFUNCTION("IMPORTRANGE(""https://docs.google.com/spreadsheets/d/1XL5vhW3sbDhbH9Cz0tuDiY8C3ctxq1tqvaCgkFb8cCA/edit?usp=sharing"",""ขอนแก่น!J119"")"),0.0)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IFERROR(__xludf.DUMMYFUNCTION("IMPORTRANGE(""https://docs.google.com/spreadsheets/d/1XL5vhW3sbDhbH9Cz0tuDiY8C3ctxq1tqvaCgkFb8cCA/edit?usp=sharing"",""ขอนแก่น!J120"")"),1.0)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IFERROR(__xludf.DUMMYFUNCTION("IMPORTRANGE(""https://docs.google.com/spreadsheets/d/1XL5vhW3sbDhbH9Cz0tuDiY8C3ctxq1tqvaCgkFb8cCA/edit?usp=sharing"",""ขอนแก่น!J121"")"),0.0)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IFERROR(__xludf.DUMMYFUNCTION("IMPORTRANGE(""https://docs.google.com/spreadsheets/d/1XL5vhW3sbDhbH9Cz0tuDiY8C3ctxq1tqvaCgkFb8cCA/edit?usp=sharing"",""ขอนแก่น!J122"")"),0.0)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IFERROR(__xludf.DUMMYFUNCTION("IMPORTRANGE(""https://docs.google.com/spreadsheets/d/1XL5vhW3sbDhbH9Cz0tuDiY8C3ctxq1tqvaCgkFb8cCA/edit?usp=sharing"",""ขอนแก่น!I124"")"),50000.0)</f>
        <v>50000</v>
      </c>
      <c r="J199" s="223">
        <f>IFERROR(__xludf.DUMMYFUNCTION("IMPORTRANGE(""https://docs.google.com/spreadsheets/d/1XL5vhW3sbDhbH9Cz0tuDiY8C3ctxq1tqvaCgkFb8cCA/edit?usp=sharing"",""ขอนแก่น!J124"")"),0.0)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IFERROR(__xludf.DUMMYFUNCTION("IMPORTRANGE(""https://docs.google.com/spreadsheets/d/1XL5vhW3sbDhbH9Cz0tuDiY8C3ctxq1tqvaCgkFb8cCA/edit?usp=sharing"",""ขอนแก่น!I125"")"),50000.0)</f>
        <v>50000</v>
      </c>
      <c r="J200" s="223">
        <f>IFERROR(__xludf.DUMMYFUNCTION("IMPORTRANGE(""https://docs.google.com/spreadsheets/d/1XL5vhW3sbDhbH9Cz0tuDiY8C3ctxq1tqvaCgkFb8cCA/edit?usp=sharing"",""ขอนแก่น!J125"")"),0.0)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IFERROR(__xludf.DUMMYFUNCTION("IMPORTRANGE(""https://docs.google.com/spreadsheets/d/1XL5vhW3sbDhbH9Cz0tuDiY8C3ctxq1tqvaCgkFb8cCA/edit?usp=sharing"",""ขอนแก่น!I126"")"),0.0)</f>
        <v>0</v>
      </c>
      <c r="J201" s="223">
        <f>IFERROR(__xludf.DUMMYFUNCTION("IMPORTRANGE(""https://docs.google.com/spreadsheets/d/1XL5vhW3sbDhbH9Cz0tuDiY8C3ctxq1tqvaCgkFb8cCA/edit?usp=sharing"",""ขอนแก่น!J126"")"),0.0)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IFERROR(__xludf.DUMMYFUNCTION("IMPORTRANGE(""https://docs.google.com/spreadsheets/d/1XL5vhW3sbDhbH9Cz0tuDiY8C3ctxq1tqvaCgkFb8cCA/edit?usp=sharing"",""ขอนแก่น!J127"")"),0.0)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IFERROR(__xludf.DUMMYFUNCTION("IMPORTRANGE(""https://docs.google.com/spreadsheets/d/1XL5vhW3sbDhbH9Cz0tuDiY8C3ctxq1tqvaCgkFb8cCA/edit?usp=sharing"",""ขอนแก่น!J128"")"),0.0)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IFERROR(__xludf.DUMMYFUNCTION("IMPORTRANGE(""https://docs.google.com/spreadsheets/d/1XL5vhW3sbDhbH9Cz0tuDiY8C3ctxq1tqvaCgkFb8cCA/edit?usp=sharing"",""ขอนแก่น!I129"")"),0.0)</f>
        <v>0</v>
      </c>
      <c r="J204" s="317">
        <f>IFERROR(__xludf.DUMMYFUNCTION("IMPORTRANGE(""https://docs.google.com/spreadsheets/d/1XL5vhW3sbDhbH9Cz0tuDiY8C3ctxq1tqvaCgkFb8cCA/edit?usp=sharing"",""ขอนแก่น!J129"")"),0.0)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IFERROR(__xludf.DUMMYFUNCTION("IMPORTRANGE(""https://docs.google.com/spreadsheets/d/1XL5vhW3sbDhbH9Cz0tuDiY8C3ctxq1tqvaCgkFb8cCA/edit?usp=sharing"",""ขอนแก่น!J134"")"),0.0)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IFERROR(__xludf.DUMMYFUNCTION("IMPORTRANGE(""https://docs.google.com/spreadsheets/d/1XL5vhW3sbDhbH9Cz0tuDiY8C3ctxq1tqvaCgkFb8cCA/edit?usp=sharing"",""ขอนแก่น!J135"")"),0.0)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IFERROR(__xludf.DUMMYFUNCTION("IMPORTRANGE(""https://docs.google.com/spreadsheets/d/1XL5vhW3sbDhbH9Cz0tuDiY8C3ctxq1tqvaCgkFb8cCA/edit?usp=sharing"",""ขอนแก่น!J136"")"),0.0)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IFERROR(__xludf.DUMMYFUNCTION("IMPORTRANGE(""https://docs.google.com/spreadsheets/d/1XL5vhW3sbDhbH9Cz0tuDiY8C3ctxq1tqvaCgkFb8cCA/edit?usp=sharing"",""ขอนแก่น!J137"")"),0.0)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IFERROR(__xludf.DUMMYFUNCTION("IMPORTRANGE(""https://docs.google.com/spreadsheets/d/1XL5vhW3sbDhbH9Cz0tuDiY8C3ctxq1tqvaCgkFb8cCA/edit?usp=sharing"",""ขอนแก่น!I138"")"),0.0)</f>
        <v>0</v>
      </c>
      <c r="J213" s="238">
        <f>IFERROR(__xludf.DUMMYFUNCTION("IMPORTRANGE(""https://docs.google.com/spreadsheets/d/1XL5vhW3sbDhbH9Cz0tuDiY8C3ctxq1tqvaCgkFb8cCA/edit?usp=sharing"",""ขอนแก่น!J138"")"),0.0)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IFERROR(__xludf.DUMMYFUNCTION("IMPORTRANGE(""https://docs.google.com/spreadsheets/d/1XL5vhW3sbDhbH9Cz0tuDiY8C3ctxq1tqvaCgkFb8cCA/edit?usp=sharing"",""ขอนแก่น!I140"")"),0.0)</f>
        <v>0</v>
      </c>
      <c r="J215" s="238">
        <f>IFERROR(__xludf.DUMMYFUNCTION("IMPORTRANGE(""https://docs.google.com/spreadsheets/d/1XL5vhW3sbDhbH9Cz0tuDiY8C3ctxq1tqvaCgkFb8cCA/edit?usp=sharing"",""ขอนแก่น!J140"")"),0.0)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IFERROR(__xludf.DUMMYFUNCTION("IMPORTRANGE(""https://docs.google.com/spreadsheets/d/1XL5vhW3sbDhbH9Cz0tuDiY8C3ctxq1tqvaCgkFb8cCA/edit?usp=sharing"",""ขอนแก่น!I141"")"),0.0)</f>
        <v>0</v>
      </c>
      <c r="J216" s="238">
        <f>IFERROR(__xludf.DUMMYFUNCTION("IMPORTRANGE(""https://docs.google.com/spreadsheets/d/1XL5vhW3sbDhbH9Cz0tuDiY8C3ctxq1tqvaCgkFb8cCA/edit?usp=sharing"",""ขอนแก่น!J141"")"),0.0)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IFERROR(__xludf.DUMMYFUNCTION("IMPORTRANGE(""https://docs.google.com/spreadsheets/d/1XL5vhW3sbDhbH9Cz0tuDiY8C3ctxq1tqvaCgkFb8cCA/edit?usp=sharing"",""ขอนแก่น!J142"")"),0.0)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IFERROR(__xludf.DUMMYFUNCTION("IMPORTRANGE(""https://docs.google.com/spreadsheets/d/1XL5vhW3sbDhbH9Cz0tuDiY8C3ctxq1tqvaCgkFb8cCA/edit?usp=sharing"",""ขอนแก่น!J143"")"),0.0)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IFERROR(__xludf.DUMMYFUNCTION("IMPORTRANGE(""https://docs.google.com/spreadsheets/d/1XL5vhW3sbDhbH9Cz0tuDiY8C3ctxq1tqvaCgkFb8cCA/edit?usp=sharing"",""ขอนแก่น!I144"")"),10.0)</f>
        <v>10</v>
      </c>
      <c r="J219" s="301">
        <f>IFERROR(__xludf.DUMMYFUNCTION("IMPORTRANGE(""https://docs.google.com/spreadsheets/d/1XL5vhW3sbDhbH9Cz0tuDiY8C3ctxq1tqvaCgkFb8cCA/edit?usp=sharing"",""ขอนแก่น!J144"")"),10.0)</f>
        <v>10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16550</v>
      </c>
      <c r="M220" s="183">
        <f t="shared" si="73"/>
        <v>16550</v>
      </c>
      <c r="N220" s="183">
        <f t="shared" si="73"/>
        <v>16550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16550</v>
      </c>
      <c r="M222" s="188">
        <f t="shared" si="77"/>
        <v>16550</v>
      </c>
      <c r="N222" s="188">
        <f t="shared" si="77"/>
        <v>16550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16550</v>
      </c>
      <c r="M224" s="201">
        <f>IFERROR(__xludf.DUMMYFUNCTION("IMPORTRANGE(""https://docs.google.com/spreadsheets/d/1Yj_ptqi66GCucihVvJfMjLAmec39IyEx_6qawtMGysU/edit?usp=sharing"",""สบก!BS39"")"),16550.0)</f>
        <v>16550</v>
      </c>
      <c r="N224" s="202">
        <f>IFERROR(__xludf.DUMMYFUNCTION("IMPORTRANGE(""https://docs.google.com/spreadsheets/d/1Yj_ptqi66GCucihVvJfMjLAmec39IyEx_6qawtMGysU/edit?usp=sharing"",""สบก!BT39"")"),16550.0)</f>
        <v>16550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IFERROR(__xludf.DUMMYFUNCTION("IMPORTRANGE(""https://docs.google.com/spreadsheets/d/1Yj_ptqi66GCucihVvJfMjLAmec39IyEx_6qawtMGysU/edit?usp=sharing"",""สบก!BO39"")"),0.0)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IFERROR(__xludf.DUMMYFUNCTION("IMPORTRANGE(""https://docs.google.com/spreadsheets/d/1Yj_ptqi66GCucihVvJfMjLAmec39IyEx_6qawtMGysU/edit?usp=sharing"",""สบก!BP39"")"),16550.0)</f>
        <v>16550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IFERROR(__xludf.DUMMYFUNCTION("IMPORTRANGE(""https://docs.google.com/spreadsheets/d/1Yj_ptqi66GCucihVvJfMjLAmec39IyEx_6qawtMGysU/edit?usp=sharing"",""สบก!BQ39"")"),0.0)</f>
        <v>0</v>
      </c>
      <c r="M228" s="125"/>
      <c r="N228" s="115">
        <f>IFERROR(__xludf.DUMMYFUNCTION("IMPORTRANGE(""https://docs.google.com/spreadsheets/d/1Yj_ptqi66GCucihVvJfMjLAmec39IyEx_6qawtMGysU/edit?usp=sharing"",""สบก!BU39"")"),0.0)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IFERROR(__xludf.DUMMYFUNCTION("IMPORTRANGE(""https://docs.google.com/spreadsheets/d/1XL5vhW3sbDhbH9Cz0tuDiY8C3ctxq1tqvaCgkFb8cCA/edit?usp=sharing"",""ขอนแก่น!I149"")"),10.0)</f>
        <v>10</v>
      </c>
      <c r="J229" s="301">
        <f>IFERROR(__xludf.DUMMYFUNCTION("IMPORTRANGE(""https://docs.google.com/spreadsheets/d/1XL5vhW3sbDhbH9Cz0tuDiY8C3ctxq1tqvaCgkFb8cCA/edit?usp=sharing"",""ขอนแก่น!J149"")"),10.0)</f>
        <v>10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IFERROR(__xludf.DUMMYFUNCTION("IMPORTRANGE(""https://docs.google.com/spreadsheets/d/1XL5vhW3sbDhbH9Cz0tuDiY8C3ctxq1tqvaCgkFb8cCA/edit?usp=sharing"",""ขอนแก่น!J151"")"),0.0)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IFERROR(__xludf.DUMMYFUNCTION("IMPORTRANGE(""https://docs.google.com/spreadsheets/d/1XL5vhW3sbDhbH9Cz0tuDiY8C3ctxq1tqvaCgkFb8cCA/edit?usp=sharing"",""ขอนแก่น!J152"")"),1.0)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IFERROR(__xludf.DUMMYFUNCTION("IMPORTRANGE(""https://docs.google.com/spreadsheets/d/1XL5vhW3sbDhbH9Cz0tuDiY8C3ctxq1tqvaCgkFb8cCA/edit?usp=sharing"",""ขอนแก่น!J153"")"),1.0)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IFERROR(__xludf.DUMMYFUNCTION("IMPORTRANGE(""https://docs.google.com/spreadsheets/d/1XL5vhW3sbDhbH9Cz0tuDiY8C3ctxq1tqvaCgkFb8cCA/edit?usp=sharing"",""ขอนแก่น!J154"")"),0.0)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IFERROR(__xludf.DUMMYFUNCTION("IMPORTRANGE(""https://docs.google.com/spreadsheets/d/1XL5vhW3sbDhbH9Cz0tuDiY8C3ctxq1tqvaCgkFb8cCA/edit?usp=sharing"",""ขอนแก่น!I155"")"),10.0)</f>
        <v>10</v>
      </c>
      <c r="J235" s="223">
        <f>IFERROR(__xludf.DUMMYFUNCTION("IMPORTRANGE(""https://docs.google.com/spreadsheets/d/1XL5vhW3sbDhbH9Cz0tuDiY8C3ctxq1tqvaCgkFb8cCA/edit?usp=sharing"",""ขอนแก่น!J155"")"),10.0)</f>
        <v>10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IFERROR(__xludf.DUMMYFUNCTION("IMPORTRANGE(""https://docs.google.com/spreadsheets/d/1XL5vhW3sbDhbH9Cz0tuDiY8C3ctxq1tqvaCgkFb8cCA/edit?usp=sharing"",""ขอนแก่น!J156"")"),0.0)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IFERROR(__xludf.DUMMYFUNCTION("IMPORTRANGE(""https://docs.google.com/spreadsheets/d/1XL5vhW3sbDhbH9Cz0tuDiY8C3ctxq1tqvaCgkFb8cCA/edit?usp=sharing"",""ขอนแก่น!J157"")"),0.0)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IFERROR(__xludf.DUMMYFUNCTION("IMPORTRANGE(""https://docs.google.com/spreadsheets/d/1XL5vhW3sbDhbH9Cz0tuDiY8C3ctxq1tqvaCgkFb8cCA/edit?usp=sharing"",""ขอนแก่น!I158"")"),0.0)</f>
        <v>0</v>
      </c>
      <c r="J238" s="301">
        <f>IFERROR(__xludf.DUMMYFUNCTION("IMPORTRANGE(""https://docs.google.com/spreadsheets/d/1XL5vhW3sbDhbH9Cz0tuDiY8C3ctxq1tqvaCgkFb8cCA/edit?usp=sharing"",""ขอนแก่น!J158"")"),0.0)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IFERROR(__xludf.DUMMYFUNCTION("IMPORTRANGE(""https://docs.google.com/spreadsheets/d/1XL5vhW3sbDhbH9Cz0tuDiY8C3ctxq1tqvaCgkFb8cCA/edit?usp=sharing"",""ขอนแก่น!J159"")"),"")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IFERROR(__xludf.DUMMYFUNCTION("IMPORTRANGE(""https://docs.google.com/spreadsheets/d/1XL5vhW3sbDhbH9Cz0tuDiY8C3ctxq1tqvaCgkFb8cCA/edit?usp=sharing"",""ขอนแก่น!J161"")"),0.0)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IFERROR(__xludf.DUMMYFUNCTION("IMPORTRANGE(""https://docs.google.com/spreadsheets/d/1XL5vhW3sbDhbH9Cz0tuDiY8C3ctxq1tqvaCgkFb8cCA/edit?usp=sharing"",""ขอนแก่น!J162"")"),0.0)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IFERROR(__xludf.DUMMYFUNCTION("IMPORTRANGE(""https://docs.google.com/spreadsheets/d/1XL5vhW3sbDhbH9Cz0tuDiY8C3ctxq1tqvaCgkFb8cCA/edit?usp=sharing"",""ขอนแก่น!J163"")"),0.0)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IFERROR(__xludf.DUMMYFUNCTION("IMPORTRANGE(""https://docs.google.com/spreadsheets/d/1XL5vhW3sbDhbH9Cz0tuDiY8C3ctxq1tqvaCgkFb8cCA/edit?usp=sharing"",""ขอนแก่น!I164"")"),0.0)</f>
        <v>0</v>
      </c>
      <c r="J244" s="222">
        <f>IFERROR(__xludf.DUMMYFUNCTION("IMPORTRANGE(""https://docs.google.com/spreadsheets/d/1XL5vhW3sbDhbH9Cz0tuDiY8C3ctxq1tqvaCgkFb8cCA/edit?usp=sharing"",""ขอนแก่น!J164"")"),0.0)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IFERROR(__xludf.DUMMYFUNCTION("IMPORTRANGE(""https://docs.google.com/spreadsheets/d/1XL5vhW3sbDhbH9Cz0tuDiY8C3ctxq1tqvaCgkFb8cCA/edit?usp=sharing"",""ขอนแก่น!J165"")"),0.0)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IFERROR(__xludf.DUMMYFUNCTION("IMPORTRANGE(""https://docs.google.com/spreadsheets/d/1XL5vhW3sbDhbH9Cz0tuDiY8C3ctxq1tqvaCgkFb8cCA/edit?usp=sharing"",""ขอนแก่น!J166"")"),0.0)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IFERROR(__xludf.DUMMYFUNCTION("IMPORTRANGE(""https://docs.google.com/spreadsheets/d/1XL5vhW3sbDhbH9Cz0tuDiY8C3ctxq1tqvaCgkFb8cCA/edit?usp=sharing"",""ขอนแก่น!I169"")"),0.0)</f>
        <v>0</v>
      </c>
      <c r="J249" s="349">
        <f>IFERROR(__xludf.DUMMYFUNCTION("IMPORTRANGE(""https://docs.google.com/spreadsheets/d/1XL5vhW3sbDhbH9Cz0tuDiY8C3ctxq1tqvaCgkFb8cCA/edit?usp=sharing"",""ขอนแก่น!J169"")"),0.0)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IFERROR(__xludf.DUMMYFUNCTION("IMPORTRANGE(""https://docs.google.com/spreadsheets/d/1Yj_ptqi66GCucihVvJfMjLAmec39IyEx_6qawtMGysU/edit?usp=sharing"",""สบก!CB39"")"),0.0)</f>
        <v>0</v>
      </c>
      <c r="N254" s="202">
        <f>IFERROR(__xludf.DUMMYFUNCTION("IMPORTRANGE(""https://docs.google.com/spreadsheets/d/1Yj_ptqi66GCucihVvJfMjLAmec39IyEx_6qawtMGysU/edit?usp=sharing"",""สบก!CC39"")"),0.0)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IFERROR(__xludf.DUMMYFUNCTION("IMPORTRANGE(""https://docs.google.com/spreadsheets/d/1Yj_ptqi66GCucihVvJfMjLAmec39IyEx_6qawtMGysU/edit?usp=sharing"",""สบก!BX39"")"),0.0)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IFERROR(__xludf.DUMMYFUNCTION("IMPORTRANGE(""https://docs.google.com/spreadsheets/d/1Yj_ptqi66GCucihVvJfMjLAmec39IyEx_6qawtMGysU/edit?usp=sharing"",""สบก!BY39"")"),0.0)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IFERROR(__xludf.DUMMYFUNCTION("IMPORTRANGE(""https://docs.google.com/spreadsheets/d/1Yj_ptqi66GCucihVvJfMjLAmec39IyEx_6qawtMGysU/edit?usp=sharing"",""สบก!BZ39"")"),0.0)</f>
        <v>0</v>
      </c>
      <c r="M258" s="125"/>
      <c r="N258" s="115">
        <f>IFERROR(__xludf.DUMMYFUNCTION("IMPORTRANGE(""https://docs.google.com/spreadsheets/d/1Yj_ptqi66GCucihVvJfMjLAmec39IyEx_6qawtMGysU/edit?usp=sharing"",""สบก!CD39"")"),0.0)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IFERROR(__xludf.DUMMYFUNCTION("IMPORTRANGE(""https://docs.google.com/spreadsheets/d/1XL5vhW3sbDhbH9Cz0tuDiY8C3ctxq1tqvaCgkFb8cCA/edit?usp=sharing"",""ขอนแก่น!J175"")"),0.0)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 t="str">
        <f>IFERROR(__xludf.DUMMYFUNCTION("IMPORTRANGE(""https://docs.google.com/spreadsheets/d/1XL5vhW3sbDhbH9Cz0tuDiY8C3ctxq1tqvaCgkFb8cCA/edit?usp=sharing"",""ขอนแก่น!J176"")"),"")</f>
        <v/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IFERROR(__xludf.DUMMYFUNCTION("IMPORTRANGE(""https://docs.google.com/spreadsheets/d/1XL5vhW3sbDhbH9Cz0tuDiY8C3ctxq1tqvaCgkFb8cCA/edit?usp=sharing"",""ขอนแก่น!J177"")"),0.0)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IFERROR(__xludf.DUMMYFUNCTION("IMPORTRANGE(""https://docs.google.com/spreadsheets/d/1XL5vhW3sbDhbH9Cz0tuDiY8C3ctxq1tqvaCgkFb8cCA/edit?usp=sharing"",""ขอนแก่น!J178"")"),0.0)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IFERROR(__xludf.DUMMYFUNCTION("IMPORTRANGE(""https://docs.google.com/spreadsheets/d/1XL5vhW3sbDhbH9Cz0tuDiY8C3ctxq1tqvaCgkFb8cCA/edit?usp=sharing"",""ขอนแก่น!I179"")"),0.0)</f>
        <v>0</v>
      </c>
      <c r="J264" s="223">
        <f>IFERROR(__xludf.DUMMYFUNCTION("IMPORTRANGE(""https://docs.google.com/spreadsheets/d/1XL5vhW3sbDhbH9Cz0tuDiY8C3ctxq1tqvaCgkFb8cCA/edit?usp=sharing"",""ขอนแก่น!J179"")"),0.0)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IFERROR(__xludf.DUMMYFUNCTION("IMPORTRANGE(""https://docs.google.com/spreadsheets/d/1XL5vhW3sbDhbH9Cz0tuDiY8C3ctxq1tqvaCgkFb8cCA/edit?usp=sharing"",""ขอนแก่น!I180"")"),0.0)</f>
        <v>0</v>
      </c>
      <c r="J265" s="223">
        <f>IFERROR(__xludf.DUMMYFUNCTION("IMPORTRANGE(""https://docs.google.com/spreadsheets/d/1XL5vhW3sbDhbH9Cz0tuDiY8C3ctxq1tqvaCgkFb8cCA/edit?usp=sharing"",""ขอนแก่น!J180"")"),0.0)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IFERROR(__xludf.DUMMYFUNCTION("IMPORTRANGE(""https://docs.google.com/spreadsheets/d/1XL5vhW3sbDhbH9Cz0tuDiY8C3ctxq1tqvaCgkFb8cCA/edit?usp=sharing"",""ขอนแก่น!I181"")"),0.0)</f>
        <v>0</v>
      </c>
      <c r="J266" s="223">
        <f>IFERROR(__xludf.DUMMYFUNCTION("IMPORTRANGE(""https://docs.google.com/spreadsheets/d/1XL5vhW3sbDhbH9Cz0tuDiY8C3ctxq1tqvaCgkFb8cCA/edit?usp=sharing"",""ขอนแก่น!J181"")"),0.0)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IFERROR(__xludf.DUMMYFUNCTION("IMPORTRANGE(""https://docs.google.com/spreadsheets/d/1XL5vhW3sbDhbH9Cz0tuDiY8C3ctxq1tqvaCgkFb8cCA/edit?usp=sharing"",""ขอนแก่น!I182"")"),0.0)</f>
        <v>0</v>
      </c>
      <c r="J267" s="223">
        <f>IFERROR(__xludf.DUMMYFUNCTION("IMPORTRANGE(""https://docs.google.com/spreadsheets/d/1XL5vhW3sbDhbH9Cz0tuDiY8C3ctxq1tqvaCgkFb8cCA/edit?usp=sharing"",""ขอนแก่น!J182"")"),0.0)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IFERROR(__xludf.DUMMYFUNCTION("IMPORTRANGE(""https://docs.google.com/spreadsheets/d/1XL5vhW3sbDhbH9Cz0tuDiY8C3ctxq1tqvaCgkFb8cCA/edit?usp=sharing"",""ขอนแก่น!J183"")"),0.0)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IFERROR(__xludf.DUMMYFUNCTION("IMPORTRANGE(""https://docs.google.com/spreadsheets/d/1XL5vhW3sbDhbH9Cz0tuDiY8C3ctxq1tqvaCgkFb8cCA/edit?usp=sharing"",""ขอนแก่น!J184"")"),0.0)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IFERROR(__xludf.DUMMYFUNCTION("IMPORTRANGE(""https://docs.google.com/spreadsheets/d/1XL5vhW3sbDhbH9Cz0tuDiY8C3ctxq1tqvaCgkFb8cCA/edit?usp=sharing"",""ขอนแก่น!I185"")"),15.0)</f>
        <v>15</v>
      </c>
      <c r="J270" s="349">
        <f>IFERROR(__xludf.DUMMYFUNCTION("IMPORTRANGE(""https://docs.google.com/spreadsheets/d/1XL5vhW3sbDhbH9Cz0tuDiY8C3ctxq1tqvaCgkFb8cCA/edit?usp=sharing"",""ขอนแก่น!J185"")"),0.0)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1960</v>
      </c>
      <c r="O271" s="182">
        <f t="shared" ref="O271:O273" si="86">IF(L271&gt;0,N271*100/L271,0)</f>
        <v>3.550724638</v>
      </c>
      <c r="P271" s="182">
        <f t="shared" ref="P271:P273" si="87">IF(M271&gt;0,N271*100/M271,0)</f>
        <v>6.07751938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1960</v>
      </c>
      <c r="O273" s="187">
        <f t="shared" si="86"/>
        <v>3.550724638</v>
      </c>
      <c r="P273" s="187">
        <f t="shared" si="87"/>
        <v>6.07751938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IFERROR(__xludf.DUMMYFUNCTION("IMPORTRANGE(""https://docs.google.com/spreadsheets/d/1Yj_ptqi66GCucihVvJfMjLAmec39IyEx_6qawtMGysU/edit?usp=sharing"",""สบก!CK39"")"),32250.0)</f>
        <v>32250</v>
      </c>
      <c r="N275" s="202">
        <f>IFERROR(__xludf.DUMMYFUNCTION("IMPORTRANGE(""https://docs.google.com/spreadsheets/d/1Yj_ptqi66GCucihVvJfMjLAmec39IyEx_6qawtMGysU/edit?usp=sharing"",""สบก!CL39"")"),1960.0)</f>
        <v>1960</v>
      </c>
      <c r="O275" s="203">
        <f>IF(L275&gt;0,N275*100/L275,0)</f>
        <v>3.550724638</v>
      </c>
      <c r="P275" s="203">
        <f>IF(M275&gt;0,N275*100/M275,0)</f>
        <v>6.07751938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IFERROR(__xludf.DUMMYFUNCTION("IMPORTRANGE(""https://docs.google.com/spreadsheets/d/1Yj_ptqi66GCucihVvJfMjLAmec39IyEx_6qawtMGysU/edit?usp=sharing"",""สบก!CG39"")"),0.0)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IFERROR(__xludf.DUMMYFUNCTION("IMPORTRANGE(""https://docs.google.com/spreadsheets/d/1Yj_ptqi66GCucihVvJfMjLAmec39IyEx_6qawtMGysU/edit?usp=sharing"",""สบก!CH39"")"),55200.0)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IFERROR(__xludf.DUMMYFUNCTION("IMPORTRANGE(""https://docs.google.com/spreadsheets/d/1Yj_ptqi66GCucihVvJfMjLAmec39IyEx_6qawtMGysU/edit?usp=sharing"",""สบก!CI39"")"),0.0)</f>
        <v>0</v>
      </c>
      <c r="M279" s="125"/>
      <c r="N279" s="115">
        <f>IFERROR(__xludf.DUMMYFUNCTION("IMPORTRANGE(""https://docs.google.com/spreadsheets/d/1Yj_ptqi66GCucihVvJfMjLAmec39IyEx_6qawtMGysU/edit?usp=sharing"",""สบก!CM39"")"),0.0)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IFERROR(__xludf.DUMMYFUNCTION("IMPORTRANGE(""https://docs.google.com/spreadsheets/d/1XL5vhW3sbDhbH9Cz0tuDiY8C3ctxq1tqvaCgkFb8cCA/edit?usp=sharing"",""ขอนแก่น!J191"")"),0.0)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IFERROR(__xludf.DUMMYFUNCTION("IMPORTRANGE(""https://docs.google.com/spreadsheets/d/1XL5vhW3sbDhbH9Cz0tuDiY8C3ctxq1tqvaCgkFb8cCA/edit?usp=sharing"",""ขอนแก่น!J192"")"),1.0)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IFERROR(__xludf.DUMMYFUNCTION("IMPORTRANGE(""https://docs.google.com/spreadsheets/d/1XL5vhW3sbDhbH9Cz0tuDiY8C3ctxq1tqvaCgkFb8cCA/edit?usp=sharing"",""ขอนแก่น!J193"")"),1.0)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IFERROR(__xludf.DUMMYFUNCTION("IMPORTRANGE(""https://docs.google.com/spreadsheets/d/1XL5vhW3sbDhbH9Cz0tuDiY8C3ctxq1tqvaCgkFb8cCA/edit?usp=sharing"",""ขอนแก่น!J194"")"),0.0)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IFERROR(__xludf.DUMMYFUNCTION("IMPORTRANGE(""https://docs.google.com/spreadsheets/d/1XL5vhW3sbDhbH9Cz0tuDiY8C3ctxq1tqvaCgkFb8cCA/edit?usp=sharing"",""ขอนแก่น!I195"")"),15.0)</f>
        <v>15</v>
      </c>
      <c r="J285" s="223">
        <f>IFERROR(__xludf.DUMMYFUNCTION("IMPORTRANGE(""https://docs.google.com/spreadsheets/d/1XL5vhW3sbDhbH9Cz0tuDiY8C3ctxq1tqvaCgkFb8cCA/edit?usp=sharing"",""ขอนแก่น!J195"")"),0.0)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IFERROR(__xludf.DUMMYFUNCTION("IMPORTRANGE(""https://docs.google.com/spreadsheets/d/1XL5vhW3sbDhbH9Cz0tuDiY8C3ctxq1tqvaCgkFb8cCA/edit?usp=sharing"",""ขอนแก่น!J196"")"),0.0)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IFERROR(__xludf.DUMMYFUNCTION("IMPORTRANGE(""https://docs.google.com/spreadsheets/d/1XL5vhW3sbDhbH9Cz0tuDiY8C3ctxq1tqvaCgkFb8cCA/edit?usp=sharing"",""ขอนแก่น!J197"")"),0.0)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IFERROR(__xludf.DUMMYFUNCTION("IMPORTRANGE(""https://docs.google.com/spreadsheets/d/1XL5vhW3sbDhbH9Cz0tuDiY8C3ctxq1tqvaCgkFb8cCA/edit?usp=sharing"",""ขอนแก่น!I199"")"),0.0)</f>
        <v>0</v>
      </c>
      <c r="J289" s="349">
        <f>IFERROR(__xludf.DUMMYFUNCTION("IMPORTRANGE(""https://docs.google.com/spreadsheets/d/1XL5vhW3sbDhbH9Cz0tuDiY8C3ctxq1tqvaCgkFb8cCA/edit?usp=sharing"",""ขอนแก่น!J199"")"),0.0)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IFERROR(__xludf.DUMMYFUNCTION("IMPORTRANGE(""https://docs.google.com/spreadsheets/d/1Yj_ptqi66GCucihVvJfMjLAmec39IyEx_6qawtMGysU/edit?usp=sharing"",""สบก!CT39"")"),0.0)</f>
        <v>0</v>
      </c>
      <c r="N294" s="202">
        <f>IFERROR(__xludf.DUMMYFUNCTION("IMPORTRANGE(""https://docs.google.com/spreadsheets/d/1Yj_ptqi66GCucihVvJfMjLAmec39IyEx_6qawtMGysU/edit?usp=sharing"",""สบก!CU39"")"),0.0)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IFERROR(__xludf.DUMMYFUNCTION("IMPORTRANGE(""https://docs.google.com/spreadsheets/d/1Yj_ptqi66GCucihVvJfMjLAmec39IyEx_6qawtMGysU/edit?usp=sharing"",""สบก!CP39"")"),0.0)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IFERROR(__xludf.DUMMYFUNCTION("IMPORTRANGE(""https://docs.google.com/spreadsheets/d/1Yj_ptqi66GCucihVvJfMjLAmec39IyEx_6qawtMGysU/edit?usp=sharing"",""สบก!CQ39"")"),0.0)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IFERROR(__xludf.DUMMYFUNCTION("IMPORTRANGE(""https://docs.google.com/spreadsheets/d/1Yj_ptqi66GCucihVvJfMjLAmec39IyEx_6qawtMGysU/edit?usp=sharing"",""สบก!CR39"")"),0.0)</f>
        <v>0</v>
      </c>
      <c r="M298" s="125"/>
      <c r="N298" s="115">
        <f>IFERROR(__xludf.DUMMYFUNCTION("IMPORTRANGE(""https://docs.google.com/spreadsheets/d/1Yj_ptqi66GCucihVvJfMjLAmec39IyEx_6qawtMGysU/edit?usp=sharing"",""สบก!CV39"")"),0.0)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IFERROR(__xludf.DUMMYFUNCTION("IMPORTRANGE(""https://docs.google.com/spreadsheets/d/1XL5vhW3sbDhbH9Cz0tuDiY8C3ctxq1tqvaCgkFb8cCA/edit?usp=sharing"",""ขอนแก่น!J205"")"),0.0)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IFERROR(__xludf.DUMMYFUNCTION("IMPORTRANGE(""https://docs.google.com/spreadsheets/d/1XL5vhW3sbDhbH9Cz0tuDiY8C3ctxq1tqvaCgkFb8cCA/edit?usp=sharing"",""ขอนแก่น!J206"")"),0.0)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IFERROR(__xludf.DUMMYFUNCTION("IMPORTRANGE(""https://docs.google.com/spreadsheets/d/1XL5vhW3sbDhbH9Cz0tuDiY8C3ctxq1tqvaCgkFb8cCA/edit?usp=sharing"",""ขอนแก่น!J207"")"),0.0)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IFERROR(__xludf.DUMMYFUNCTION("IMPORTRANGE(""https://docs.google.com/spreadsheets/d/1XL5vhW3sbDhbH9Cz0tuDiY8C3ctxq1tqvaCgkFb8cCA/edit?usp=sharing"",""ขอนแก่น!J208"")"),0.0)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IFERROR(__xludf.DUMMYFUNCTION("IMPORTRANGE(""https://docs.google.com/spreadsheets/d/1XL5vhW3sbDhbH9Cz0tuDiY8C3ctxq1tqvaCgkFb8cCA/edit?usp=sharing"",""ขอนแก่น!I209"")"),0.0)</f>
        <v>0</v>
      </c>
      <c r="J304" s="238">
        <f>IFERROR(__xludf.DUMMYFUNCTION("IMPORTRANGE(""https://docs.google.com/spreadsheets/d/1XL5vhW3sbDhbH9Cz0tuDiY8C3ctxq1tqvaCgkFb8cCA/edit?usp=sharing"",""ขอนแก่น!J209"")"),0.0)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IFERROR(__xludf.DUMMYFUNCTION("IMPORTRANGE(""https://docs.google.com/spreadsheets/d/1XL5vhW3sbDhbH9Cz0tuDiY8C3ctxq1tqvaCgkFb8cCA/edit?usp=sharing"",""ขอนแก่น!I211"")"),0.0)</f>
        <v>0</v>
      </c>
      <c r="J306" s="238">
        <f>IFERROR(__xludf.DUMMYFUNCTION("IMPORTRANGE(""https://docs.google.com/spreadsheets/d/1XL5vhW3sbDhbH9Cz0tuDiY8C3ctxq1tqvaCgkFb8cCA/edit?usp=sharing"",""ขอนแก่น!J211"")"),0.0)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IFERROR(__xludf.DUMMYFUNCTION("IMPORTRANGE(""https://docs.google.com/spreadsheets/d/1XL5vhW3sbDhbH9Cz0tuDiY8C3ctxq1tqvaCgkFb8cCA/edit?usp=sharing"",""ขอนแก่น!J212"")"),0.0)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IFERROR(__xludf.DUMMYFUNCTION("IMPORTRANGE(""https://docs.google.com/spreadsheets/d/1XL5vhW3sbDhbH9Cz0tuDiY8C3ctxq1tqvaCgkFb8cCA/edit?usp=sharing"",""ขอนแก่น!J213"")"),0.0)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IFERROR(__xludf.DUMMYFUNCTION("IMPORTRANGE(""https://docs.google.com/spreadsheets/d/1XL5vhW3sbDhbH9Cz0tuDiY8C3ctxq1tqvaCgkFb8cCA/edit?usp=sharing"",""ขอนแก่น!I214"")"),0.0)</f>
        <v>0</v>
      </c>
      <c r="J309" s="366">
        <f>IFERROR(__xludf.DUMMYFUNCTION("IMPORTRANGE(""https://docs.google.com/spreadsheets/d/1XL5vhW3sbDhbH9Cz0tuDiY8C3ctxq1tqvaCgkFb8cCA/edit?usp=sharing"",""ขอนแก่น!J214"")"),0.0)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IFERROR(__xludf.DUMMYFUNCTION("IMPORTRANGE(""https://docs.google.com/spreadsheets/d/1Yj_ptqi66GCucihVvJfMjLAmec39IyEx_6qawtMGysU/edit?usp=sharing"",""สบก!DC39"")"),0.0)</f>
        <v>0</v>
      </c>
      <c r="N314" s="202">
        <f>IFERROR(__xludf.DUMMYFUNCTION("IMPORTRANGE(""https://docs.google.com/spreadsheets/d/1Yj_ptqi66GCucihVvJfMjLAmec39IyEx_6qawtMGysU/edit?usp=sharing"",""สบก!DD39"")"),0.0)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IFERROR(__xludf.DUMMYFUNCTION("IMPORTRANGE(""https://docs.google.com/spreadsheets/d/1Yj_ptqi66GCucihVvJfMjLAmec39IyEx_6qawtMGysU/edit?usp=sharing"",""สบก!CY39"")"),0.0)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IFERROR(__xludf.DUMMYFUNCTION("IMPORTRANGE(""https://docs.google.com/spreadsheets/d/1Yj_ptqi66GCucihVvJfMjLAmec39IyEx_6qawtMGysU/edit?usp=sharing"",""สบก!CZ39"")"),0.0)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IFERROR(__xludf.DUMMYFUNCTION("IMPORTRANGE(""https://docs.google.com/spreadsheets/d/1Yj_ptqi66GCucihVvJfMjLAmec39IyEx_6qawtMGysU/edit?usp=sharing"",""สบก!DA39"")"),0.0)</f>
        <v>0</v>
      </c>
      <c r="M318" s="125"/>
      <c r="N318" s="115">
        <f>IFERROR(__xludf.DUMMYFUNCTION("IMPORTRANGE(""https://docs.google.com/spreadsheets/d/1Yj_ptqi66GCucihVvJfMjLAmec39IyEx_6qawtMGysU/edit?usp=sharing"",""สบก!DE39"")"),0.0)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IFERROR(__xludf.DUMMYFUNCTION("IMPORTRANGE(""https://docs.google.com/spreadsheets/d/1XL5vhW3sbDhbH9Cz0tuDiY8C3ctxq1tqvaCgkFb8cCA/edit?usp=sharing"",""ขอนแก่น!J220"")"),0.0)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IFERROR(__xludf.DUMMYFUNCTION("IMPORTRANGE(""https://docs.google.com/spreadsheets/d/1XL5vhW3sbDhbH9Cz0tuDiY8C3ctxq1tqvaCgkFb8cCA/edit?usp=sharing"",""ขอนแก่น!J221"")"),0.0)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IFERROR(__xludf.DUMMYFUNCTION("IMPORTRANGE(""https://docs.google.com/spreadsheets/d/1XL5vhW3sbDhbH9Cz0tuDiY8C3ctxq1tqvaCgkFb8cCA/edit?usp=sharing"",""ขอนแก่น!J222"")"),0.0)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IFERROR(__xludf.DUMMYFUNCTION("IMPORTRANGE(""https://docs.google.com/spreadsheets/d/1XL5vhW3sbDhbH9Cz0tuDiY8C3ctxq1tqvaCgkFb8cCA/edit?usp=sharing"",""ขอนแก่น!J223"")"),0.0)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IFERROR(__xludf.DUMMYFUNCTION("IMPORTRANGE(""https://docs.google.com/spreadsheets/d/1XL5vhW3sbDhbH9Cz0tuDiY8C3ctxq1tqvaCgkFb8cCA/edit?usp=sharing"",""ขอนแก่น!I224"")"),0.0)</f>
        <v>0</v>
      </c>
      <c r="J324" s="238">
        <f>IFERROR(__xludf.DUMMYFUNCTION("IMPORTRANGE(""https://docs.google.com/spreadsheets/d/1XL5vhW3sbDhbH9Cz0tuDiY8C3ctxq1tqvaCgkFb8cCA/edit?usp=sharing"",""ขอนแก่น!J224"")"),0.0)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IFERROR(__xludf.DUMMYFUNCTION("IMPORTRANGE(""https://docs.google.com/spreadsheets/d/1XL5vhW3sbDhbH9Cz0tuDiY8C3ctxq1tqvaCgkFb8cCA/edit?usp=sharing"",""ขอนแก่น!J225"")"),0.0)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IFERROR(__xludf.DUMMYFUNCTION("IMPORTRANGE(""https://docs.google.com/spreadsheets/d/1XL5vhW3sbDhbH9Cz0tuDiY8C3ctxq1tqvaCgkFb8cCA/edit?usp=sharing"",""ขอนแก่น!J226"")"),0.0)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IFERROR(__xludf.DUMMYFUNCTION("IMPORTRANGE(""https://docs.google.com/spreadsheets/d/1XL5vhW3sbDhbH9Cz0tuDiY8C3ctxq1tqvaCgkFb8cCA/edit?usp=sharing"",""ขอนแก่น!I228"")"),400.0)</f>
        <v>400</v>
      </c>
      <c r="J328" s="372">
        <f>IFERROR(__xludf.DUMMYFUNCTION("IMPORTRANGE(""https://docs.google.com/spreadsheets/d/1XL5vhW3sbDhbH9Cz0tuDiY8C3ctxq1tqvaCgkFb8cCA/edit?usp=sharing"",""ขอนแก่น!J228"")"),201.0)</f>
        <v>201</v>
      </c>
      <c r="K328" s="350">
        <f>IF(I328&gt;0,J328*100/I328,0)</f>
        <v>50.25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1211000</v>
      </c>
      <c r="M329" s="183">
        <f t="shared" si="99"/>
        <v>661010</v>
      </c>
      <c r="N329" s="183">
        <f t="shared" si="99"/>
        <v>472080</v>
      </c>
      <c r="O329" s="182">
        <f t="shared" ref="O329:O331" si="101">IF(L329&gt;0,N329*100/L329,0)</f>
        <v>38.98265896</v>
      </c>
      <c r="P329" s="182">
        <f t="shared" ref="P329:P331" si="102">IF(M329&gt;0,N329*100/M329,0)</f>
        <v>71.41798157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1211000</v>
      </c>
      <c r="M331" s="188">
        <f t="shared" si="103"/>
        <v>661010</v>
      </c>
      <c r="N331" s="188">
        <f t="shared" si="103"/>
        <v>472080</v>
      </c>
      <c r="O331" s="187">
        <f t="shared" si="101"/>
        <v>38.98265896</v>
      </c>
      <c r="P331" s="187">
        <f t="shared" si="102"/>
        <v>71.41798157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1194000</v>
      </c>
      <c r="M333" s="201">
        <f>IFERROR(__xludf.DUMMYFUNCTION("IMPORTRANGE(""https://docs.google.com/spreadsheets/d/1Yj_ptqi66GCucihVvJfMjLAmec39IyEx_6qawtMGysU/edit?usp=sharing"",""สบก!DL39"")"),661010.0)</f>
        <v>661010</v>
      </c>
      <c r="N333" s="202">
        <f>IFERROR(__xludf.DUMMYFUNCTION("IMPORTRANGE(""https://docs.google.com/spreadsheets/d/1Yj_ptqi66GCucihVvJfMjLAmec39IyEx_6qawtMGysU/edit?usp=sharing"",""สบก!DM39"")"),455080.0)</f>
        <v>455080</v>
      </c>
      <c r="O333" s="203">
        <f>IF(L333&gt;0,N333*100/L333,0)</f>
        <v>38.11390285</v>
      </c>
      <c r="P333" s="203">
        <f>IF(M333&gt;0,N333*100/M333,0)</f>
        <v>68.84615966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IFERROR(__xludf.DUMMYFUNCTION("IMPORTRANGE(""https://docs.google.com/spreadsheets/d/1Yj_ptqi66GCucihVvJfMjLAmec39IyEx_6qawtMGysU/edit?usp=sharing"",""สบก!DH39"")"),500400.0)</f>
        <v>500400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IFERROR(__xludf.DUMMYFUNCTION("IMPORTRANGE(""https://docs.google.com/spreadsheets/d/1Yj_ptqi66GCucihVvJfMjLAmec39IyEx_6qawtMGysU/edit?usp=sharing"",""สบก!DI39"")"),693600.0)</f>
        <v>693600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IFERROR(__xludf.DUMMYFUNCTION("IMPORTRANGE(""https://docs.google.com/spreadsheets/d/1Yj_ptqi66GCucihVvJfMjLAmec39IyEx_6qawtMGysU/edit?usp=sharing"",""สบก!DJ39"")"),17000.0)</f>
        <v>17000</v>
      </c>
      <c r="M337" s="125"/>
      <c r="N337" s="115">
        <f>IFERROR(__xludf.DUMMYFUNCTION("IMPORTRANGE(""https://docs.google.com/spreadsheets/d/1Yj_ptqi66GCucihVvJfMjLAmec39IyEx_6qawtMGysU/edit?usp=sharing"",""สบก!DN39"")"),17000.0)</f>
        <v>17000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IFERROR(__xludf.DUMMYFUNCTION("IMPORTRANGE(""https://docs.google.com/spreadsheets/d/1XL5vhW3sbDhbH9Cz0tuDiY8C3ctxq1tqvaCgkFb8cCA/edit?usp=sharing"",""ขอนแก่น!I234"")"),0.0)</f>
        <v>0</v>
      </c>
      <c r="J339" s="222">
        <f>IFERROR(__xludf.DUMMYFUNCTION("IMPORTRANGE(""https://docs.google.com/spreadsheets/d/1XL5vhW3sbDhbH9Cz0tuDiY8C3ctxq1tqvaCgkFb8cCA/edit?usp=sharing"",""ขอนแก่น!J234"")"),152.0)</f>
        <v>152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IFERROR(__xludf.DUMMYFUNCTION("IMPORTRANGE(""https://docs.google.com/spreadsheets/d/1XL5vhW3sbDhbH9Cz0tuDiY8C3ctxq1tqvaCgkFb8cCA/edit?usp=sharing"",""ขอนแก่น!I235"")"),4000.0)</f>
        <v>4000</v>
      </c>
      <c r="J340" s="222">
        <f>IFERROR(__xludf.DUMMYFUNCTION("IMPORTRANGE(""https://docs.google.com/spreadsheets/d/1XL5vhW3sbDhbH9Cz0tuDiY8C3ctxq1tqvaCgkFb8cCA/edit?usp=sharing"",""ขอนแก่น!J235"")"),1316.62)</f>
        <v>1316.62</v>
      </c>
      <c r="K340" s="375">
        <f t="shared" si="104"/>
        <v>32.9155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IFERROR(__xludf.DUMMYFUNCTION("IMPORTRANGE(""https://docs.google.com/spreadsheets/d/1XL5vhW3sbDhbH9Cz0tuDiY8C3ctxq1tqvaCgkFb8cCA/edit?usp=sharing"",""ขอนแก่น!I236"")"),400.0)</f>
        <v>400</v>
      </c>
      <c r="J341" s="222">
        <f>IFERROR(__xludf.DUMMYFUNCTION("IMPORTRANGE(""https://docs.google.com/spreadsheets/d/1XL5vhW3sbDhbH9Cz0tuDiY8C3ctxq1tqvaCgkFb8cCA/edit?usp=sharing"",""ขอนแก่น!J236"")"),248.0)</f>
        <v>248</v>
      </c>
      <c r="K341" s="375">
        <f t="shared" si="104"/>
        <v>62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IFERROR(__xludf.DUMMYFUNCTION("IMPORTRANGE(""https://docs.google.com/spreadsheets/d/1XL5vhW3sbDhbH9Cz0tuDiY8C3ctxq1tqvaCgkFb8cCA/edit?usp=sharing"",""ขอนแก่น!I237"")"),0.0)</f>
        <v>0</v>
      </c>
      <c r="J342" s="222">
        <f>IFERROR(__xludf.DUMMYFUNCTION("IMPORTRANGE(""https://docs.google.com/spreadsheets/d/1XL5vhW3sbDhbH9Cz0tuDiY8C3ctxq1tqvaCgkFb8cCA/edit?usp=sharing"",""ขอนแก่น!J237"")"),2696.33)</f>
        <v>2696.33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IFERROR(__xludf.DUMMYFUNCTION("IMPORTRANGE(""https://docs.google.com/spreadsheets/d/1XL5vhW3sbDhbH9Cz0tuDiY8C3ctxq1tqvaCgkFb8cCA/edit?usp=sharing"",""ขอนแก่น!I238"")"),400.0)</f>
        <v>400</v>
      </c>
      <c r="J343" s="222">
        <f>IFERROR(__xludf.DUMMYFUNCTION("IMPORTRANGE(""https://docs.google.com/spreadsheets/d/1XL5vhW3sbDhbH9Cz0tuDiY8C3ctxq1tqvaCgkFb8cCA/edit?usp=sharing"",""ขอนแก่น!J238"")"),0.0)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IFERROR(__xludf.DUMMYFUNCTION("IMPORTRANGE(""https://docs.google.com/spreadsheets/d/1XL5vhW3sbDhbH9Cz0tuDiY8C3ctxq1tqvaCgkFb8cCA/edit?usp=sharing"",""ขอนแก่น!I239"")"),0.0)</f>
        <v>0</v>
      </c>
      <c r="J344" s="222">
        <f>IFERROR(__xludf.DUMMYFUNCTION("IMPORTRANGE(""https://docs.google.com/spreadsheets/d/1XL5vhW3sbDhbH9Cz0tuDiY8C3ctxq1tqvaCgkFb8cCA/edit?usp=sharing"",""ขอนแก่น!J239"")"),0.0)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IFERROR(__xludf.DUMMYFUNCTION("IMPORTRANGE(""https://docs.google.com/spreadsheets/d/1XL5vhW3sbDhbH9Cz0tuDiY8C3ctxq1tqvaCgkFb8cCA/edit?usp=sharing"",""ขอนแก่น!I240"")"),400.0)</f>
        <v>400</v>
      </c>
      <c r="J345" s="222">
        <f>IFERROR(__xludf.DUMMYFUNCTION("IMPORTRANGE(""https://docs.google.com/spreadsheets/d/1XL5vhW3sbDhbH9Cz0tuDiY8C3ctxq1tqvaCgkFb8cCA/edit?usp=sharing"",""ขอนแก่น!J240"")"),201.0)</f>
        <v>201</v>
      </c>
      <c r="K345" s="375">
        <f t="shared" si="104"/>
        <v>50.25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IFERROR(__xludf.DUMMYFUNCTION("IMPORTRANGE(""https://docs.google.com/spreadsheets/d/1XL5vhW3sbDhbH9Cz0tuDiY8C3ctxq1tqvaCgkFb8cCA/edit?usp=sharing"",""ขอนแก่น!I241"")"),0.0)</f>
        <v>0</v>
      </c>
      <c r="J346" s="222">
        <f>IFERROR(__xludf.DUMMYFUNCTION("IMPORTRANGE(""https://docs.google.com/spreadsheets/d/1XL5vhW3sbDhbH9Cz0tuDiY8C3ctxq1tqvaCgkFb8cCA/edit?usp=sharing"",""ขอนแก่น!J241"")"),2140.83)</f>
        <v>2140.83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IFERROR(__xludf.DUMMYFUNCTION("IMPORTRANGE(""https://docs.google.com/spreadsheets/d/1XL5vhW3sbDhbH9Cz0tuDiY8C3ctxq1tqvaCgkFb8cCA/edit?usp=sharing"",""ขอนแก่น!L242"")"),2729921.0)</f>
        <v>2729921</v>
      </c>
      <c r="M347" s="391"/>
      <c r="N347" s="391">
        <f>IFERROR(__xludf.DUMMYFUNCTION("IMPORTRANGE(""https://docs.google.com/spreadsheets/d/1XL5vhW3sbDhbH9Cz0tuDiY8C3ctxq1tqvaCgkFb8cCA/edit?usp=sharing"",""ขอนแก่น!M242"")"),231093.78999999998)</f>
        <v>231093.79</v>
      </c>
      <c r="O347" s="391">
        <f>+IF(L347&gt;0,N347*100/L347,0)</f>
        <v>8.465218957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IFERROR(__xludf.DUMMYFUNCTION("IMPORTRANGE(""https://docs.google.com/spreadsheets/d/1XL5vhW3sbDhbH9Cz0tuDiY8C3ctxq1tqvaCgkFb8cCA/edit?usp=sharing"",""ขอนแก่น!I244"")"),95.0)</f>
        <v>95</v>
      </c>
      <c r="J349" s="404">
        <f>IFERROR(__xludf.DUMMYFUNCTION("IMPORTRANGE(""https://docs.google.com/spreadsheets/d/1XL5vhW3sbDhbH9Cz0tuDiY8C3ctxq1tqvaCgkFb8cCA/edit?usp=sharing"",""ขอนแก่น!J244"")"),0.0)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IFERROR(__xludf.DUMMYFUNCTION("IMPORTRANGE(""https://docs.google.com/spreadsheets/d/1XL5vhW3sbDhbH9Cz0tuDiY8C3ctxq1tqvaCgkFb8cCA/edit?usp=sharing"",""ขอนแก่น!L244"")"),349530.0)</f>
        <v>349530</v>
      </c>
      <c r="M349" s="406"/>
      <c r="N349" s="406">
        <f>IFERROR(__xludf.DUMMYFUNCTION("IMPORTRANGE(""https://docs.google.com/spreadsheets/d/1XL5vhW3sbDhbH9Cz0tuDiY8C3ctxq1tqvaCgkFb8cCA/edit?usp=sharing"",""ขอนแก่น!M244"")"),25053.33)</f>
        <v>25053.33</v>
      </c>
      <c r="O349" s="406">
        <f>+IF(L349&gt;0,N349*100/L349,0)</f>
        <v>7.167719509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IFERROR(__xludf.DUMMYFUNCTION("IMPORTRANGE(""https://docs.google.com/spreadsheets/d/1XL5vhW3sbDhbH9Cz0tuDiY8C3ctxq1tqvaCgkFb8cCA/edit?usp=sharing"",""ขอนแก่น!I245"")"),55.0)</f>
        <v>55</v>
      </c>
      <c r="J350" s="404">
        <f>IFERROR(__xludf.DUMMYFUNCTION("IMPORTRANGE(""https://docs.google.com/spreadsheets/d/1XL5vhW3sbDhbH9Cz0tuDiY8C3ctxq1tqvaCgkFb8cCA/edit?usp=sharing"",""ขอนแก่น!J245"")"),0.0)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IFERROR(__xludf.DUMMYFUNCTION("IMPORTRANGE(""https://docs.google.com/spreadsheets/d/1XL5vhW3sbDhbH9Cz0tuDiY8C3ctxq1tqvaCgkFb8cCA/edit?usp=sharing"",""ขอนแก่น!L246"")"),0.0)</f>
        <v>0</v>
      </c>
      <c r="M351" s="197"/>
      <c r="N351" s="197">
        <f>IFERROR(__xludf.DUMMYFUNCTION("IMPORTRANGE(""https://docs.google.com/spreadsheets/d/1XL5vhW3sbDhbH9Cz0tuDiY8C3ctxq1tqvaCgkFb8cCA/edit?usp=sharing"",""ขอนแก่น!M246"")"),0.0)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IFERROR(__xludf.DUMMYFUNCTION("IMPORTRANGE(""https://docs.google.com/spreadsheets/d/1XL5vhW3sbDhbH9Cz0tuDiY8C3ctxq1tqvaCgkFb8cCA/edit?usp=sharing"",""ขอนแก่น!L247"")"),349530.0)</f>
        <v>349530</v>
      </c>
      <c r="M352" s="198"/>
      <c r="N352" s="197">
        <f>IFERROR(__xludf.DUMMYFUNCTION("IMPORTRANGE(""https://docs.google.com/spreadsheets/d/1XL5vhW3sbDhbH9Cz0tuDiY8C3ctxq1tqvaCgkFb8cCA/edit?usp=sharing"",""ขอนแก่น!M247"")"),25053.33)</f>
        <v>25053.33</v>
      </c>
      <c r="O352" s="198">
        <f t="shared" si="106"/>
        <v>7.167719509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IFERROR(__xludf.DUMMYFUNCTION("IMPORTRANGE(""https://docs.google.com/spreadsheets/d/1XL5vhW3sbDhbH9Cz0tuDiY8C3ctxq1tqvaCgkFb8cCA/edit?usp=sharing"",""ขอนแก่น!L248"")"),0.0)</f>
        <v>0</v>
      </c>
      <c r="M353" s="203"/>
      <c r="N353" s="203">
        <f>IFERROR(__xludf.DUMMYFUNCTION("IMPORTRANGE(""https://docs.google.com/spreadsheets/d/1XL5vhW3sbDhbH9Cz0tuDiY8C3ctxq1tqvaCgkFb8cCA/edit?usp=sharing"",""ขอนแก่น!M248"")"),0.0)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IFERROR(__xludf.DUMMYFUNCTION("IMPORTRANGE(""https://docs.google.com/spreadsheets/d/1XL5vhW3sbDhbH9Cz0tuDiY8C3ctxq1tqvaCgkFb8cCA/edit?usp=sharing"",""ขอนแก่น!L249"")"),349530.0)</f>
        <v>349530</v>
      </c>
      <c r="M354" s="203"/>
      <c r="N354" s="200">
        <f>IFERROR(__xludf.DUMMYFUNCTION("IMPORTRANGE(""https://docs.google.com/spreadsheets/d/1XL5vhW3sbDhbH9Cz0tuDiY8C3ctxq1tqvaCgkFb8cCA/edit?usp=sharing"",""ขอนแก่น!M249"")"),25053.33)</f>
        <v>25053.33</v>
      </c>
      <c r="O354" s="203">
        <f t="shared" si="106"/>
        <v>7.167719509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IFERROR(__xludf.DUMMYFUNCTION("IMPORTRANGE(""https://docs.google.com/spreadsheets/d/1XL5vhW3sbDhbH9Cz0tuDiY8C3ctxq1tqvaCgkFb8cCA/edit?usp=sharing"",""ขอนแก่น!M250"")"),0.0)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IFERROR(__xludf.DUMMYFUNCTION("IMPORTRANGE(""https://docs.google.com/spreadsheets/d/1XL5vhW3sbDhbH9Cz0tuDiY8C3ctxq1tqvaCgkFb8cCA/edit?usp=sharing"",""ขอนแก่น!M251"")"),0.0)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IFERROR(__xludf.DUMMYFUNCTION("IMPORTRANGE(""https://docs.google.com/spreadsheets/d/1XL5vhW3sbDhbH9Cz0tuDiY8C3ctxq1tqvaCgkFb8cCA/edit?usp=sharing"",""ขอนแก่น!M252"")"),21633.33)</f>
        <v>21633.33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IFERROR(__xludf.DUMMYFUNCTION("IMPORTRANGE(""https://docs.google.com/spreadsheets/d/1XL5vhW3sbDhbH9Cz0tuDiY8C3ctxq1tqvaCgkFb8cCA/edit?usp=sharing"",""ขอนแก่น!M253"")"),3420.0)</f>
        <v>3420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IFERROR(__xludf.DUMMYFUNCTION("IMPORTRANGE(""https://docs.google.com/spreadsheets/d/1XL5vhW3sbDhbH9Cz0tuDiY8C3ctxq1tqvaCgkFb8cCA/edit?usp=sharing"",""ขอนแก่น!J255"")"),0.0)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IFERROR(__xludf.DUMMYFUNCTION("IMPORTRANGE(""https://docs.google.com/spreadsheets/d/1XL5vhW3sbDhbH9Cz0tuDiY8C3ctxq1tqvaCgkFb8cCA/edit?usp=sharing"",""ขอนแก่น!J256"")"),1.0)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IFERROR(__xludf.DUMMYFUNCTION("IMPORTRANGE(""https://docs.google.com/spreadsheets/d/1XL5vhW3sbDhbH9Cz0tuDiY8C3ctxq1tqvaCgkFb8cCA/edit?usp=sharing"",""ขอนแก่น!J257"")"),1.0)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IFERROR(__xludf.DUMMYFUNCTION("IMPORTRANGE(""https://docs.google.com/spreadsheets/d/1XL5vhW3sbDhbH9Cz0tuDiY8C3ctxq1tqvaCgkFb8cCA/edit?usp=sharing"",""ขอนแก่น!J258"")"),0.0)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IFERROR(__xludf.DUMMYFUNCTION("IMPORTRANGE(""https://docs.google.com/spreadsheets/d/1XL5vhW3sbDhbH9Cz0tuDiY8C3ctxq1tqvaCgkFb8cCA/edit?usp=sharing"",""ขอนแก่น!J166"")"),0.0)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IFERROR(__xludf.DUMMYFUNCTION("IMPORTRANGE(""https://docs.google.com/spreadsheets/d/1XL5vhW3sbDhbH9Cz0tuDiY8C3ctxq1tqvaCgkFb8cCA/edit?usp=sharing"",""ขอนแก่น!J166"")"),0.0)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IFERROR(__xludf.DUMMYFUNCTION("IMPORTRANGE(""https://docs.google.com/spreadsheets/d/1XL5vhW3sbDhbH9Cz0tuDiY8C3ctxq1tqvaCgkFb8cCA/edit?usp=sharing"",""ขอนแก่น!J166"")"),0.0)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IFERROR(__xludf.DUMMYFUNCTION("IMPORTRANGE(""https://docs.google.com/spreadsheets/d/1XL5vhW3sbDhbH9Cz0tuDiY8C3ctxq1tqvaCgkFb8cCA/edit?usp=sharing"",""ขอนแก่น!J166"")"),0.0)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IFERROR(__xludf.DUMMYFUNCTION("IMPORTRANGE(""https://docs.google.com/spreadsheets/d/1XL5vhW3sbDhbH9Cz0tuDiY8C3ctxq1tqvaCgkFb8cCA/edit?usp=sharing"",""ขอนแก่น!I263"")"),55.0)</f>
        <v>55</v>
      </c>
      <c r="J368" s="222">
        <f>IFERROR(__xludf.DUMMYFUNCTION("IMPORTRANGE(""https://docs.google.com/spreadsheets/d/1XL5vhW3sbDhbH9Cz0tuDiY8C3ctxq1tqvaCgkFb8cCA/edit?usp=sharing"",""ขอนแก่น!J263"")"),0.0)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IFERROR(__xludf.DUMMYFUNCTION("IMPORTRANGE(""https://docs.google.com/spreadsheets/d/1XL5vhW3sbDhbH9Cz0tuDiY8C3ctxq1tqvaCgkFb8cCA/edit?usp=sharing"",""ขอนแก่น!I164"")"),0.0)</f>
        <v>0</v>
      </c>
      <c r="J369" s="238">
        <f>IFERROR(__xludf.DUMMYFUNCTION("IMPORTRANGE(""https://docs.google.com/spreadsheets/d/1XL5vhW3sbDhbH9Cz0tuDiY8C3ctxq1tqvaCgkFb8cCA/edit?usp=sharing"",""ขอนแก่น!J164"")"),0.0)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IFERROR(__xludf.DUMMYFUNCTION("IMPORTRANGE(""https://docs.google.com/spreadsheets/d/1XL5vhW3sbDhbH9Cz0tuDiY8C3ctxq1tqvaCgkFb8cCA/edit?usp=sharing"",""ขอนแก่น!I265"")"),55.0)</f>
        <v>55</v>
      </c>
      <c r="J370" s="238">
        <f>IFERROR(__xludf.DUMMYFUNCTION("IMPORTRANGE(""https://docs.google.com/spreadsheets/d/1XL5vhW3sbDhbH9Cz0tuDiY8C3ctxq1tqvaCgkFb8cCA/edit?usp=sharing"",""ขอนแก่น!J265"")"),0.0)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IFERROR(__xludf.DUMMYFUNCTION("IMPORTRANGE(""https://docs.google.com/spreadsheets/d/1XL5vhW3sbDhbH9Cz0tuDiY8C3ctxq1tqvaCgkFb8cCA/edit?usp=sharing"",""ขอนแก่น!I164"")"),0.0)</f>
        <v>0</v>
      </c>
      <c r="J371" s="223">
        <f>IFERROR(__xludf.DUMMYFUNCTION("IMPORTRANGE(""https://docs.google.com/spreadsheets/d/1XL5vhW3sbDhbH9Cz0tuDiY8C3ctxq1tqvaCgkFb8cCA/edit?usp=sharing"",""ขอนแก่น!J164"")"),0.0)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IFERROR(__xludf.DUMMYFUNCTION("IMPORTRANGE(""https://docs.google.com/spreadsheets/d/1XL5vhW3sbDhbH9Cz0tuDiY8C3ctxq1tqvaCgkFb8cCA/edit?usp=sharing"",""ขอนแก่น!I267"")"),55.0)</f>
        <v>55</v>
      </c>
      <c r="J372" s="223">
        <f>IFERROR(__xludf.DUMMYFUNCTION("IMPORTRANGE(""https://docs.google.com/spreadsheets/d/1XL5vhW3sbDhbH9Cz0tuDiY8C3ctxq1tqvaCgkFb8cCA/edit?usp=sharing"",""ขอนแก่น!J267"")"),0.0)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IFERROR(__xludf.DUMMYFUNCTION("IMPORTRANGE(""https://docs.google.com/spreadsheets/d/1XL5vhW3sbDhbH9Cz0tuDiY8C3ctxq1tqvaCgkFb8cCA/edit?usp=sharing"",""ขอนแก่น!I164"")"),0.0)</f>
        <v>0</v>
      </c>
      <c r="J373" s="238">
        <f>IFERROR(__xludf.DUMMYFUNCTION("IMPORTRANGE(""https://docs.google.com/spreadsheets/d/1XL5vhW3sbDhbH9Cz0tuDiY8C3ctxq1tqvaCgkFb8cCA/edit?usp=sharing"",""ขอนแก่น!J164"")"),0.0)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IFERROR(__xludf.DUMMYFUNCTION("IMPORTRANGE(""https://docs.google.com/spreadsheets/d/1XL5vhW3sbDhbH9Cz0tuDiY8C3ctxq1tqvaCgkFb8cCA/edit?usp=sharing"",""ขอนแก่น!I164"")"),0.0)</f>
        <v>0</v>
      </c>
      <c r="J374" s="222">
        <f>IFERROR(__xludf.DUMMYFUNCTION("IMPORTRANGE(""https://docs.google.com/spreadsheets/d/1XL5vhW3sbDhbH9Cz0tuDiY8C3ctxq1tqvaCgkFb8cCA/edit?usp=sharing"",""ขอนแก่น!J164"")"),0.0)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IFERROR(__xludf.DUMMYFUNCTION("IMPORTRANGE(""https://docs.google.com/spreadsheets/d/1XL5vhW3sbDhbH9Cz0tuDiY8C3ctxq1tqvaCgkFb8cCA/edit?usp=sharing"",""ขอนแก่น!I270"")"),95.0)</f>
        <v>95</v>
      </c>
      <c r="J375" s="222">
        <f>IFERROR(__xludf.DUMMYFUNCTION("IMPORTRANGE(""https://docs.google.com/spreadsheets/d/1XL5vhW3sbDhbH9Cz0tuDiY8C3ctxq1tqvaCgkFb8cCA/edit?usp=sharing"",""ขอนแก่น!J270"")"),0.0)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IFERROR(__xludf.DUMMYFUNCTION("IMPORTRANGE(""https://docs.google.com/spreadsheets/d/1XL5vhW3sbDhbH9Cz0tuDiY8C3ctxq1tqvaCgkFb8cCA/edit?usp=sharing"",""ขอนแก่น!I271"")"),60.0)</f>
        <v>60</v>
      </c>
      <c r="J376" s="223">
        <f>IFERROR(__xludf.DUMMYFUNCTION("IMPORTRANGE(""https://docs.google.com/spreadsheets/d/1XL5vhW3sbDhbH9Cz0tuDiY8C3ctxq1tqvaCgkFb8cCA/edit?usp=sharing"",""ขอนแก่น!J271"")"),0.0)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IFERROR(__xludf.DUMMYFUNCTION("IMPORTRANGE(""https://docs.google.com/spreadsheets/d/1XL5vhW3sbDhbH9Cz0tuDiY8C3ctxq1tqvaCgkFb8cCA/edit?usp=sharing"",""ขอนแก่น!I272"")"),35.0)</f>
        <v>35</v>
      </c>
      <c r="J377" s="238">
        <f>IFERROR(__xludf.DUMMYFUNCTION("IMPORTRANGE(""https://docs.google.com/spreadsheets/d/1XL5vhW3sbDhbH9Cz0tuDiY8C3ctxq1tqvaCgkFb8cCA/edit?usp=sharing"",""ขอนแก่น!J272"")"),0.0)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IFERROR(__xludf.DUMMYFUNCTION("IMPORTRANGE(""https://docs.google.com/spreadsheets/d/1XL5vhW3sbDhbH9Cz0tuDiY8C3ctxq1tqvaCgkFb8cCA/edit?usp=sharing"",""ขอนแก่น!J273"")"),0.0)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IFERROR(__xludf.DUMMYFUNCTION("IMPORTRANGE(""https://docs.google.com/spreadsheets/d/1XL5vhW3sbDhbH9Cz0tuDiY8C3ctxq1tqvaCgkFb8cCA/edit?usp=sharing"",""ขอนแก่น!J274"")"),0.0)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IFERROR(__xludf.DUMMYFUNCTION("IMPORTRANGE(""https://docs.google.com/spreadsheets/d/1XL5vhW3sbDhbH9Cz0tuDiY8C3ctxq1tqvaCgkFb8cCA/edit?usp=sharing"",""ขอนแก่น!I275"")"),1000.0)</f>
        <v>1000</v>
      </c>
      <c r="J380" s="404">
        <f>IFERROR(__xludf.DUMMYFUNCTION("IMPORTRANGE(""https://docs.google.com/spreadsheets/d/1XL5vhW3sbDhbH9Cz0tuDiY8C3ctxq1tqvaCgkFb8cCA/edit?usp=sharing"",""ขอนแก่น!J275"")"),0.0)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IFERROR(__xludf.DUMMYFUNCTION("IMPORTRANGE(""https://docs.google.com/spreadsheets/d/1XL5vhW3sbDhbH9Cz0tuDiY8C3ctxq1tqvaCgkFb8cCA/edit?usp=sharing"",""ขอนแก่น!L275"")"),1028520.0)</f>
        <v>1028520</v>
      </c>
      <c r="M380" s="406"/>
      <c r="N380" s="406">
        <f>IFERROR(__xludf.DUMMYFUNCTION("IMPORTRANGE(""https://docs.google.com/spreadsheets/d/1XL5vhW3sbDhbH9Cz0tuDiY8C3ctxq1tqvaCgkFb8cCA/edit?usp=sharing"",""ขอนแก่น!M275"")"),48775.479999999996)</f>
        <v>48775.48</v>
      </c>
      <c r="O380" s="406">
        <f>+IF(L380&gt;0,N380*100/L380,0)</f>
        <v>4.74229767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IFERROR(__xludf.DUMMYFUNCTION("IMPORTRANGE(""https://docs.google.com/spreadsheets/d/1XL5vhW3sbDhbH9Cz0tuDiY8C3ctxq1tqvaCgkFb8cCA/edit?usp=sharing"",""ขอนแก่น!I276"")"),100.0)</f>
        <v>100</v>
      </c>
      <c r="J381" s="404">
        <f>IFERROR(__xludf.DUMMYFUNCTION("IMPORTRANGE(""https://docs.google.com/spreadsheets/d/1XL5vhW3sbDhbH9Cz0tuDiY8C3ctxq1tqvaCgkFb8cCA/edit?usp=sharing"",""ขอนแก่น!J276"")"),0.0)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IFERROR(__xludf.DUMMYFUNCTION("IMPORTRANGE(""https://docs.google.com/spreadsheets/d/1XL5vhW3sbDhbH9Cz0tuDiY8C3ctxq1tqvaCgkFb8cCA/edit?usp=sharing"",""ขอนแก่น!L277"")"),0.0)</f>
        <v>0</v>
      </c>
      <c r="M382" s="197"/>
      <c r="N382" s="197">
        <f>IFERROR(__xludf.DUMMYFUNCTION("IMPORTRANGE(""https://docs.google.com/spreadsheets/d/1XL5vhW3sbDhbH9Cz0tuDiY8C3ctxq1tqvaCgkFb8cCA/edit?usp=sharing"",""ขอนแก่น!M277"")"),0.0)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IFERROR(__xludf.DUMMYFUNCTION("IMPORTRANGE(""https://docs.google.com/spreadsheets/d/1XL5vhW3sbDhbH9Cz0tuDiY8C3ctxq1tqvaCgkFb8cCA/edit?usp=sharing"",""ขอนแก่น!L278"")"),1028520.0)</f>
        <v>1028520</v>
      </c>
      <c r="M383" s="198"/>
      <c r="N383" s="198">
        <f>IFERROR(__xludf.DUMMYFUNCTION("IMPORTRANGE(""https://docs.google.com/spreadsheets/d/1XL5vhW3sbDhbH9Cz0tuDiY8C3ctxq1tqvaCgkFb8cCA/edit?usp=sharing"",""ขอนแก่น!M278"")"),48775.479999999996)</f>
        <v>48775.48</v>
      </c>
      <c r="O383" s="198">
        <f t="shared" si="110"/>
        <v>4.74229767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IFERROR(__xludf.DUMMYFUNCTION("IMPORTRANGE(""https://docs.google.com/spreadsheets/d/1XL5vhW3sbDhbH9Cz0tuDiY8C3ctxq1tqvaCgkFb8cCA/edit?usp=sharing"",""ขอนแก่น!L279"")"),0.0)</f>
        <v>0</v>
      </c>
      <c r="M384" s="203"/>
      <c r="N384" s="203">
        <f>IFERROR(__xludf.DUMMYFUNCTION("IMPORTRANGE(""https://docs.google.com/spreadsheets/d/1XL5vhW3sbDhbH9Cz0tuDiY8C3ctxq1tqvaCgkFb8cCA/edit?usp=sharing"",""ขอนแก่น!M279"")"),0.0)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IFERROR(__xludf.DUMMYFUNCTION("IMPORTRANGE(""https://docs.google.com/spreadsheets/d/1XL5vhW3sbDhbH9Cz0tuDiY8C3ctxq1tqvaCgkFb8cCA/edit?usp=sharing"",""ขอนแก่น!L280"")"),1028520.0)</f>
        <v>1028520</v>
      </c>
      <c r="M385" s="203"/>
      <c r="N385" s="200">
        <f>IFERROR(__xludf.DUMMYFUNCTION("IMPORTRANGE(""https://docs.google.com/spreadsheets/d/1XL5vhW3sbDhbH9Cz0tuDiY8C3ctxq1tqvaCgkFb8cCA/edit?usp=sharing"",""ขอนแก่น!M280"")"),48775.479999999996)</f>
        <v>48775.48</v>
      </c>
      <c r="O385" s="203">
        <f t="shared" si="110"/>
        <v>4.74229767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IFERROR(__xludf.DUMMYFUNCTION("IMPORTRANGE(""https://docs.google.com/spreadsheets/d/1XL5vhW3sbDhbH9Cz0tuDiY8C3ctxq1tqvaCgkFb8cCA/edit?usp=sharing"",""ขอนแก่น!M281"")"),0.0)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IFERROR(__xludf.DUMMYFUNCTION("IMPORTRANGE(""https://docs.google.com/spreadsheets/d/1XL5vhW3sbDhbH9Cz0tuDiY8C3ctxq1tqvaCgkFb8cCA/edit?usp=sharing"",""ขอนแก่น!M282"")"),0.0)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IFERROR(__xludf.DUMMYFUNCTION("IMPORTRANGE(""https://docs.google.com/spreadsheets/d/1XL5vhW3sbDhbH9Cz0tuDiY8C3ctxq1tqvaCgkFb8cCA/edit?usp=sharing"",""ขอนแก่น!M283"")"),31935.48)</f>
        <v>31935.48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IFERROR(__xludf.DUMMYFUNCTION("IMPORTRANGE(""https://docs.google.com/spreadsheets/d/1XL5vhW3sbDhbH9Cz0tuDiY8C3ctxq1tqvaCgkFb8cCA/edit?usp=sharing"",""ขอนแก่น!M284"")"),16840.0)</f>
        <v>16840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IFERROR(__xludf.DUMMYFUNCTION("IMPORTRANGE(""https://docs.google.com/spreadsheets/d/1XL5vhW3sbDhbH9Cz0tuDiY8C3ctxq1tqvaCgkFb8cCA/edit?usp=sharing"",""ขอนแก่น!J286"")"),0.0)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IFERROR(__xludf.DUMMYFUNCTION("IMPORTRANGE(""https://docs.google.com/spreadsheets/d/1XL5vhW3sbDhbH9Cz0tuDiY8C3ctxq1tqvaCgkFb8cCA/edit?usp=sharing"",""ขอนแก่น!J287"")"),1.0)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IFERROR(__xludf.DUMMYFUNCTION("IMPORTRANGE(""https://docs.google.com/spreadsheets/d/1XL5vhW3sbDhbH9Cz0tuDiY8C3ctxq1tqvaCgkFb8cCA/edit?usp=sharing"",""ขอนแก่น!J288"")"),1.0)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IFERROR(__xludf.DUMMYFUNCTION("IMPORTRANGE(""https://docs.google.com/spreadsheets/d/1XL5vhW3sbDhbH9Cz0tuDiY8C3ctxq1tqvaCgkFb8cCA/edit?usp=sharing"",""ขอนแก่น!J289"")"),0.0)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IFERROR(__xludf.DUMMYFUNCTION("IMPORTRANGE(""https://docs.google.com/spreadsheets/d/1XL5vhW3sbDhbH9Cz0tuDiY8C3ctxq1tqvaCgkFb8cCA/edit?usp=sharing"",""ขอนแก่น!I291"")"),100.0)</f>
        <v>100</v>
      </c>
      <c r="J396" s="232">
        <f>IFERROR(__xludf.DUMMYFUNCTION("IMPORTRANGE(""https://docs.google.com/spreadsheets/d/1XL5vhW3sbDhbH9Cz0tuDiY8C3ctxq1tqvaCgkFb8cCA/edit?usp=sharing"",""ขอนแก่น!J291"")"),0.0)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IFERROR(__xludf.DUMMYFUNCTION("IMPORTRANGE(""https://docs.google.com/spreadsheets/d/1XL5vhW3sbDhbH9Cz0tuDiY8C3ctxq1tqvaCgkFb8cCA/edit?usp=sharing"",""ขอนแก่น!I292"")"),1000.0)</f>
        <v>1000</v>
      </c>
      <c r="J397" s="232">
        <f>IFERROR(__xludf.DUMMYFUNCTION("IMPORTRANGE(""https://docs.google.com/spreadsheets/d/1XL5vhW3sbDhbH9Cz0tuDiY8C3ctxq1tqvaCgkFb8cCA/edit?usp=sharing"",""ขอนแก่น!J292"")"),0.0)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IFERROR(__xludf.DUMMYFUNCTION("IMPORTRANGE(""https://docs.google.com/spreadsheets/d/1XL5vhW3sbDhbH9Cz0tuDiY8C3ctxq1tqvaCgkFb8cCA/edit?usp=sharing"",""ขอนแก่น!I293"")"),100.0)</f>
        <v>100</v>
      </c>
      <c r="J398" s="232">
        <f>IFERROR(__xludf.DUMMYFUNCTION("IMPORTRANGE(""https://docs.google.com/spreadsheets/d/1XL5vhW3sbDhbH9Cz0tuDiY8C3ctxq1tqvaCgkFb8cCA/edit?usp=sharing"",""ขอนแก่น!J293"")"),0.0)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IFERROR(__xludf.DUMMYFUNCTION("IMPORTRANGE(""https://docs.google.com/spreadsheets/d/1XL5vhW3sbDhbH9Cz0tuDiY8C3ctxq1tqvaCgkFb8cCA/edit?usp=sharing"",""ขอนแก่น!J294"")"),0.0)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IFERROR(__xludf.DUMMYFUNCTION("IMPORTRANGE(""https://docs.google.com/spreadsheets/d/1XL5vhW3sbDhbH9Cz0tuDiY8C3ctxq1tqvaCgkFb8cCA/edit?usp=sharing"",""ขอนแก่น!J295"")"),0.0)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IFERROR(__xludf.DUMMYFUNCTION("IMPORTRANGE(""https://docs.google.com/spreadsheets/d/1XL5vhW3sbDhbH9Cz0tuDiY8C3ctxq1tqvaCgkFb8cCA/edit?usp=sharing"",""ขอนแก่น!I296"")"),204.0)</f>
        <v>204</v>
      </c>
      <c r="J401" s="404">
        <f>IFERROR(__xludf.DUMMYFUNCTION("IMPORTRANGE(""https://docs.google.com/spreadsheets/d/1XL5vhW3sbDhbH9Cz0tuDiY8C3ctxq1tqvaCgkFb8cCA/edit?usp=sharing"",""ขอนแก่น!J296"")"),0.0)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IFERROR(__xludf.DUMMYFUNCTION("IMPORTRANGE(""https://docs.google.com/spreadsheets/d/1XL5vhW3sbDhbH9Cz0tuDiY8C3ctxq1tqvaCgkFb8cCA/edit?usp=sharing"",""ขอนแก่น!L296"")"),229140.0)</f>
        <v>229140</v>
      </c>
      <c r="M401" s="406"/>
      <c r="N401" s="406">
        <f>IFERROR(__xludf.DUMMYFUNCTION("IMPORTRANGE(""https://docs.google.com/spreadsheets/d/1XL5vhW3sbDhbH9Cz0tuDiY8C3ctxq1tqvaCgkFb8cCA/edit?usp=sharing"",""ขอนแก่น!M296"")"),0.0)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IFERROR(__xludf.DUMMYFUNCTION("IMPORTRANGE(""https://docs.google.com/spreadsheets/d/1XL5vhW3sbDhbH9Cz0tuDiY8C3ctxq1tqvaCgkFb8cCA/edit?usp=sharing"",""ขอนแก่น!I297"")"),68.0)</f>
        <v>68</v>
      </c>
      <c r="J402" s="404">
        <f>IFERROR(__xludf.DUMMYFUNCTION("IMPORTRANGE(""https://docs.google.com/spreadsheets/d/1XL5vhW3sbDhbH9Cz0tuDiY8C3ctxq1tqvaCgkFb8cCA/edit?usp=sharing"",""ขอนแก่น!J297"")"),0.0)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IFERROR(__xludf.DUMMYFUNCTION("IMPORTRANGE(""https://docs.google.com/spreadsheets/d/1XL5vhW3sbDhbH9Cz0tuDiY8C3ctxq1tqvaCgkFb8cCA/edit?usp=sharing"",""ขอนแก่น!L298"")"),0.0)</f>
        <v>0</v>
      </c>
      <c r="M403" s="197"/>
      <c r="N403" s="203">
        <f>IFERROR(__xludf.DUMMYFUNCTION("IMPORTRANGE(""https://docs.google.com/spreadsheets/d/1XL5vhW3sbDhbH9Cz0tuDiY8C3ctxq1tqvaCgkFb8cCA/edit?usp=sharing"",""ขอนแก่น!M298"")"),0.0)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IFERROR(__xludf.DUMMYFUNCTION("IMPORTRANGE(""https://docs.google.com/spreadsheets/d/1XL5vhW3sbDhbH9Cz0tuDiY8C3ctxq1tqvaCgkFb8cCA/edit?usp=sharing"",""ขอนแก่น!L299"")"),229140.0)</f>
        <v>229140</v>
      </c>
      <c r="M404" s="198"/>
      <c r="N404" s="203">
        <f>IFERROR(__xludf.DUMMYFUNCTION("IMPORTRANGE(""https://docs.google.com/spreadsheets/d/1XL5vhW3sbDhbH9Cz0tuDiY8C3ctxq1tqvaCgkFb8cCA/edit?usp=sharing"",""ขอนแก่น!M299"")"),0.0)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IFERROR(__xludf.DUMMYFUNCTION("IMPORTRANGE(""https://docs.google.com/spreadsheets/d/1XL5vhW3sbDhbH9Cz0tuDiY8C3ctxq1tqvaCgkFb8cCA/edit?usp=sharing"",""ขอนแก่น!L300"")"),0.0)</f>
        <v>0</v>
      </c>
      <c r="M405" s="203"/>
      <c r="N405" s="203">
        <f>IFERROR(__xludf.DUMMYFUNCTION("IMPORTRANGE(""https://docs.google.com/spreadsheets/d/1XL5vhW3sbDhbH9Cz0tuDiY8C3ctxq1tqvaCgkFb8cCA/edit?usp=sharing"",""ขอนแก่น!M300"")"),0.0)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IFERROR(__xludf.DUMMYFUNCTION("IMPORTRANGE(""https://docs.google.com/spreadsheets/d/1XL5vhW3sbDhbH9Cz0tuDiY8C3ctxq1tqvaCgkFb8cCA/edit?usp=sharing"",""ขอนแก่น!L301"")"),229140.0)</f>
        <v>229140</v>
      </c>
      <c r="M406" s="203"/>
      <c r="N406" s="203">
        <f>IFERROR(__xludf.DUMMYFUNCTION("IMPORTRANGE(""https://docs.google.com/spreadsheets/d/1XL5vhW3sbDhbH9Cz0tuDiY8C3ctxq1tqvaCgkFb8cCA/edit?usp=sharing"",""ขอนแก่น!M301"")"),0.0)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IFERROR(__xludf.DUMMYFUNCTION("IMPORTRANGE(""https://docs.google.com/spreadsheets/d/1XL5vhW3sbDhbH9Cz0tuDiY8C3ctxq1tqvaCgkFb8cCA/edit?usp=sharing"",""ขอนแก่น!M302"")"),0.0)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IFERROR(__xludf.DUMMYFUNCTION("IMPORTRANGE(""https://docs.google.com/spreadsheets/d/1XL5vhW3sbDhbH9Cz0tuDiY8C3ctxq1tqvaCgkFb8cCA/edit?usp=sharing"",""ขอนแก่น!M303"")"),0.0)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IFERROR(__xludf.DUMMYFUNCTION("IMPORTRANGE(""https://docs.google.com/spreadsheets/d/1XL5vhW3sbDhbH9Cz0tuDiY8C3ctxq1tqvaCgkFb8cCA/edit?usp=sharing"",""ขอนแก่น!M304"")"),0.0)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IFERROR(__xludf.DUMMYFUNCTION("IMPORTRANGE(""https://docs.google.com/spreadsheets/d/1XL5vhW3sbDhbH9Cz0tuDiY8C3ctxq1tqvaCgkFb8cCA/edit?usp=sharing"",""ขอนแก่น!M305"")"),0.0)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IFERROR(__xludf.DUMMYFUNCTION("IMPORTRANGE(""https://docs.google.com/spreadsheets/d/1XL5vhW3sbDhbH9Cz0tuDiY8C3ctxq1tqvaCgkFb8cCA/edit?usp=sharing"",""ขอนแก่น!J307"")"),0.0)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IFERROR(__xludf.DUMMYFUNCTION("IMPORTRANGE(""https://docs.google.com/spreadsheets/d/1XL5vhW3sbDhbH9Cz0tuDiY8C3ctxq1tqvaCgkFb8cCA/edit?usp=sharing"",""ขอนแก่น!J308"")"),1.0)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IFERROR(__xludf.DUMMYFUNCTION("IMPORTRANGE(""https://docs.google.com/spreadsheets/d/1XL5vhW3sbDhbH9Cz0tuDiY8C3ctxq1tqvaCgkFb8cCA/edit?usp=sharing"",""ขอนแก่น!J309"")"),1.0)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IFERROR(__xludf.DUMMYFUNCTION("IMPORTRANGE(""https://docs.google.com/spreadsheets/d/1XL5vhW3sbDhbH9Cz0tuDiY8C3ctxq1tqvaCgkFb8cCA/edit?usp=sharing"",""ขอนแก่น!J310"")"),0.0)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IFERROR(__xludf.DUMMYFUNCTION("IMPORTRANGE(""https://docs.google.com/spreadsheets/d/1XL5vhW3sbDhbH9Cz0tuDiY8C3ctxq1tqvaCgkFb8cCA/edit?usp=sharing"",""ขอนแก่น!I311"")"),68.0)</f>
        <v>68</v>
      </c>
      <c r="J416" s="235">
        <f>IFERROR(__xludf.DUMMYFUNCTION("IMPORTRANGE(""https://docs.google.com/spreadsheets/d/1XL5vhW3sbDhbH9Cz0tuDiY8C3ctxq1tqvaCgkFb8cCA/edit?usp=sharing"",""ขอนแก่น!J311"")"),0.0)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IFERROR(__xludf.DUMMYFUNCTION("IMPORTRANGE(""https://docs.google.com/spreadsheets/d/1XL5vhW3sbDhbH9Cz0tuDiY8C3ctxq1tqvaCgkFb8cCA/edit?usp=sharing"",""ขอนแก่น!I312"")"),20.0)</f>
        <v>20</v>
      </c>
      <c r="J417" s="425">
        <f>IFERROR(__xludf.DUMMYFUNCTION("IMPORTRANGE(""https://docs.google.com/spreadsheets/d/1XL5vhW3sbDhbH9Cz0tuDiY8C3ctxq1tqvaCgkFb8cCA/edit?usp=sharing"",""ขอนแก่น!J312"")"),0.0)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IFERROR(__xludf.DUMMYFUNCTION("IMPORTRANGE(""https://docs.google.com/spreadsheets/d/1XL5vhW3sbDhbH9Cz0tuDiY8C3ctxq1tqvaCgkFb8cCA/edit?usp=sharing"",""ขอนแก่น!I313"")"),60.0)</f>
        <v>60</v>
      </c>
      <c r="J418" s="426">
        <f>IFERROR(__xludf.DUMMYFUNCTION("IMPORTRANGE(""https://docs.google.com/spreadsheets/d/1XL5vhW3sbDhbH9Cz0tuDiY8C3ctxq1tqvaCgkFb8cCA/edit?usp=sharing"",""ขอนแก่น!J313"")"),0.0)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IFERROR(__xludf.DUMMYFUNCTION("IMPORTRANGE(""https://docs.google.com/spreadsheets/d/1XL5vhW3sbDhbH9Cz0tuDiY8C3ctxq1tqvaCgkFb8cCA/edit?usp=sharing"",""ขอนแก่น!I314"")"),20.0)</f>
        <v>20</v>
      </c>
      <c r="J419" s="427">
        <f>IFERROR(__xludf.DUMMYFUNCTION("IMPORTRANGE(""https://docs.google.com/spreadsheets/d/1XL5vhW3sbDhbH9Cz0tuDiY8C3ctxq1tqvaCgkFb8cCA/edit?usp=sharing"",""ขอนแก่น!J314"")"),0.0)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IFERROR(__xludf.DUMMYFUNCTION("IMPORTRANGE(""https://docs.google.com/spreadsheets/d/1XL5vhW3sbDhbH9Cz0tuDiY8C3ctxq1tqvaCgkFb8cCA/edit?usp=sharing"",""ขอนแก่น!I315"")"),20.0)</f>
        <v>20</v>
      </c>
      <c r="J420" s="427">
        <f>IFERROR(__xludf.DUMMYFUNCTION("IMPORTRANGE(""https://docs.google.com/spreadsheets/d/1XL5vhW3sbDhbH9Cz0tuDiY8C3ctxq1tqvaCgkFb8cCA/edit?usp=sharing"",""ขอนแก่น!J315"")"),0.0)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IFERROR(__xludf.DUMMYFUNCTION("IMPORTRANGE(""https://docs.google.com/spreadsheets/d/1XL5vhW3sbDhbH9Cz0tuDiY8C3ctxq1tqvaCgkFb8cCA/edit?usp=sharing"",""ขอนแก่น!I316"")"),38.0)</f>
        <v>38</v>
      </c>
      <c r="J421" s="425">
        <f>IFERROR(__xludf.DUMMYFUNCTION("IMPORTRANGE(""https://docs.google.com/spreadsheets/d/1XL5vhW3sbDhbH9Cz0tuDiY8C3ctxq1tqvaCgkFb8cCA/edit?usp=sharing"",""ขอนแก่น!J316"")"),0.0)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IFERROR(__xludf.DUMMYFUNCTION("IMPORTRANGE(""https://docs.google.com/spreadsheets/d/1XL5vhW3sbDhbH9Cz0tuDiY8C3ctxq1tqvaCgkFb8cCA/edit?usp=sharing"",""ขอนแก่น!I317"")"),114.0)</f>
        <v>114</v>
      </c>
      <c r="J422" s="426">
        <f>IFERROR(__xludf.DUMMYFUNCTION("IMPORTRANGE(""https://docs.google.com/spreadsheets/d/1XL5vhW3sbDhbH9Cz0tuDiY8C3ctxq1tqvaCgkFb8cCA/edit?usp=sharing"",""ขอนแก่น!J317"")"),0.0)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IFERROR(__xludf.DUMMYFUNCTION("IMPORTRANGE(""https://docs.google.com/spreadsheets/d/1XL5vhW3sbDhbH9Cz0tuDiY8C3ctxq1tqvaCgkFb8cCA/edit?usp=sharing"",""ขอนแก่น!I318"")"),38.0)</f>
        <v>38</v>
      </c>
      <c r="J423" s="427">
        <f>IFERROR(__xludf.DUMMYFUNCTION("IMPORTRANGE(""https://docs.google.com/spreadsheets/d/1XL5vhW3sbDhbH9Cz0tuDiY8C3ctxq1tqvaCgkFb8cCA/edit?usp=sharing"",""ขอนแก่น!J318"")"),0.0)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IFERROR(__xludf.DUMMYFUNCTION("IMPORTRANGE(""https://docs.google.com/spreadsheets/d/1XL5vhW3sbDhbH9Cz0tuDiY8C3ctxq1tqvaCgkFb8cCA/edit?usp=sharing"",""ขอนแก่น!I319"")"),38.0)</f>
        <v>38</v>
      </c>
      <c r="J424" s="427">
        <f>IFERROR(__xludf.DUMMYFUNCTION("IMPORTRANGE(""https://docs.google.com/spreadsheets/d/1XL5vhW3sbDhbH9Cz0tuDiY8C3ctxq1tqvaCgkFb8cCA/edit?usp=sharing"",""ขอนแก่น!J319"")"),0.0)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IFERROR(__xludf.DUMMYFUNCTION("IMPORTRANGE(""https://docs.google.com/spreadsheets/d/1XL5vhW3sbDhbH9Cz0tuDiY8C3ctxq1tqvaCgkFb8cCA/edit?usp=sharing"",""ขอนแก่น!I320"")"),38.0)</f>
        <v>38</v>
      </c>
      <c r="J425" s="427">
        <f>IFERROR(__xludf.DUMMYFUNCTION("IMPORTRANGE(""https://docs.google.com/spreadsheets/d/1XL5vhW3sbDhbH9Cz0tuDiY8C3ctxq1tqvaCgkFb8cCA/edit?usp=sharing"",""ขอนแก่น!J320"")"),0.0)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IFERROR(__xludf.DUMMYFUNCTION("IMPORTRANGE(""https://docs.google.com/spreadsheets/d/1XL5vhW3sbDhbH9Cz0tuDiY8C3ctxq1tqvaCgkFb8cCA/edit?usp=sharing"",""ขอนแก่น!I321"")"),10.0)</f>
        <v>10</v>
      </c>
      <c r="J426" s="425">
        <f>IFERROR(__xludf.DUMMYFUNCTION("IMPORTRANGE(""https://docs.google.com/spreadsheets/d/1XL5vhW3sbDhbH9Cz0tuDiY8C3ctxq1tqvaCgkFb8cCA/edit?usp=sharing"",""ขอนแก่น!J321"")"),0.0)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IFERROR(__xludf.DUMMYFUNCTION("IMPORTRANGE(""https://docs.google.com/spreadsheets/d/1XL5vhW3sbDhbH9Cz0tuDiY8C3ctxq1tqvaCgkFb8cCA/edit?usp=sharing"",""ขอนแก่น!I322"")"),30.0)</f>
        <v>30</v>
      </c>
      <c r="J427" s="426">
        <f>IFERROR(__xludf.DUMMYFUNCTION("IMPORTRANGE(""https://docs.google.com/spreadsheets/d/1XL5vhW3sbDhbH9Cz0tuDiY8C3ctxq1tqvaCgkFb8cCA/edit?usp=sharing"",""ขอนแก่น!J322"")"),0.0)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IFERROR(__xludf.DUMMYFUNCTION("IMPORTRANGE(""https://docs.google.com/spreadsheets/d/1XL5vhW3sbDhbH9Cz0tuDiY8C3ctxq1tqvaCgkFb8cCA/edit?usp=sharing"",""ขอนแก่น!I323"")"),10.0)</f>
        <v>10</v>
      </c>
      <c r="J428" s="427">
        <f>IFERROR(__xludf.DUMMYFUNCTION("IMPORTRANGE(""https://docs.google.com/spreadsheets/d/1XL5vhW3sbDhbH9Cz0tuDiY8C3ctxq1tqvaCgkFb8cCA/edit?usp=sharing"",""ขอนแก่น!J323"")"),0.0)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IFERROR(__xludf.DUMMYFUNCTION("IMPORTRANGE(""https://docs.google.com/spreadsheets/d/1XL5vhW3sbDhbH9Cz0tuDiY8C3ctxq1tqvaCgkFb8cCA/edit?usp=sharing"",""ขอนแก่น!I324"")"),10.0)</f>
        <v>10</v>
      </c>
      <c r="J429" s="427">
        <f>IFERROR(__xludf.DUMMYFUNCTION("IMPORTRANGE(""https://docs.google.com/spreadsheets/d/1XL5vhW3sbDhbH9Cz0tuDiY8C3ctxq1tqvaCgkFb8cCA/edit?usp=sharing"",""ขอนแก่น!J324"")"),0.0)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IFERROR(__xludf.DUMMYFUNCTION("IMPORTRANGE(""https://docs.google.com/spreadsheets/d/1XL5vhW3sbDhbH9Cz0tuDiY8C3ctxq1tqvaCgkFb8cCA/edit?usp=sharing"",""ขอนแก่น!I325"")"),58.0)</f>
        <v>58</v>
      </c>
      <c r="J430" s="425">
        <f>IFERROR(__xludf.DUMMYFUNCTION("IMPORTRANGE(""https://docs.google.com/spreadsheets/d/1XL5vhW3sbDhbH9Cz0tuDiY8C3ctxq1tqvaCgkFb8cCA/edit?usp=sharing"",""ขอนแก่น!J325"")"),0.0)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IFERROR(__xludf.DUMMYFUNCTION("IMPORTRANGE(""https://docs.google.com/spreadsheets/d/1XL5vhW3sbDhbH9Cz0tuDiY8C3ctxq1tqvaCgkFb8cCA/edit?usp=sharing"",""ขอนแก่น!I326"")"),20.0)</f>
        <v>20</v>
      </c>
      <c r="J431" s="427">
        <f>IFERROR(__xludf.DUMMYFUNCTION("IMPORTRANGE(""https://docs.google.com/spreadsheets/d/1XL5vhW3sbDhbH9Cz0tuDiY8C3ctxq1tqvaCgkFb8cCA/edit?usp=sharing"",""ขอนแก่น!J326"")"),0.0)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IFERROR(__xludf.DUMMYFUNCTION("IMPORTRANGE(""https://docs.google.com/spreadsheets/d/1XL5vhW3sbDhbH9Cz0tuDiY8C3ctxq1tqvaCgkFb8cCA/edit?usp=sharing"",""ขอนแก่น!I327"")"),38.0)</f>
        <v>38</v>
      </c>
      <c r="J432" s="427">
        <f>IFERROR(__xludf.DUMMYFUNCTION("IMPORTRANGE(""https://docs.google.com/spreadsheets/d/1XL5vhW3sbDhbH9Cz0tuDiY8C3ctxq1tqvaCgkFb8cCA/edit?usp=sharing"",""ขอนแก่น!J327"")"),0.0)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IFERROR(__xludf.DUMMYFUNCTION("IMPORTRANGE(""https://docs.google.com/spreadsheets/d/1XL5vhW3sbDhbH9Cz0tuDiY8C3ctxq1tqvaCgkFb8cCA/edit?usp=sharing"",""ขอนแก่น!J328"")"),0.0)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IFERROR(__xludf.DUMMYFUNCTION("IMPORTRANGE(""https://docs.google.com/spreadsheets/d/1XL5vhW3sbDhbH9Cz0tuDiY8C3ctxq1tqvaCgkFb8cCA/edit?usp=sharing"",""ขอนแก่น!J329"")"),0.0)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IFERROR(__xludf.DUMMYFUNCTION("IMPORTRANGE(""https://docs.google.com/spreadsheets/d/1XL5vhW3sbDhbH9Cz0tuDiY8C3ctxq1tqvaCgkFb8cCA/edit?usp=sharing"",""ขอนแก่น!I330"")"),40.0)</f>
        <v>40</v>
      </c>
      <c r="J435" s="443">
        <f>IFERROR(__xludf.DUMMYFUNCTION("IMPORTRANGE(""https://docs.google.com/spreadsheets/d/1XL5vhW3sbDhbH9Cz0tuDiY8C3ctxq1tqvaCgkFb8cCA/edit?usp=sharing"",""ขอนแก่น!J330"")"),0.0)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IFERROR(__xludf.DUMMYFUNCTION("IMPORTRANGE(""https://docs.google.com/spreadsheets/d/1XL5vhW3sbDhbH9Cz0tuDiY8C3ctxq1tqvaCgkFb8cCA/edit?usp=sharing"",""ขอนแก่น!L330"")"),139000.0)</f>
        <v>139000</v>
      </c>
      <c r="M435" s="445"/>
      <c r="N435" s="445">
        <f>IFERROR(__xludf.DUMMYFUNCTION("IMPORTRANGE(""https://docs.google.com/spreadsheets/d/1XL5vhW3sbDhbH9Cz0tuDiY8C3ctxq1tqvaCgkFb8cCA/edit?usp=sharing"",""ขอนแก่น!M330"")"),1220.0)</f>
        <v>1220</v>
      </c>
      <c r="O435" s="445">
        <f t="shared" ref="O435:O439" si="115">+IF(L435&gt;0,N435*100/L435,0)</f>
        <v>0.8776978417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IFERROR(__xludf.DUMMYFUNCTION("IMPORTRANGE(""https://docs.google.com/spreadsheets/d/1XL5vhW3sbDhbH9Cz0tuDiY8C3ctxq1tqvaCgkFb8cCA/edit?usp=sharing"",""ขอนแก่น!L331"")"),0.0)</f>
        <v>0</v>
      </c>
      <c r="M436" s="197"/>
      <c r="N436" s="203">
        <f>IFERROR(__xludf.DUMMYFUNCTION("IMPORTRANGE(""https://docs.google.com/spreadsheets/d/1XL5vhW3sbDhbH9Cz0tuDiY8C3ctxq1tqvaCgkFb8cCA/edit?usp=sharing"",""ขอนแก่น!M331"")"),0.0)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IFERROR(__xludf.DUMMYFUNCTION("IMPORTRANGE(""https://docs.google.com/spreadsheets/d/1XL5vhW3sbDhbH9Cz0tuDiY8C3ctxq1tqvaCgkFb8cCA/edit?usp=sharing"",""ขอนแก่น!L332"")"),139000.0)</f>
        <v>139000</v>
      </c>
      <c r="M437" s="198"/>
      <c r="N437" s="203">
        <f>IFERROR(__xludf.DUMMYFUNCTION("IMPORTRANGE(""https://docs.google.com/spreadsheets/d/1XL5vhW3sbDhbH9Cz0tuDiY8C3ctxq1tqvaCgkFb8cCA/edit?usp=sharing"",""ขอนแก่น!M332"")"),1220.0)</f>
        <v>1220</v>
      </c>
      <c r="O437" s="203">
        <f t="shared" si="115"/>
        <v>0.8776978417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IFERROR(__xludf.DUMMYFUNCTION("IMPORTRANGE(""https://docs.google.com/spreadsheets/d/1XL5vhW3sbDhbH9Cz0tuDiY8C3ctxq1tqvaCgkFb8cCA/edit?usp=sharing"",""ขอนแก่น!L333"")"),0.0)</f>
        <v>0</v>
      </c>
      <c r="M438" s="203"/>
      <c r="N438" s="203">
        <f>IFERROR(__xludf.DUMMYFUNCTION("IMPORTRANGE(""https://docs.google.com/spreadsheets/d/1XL5vhW3sbDhbH9Cz0tuDiY8C3ctxq1tqvaCgkFb8cCA/edit?usp=sharing"",""ขอนแก่น!M333"")"),0.0)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IFERROR(__xludf.DUMMYFUNCTION("IMPORTRANGE(""https://docs.google.com/spreadsheets/d/1XL5vhW3sbDhbH9Cz0tuDiY8C3ctxq1tqvaCgkFb8cCA/edit?usp=sharing"",""ขอนแก่น!L334"")"),139000.0)</f>
        <v>139000</v>
      </c>
      <c r="M439" s="203"/>
      <c r="N439" s="203">
        <f>IFERROR(__xludf.DUMMYFUNCTION("IMPORTRANGE(""https://docs.google.com/spreadsheets/d/1XL5vhW3sbDhbH9Cz0tuDiY8C3ctxq1tqvaCgkFb8cCA/edit?usp=sharing"",""ขอนแก่น!M334"")"),1220.0)</f>
        <v>1220</v>
      </c>
      <c r="O439" s="203">
        <f t="shared" si="115"/>
        <v>0.8776978417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IFERROR(__xludf.DUMMYFUNCTION("IMPORTRANGE(""https://docs.google.com/spreadsheets/d/1XL5vhW3sbDhbH9Cz0tuDiY8C3ctxq1tqvaCgkFb8cCA/edit?usp=sharing"",""ขอนแก่น!M335"")"),0.0)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IFERROR(__xludf.DUMMYFUNCTION("IMPORTRANGE(""https://docs.google.com/spreadsheets/d/1XL5vhW3sbDhbH9Cz0tuDiY8C3ctxq1tqvaCgkFb8cCA/edit?usp=sharing"",""ขอนแก่น!M336"")"),0.0)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IFERROR(__xludf.DUMMYFUNCTION("IMPORTRANGE(""https://docs.google.com/spreadsheets/d/1XL5vhW3sbDhbH9Cz0tuDiY8C3ctxq1tqvaCgkFb8cCA/edit?usp=sharing"",""ขอนแก่น!M337"")"),0.0)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IFERROR(__xludf.DUMMYFUNCTION("IMPORTRANGE(""https://docs.google.com/spreadsheets/d/1XL5vhW3sbDhbH9Cz0tuDiY8C3ctxq1tqvaCgkFb8cCA/edit?usp=sharing"",""ขอนแก่น!M338"")"),1220.0)</f>
        <v>1220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IFERROR(__xludf.DUMMYFUNCTION("IMPORTRANGE(""https://docs.google.com/spreadsheets/d/1XL5vhW3sbDhbH9Cz0tuDiY8C3ctxq1tqvaCgkFb8cCA/edit?usp=sharing"",""ขอนแก่น!J340"")"),0.0)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IFERROR(__xludf.DUMMYFUNCTION("IMPORTRANGE(""https://docs.google.com/spreadsheets/d/1XL5vhW3sbDhbH9Cz0tuDiY8C3ctxq1tqvaCgkFb8cCA/edit?usp=sharing"",""ขอนแก่น!J341"")"),1.0)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IFERROR(__xludf.DUMMYFUNCTION("IMPORTRANGE(""https://docs.google.com/spreadsheets/d/1XL5vhW3sbDhbH9Cz0tuDiY8C3ctxq1tqvaCgkFb8cCA/edit?usp=sharing"",""ขอนแก่น!J342"")"),1.0)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IFERROR(__xludf.DUMMYFUNCTION("IMPORTRANGE(""https://docs.google.com/spreadsheets/d/1XL5vhW3sbDhbH9Cz0tuDiY8C3ctxq1tqvaCgkFb8cCA/edit?usp=sharing"",""ขอนแก่น!J343"")"),0.0)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IFERROR(__xludf.DUMMYFUNCTION("IMPORTRANGE(""https://docs.google.com/spreadsheets/d/1XL5vhW3sbDhbH9Cz0tuDiY8C3ctxq1tqvaCgkFb8cCA/edit?usp=sharing"",""ขอนแก่น!I344"")"),40.0)</f>
        <v>40</v>
      </c>
      <c r="J449" s="235">
        <f>IFERROR(__xludf.DUMMYFUNCTION("IMPORTRANGE(""https://docs.google.com/spreadsheets/d/1XL5vhW3sbDhbH9Cz0tuDiY8C3ctxq1tqvaCgkFb8cCA/edit?usp=sharing"",""ขอนแก่น!J344"")"),0.0)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IFERROR(__xludf.DUMMYFUNCTION("IMPORTRANGE(""https://docs.google.com/spreadsheets/d/1XL5vhW3sbDhbH9Cz0tuDiY8C3ctxq1tqvaCgkFb8cCA/edit?usp=sharing"",""ขอนแก่น!I345"")"),40.0)</f>
        <v>40</v>
      </c>
      <c r="J450" s="223">
        <f>IFERROR(__xludf.DUMMYFUNCTION("IMPORTRANGE(""https://docs.google.com/spreadsheets/d/1XL5vhW3sbDhbH9Cz0tuDiY8C3ctxq1tqvaCgkFb8cCA/edit?usp=sharing"",""ขอนแก่น!J345"")"),0.0)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IFERROR(__xludf.DUMMYFUNCTION("IMPORTRANGE(""https://docs.google.com/spreadsheets/d/1XL5vhW3sbDhbH9Cz0tuDiY8C3ctxq1tqvaCgkFb8cCA/edit?usp=sharing"",""ขอนแก่น!I346"")"),0.0)</f>
        <v>0</v>
      </c>
      <c r="J451" s="222">
        <f>IFERROR(__xludf.DUMMYFUNCTION("IMPORTRANGE(""https://docs.google.com/spreadsheets/d/1XL5vhW3sbDhbH9Cz0tuDiY8C3ctxq1tqvaCgkFb8cCA/edit?usp=sharing"",""ขอนแก่น!J346"")"),0.0)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IFERROR(__xludf.DUMMYFUNCTION("IMPORTRANGE(""https://docs.google.com/spreadsheets/d/1XL5vhW3sbDhbH9Cz0tuDiY8C3ctxq1tqvaCgkFb8cCA/edit?usp=sharing"",""ขอนแก่น!I347"")"),0.0)</f>
        <v>0</v>
      </c>
      <c r="J452" s="222">
        <f>IFERROR(__xludf.DUMMYFUNCTION("IMPORTRANGE(""https://docs.google.com/spreadsheets/d/1XL5vhW3sbDhbH9Cz0tuDiY8C3ctxq1tqvaCgkFb8cCA/edit?usp=sharing"",""ขอนแก่น!J347"")"),0.0)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IFERROR(__xludf.DUMMYFUNCTION("IMPORTRANGE(""https://docs.google.com/spreadsheets/d/1XL5vhW3sbDhbH9Cz0tuDiY8C3ctxq1tqvaCgkFb8cCA/edit?usp=sharing"",""ขอนแก่น!J348"")"),0.0)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IFERROR(__xludf.DUMMYFUNCTION("IMPORTRANGE(""https://docs.google.com/spreadsheets/d/1XL5vhW3sbDhbH9Cz0tuDiY8C3ctxq1tqvaCgkFb8cCA/edit?usp=sharing"",""ขอนแก่น!J349"")"),0.0)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IFERROR(__xludf.DUMMYFUNCTION("IMPORTRANGE(""https://docs.google.com/spreadsheets/d/1XL5vhW3sbDhbH9Cz0tuDiY8C3ctxq1tqvaCgkFb8cCA/edit?usp=sharing"",""ขอนแก่น!I350"")"),59181.0)</f>
        <v>59181</v>
      </c>
      <c r="J455" s="404">
        <f>IFERROR(__xludf.DUMMYFUNCTION("IMPORTRANGE(""https://docs.google.com/spreadsheets/d/1XL5vhW3sbDhbH9Cz0tuDiY8C3ctxq1tqvaCgkFb8cCA/edit?usp=sharing"",""ขอนแก่น!J350"")"),0.0)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IFERROR(__xludf.DUMMYFUNCTION("IMPORTRANGE(""https://docs.google.com/spreadsheets/d/1XL5vhW3sbDhbH9Cz0tuDiY8C3ctxq1tqvaCgkFb8cCA/edit?usp=sharing"",""ขอนแก่น!L350"")"),597051.0)</f>
        <v>597051</v>
      </c>
      <c r="M455" s="406"/>
      <c r="N455" s="406">
        <f>IFERROR(__xludf.DUMMYFUNCTION("IMPORTRANGE(""https://docs.google.com/spreadsheets/d/1XL5vhW3sbDhbH9Cz0tuDiY8C3ctxq1tqvaCgkFb8cCA/edit?usp=sharing"",""ขอนแก่น!M350"")"),77785.0)</f>
        <v>77785</v>
      </c>
      <c r="O455" s="406">
        <f t="shared" ref="O455:O459" si="117">+IF(L455&gt;0,N455*100/L455,0)</f>
        <v>13.02820027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IFERROR(__xludf.DUMMYFUNCTION("IMPORTRANGE(""https://docs.google.com/spreadsheets/d/1XL5vhW3sbDhbH9Cz0tuDiY8C3ctxq1tqvaCgkFb8cCA/edit?usp=sharing"",""ขอนแก่น!L351"")"),0.0)</f>
        <v>0</v>
      </c>
      <c r="M456" s="197"/>
      <c r="N456" s="203">
        <f>IFERROR(__xludf.DUMMYFUNCTION("IMPORTRANGE(""https://docs.google.com/spreadsheets/d/1XL5vhW3sbDhbH9Cz0tuDiY8C3ctxq1tqvaCgkFb8cCA/edit?usp=sharing"",""ขอนแก่น!M351"")"),0.0)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IFERROR(__xludf.DUMMYFUNCTION("IMPORTRANGE(""https://docs.google.com/spreadsheets/d/1XL5vhW3sbDhbH9Cz0tuDiY8C3ctxq1tqvaCgkFb8cCA/edit?usp=sharing"",""ขอนแก่น!L352"")"),597051.0)</f>
        <v>597051</v>
      </c>
      <c r="M457" s="198"/>
      <c r="N457" s="203">
        <f>IFERROR(__xludf.DUMMYFUNCTION("IMPORTRANGE(""https://docs.google.com/spreadsheets/d/1XL5vhW3sbDhbH9Cz0tuDiY8C3ctxq1tqvaCgkFb8cCA/edit?usp=sharing"",""ขอนแก่น!M352"")"),77785.0)</f>
        <v>77785</v>
      </c>
      <c r="O457" s="203">
        <f t="shared" si="117"/>
        <v>13.02820027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IFERROR(__xludf.DUMMYFUNCTION("IMPORTRANGE(""https://docs.google.com/spreadsheets/d/1XL5vhW3sbDhbH9Cz0tuDiY8C3ctxq1tqvaCgkFb8cCA/edit?usp=sharing"",""ขอนแก่น!L353"")"),0.0)</f>
        <v>0</v>
      </c>
      <c r="M458" s="203"/>
      <c r="N458" s="203">
        <f>IFERROR(__xludf.DUMMYFUNCTION("IMPORTRANGE(""https://docs.google.com/spreadsheets/d/1XL5vhW3sbDhbH9Cz0tuDiY8C3ctxq1tqvaCgkFb8cCA/edit?usp=sharing"",""ขอนแก่น!M353"")"),0.0)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IFERROR(__xludf.DUMMYFUNCTION("IMPORTRANGE(""https://docs.google.com/spreadsheets/d/1XL5vhW3sbDhbH9Cz0tuDiY8C3ctxq1tqvaCgkFb8cCA/edit?usp=sharing"",""ขอนแก่น!L354"")"),597051.0)</f>
        <v>597051</v>
      </c>
      <c r="M459" s="203"/>
      <c r="N459" s="203">
        <f>IFERROR(__xludf.DUMMYFUNCTION("IMPORTRANGE(""https://docs.google.com/spreadsheets/d/1XL5vhW3sbDhbH9Cz0tuDiY8C3ctxq1tqvaCgkFb8cCA/edit?usp=sharing"",""ขอนแก่น!M354"")"),77785.0)</f>
        <v>77785</v>
      </c>
      <c r="O459" s="203">
        <f t="shared" si="117"/>
        <v>13.02820027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IFERROR(__xludf.DUMMYFUNCTION("IMPORTRANGE(""https://docs.google.com/spreadsheets/d/1XL5vhW3sbDhbH9Cz0tuDiY8C3ctxq1tqvaCgkFb8cCA/edit?usp=sharing"",""ขอนแก่น!M355"")"),0.0)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IFERROR(__xludf.DUMMYFUNCTION("IMPORTRANGE(""https://docs.google.com/spreadsheets/d/1XL5vhW3sbDhbH9Cz0tuDiY8C3ctxq1tqvaCgkFb8cCA/edit?usp=sharing"",""ขอนแก่น!M356"")"),0.0)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IFERROR(__xludf.DUMMYFUNCTION("IMPORTRANGE(""https://docs.google.com/spreadsheets/d/1XL5vhW3sbDhbH9Cz0tuDiY8C3ctxq1tqvaCgkFb8cCA/edit?usp=sharing"",""ขอนแก่น!M357"")"),22000.0)</f>
        <v>22000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IFERROR(__xludf.DUMMYFUNCTION("IMPORTRANGE(""https://docs.google.com/spreadsheets/d/1XL5vhW3sbDhbH9Cz0tuDiY8C3ctxq1tqvaCgkFb8cCA/edit?usp=sharing"",""ขอนแก่น!M358"")"),55785.0)</f>
        <v>55785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IFERROR(__xludf.DUMMYFUNCTION("IMPORTRANGE(""https://docs.google.com/spreadsheets/d/1XL5vhW3sbDhbH9Cz0tuDiY8C3ctxq1tqvaCgkFb8cCA/edit?usp=sharing"",""ขอนแก่น!I359"")"),59181.0)</f>
        <v>59181</v>
      </c>
      <c r="J464" s="301">
        <f>IFERROR(__xludf.DUMMYFUNCTION("IMPORTRANGE(""https://docs.google.com/spreadsheets/d/1XL5vhW3sbDhbH9Cz0tuDiY8C3ctxq1tqvaCgkFb8cCA/edit?usp=sharing"",""ขอนแก่น!J359"")"),0.0)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IFERROR(__xludf.DUMMYFUNCTION("IMPORTRANGE(""https://docs.google.com/spreadsheets/d/1XL5vhW3sbDhbH9Cz0tuDiY8C3ctxq1tqvaCgkFb8cCA/edit?usp=sharing"",""ขอนแก่น!I360"")"),59181.0)</f>
        <v>59181</v>
      </c>
      <c r="J465" s="453">
        <f>IFERROR(__xludf.DUMMYFUNCTION("IMPORTRANGE(""https://docs.google.com/spreadsheets/d/1XL5vhW3sbDhbH9Cz0tuDiY8C3ctxq1tqvaCgkFb8cCA/edit?usp=sharing"",""ขอนแก่น!J360"")"),12133.119999999999)</f>
        <v>12133.12</v>
      </c>
      <c r="K465" s="236">
        <f t="shared" si="118"/>
        <v>20.50171508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IFERROR(__xludf.DUMMYFUNCTION("IMPORTRANGE(""https://docs.google.com/spreadsheets/d/1XL5vhW3sbDhbH9Cz0tuDiY8C3ctxq1tqvaCgkFb8cCA/edit?usp=sharing"",""ขอนแก่น!I361"")"),6562.0)</f>
        <v>6562</v>
      </c>
      <c r="J466" s="453">
        <f>IFERROR(__xludf.DUMMYFUNCTION("IMPORTRANGE(""https://docs.google.com/spreadsheets/d/1XL5vhW3sbDhbH9Cz0tuDiY8C3ctxq1tqvaCgkFb8cCA/edit?usp=sharing"",""ขอนแก่น!J361"")"),1235.0)</f>
        <v>1235</v>
      </c>
      <c r="K466" s="236">
        <f t="shared" si="118"/>
        <v>18.82048156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IFERROR(__xludf.DUMMYFUNCTION("IMPORTRANGE(""https://docs.google.com/spreadsheets/d/1XL5vhW3sbDhbH9Cz0tuDiY8C3ctxq1tqvaCgkFb8cCA/edit?usp=sharing"",""ขอนแก่น!I362"")"),0.0)</f>
        <v>0</v>
      </c>
      <c r="J467" s="223">
        <f>IFERROR(__xludf.DUMMYFUNCTION("IMPORTRANGE(""https://docs.google.com/spreadsheets/d/1XL5vhW3sbDhbH9Cz0tuDiY8C3ctxq1tqvaCgkFb8cCA/edit?usp=sharing"",""ขอนแก่น!J362"")"),10345.0)</f>
        <v>10345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IFERROR(__xludf.DUMMYFUNCTION("IMPORTRANGE(""https://docs.google.com/spreadsheets/d/1XL5vhW3sbDhbH9Cz0tuDiY8C3ctxq1tqvaCgkFb8cCA/edit?usp=sharing"",""ขอนแก่น!I363"")"),0.0)</f>
        <v>0</v>
      </c>
      <c r="J468" s="223">
        <f>IFERROR(__xludf.DUMMYFUNCTION("IMPORTRANGE(""https://docs.google.com/spreadsheets/d/1XL5vhW3sbDhbH9Cz0tuDiY8C3ctxq1tqvaCgkFb8cCA/edit?usp=sharing"",""ขอนแก่น!J363"")"),1059.0)</f>
        <v>1059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IFERROR(__xludf.DUMMYFUNCTION("IMPORTRANGE(""https://docs.google.com/spreadsheets/d/1XL5vhW3sbDhbH9Cz0tuDiY8C3ctxq1tqvaCgkFb8cCA/edit?usp=sharing"",""ขอนแก่น!I364"")"),0.0)</f>
        <v>0</v>
      </c>
      <c r="J469" s="223">
        <f>IFERROR(__xludf.DUMMYFUNCTION("IMPORTRANGE(""https://docs.google.com/spreadsheets/d/1XL5vhW3sbDhbH9Cz0tuDiY8C3ctxq1tqvaCgkFb8cCA/edit?usp=sharing"",""ขอนแก่น!J364"")"),1197.12)</f>
        <v>1197.12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IFERROR(__xludf.DUMMYFUNCTION("IMPORTRANGE(""https://docs.google.com/spreadsheets/d/1XL5vhW3sbDhbH9Cz0tuDiY8C3ctxq1tqvaCgkFb8cCA/edit?usp=sharing"",""ขอนแก่น!I365"")"),0.0)</f>
        <v>0</v>
      </c>
      <c r="J470" s="223">
        <f>IFERROR(__xludf.DUMMYFUNCTION("IMPORTRANGE(""https://docs.google.com/spreadsheets/d/1XL5vhW3sbDhbH9Cz0tuDiY8C3ctxq1tqvaCgkFb8cCA/edit?usp=sharing"",""ขอนแก่น!J365"")"),125.0)</f>
        <v>125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IFERROR(__xludf.DUMMYFUNCTION("IMPORTRANGE(""https://docs.google.com/spreadsheets/d/1XL5vhW3sbDhbH9Cz0tuDiY8C3ctxq1tqvaCgkFb8cCA/edit?usp=sharing"",""ขอนแก่น!I366"")"),0.0)</f>
        <v>0</v>
      </c>
      <c r="J471" s="223">
        <f>IFERROR(__xludf.DUMMYFUNCTION("IMPORTRANGE(""https://docs.google.com/spreadsheets/d/1XL5vhW3sbDhbH9Cz0tuDiY8C3ctxq1tqvaCgkFb8cCA/edit?usp=sharing"",""ขอนแก่น!J366"")"),591.0)</f>
        <v>591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IFERROR(__xludf.DUMMYFUNCTION("IMPORTRANGE(""https://docs.google.com/spreadsheets/d/1XL5vhW3sbDhbH9Cz0tuDiY8C3ctxq1tqvaCgkFb8cCA/edit?usp=sharing"",""ขอนแก่น!I367"")"),0.0)</f>
        <v>0</v>
      </c>
      <c r="J472" s="223">
        <f>IFERROR(__xludf.DUMMYFUNCTION("IMPORTRANGE(""https://docs.google.com/spreadsheets/d/1XL5vhW3sbDhbH9Cz0tuDiY8C3ctxq1tqvaCgkFb8cCA/edit?usp=sharing"",""ขอนแก่น!J367"")"),51.0)</f>
        <v>51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IFERROR(__xludf.DUMMYFUNCTION("IMPORTRANGE(""https://docs.google.com/spreadsheets/d/1XL5vhW3sbDhbH9Cz0tuDiY8C3ctxq1tqvaCgkFb8cCA/edit?usp=sharing"",""ขอนแก่น!I368"")"),59181.0)</f>
        <v>59181</v>
      </c>
      <c r="J473" s="453">
        <f>IFERROR(__xludf.DUMMYFUNCTION("IMPORTRANGE(""https://docs.google.com/spreadsheets/d/1XL5vhW3sbDhbH9Cz0tuDiY8C3ctxq1tqvaCgkFb8cCA/edit?usp=sharing"",""ขอนแก่น!J368"")"),0.0)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IFERROR(__xludf.DUMMYFUNCTION("IMPORTRANGE(""https://docs.google.com/spreadsheets/d/1XL5vhW3sbDhbH9Cz0tuDiY8C3ctxq1tqvaCgkFb8cCA/edit?usp=sharing"",""ขอนแก่น!I369"")"),6562.0)</f>
        <v>6562</v>
      </c>
      <c r="J474" s="453">
        <f>IFERROR(__xludf.DUMMYFUNCTION("IMPORTRANGE(""https://docs.google.com/spreadsheets/d/1XL5vhW3sbDhbH9Cz0tuDiY8C3ctxq1tqvaCgkFb8cCA/edit?usp=sharing"",""ขอนแก่น!J369"")"),0.0)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IFERROR(__xludf.DUMMYFUNCTION("IMPORTRANGE(""https://docs.google.com/spreadsheets/d/1XL5vhW3sbDhbH9Cz0tuDiY8C3ctxq1tqvaCgkFb8cCA/edit?usp=sharing"",""ขอนแก่น!I370"")"),0.0)</f>
        <v>0</v>
      </c>
      <c r="J475" s="223">
        <f>IFERROR(__xludf.DUMMYFUNCTION("IMPORTRANGE(""https://docs.google.com/spreadsheets/d/1XL5vhW3sbDhbH9Cz0tuDiY8C3ctxq1tqvaCgkFb8cCA/edit?usp=sharing"",""ขอนแก่น!J370"")"),0.0)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IFERROR(__xludf.DUMMYFUNCTION("IMPORTRANGE(""https://docs.google.com/spreadsheets/d/1XL5vhW3sbDhbH9Cz0tuDiY8C3ctxq1tqvaCgkFb8cCA/edit?usp=sharing"",""ขอนแก่น!I371"")"),0.0)</f>
        <v>0</v>
      </c>
      <c r="J476" s="223">
        <f>IFERROR(__xludf.DUMMYFUNCTION("IMPORTRANGE(""https://docs.google.com/spreadsheets/d/1XL5vhW3sbDhbH9Cz0tuDiY8C3ctxq1tqvaCgkFb8cCA/edit?usp=sharing"",""ขอนแก่น!J371"")"),0.0)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IFERROR(__xludf.DUMMYFUNCTION("IMPORTRANGE(""https://docs.google.com/spreadsheets/d/1XL5vhW3sbDhbH9Cz0tuDiY8C3ctxq1tqvaCgkFb8cCA/edit?usp=sharing"",""ขอนแก่น!I372"")"),0.0)</f>
        <v>0</v>
      </c>
      <c r="J477" s="223">
        <f>IFERROR(__xludf.DUMMYFUNCTION("IMPORTRANGE(""https://docs.google.com/spreadsheets/d/1XL5vhW3sbDhbH9Cz0tuDiY8C3ctxq1tqvaCgkFb8cCA/edit?usp=sharing"",""ขอนแก่น!J372"")"),0.0)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IFERROR(__xludf.DUMMYFUNCTION("IMPORTRANGE(""https://docs.google.com/spreadsheets/d/1XL5vhW3sbDhbH9Cz0tuDiY8C3ctxq1tqvaCgkFb8cCA/edit?usp=sharing"",""ขอนแก่น!I373"")"),0.0)</f>
        <v>0</v>
      </c>
      <c r="J478" s="223">
        <f>IFERROR(__xludf.DUMMYFUNCTION("IMPORTRANGE(""https://docs.google.com/spreadsheets/d/1XL5vhW3sbDhbH9Cz0tuDiY8C3ctxq1tqvaCgkFb8cCA/edit?usp=sharing"",""ขอนแก่น!J373"")"),0.0)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IFERROR(__xludf.DUMMYFUNCTION("IMPORTRANGE(""https://docs.google.com/spreadsheets/d/1XL5vhW3sbDhbH9Cz0tuDiY8C3ctxq1tqvaCgkFb8cCA/edit?usp=sharing"",""ขอนแก่น!I374"")"),0.0)</f>
        <v>0</v>
      </c>
      <c r="J479" s="223">
        <f>IFERROR(__xludf.DUMMYFUNCTION("IMPORTRANGE(""https://docs.google.com/spreadsheets/d/1XL5vhW3sbDhbH9Cz0tuDiY8C3ctxq1tqvaCgkFb8cCA/edit?usp=sharing"",""ขอนแก่น!J374"")"),0.0)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IFERROR(__xludf.DUMMYFUNCTION("IMPORTRANGE(""https://docs.google.com/spreadsheets/d/1XL5vhW3sbDhbH9Cz0tuDiY8C3ctxq1tqvaCgkFb8cCA/edit?usp=sharing"",""ขอนแก่น!I375"")"),0.0)</f>
        <v>0</v>
      </c>
      <c r="J480" s="223">
        <f>IFERROR(__xludf.DUMMYFUNCTION("IMPORTRANGE(""https://docs.google.com/spreadsheets/d/1XL5vhW3sbDhbH9Cz0tuDiY8C3ctxq1tqvaCgkFb8cCA/edit?usp=sharing"",""ขอนแก่น!J375"")"),0.0)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IFERROR(__xludf.DUMMYFUNCTION("IMPORTRANGE(""https://docs.google.com/spreadsheets/d/1XL5vhW3sbDhbH9Cz0tuDiY8C3ctxq1tqvaCgkFb8cCA/edit?usp=sharing"",""ขอนแก่น!I376"")"),59181.0)</f>
        <v>59181</v>
      </c>
      <c r="J481" s="453">
        <f>IFERROR(__xludf.DUMMYFUNCTION("IMPORTRANGE(""https://docs.google.com/spreadsheets/d/1XL5vhW3sbDhbH9Cz0tuDiY8C3ctxq1tqvaCgkFb8cCA/edit?usp=sharing"",""ขอนแก่น!J376"")"),0.0)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IFERROR(__xludf.DUMMYFUNCTION("IMPORTRANGE(""https://docs.google.com/spreadsheets/d/1XL5vhW3sbDhbH9Cz0tuDiY8C3ctxq1tqvaCgkFb8cCA/edit?usp=sharing"",""ขอนแก่น!I377"")"),6562.0)</f>
        <v>6562</v>
      </c>
      <c r="J482" s="453">
        <f>IFERROR(__xludf.DUMMYFUNCTION("IMPORTRANGE(""https://docs.google.com/spreadsheets/d/1XL5vhW3sbDhbH9Cz0tuDiY8C3ctxq1tqvaCgkFb8cCA/edit?usp=sharing"",""ขอนแก่น!J377"")"),0.0)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IFERROR(__xludf.DUMMYFUNCTION("IMPORTRANGE(""https://docs.google.com/spreadsheets/d/1XL5vhW3sbDhbH9Cz0tuDiY8C3ctxq1tqvaCgkFb8cCA/edit?usp=sharing"",""ขอนแก่น!I378"")"),0.0)</f>
        <v>0</v>
      </c>
      <c r="J483" s="223">
        <f>IFERROR(__xludf.DUMMYFUNCTION("IMPORTRANGE(""https://docs.google.com/spreadsheets/d/1XL5vhW3sbDhbH9Cz0tuDiY8C3ctxq1tqvaCgkFb8cCA/edit?usp=sharing"",""ขอนแก่น!J378"")"),0.0)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IFERROR(__xludf.DUMMYFUNCTION("IMPORTRANGE(""https://docs.google.com/spreadsheets/d/1XL5vhW3sbDhbH9Cz0tuDiY8C3ctxq1tqvaCgkFb8cCA/edit?usp=sharing"",""ขอนแก่น!I379"")"),0.0)</f>
        <v>0</v>
      </c>
      <c r="J484" s="223">
        <f>IFERROR(__xludf.DUMMYFUNCTION("IMPORTRANGE(""https://docs.google.com/spreadsheets/d/1XL5vhW3sbDhbH9Cz0tuDiY8C3ctxq1tqvaCgkFb8cCA/edit?usp=sharing"",""ขอนแก่น!J379"")"),0.0)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IFERROR(__xludf.DUMMYFUNCTION("IMPORTRANGE(""https://docs.google.com/spreadsheets/d/1XL5vhW3sbDhbH9Cz0tuDiY8C3ctxq1tqvaCgkFb8cCA/edit?usp=sharing"",""ขอนแก่น!I380"")"),0.0)</f>
        <v>0</v>
      </c>
      <c r="J485" s="223">
        <f>IFERROR(__xludf.DUMMYFUNCTION("IMPORTRANGE(""https://docs.google.com/spreadsheets/d/1XL5vhW3sbDhbH9Cz0tuDiY8C3ctxq1tqvaCgkFb8cCA/edit?usp=sharing"",""ขอนแก่น!J380"")"),0.0)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IFERROR(__xludf.DUMMYFUNCTION("IMPORTRANGE(""https://docs.google.com/spreadsheets/d/1XL5vhW3sbDhbH9Cz0tuDiY8C3ctxq1tqvaCgkFb8cCA/edit?usp=sharing"",""ขอนแก่น!I381"")"),0.0)</f>
        <v>0</v>
      </c>
      <c r="J486" s="223">
        <f>IFERROR(__xludf.DUMMYFUNCTION("IMPORTRANGE(""https://docs.google.com/spreadsheets/d/1XL5vhW3sbDhbH9Cz0tuDiY8C3ctxq1tqvaCgkFb8cCA/edit?usp=sharing"",""ขอนแก่น!J381"")"),0.0)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IFERROR(__xludf.DUMMYFUNCTION("IMPORTRANGE(""https://docs.google.com/spreadsheets/d/1XL5vhW3sbDhbH9Cz0tuDiY8C3ctxq1tqvaCgkFb8cCA/edit?usp=sharing"",""ขอนแก่น!I382"")"),0.0)</f>
        <v>0</v>
      </c>
      <c r="J487" s="453">
        <f>IFERROR(__xludf.DUMMYFUNCTION("IMPORTRANGE(""https://docs.google.com/spreadsheets/d/1XL5vhW3sbDhbH9Cz0tuDiY8C3ctxq1tqvaCgkFb8cCA/edit?usp=sharing"",""ขอนแก่น!J382"")"),0.0)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IFERROR(__xludf.DUMMYFUNCTION("IMPORTRANGE(""https://docs.google.com/spreadsheets/d/1XL5vhW3sbDhbH9Cz0tuDiY8C3ctxq1tqvaCgkFb8cCA/edit?usp=sharing"",""ขอนแก่น!I383"")"),0.0)</f>
        <v>0</v>
      </c>
      <c r="J488" s="453">
        <f>IFERROR(__xludf.DUMMYFUNCTION("IMPORTRANGE(""https://docs.google.com/spreadsheets/d/1XL5vhW3sbDhbH9Cz0tuDiY8C3ctxq1tqvaCgkFb8cCA/edit?usp=sharing"",""ขอนแก่น!J383"")"),0.0)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IFERROR(__xludf.DUMMYFUNCTION("IMPORTRANGE(""https://docs.google.com/spreadsheets/d/1XL5vhW3sbDhbH9Cz0tuDiY8C3ctxq1tqvaCgkFb8cCA/edit?usp=sharing"",""ขอนแก่น!I384"")"),0.0)</f>
        <v>0</v>
      </c>
      <c r="J489" s="223">
        <f>IFERROR(__xludf.DUMMYFUNCTION("IMPORTRANGE(""https://docs.google.com/spreadsheets/d/1XL5vhW3sbDhbH9Cz0tuDiY8C3ctxq1tqvaCgkFb8cCA/edit?usp=sharing"",""ขอนแก่น!J384"")"),0.0)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IFERROR(__xludf.DUMMYFUNCTION("IMPORTRANGE(""https://docs.google.com/spreadsheets/d/1XL5vhW3sbDhbH9Cz0tuDiY8C3ctxq1tqvaCgkFb8cCA/edit?usp=sharing"",""ขอนแก่น!I385"")"),0.0)</f>
        <v>0</v>
      </c>
      <c r="J490" s="223">
        <f>IFERROR(__xludf.DUMMYFUNCTION("IMPORTRANGE(""https://docs.google.com/spreadsheets/d/1XL5vhW3sbDhbH9Cz0tuDiY8C3ctxq1tqvaCgkFb8cCA/edit?usp=sharing"",""ขอนแก่น!J385"")"),0.0)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IFERROR(__xludf.DUMMYFUNCTION("IMPORTRANGE(""https://docs.google.com/spreadsheets/d/1XL5vhW3sbDhbH9Cz0tuDiY8C3ctxq1tqvaCgkFb8cCA/edit?usp=sharing"",""ขอนแก่น!I386"")"),0.0)</f>
        <v>0</v>
      </c>
      <c r="J491" s="223">
        <f>IFERROR(__xludf.DUMMYFUNCTION("IMPORTRANGE(""https://docs.google.com/spreadsheets/d/1XL5vhW3sbDhbH9Cz0tuDiY8C3ctxq1tqvaCgkFb8cCA/edit?usp=sharing"",""ขอนแก่น!J386"")"),0.0)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IFERROR(__xludf.DUMMYFUNCTION("IMPORTRANGE(""https://docs.google.com/spreadsheets/d/1XL5vhW3sbDhbH9Cz0tuDiY8C3ctxq1tqvaCgkFb8cCA/edit?usp=sharing"",""ขอนแก่น!I387"")"),0.0)</f>
        <v>0</v>
      </c>
      <c r="J492" s="223">
        <f>IFERROR(__xludf.DUMMYFUNCTION("IMPORTRANGE(""https://docs.google.com/spreadsheets/d/1XL5vhW3sbDhbH9Cz0tuDiY8C3ctxq1tqvaCgkFb8cCA/edit?usp=sharing"",""ขอนแก่น!J387"")"),0.0)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IFERROR(__xludf.DUMMYFUNCTION("IMPORTRANGE(""https://docs.google.com/spreadsheets/d/1XL5vhW3sbDhbH9Cz0tuDiY8C3ctxq1tqvaCgkFb8cCA/edit?usp=sharing"",""ขอนแก่น!I388"")"),0.0)</f>
        <v>0</v>
      </c>
      <c r="J493" s="223">
        <f>IFERROR(__xludf.DUMMYFUNCTION("IMPORTRANGE(""https://docs.google.com/spreadsheets/d/1XL5vhW3sbDhbH9Cz0tuDiY8C3ctxq1tqvaCgkFb8cCA/edit?usp=sharing"",""ขอนแก่น!J388"")"),0.0)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IFERROR(__xludf.DUMMYFUNCTION("IMPORTRANGE(""https://docs.google.com/spreadsheets/d/1XL5vhW3sbDhbH9Cz0tuDiY8C3ctxq1tqvaCgkFb8cCA/edit?usp=sharing"",""ขอนแก่น!I389"")"),0.0)</f>
        <v>0</v>
      </c>
      <c r="J494" s="469">
        <f>IFERROR(__xludf.DUMMYFUNCTION("IMPORTRANGE(""https://docs.google.com/spreadsheets/d/1XL5vhW3sbDhbH9Cz0tuDiY8C3ctxq1tqvaCgkFb8cCA/edit?usp=sharing"",""ขอนแก่น!J389"")"),0.0)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IFERROR(__xludf.DUMMYFUNCTION("IMPORTRANGE(""https://docs.google.com/spreadsheets/d/1XL5vhW3sbDhbH9Cz0tuDiY8C3ctxq1tqvaCgkFb8cCA/edit?usp=sharing"",""ขอนแก่น!I390"")"),0.0)</f>
        <v>0</v>
      </c>
      <c r="J495" s="469">
        <f>IFERROR(__xludf.DUMMYFUNCTION("IMPORTRANGE(""https://docs.google.com/spreadsheets/d/1XL5vhW3sbDhbH9Cz0tuDiY8C3ctxq1tqvaCgkFb8cCA/edit?usp=sharing"",""ขอนแก่น!J390"")"),0.0)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IFERROR(__xludf.DUMMYFUNCTION("IMPORTRANGE(""https://docs.google.com/spreadsheets/d/1XL5vhW3sbDhbH9Cz0tuDiY8C3ctxq1tqvaCgkFb8cCA/edit?usp=sharing"",""ขอนแก่น!I391"")"),0.0)</f>
        <v>0</v>
      </c>
      <c r="J496" s="469">
        <f>IFERROR(__xludf.DUMMYFUNCTION("IMPORTRANGE(""https://docs.google.com/spreadsheets/d/1XL5vhW3sbDhbH9Cz0tuDiY8C3ctxq1tqvaCgkFb8cCA/edit?usp=sharing"",""ขอนแก่น!J391"")"),0.0)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IFERROR(__xludf.DUMMYFUNCTION("IMPORTRANGE(""https://docs.google.com/spreadsheets/d/1XL5vhW3sbDhbH9Cz0tuDiY8C3ctxq1tqvaCgkFb8cCA/edit?usp=sharing"",""ขอนแก่น!I392"")"),349.0)</f>
        <v>349</v>
      </c>
      <c r="J497" s="476">
        <f>IFERROR(__xludf.DUMMYFUNCTION("IMPORTRANGE(""https://docs.google.com/spreadsheets/d/1XL5vhW3sbDhbH9Cz0tuDiY8C3ctxq1tqvaCgkFb8cCA/edit?usp=sharing"",""ขอนแก่น!J392"")"),117.0)</f>
        <v>117</v>
      </c>
      <c r="K497" s="477">
        <f t="shared" si="118"/>
        <v>33.5243553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IFERROR(__xludf.DUMMYFUNCTION("IMPORTRANGE(""https://docs.google.com/spreadsheets/d/1XL5vhW3sbDhbH9Cz0tuDiY8C3ctxq1tqvaCgkFb8cCA/edit?usp=sharing"",""ขอนแก่น!I393"")"),349.0)</f>
        <v>349</v>
      </c>
      <c r="J498" s="453">
        <f>IFERROR(__xludf.DUMMYFUNCTION("IMPORTRANGE(""https://docs.google.com/spreadsheets/d/1XL5vhW3sbDhbH9Cz0tuDiY8C3ctxq1tqvaCgkFb8cCA/edit?usp=sharing"",""ขอนแก่น!J393"")"),117.0)</f>
        <v>117</v>
      </c>
      <c r="K498" s="196">
        <f t="shared" si="118"/>
        <v>33.5243553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IFERROR(__xludf.DUMMYFUNCTION("IMPORTRANGE(""https://docs.google.com/spreadsheets/d/1XL5vhW3sbDhbH9Cz0tuDiY8C3ctxq1tqvaCgkFb8cCA/edit?usp=sharing"",""ขอนแก่น!I394"")"),32.0)</f>
        <v>32</v>
      </c>
      <c r="J499" s="453">
        <f>IFERROR(__xludf.DUMMYFUNCTION("IMPORTRANGE(""https://docs.google.com/spreadsheets/d/1XL5vhW3sbDhbH9Cz0tuDiY8C3ctxq1tqvaCgkFb8cCA/edit?usp=sharing"",""ขอนแก่น!J394"")"),12.0)</f>
        <v>12</v>
      </c>
      <c r="K499" s="236">
        <f t="shared" si="118"/>
        <v>37.5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IFERROR(__xludf.DUMMYFUNCTION("IMPORTRANGE(""https://docs.google.com/spreadsheets/d/1XL5vhW3sbDhbH9Cz0tuDiY8C3ctxq1tqvaCgkFb8cCA/edit?usp=sharing"",""ขอนแก่น!I395"")"),0.0)</f>
        <v>0</v>
      </c>
      <c r="J500" s="195">
        <f>IFERROR(__xludf.DUMMYFUNCTION("IMPORTRANGE(""https://docs.google.com/spreadsheets/d/1XL5vhW3sbDhbH9Cz0tuDiY8C3ctxq1tqvaCgkFb8cCA/edit?usp=sharing"",""ขอนแก่น!J395"")"),117.0)</f>
        <v>117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IFERROR(__xludf.DUMMYFUNCTION("IMPORTRANGE(""https://docs.google.com/spreadsheets/d/1XL5vhW3sbDhbH9Cz0tuDiY8C3ctxq1tqvaCgkFb8cCA/edit?usp=sharing"",""ขอนแก่น!I396"")"),0.0)</f>
        <v>0</v>
      </c>
      <c r="J501" s="195">
        <f>IFERROR(__xludf.DUMMYFUNCTION("IMPORTRANGE(""https://docs.google.com/spreadsheets/d/1XL5vhW3sbDhbH9Cz0tuDiY8C3ctxq1tqvaCgkFb8cCA/edit?usp=sharing"",""ขอนแก่น!J396"")"),12.0)</f>
        <v>12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IFERROR(__xludf.DUMMYFUNCTION("IMPORTRANGE(""https://docs.google.com/spreadsheets/d/1XL5vhW3sbDhbH9Cz0tuDiY8C3ctxq1tqvaCgkFb8cCA/edit?usp=sharing"",""ขอนแก่น!I397"")"),0.0)</f>
        <v>0</v>
      </c>
      <c r="J502" s="223">
        <f>IFERROR(__xludf.DUMMYFUNCTION("IMPORTRANGE(""https://docs.google.com/spreadsheets/d/1XL5vhW3sbDhbH9Cz0tuDiY8C3ctxq1tqvaCgkFb8cCA/edit?usp=sharing"",""ขอนแก่น!J397"")"),117.0)</f>
        <v>117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IFERROR(__xludf.DUMMYFUNCTION("IMPORTRANGE(""https://docs.google.com/spreadsheets/d/1XL5vhW3sbDhbH9Cz0tuDiY8C3ctxq1tqvaCgkFb8cCA/edit?usp=sharing"",""ขอนแก่น!I398"")"),0.0)</f>
        <v>0</v>
      </c>
      <c r="J503" s="232">
        <f>IFERROR(__xludf.DUMMYFUNCTION("IMPORTRANGE(""https://docs.google.com/spreadsheets/d/1XL5vhW3sbDhbH9Cz0tuDiY8C3ctxq1tqvaCgkFb8cCA/edit?usp=sharing"",""ขอนแก่น!J398"")"),12.0)</f>
        <v>12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IFERROR(__xludf.DUMMYFUNCTION("IMPORTRANGE(""https://docs.google.com/spreadsheets/d/1XL5vhW3sbDhbH9Cz0tuDiY8C3ctxq1tqvaCgkFb8cCA/edit?usp=sharing"",""ขอนแก่น!I399"")"),0.0)</f>
        <v>0</v>
      </c>
      <c r="J504" s="223">
        <f>IFERROR(__xludf.DUMMYFUNCTION("IMPORTRANGE(""https://docs.google.com/spreadsheets/d/1XL5vhW3sbDhbH9Cz0tuDiY8C3ctxq1tqvaCgkFb8cCA/edit?usp=sharing"",""ขอนแก่น!J399"")"),0.0)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IFERROR(__xludf.DUMMYFUNCTION("IMPORTRANGE(""https://docs.google.com/spreadsheets/d/1XL5vhW3sbDhbH9Cz0tuDiY8C3ctxq1tqvaCgkFb8cCA/edit?usp=sharing"",""ขอนแก่น!I400"")"),0.0)</f>
        <v>0</v>
      </c>
      <c r="J505" s="232">
        <f>IFERROR(__xludf.DUMMYFUNCTION("IMPORTRANGE(""https://docs.google.com/spreadsheets/d/1XL5vhW3sbDhbH9Cz0tuDiY8C3ctxq1tqvaCgkFb8cCA/edit?usp=sharing"",""ขอนแก่น!J400"")"),0.0)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IFERROR(__xludf.DUMMYFUNCTION("IMPORTRANGE(""https://docs.google.com/spreadsheets/d/1XL5vhW3sbDhbH9Cz0tuDiY8C3ctxq1tqvaCgkFb8cCA/edit?usp=sharing"",""ขอนแก่น!I401"")"),0.0)</f>
        <v>0</v>
      </c>
      <c r="J506" s="223">
        <f>IFERROR(__xludf.DUMMYFUNCTION("IMPORTRANGE(""https://docs.google.com/spreadsheets/d/1XL5vhW3sbDhbH9Cz0tuDiY8C3ctxq1tqvaCgkFb8cCA/edit?usp=sharing"",""ขอนแก่น!J401"")"),0.0)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IFERROR(__xludf.DUMMYFUNCTION("IMPORTRANGE(""https://docs.google.com/spreadsheets/d/1XL5vhW3sbDhbH9Cz0tuDiY8C3ctxq1tqvaCgkFb8cCA/edit?usp=sharing"",""ขอนแก่น!I402"")"),0.0)</f>
        <v>0</v>
      </c>
      <c r="J507" s="232">
        <f>IFERROR(__xludf.DUMMYFUNCTION("IMPORTRANGE(""https://docs.google.com/spreadsheets/d/1XL5vhW3sbDhbH9Cz0tuDiY8C3ctxq1tqvaCgkFb8cCA/edit?usp=sharing"",""ขอนแก่น!J402"")"),0.0)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IFERROR(__xludf.DUMMYFUNCTION("IMPORTRANGE(""https://docs.google.com/spreadsheets/d/1XL5vhW3sbDhbH9Cz0tuDiY8C3ctxq1tqvaCgkFb8cCA/edit?usp=sharing"",""ขอนแก่น!I403"")"),0.0)</f>
        <v>0</v>
      </c>
      <c r="J508" s="195">
        <f>IFERROR(__xludf.DUMMYFUNCTION("IMPORTRANGE(""https://docs.google.com/spreadsheets/d/1XL5vhW3sbDhbH9Cz0tuDiY8C3ctxq1tqvaCgkFb8cCA/edit?usp=sharing"",""ขอนแก่น!J403"")"),0.0)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IFERROR(__xludf.DUMMYFUNCTION("IMPORTRANGE(""https://docs.google.com/spreadsheets/d/1XL5vhW3sbDhbH9Cz0tuDiY8C3ctxq1tqvaCgkFb8cCA/edit?usp=sharing"",""ขอนแก่น!I404"")"),0.0)</f>
        <v>0</v>
      </c>
      <c r="J509" s="195">
        <f>IFERROR(__xludf.DUMMYFUNCTION("IMPORTRANGE(""https://docs.google.com/spreadsheets/d/1XL5vhW3sbDhbH9Cz0tuDiY8C3ctxq1tqvaCgkFb8cCA/edit?usp=sharing"",""ขอนแก่น!J404"")"),0.0)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IFERROR(__xludf.DUMMYFUNCTION("IMPORTRANGE(""https://docs.google.com/spreadsheets/d/1XL5vhW3sbDhbH9Cz0tuDiY8C3ctxq1tqvaCgkFb8cCA/edit?usp=sharing"",""ขอนแก่น!I405"")"),0.0)</f>
        <v>0</v>
      </c>
      <c r="J510" s="232">
        <f>IFERROR(__xludf.DUMMYFUNCTION("IMPORTRANGE(""https://docs.google.com/spreadsheets/d/1XL5vhW3sbDhbH9Cz0tuDiY8C3ctxq1tqvaCgkFb8cCA/edit?usp=sharing"",""ขอนแก่น!J405"")"),0.0)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IFERROR(__xludf.DUMMYFUNCTION("IMPORTRANGE(""https://docs.google.com/spreadsheets/d/1XL5vhW3sbDhbH9Cz0tuDiY8C3ctxq1tqvaCgkFb8cCA/edit?usp=sharing"",""ขอนแก่น!I406"")"),0.0)</f>
        <v>0</v>
      </c>
      <c r="J511" s="232">
        <f>IFERROR(__xludf.DUMMYFUNCTION("IMPORTRANGE(""https://docs.google.com/spreadsheets/d/1XL5vhW3sbDhbH9Cz0tuDiY8C3ctxq1tqvaCgkFb8cCA/edit?usp=sharing"",""ขอนแก่น!J406"")"),0.0)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IFERROR(__xludf.DUMMYFUNCTION("IMPORTRANGE(""https://docs.google.com/spreadsheets/d/1XL5vhW3sbDhbH9Cz0tuDiY8C3ctxq1tqvaCgkFb8cCA/edit?usp=sharing"",""ขอนแก่น!I407"")"),0.0)</f>
        <v>0</v>
      </c>
      <c r="J512" s="232">
        <f>IFERROR(__xludf.DUMMYFUNCTION("IMPORTRANGE(""https://docs.google.com/spreadsheets/d/1XL5vhW3sbDhbH9Cz0tuDiY8C3ctxq1tqvaCgkFb8cCA/edit?usp=sharing"",""ขอนแก่น!J407"")"),0.0)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IFERROR(__xludf.DUMMYFUNCTION("IMPORTRANGE(""https://docs.google.com/spreadsheets/d/1XL5vhW3sbDhbH9Cz0tuDiY8C3ctxq1tqvaCgkFb8cCA/edit?usp=sharing"",""ขอนแก่น!I408"")"),0.0)</f>
        <v>0</v>
      </c>
      <c r="J513" s="232">
        <f>IFERROR(__xludf.DUMMYFUNCTION("IMPORTRANGE(""https://docs.google.com/spreadsheets/d/1XL5vhW3sbDhbH9Cz0tuDiY8C3ctxq1tqvaCgkFb8cCA/edit?usp=sharing"",""ขอนแก่น!J408"")"),0.0)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IFERROR(__xludf.DUMMYFUNCTION("IMPORTRANGE(""https://docs.google.com/spreadsheets/d/1XL5vhW3sbDhbH9Cz0tuDiY8C3ctxq1tqvaCgkFb8cCA/edit?usp=sharing"",""ขอนแก่น!I409"")"),0.0)</f>
        <v>0</v>
      </c>
      <c r="J514" s="232">
        <f>IFERROR(__xludf.DUMMYFUNCTION("IMPORTRANGE(""https://docs.google.com/spreadsheets/d/1XL5vhW3sbDhbH9Cz0tuDiY8C3ctxq1tqvaCgkFb8cCA/edit?usp=sharing"",""ขอนแก่น!J409"")"),0.0)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IFERROR(__xludf.DUMMYFUNCTION("IMPORTRANGE(""https://docs.google.com/spreadsheets/d/1XL5vhW3sbDhbH9Cz0tuDiY8C3ctxq1tqvaCgkFb8cCA/edit?usp=sharing"",""ขอนแก่น!I410"")"),0.0)</f>
        <v>0</v>
      </c>
      <c r="J515" s="232">
        <f>IFERROR(__xludf.DUMMYFUNCTION("IMPORTRANGE(""https://docs.google.com/spreadsheets/d/1XL5vhW3sbDhbH9Cz0tuDiY8C3ctxq1tqvaCgkFb8cCA/edit?usp=sharing"",""ขอนแก่น!J410"")"),0.0)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IFERROR(__xludf.DUMMYFUNCTION("IMPORTRANGE(""https://docs.google.com/spreadsheets/d/1XL5vhW3sbDhbH9Cz0tuDiY8C3ctxq1tqvaCgkFb8cCA/edit?usp=sharing"",""ขอนแก่น!I411"")"),0.0)</f>
        <v>0</v>
      </c>
      <c r="J516" s="301">
        <f>IFERROR(__xludf.DUMMYFUNCTION("IMPORTRANGE(""https://docs.google.com/spreadsheets/d/1XL5vhW3sbDhbH9Cz0tuDiY8C3ctxq1tqvaCgkFb8cCA/edit?usp=sharing"",""ขอนแก่น!J411"")"),0.0)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IFERROR(__xludf.DUMMYFUNCTION("IMPORTRANGE(""https://docs.google.com/spreadsheets/d/1XL5vhW3sbDhbH9Cz0tuDiY8C3ctxq1tqvaCgkFb8cCA/edit?usp=sharing"",""ขอนแก่น!I412"")"),0.0)</f>
        <v>0</v>
      </c>
      <c r="J517" s="317">
        <f>IFERROR(__xludf.DUMMYFUNCTION("IMPORTRANGE(""https://docs.google.com/spreadsheets/d/1XL5vhW3sbDhbH9Cz0tuDiY8C3ctxq1tqvaCgkFb8cCA/edit?usp=sharing"",""ขอนแก่น!J412"")"),0.0)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IFERROR(__xludf.DUMMYFUNCTION("IMPORTRANGE(""https://docs.google.com/spreadsheets/d/1XL5vhW3sbDhbH9Cz0tuDiY8C3ctxq1tqvaCgkFb8cCA/edit?usp=sharing"",""ขอนแก่น!I413"")"),0.0)</f>
        <v>0</v>
      </c>
      <c r="J518" s="317">
        <f>IFERROR(__xludf.DUMMYFUNCTION("IMPORTRANGE(""https://docs.google.com/spreadsheets/d/1XL5vhW3sbDhbH9Cz0tuDiY8C3ctxq1tqvaCgkFb8cCA/edit?usp=sharing"",""ขอนแก่น!J413"")"),0.0)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IFERROR(__xludf.DUMMYFUNCTION("IMPORTRANGE(""https://docs.google.com/spreadsheets/d/1XL5vhW3sbDhbH9Cz0tuDiY8C3ctxq1tqvaCgkFb8cCA/edit?usp=sharing"",""ขอนแก่น!I414"")"),0.0)</f>
        <v>0</v>
      </c>
      <c r="J519" s="222">
        <f>IFERROR(__xludf.DUMMYFUNCTION("IMPORTRANGE(""https://docs.google.com/spreadsheets/d/1XL5vhW3sbDhbH9Cz0tuDiY8C3ctxq1tqvaCgkFb8cCA/edit?usp=sharing"",""ขอนแก่น!J414"")"),0.0)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IFERROR(__xludf.DUMMYFUNCTION("IMPORTRANGE(""https://docs.google.com/spreadsheets/d/1XL5vhW3sbDhbH9Cz0tuDiY8C3ctxq1tqvaCgkFb8cCA/edit?usp=sharing"",""ขอนแก่น!I415"")"),0.0)</f>
        <v>0</v>
      </c>
      <c r="J520" s="222">
        <f>IFERROR(__xludf.DUMMYFUNCTION("IMPORTRANGE(""https://docs.google.com/spreadsheets/d/1XL5vhW3sbDhbH9Cz0tuDiY8C3ctxq1tqvaCgkFb8cCA/edit?usp=sharing"",""ขอนแก่น!J415"")"),0.0)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IFERROR(__xludf.DUMMYFUNCTION("IMPORTRANGE(""https://docs.google.com/spreadsheets/d/1XL5vhW3sbDhbH9Cz0tuDiY8C3ctxq1tqvaCgkFb8cCA/edit?usp=sharing"",""ขอนแก่น!I416"")"),0.0)</f>
        <v>0</v>
      </c>
      <c r="J521" s="222">
        <f>IFERROR(__xludf.DUMMYFUNCTION("IMPORTRANGE(""https://docs.google.com/spreadsheets/d/1XL5vhW3sbDhbH9Cz0tuDiY8C3ctxq1tqvaCgkFb8cCA/edit?usp=sharing"",""ขอนแก่น!J416"")"),0.0)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IFERROR(__xludf.DUMMYFUNCTION("IMPORTRANGE(""https://docs.google.com/spreadsheets/d/1XL5vhW3sbDhbH9Cz0tuDiY8C3ctxq1tqvaCgkFb8cCA/edit?usp=sharing"",""ขอนแก่น!I417"")"),0.0)</f>
        <v>0</v>
      </c>
      <c r="J522" s="222">
        <f>IFERROR(__xludf.DUMMYFUNCTION("IMPORTRANGE(""https://docs.google.com/spreadsheets/d/1XL5vhW3sbDhbH9Cz0tuDiY8C3ctxq1tqvaCgkFb8cCA/edit?usp=sharing"",""ขอนแก่น!J417"")"),0.0)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IFERROR(__xludf.DUMMYFUNCTION("IMPORTRANGE(""https://docs.google.com/spreadsheets/d/1XL5vhW3sbDhbH9Cz0tuDiY8C3ctxq1tqvaCgkFb8cCA/edit?usp=sharing"",""ขอนแก่น!I418"")"),0.0)</f>
        <v>0</v>
      </c>
      <c r="J523" s="222">
        <f>IFERROR(__xludf.DUMMYFUNCTION("IMPORTRANGE(""https://docs.google.com/spreadsheets/d/1XL5vhW3sbDhbH9Cz0tuDiY8C3ctxq1tqvaCgkFb8cCA/edit?usp=sharing"",""ขอนแก่น!J418"")"),0.0)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IFERROR(__xludf.DUMMYFUNCTION("IMPORTRANGE(""https://docs.google.com/spreadsheets/d/1XL5vhW3sbDhbH9Cz0tuDiY8C3ctxq1tqvaCgkFb8cCA/edit?usp=sharing"",""ขอนแก่น!I419"")"),0.0)</f>
        <v>0</v>
      </c>
      <c r="J524" s="222">
        <f>IFERROR(__xludf.DUMMYFUNCTION("IMPORTRANGE(""https://docs.google.com/spreadsheets/d/1XL5vhW3sbDhbH9Cz0tuDiY8C3ctxq1tqvaCgkFb8cCA/edit?usp=sharing"",""ขอนแก่น!J419"")"),0.0)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IFERROR(__xludf.DUMMYFUNCTION("IMPORTRANGE(""https://docs.google.com/spreadsheets/d/1XL5vhW3sbDhbH9Cz0tuDiY8C3ctxq1tqvaCgkFb8cCA/edit?usp=sharing"",""ขอนแก่น!I420"")"),0.0)</f>
        <v>0</v>
      </c>
      <c r="J525" s="317">
        <f>IFERROR(__xludf.DUMMYFUNCTION("IMPORTRANGE(""https://docs.google.com/spreadsheets/d/1XL5vhW3sbDhbH9Cz0tuDiY8C3ctxq1tqvaCgkFb8cCA/edit?usp=sharing"",""ขอนแก่น!J420"")"),0.0)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IFERROR(__xludf.DUMMYFUNCTION("IMPORTRANGE(""https://docs.google.com/spreadsheets/d/1XL5vhW3sbDhbH9Cz0tuDiY8C3ctxq1tqvaCgkFb8cCA/edit?usp=sharing"",""ขอนแก่น!I421"")"),0.0)</f>
        <v>0</v>
      </c>
      <c r="J526" s="317">
        <f>IFERROR(__xludf.DUMMYFUNCTION("IMPORTRANGE(""https://docs.google.com/spreadsheets/d/1XL5vhW3sbDhbH9Cz0tuDiY8C3ctxq1tqvaCgkFb8cCA/edit?usp=sharing"",""ขอนแก่น!J421"")"),0.0)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IFERROR(__xludf.DUMMYFUNCTION("IMPORTRANGE(""https://docs.google.com/spreadsheets/d/1XL5vhW3sbDhbH9Cz0tuDiY8C3ctxq1tqvaCgkFb8cCA/edit?usp=sharing"",""ขอนแก่น!I422"")"),0.0)</f>
        <v>0</v>
      </c>
      <c r="J527" s="232">
        <f>IFERROR(__xludf.DUMMYFUNCTION("IMPORTRANGE(""https://docs.google.com/spreadsheets/d/1XL5vhW3sbDhbH9Cz0tuDiY8C3ctxq1tqvaCgkFb8cCA/edit?usp=sharing"",""ขอนแก่น!J422"")"),0.0)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IFERROR(__xludf.DUMMYFUNCTION("IMPORTRANGE(""https://docs.google.com/spreadsheets/d/1XL5vhW3sbDhbH9Cz0tuDiY8C3ctxq1tqvaCgkFb8cCA/edit?usp=sharing"",""ขอนแก่น!I423"")"),0.0)</f>
        <v>0</v>
      </c>
      <c r="J528" s="232">
        <f>IFERROR(__xludf.DUMMYFUNCTION("IMPORTRANGE(""https://docs.google.com/spreadsheets/d/1XL5vhW3sbDhbH9Cz0tuDiY8C3ctxq1tqvaCgkFb8cCA/edit?usp=sharing"",""ขอนแก่น!J423"")"),0.0)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IFERROR(__xludf.DUMMYFUNCTION("IMPORTRANGE(""https://docs.google.com/spreadsheets/d/1XL5vhW3sbDhbH9Cz0tuDiY8C3ctxq1tqvaCgkFb8cCA/edit?usp=sharing"",""ขอนแก่น!I424"")"),0.0)</f>
        <v>0</v>
      </c>
      <c r="J529" s="232">
        <f>IFERROR(__xludf.DUMMYFUNCTION("IMPORTRANGE(""https://docs.google.com/spreadsheets/d/1XL5vhW3sbDhbH9Cz0tuDiY8C3ctxq1tqvaCgkFb8cCA/edit?usp=sharing"",""ขอนแก่น!J424"")"),0.0)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IFERROR(__xludf.DUMMYFUNCTION("IMPORTRANGE(""https://docs.google.com/spreadsheets/d/1XL5vhW3sbDhbH9Cz0tuDiY8C3ctxq1tqvaCgkFb8cCA/edit?usp=sharing"",""ขอนแก่น!I425"")"),0.0)</f>
        <v>0</v>
      </c>
      <c r="J530" s="232">
        <f>IFERROR(__xludf.DUMMYFUNCTION("IMPORTRANGE(""https://docs.google.com/spreadsheets/d/1XL5vhW3sbDhbH9Cz0tuDiY8C3ctxq1tqvaCgkFb8cCA/edit?usp=sharing"",""ขอนแก่น!J425"")"),0.0)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IFERROR(__xludf.DUMMYFUNCTION("IMPORTRANGE(""https://docs.google.com/spreadsheets/d/1XL5vhW3sbDhbH9Cz0tuDiY8C3ctxq1tqvaCgkFb8cCA/edit?usp=sharing"",""ขอนแก่น!I426"")"),0.0)</f>
        <v>0</v>
      </c>
      <c r="J531" s="232">
        <f>IFERROR(__xludf.DUMMYFUNCTION("IMPORTRANGE(""https://docs.google.com/spreadsheets/d/1XL5vhW3sbDhbH9Cz0tuDiY8C3ctxq1tqvaCgkFb8cCA/edit?usp=sharing"",""ขอนแก่น!J426"")"),0.0)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IFERROR(__xludf.DUMMYFUNCTION("IMPORTRANGE(""https://docs.google.com/spreadsheets/d/1XL5vhW3sbDhbH9Cz0tuDiY8C3ctxq1tqvaCgkFb8cCA/edit?usp=sharing"",""ขอนแก่น!I427"")"),0.0)</f>
        <v>0</v>
      </c>
      <c r="J532" s="499">
        <f>IFERROR(__xludf.DUMMYFUNCTION("IMPORTRANGE(""https://docs.google.com/spreadsheets/d/1XL5vhW3sbDhbH9Cz0tuDiY8C3ctxq1tqvaCgkFb8cCA/edit?usp=sharing"",""ขอนแก่น!J427"")"),0.0)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IFERROR(__xludf.DUMMYFUNCTION("IMPORTRANGE(""https://docs.google.com/spreadsheets/d/1XL5vhW3sbDhbH9Cz0tuDiY8C3ctxq1tqvaCgkFb8cCA/edit?usp=sharing"",""ขอนแก่น!I428"")"),26.0)</f>
        <v>26</v>
      </c>
      <c r="J533" s="443">
        <f>IFERROR(__xludf.DUMMYFUNCTION("IMPORTRANGE(""https://docs.google.com/spreadsheets/d/1XL5vhW3sbDhbH9Cz0tuDiY8C3ctxq1tqvaCgkFb8cCA/edit?usp=sharing"",""ขอนแก่น!J428"")"),26.0)</f>
        <v>26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IFERROR(__xludf.DUMMYFUNCTION("IMPORTRANGE(""https://docs.google.com/spreadsheets/d/1XL5vhW3sbDhbH9Cz0tuDiY8C3ctxq1tqvaCgkFb8cCA/edit?usp=sharing"",""ขอนแก่น!L428"")"),37740.0)</f>
        <v>37740</v>
      </c>
      <c r="M533" s="445"/>
      <c r="N533" s="445">
        <f>IFERROR(__xludf.DUMMYFUNCTION("IMPORTRANGE(""https://docs.google.com/spreadsheets/d/1XL5vhW3sbDhbH9Cz0tuDiY8C3ctxq1tqvaCgkFb8cCA/edit?usp=sharing"",""ขอนแก่น!M428"")"),21773.0)</f>
        <v>21773</v>
      </c>
      <c r="O533" s="445">
        <f t="shared" ref="O533:O537" si="119">+IF(L533&gt;0,N533*100/L533,0)</f>
        <v>57.69210387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IFERROR(__xludf.DUMMYFUNCTION("IMPORTRANGE(""https://docs.google.com/spreadsheets/d/1XL5vhW3sbDhbH9Cz0tuDiY8C3ctxq1tqvaCgkFb8cCA/edit?usp=sharing"",""ขอนแก่น!L429"")"),0.0)</f>
        <v>0</v>
      </c>
      <c r="M534" s="197"/>
      <c r="N534" s="203">
        <f>IFERROR(__xludf.DUMMYFUNCTION("IMPORTRANGE(""https://docs.google.com/spreadsheets/d/1XL5vhW3sbDhbH9Cz0tuDiY8C3ctxq1tqvaCgkFb8cCA/edit?usp=sharing"",""ขอนแก่น!M429"")"),0.0)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IFERROR(__xludf.DUMMYFUNCTION("IMPORTRANGE(""https://docs.google.com/spreadsheets/d/1XL5vhW3sbDhbH9Cz0tuDiY8C3ctxq1tqvaCgkFb8cCA/edit?usp=sharing"",""ขอนแก่น!L430"")"),37740.0)</f>
        <v>37740</v>
      </c>
      <c r="M535" s="198"/>
      <c r="N535" s="203">
        <f>IFERROR(__xludf.DUMMYFUNCTION("IMPORTRANGE(""https://docs.google.com/spreadsheets/d/1XL5vhW3sbDhbH9Cz0tuDiY8C3ctxq1tqvaCgkFb8cCA/edit?usp=sharing"",""ขอนแก่น!M430"")"),21773.0)</f>
        <v>21773</v>
      </c>
      <c r="O535" s="203">
        <f t="shared" si="119"/>
        <v>57.69210387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IFERROR(__xludf.DUMMYFUNCTION("IMPORTRANGE(""https://docs.google.com/spreadsheets/d/1XL5vhW3sbDhbH9Cz0tuDiY8C3ctxq1tqvaCgkFb8cCA/edit?usp=sharing"",""ขอนแก่น!L431"")"),0.0)</f>
        <v>0</v>
      </c>
      <c r="M536" s="203"/>
      <c r="N536" s="203">
        <f>IFERROR(__xludf.DUMMYFUNCTION("IMPORTRANGE(""https://docs.google.com/spreadsheets/d/1XL5vhW3sbDhbH9Cz0tuDiY8C3ctxq1tqvaCgkFb8cCA/edit?usp=sharing"",""ขอนแก่น!M431"")"),0.0)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IFERROR(__xludf.DUMMYFUNCTION("IMPORTRANGE(""https://docs.google.com/spreadsheets/d/1XL5vhW3sbDhbH9Cz0tuDiY8C3ctxq1tqvaCgkFb8cCA/edit?usp=sharing"",""ขอนแก่น!L432"")"),37740.0)</f>
        <v>37740</v>
      </c>
      <c r="M537" s="203"/>
      <c r="N537" s="203">
        <f>IFERROR(__xludf.DUMMYFUNCTION("IMPORTRANGE(""https://docs.google.com/spreadsheets/d/1XL5vhW3sbDhbH9Cz0tuDiY8C3ctxq1tqvaCgkFb8cCA/edit?usp=sharing"",""ขอนแก่น!M432"")"),21773.0)</f>
        <v>21773</v>
      </c>
      <c r="O537" s="203">
        <f t="shared" si="119"/>
        <v>57.69210387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IFERROR(__xludf.DUMMYFUNCTION("IMPORTRANGE(""https://docs.google.com/spreadsheets/d/1XL5vhW3sbDhbH9Cz0tuDiY8C3ctxq1tqvaCgkFb8cCA/edit?usp=sharing"",""ขอนแก่น!M433"")"),15940.0)</f>
        <v>15940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IFERROR(__xludf.DUMMYFUNCTION("IMPORTRANGE(""https://docs.google.com/spreadsheets/d/1XL5vhW3sbDhbH9Cz0tuDiY8C3ctxq1tqvaCgkFb8cCA/edit?usp=sharing"",""ขอนแก่น!M434"")"),0.0)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IFERROR(__xludf.DUMMYFUNCTION("IMPORTRANGE(""https://docs.google.com/spreadsheets/d/1XL5vhW3sbDhbH9Cz0tuDiY8C3ctxq1tqvaCgkFb8cCA/edit?usp=sharing"",""ขอนแก่น!M435"")"),0.0)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IFERROR(__xludf.DUMMYFUNCTION("IMPORTRANGE(""https://docs.google.com/spreadsheets/d/1XL5vhW3sbDhbH9Cz0tuDiY8C3ctxq1tqvaCgkFb8cCA/edit?usp=sharing"",""ขอนแก่น!M436"")"),5833.0)</f>
        <v>5833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IFERROR(__xludf.DUMMYFUNCTION("IMPORTRANGE(""https://docs.google.com/spreadsheets/d/1XL5vhW3sbDhbH9Cz0tuDiY8C3ctxq1tqvaCgkFb8cCA/edit?usp=sharing"",""ขอนแก่น!J438"")"),0.0)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IFERROR(__xludf.DUMMYFUNCTION("IMPORTRANGE(""https://docs.google.com/spreadsheets/d/1XL5vhW3sbDhbH9Cz0tuDiY8C3ctxq1tqvaCgkFb8cCA/edit?usp=sharing"",""ขอนแก่น!J439"")"),0.0)</f>
        <v>0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IFERROR(__xludf.DUMMYFUNCTION("IMPORTRANGE(""https://docs.google.com/spreadsheets/d/1XL5vhW3sbDhbH9Cz0tuDiY8C3ctxq1tqvaCgkFb8cCA/edit?usp=sharing"",""ขอนแก่น!J440"")"),0.0)</f>
        <v>0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IFERROR(__xludf.DUMMYFUNCTION("IMPORTRANGE(""https://docs.google.com/spreadsheets/d/1XL5vhW3sbDhbH9Cz0tuDiY8C3ctxq1tqvaCgkFb8cCA/edit?usp=sharing"",""ขอนแก่น!J441"")"),0.0)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IFERROR(__xludf.DUMMYFUNCTION("IMPORTRANGE(""https://docs.google.com/spreadsheets/d/1XL5vhW3sbDhbH9Cz0tuDiY8C3ctxq1tqvaCgkFb8cCA/edit?usp=sharing"",""ขอนแก่น!I442"")"),26.0)</f>
        <v>26</v>
      </c>
      <c r="J547" s="223">
        <f>IFERROR(__xludf.DUMMYFUNCTION("IMPORTRANGE(""https://docs.google.com/spreadsheets/d/1XL5vhW3sbDhbH9Cz0tuDiY8C3ctxq1tqvaCgkFb8cCA/edit?usp=sharing"",""ขอนแก่น!J442"")"),26.0)</f>
        <v>26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IFERROR(__xludf.DUMMYFUNCTION("IMPORTRANGE(""https://docs.google.com/spreadsheets/d/1XL5vhW3sbDhbH9Cz0tuDiY8C3ctxq1tqvaCgkFb8cCA/edit?usp=sharing"",""ขอนแก่น!J166"")"),0.0)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IFERROR(__xludf.DUMMYFUNCTION("IMPORTRANGE(""https://docs.google.com/spreadsheets/d/1XL5vhW3sbDhbH9Cz0tuDiY8C3ctxq1tqvaCgkFb8cCA/edit?usp=sharing"",""ขอนแก่น!J444"")"),0.0)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IFERROR(__xludf.DUMMYFUNCTION("IMPORTRANGE(""https://docs.google.com/spreadsheets/d/1XL5vhW3sbDhbH9Cz0tuDiY8C3ctxq1tqvaCgkFb8cCA/edit?usp=sharing"",""ขอนแก่น!J445"")"),1.0)</f>
        <v>1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IFERROR(__xludf.DUMMYFUNCTION("IMPORTRANGE(""https://docs.google.com/spreadsheets/d/1XL5vhW3sbDhbH9Cz0tuDiY8C3ctxq1tqvaCgkFb8cCA/edit?usp=sharing"",""ขอนแก่น!I446"")"),0.0)</f>
        <v>0</v>
      </c>
      <c r="J551" s="443">
        <f>IFERROR(__xludf.DUMMYFUNCTION("IMPORTRANGE(""https://docs.google.com/spreadsheets/d/1XL5vhW3sbDhbH9Cz0tuDiY8C3ctxq1tqvaCgkFb8cCA/edit?usp=sharing"",""ขอนแก่น!J446"")"),0.0)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IFERROR(__xludf.DUMMYFUNCTION("IMPORTRANGE(""https://docs.google.com/spreadsheets/d/1XL5vhW3sbDhbH9Cz0tuDiY8C3ctxq1tqvaCgkFb8cCA/edit?usp=sharing"",""ขอนแก่น!L446"")"),0.0)</f>
        <v>0</v>
      </c>
      <c r="M551" s="445"/>
      <c r="N551" s="445">
        <f>IFERROR(__xludf.DUMMYFUNCTION("IMPORTRANGE(""https://docs.google.com/spreadsheets/d/1XL5vhW3sbDhbH9Cz0tuDiY8C3ctxq1tqvaCgkFb8cCA/edit?usp=sharing"",""ขอนแก่น!M446"")"),0.0)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IFERROR(__xludf.DUMMYFUNCTION("IMPORTRANGE(""https://docs.google.com/spreadsheets/d/1XL5vhW3sbDhbH9Cz0tuDiY8C3ctxq1tqvaCgkFb8cCA/edit?usp=sharing"",""ขอนแก่น!L447"")"),0.0)</f>
        <v>0</v>
      </c>
      <c r="M552" s="197"/>
      <c r="N552" s="203">
        <f>IFERROR(__xludf.DUMMYFUNCTION("IMPORTRANGE(""https://docs.google.com/spreadsheets/d/1XL5vhW3sbDhbH9Cz0tuDiY8C3ctxq1tqvaCgkFb8cCA/edit?usp=sharing"",""ขอนแก่น!M447"")"),0.0)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IFERROR(__xludf.DUMMYFUNCTION("IMPORTRANGE(""https://docs.google.com/spreadsheets/d/1XL5vhW3sbDhbH9Cz0tuDiY8C3ctxq1tqvaCgkFb8cCA/edit?usp=sharing"",""ขอนแก่น!L448"")"),0.0)</f>
        <v>0</v>
      </c>
      <c r="M553" s="198"/>
      <c r="N553" s="203">
        <f>IFERROR(__xludf.DUMMYFUNCTION("IMPORTRANGE(""https://docs.google.com/spreadsheets/d/1XL5vhW3sbDhbH9Cz0tuDiY8C3ctxq1tqvaCgkFb8cCA/edit?usp=sharing"",""ขอนแก่น!M448"")"),0.0)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IFERROR(__xludf.DUMMYFUNCTION("IMPORTRANGE(""https://docs.google.com/spreadsheets/d/1XL5vhW3sbDhbH9Cz0tuDiY8C3ctxq1tqvaCgkFb8cCA/edit?usp=sharing"",""ขอนแก่น!L449"")"),0.0)</f>
        <v>0</v>
      </c>
      <c r="M554" s="203"/>
      <c r="N554" s="203">
        <f>IFERROR(__xludf.DUMMYFUNCTION("IMPORTRANGE(""https://docs.google.com/spreadsheets/d/1XL5vhW3sbDhbH9Cz0tuDiY8C3ctxq1tqvaCgkFb8cCA/edit?usp=sharing"",""ขอนแก่น!M449"")"),0.0)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IFERROR(__xludf.DUMMYFUNCTION("IMPORTRANGE(""https://docs.google.com/spreadsheets/d/1XL5vhW3sbDhbH9Cz0tuDiY8C3ctxq1tqvaCgkFb8cCA/edit?usp=sharing"",""ขอนแก่น!L450"")"),0.0)</f>
        <v>0</v>
      </c>
      <c r="M555" s="203"/>
      <c r="N555" s="203">
        <f>IFERROR(__xludf.DUMMYFUNCTION("IMPORTRANGE(""https://docs.google.com/spreadsheets/d/1XL5vhW3sbDhbH9Cz0tuDiY8C3ctxq1tqvaCgkFb8cCA/edit?usp=sharing"",""ขอนแก่น!M450"")"),0.0)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IFERROR(__xludf.DUMMYFUNCTION("IMPORTRANGE(""https://docs.google.com/spreadsheets/d/1XL5vhW3sbDhbH9Cz0tuDiY8C3ctxq1tqvaCgkFb8cCA/edit?usp=sharing"",""ขอนแก่น!M451"")"),0.0)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IFERROR(__xludf.DUMMYFUNCTION("IMPORTRANGE(""https://docs.google.com/spreadsheets/d/1XL5vhW3sbDhbH9Cz0tuDiY8C3ctxq1tqvaCgkFb8cCA/edit?usp=sharing"",""ขอนแก่น!M452"")"),0.0)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IFERROR(__xludf.DUMMYFUNCTION("IMPORTRANGE(""https://docs.google.com/spreadsheets/d/1XL5vhW3sbDhbH9Cz0tuDiY8C3ctxq1tqvaCgkFb8cCA/edit?usp=sharing"",""ขอนแก่น!M453"")"),0.0)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IFERROR(__xludf.DUMMYFUNCTION("IMPORTRANGE(""https://docs.google.com/spreadsheets/d/1XL5vhW3sbDhbH9Cz0tuDiY8C3ctxq1tqvaCgkFb8cCA/edit?usp=sharing"",""ขอนแก่น!M454"")"),0.0)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IFERROR(__xludf.DUMMYFUNCTION("IMPORTRANGE(""https://docs.google.com/spreadsheets/d/1XL5vhW3sbDhbH9Cz0tuDiY8C3ctxq1tqvaCgkFb8cCA/edit?usp=sharing"",""ขอนแก่น!I455"")"),0.0)</f>
        <v>0</v>
      </c>
      <c r="J560" s="195">
        <f>IFERROR(__xludf.DUMMYFUNCTION("IMPORTRANGE(""https://docs.google.com/spreadsheets/d/1XL5vhW3sbDhbH9Cz0tuDiY8C3ctxq1tqvaCgkFb8cCA/edit?usp=sharing"",""ขอนแก่น!J455"")"),0.0)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IFERROR(__xludf.DUMMYFUNCTION("IMPORTRANGE(""https://docs.google.com/spreadsheets/d/1XL5vhW3sbDhbH9Cz0tuDiY8C3ctxq1tqvaCgkFb8cCA/edit?usp=sharing"",""ขอนแก่น!I456"")"),0.0)</f>
        <v>0</v>
      </c>
      <c r="J561" s="238">
        <f>IFERROR(__xludf.DUMMYFUNCTION("IMPORTRANGE(""https://docs.google.com/spreadsheets/d/1XL5vhW3sbDhbH9Cz0tuDiY8C3ctxq1tqvaCgkFb8cCA/edit?usp=sharing"",""ขอนแก่น!J456"")"),0.0)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IFERROR(__xludf.DUMMYFUNCTION("IMPORTRANGE(""https://docs.google.com/spreadsheets/d/1XL5vhW3sbDhbH9Cz0tuDiY8C3ctxq1tqvaCgkFb8cCA/edit?usp=sharing"",""ขอนแก่น!I457"")"),"")</f>
        <v/>
      </c>
      <c r="J562" s="238" t="str">
        <f>IFERROR(__xludf.DUMMYFUNCTION("IMPORTRANGE(""https://docs.google.com/spreadsheets/d/1XL5vhW3sbDhbH9Cz0tuDiY8C3ctxq1tqvaCgkFb8cCA/edit?usp=sharing"",""ขอนแก่น!J457"")"),"")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IFERROR(__xludf.DUMMYFUNCTION("IMPORTRANGE(""https://docs.google.com/spreadsheets/d/1XL5vhW3sbDhbH9Cz0tuDiY8C3ctxq1tqvaCgkFb8cCA/edit?usp=sharing"",""ขอนแก่น!I458"")"),"")</f>
        <v/>
      </c>
      <c r="J563" s="222" t="str">
        <f>IFERROR(__xludf.DUMMYFUNCTION("IMPORTRANGE(""https://docs.google.com/spreadsheets/d/1XL5vhW3sbDhbH9Cz0tuDiY8C3ctxq1tqvaCgkFb8cCA/edit?usp=sharing"",""ขอนแก่น!J458"")"),"")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IFERROR(__xludf.DUMMYFUNCTION("IMPORTRANGE(""https://docs.google.com/spreadsheets/d/1XL5vhW3sbDhbH9Cz0tuDiY8C3ctxq1tqvaCgkFb8cCA/edit?usp=sharing"",""ขอนแก่น!I459"")"),3000.0)</f>
        <v>3000</v>
      </c>
      <c r="J564" s="404">
        <f>IFERROR(__xludf.DUMMYFUNCTION("IMPORTRANGE(""https://docs.google.com/spreadsheets/d/1XL5vhW3sbDhbH9Cz0tuDiY8C3ctxq1tqvaCgkFb8cCA/edit?usp=sharing"",""ขอนแก่น!J459"")"),1125.0)</f>
        <v>1125</v>
      </c>
      <c r="K564" s="405">
        <f t="shared" si="122"/>
        <v>37.5</v>
      </c>
      <c r="L564" s="406">
        <f>IFERROR(__xludf.DUMMYFUNCTION("IMPORTRANGE(""https://docs.google.com/spreadsheets/d/1XL5vhW3sbDhbH9Cz0tuDiY8C3ctxq1tqvaCgkFb8cCA/edit?usp=sharing"",""ขอนแก่น!L459"")"),166400.0)</f>
        <v>166400</v>
      </c>
      <c r="M564" s="406"/>
      <c r="N564" s="406">
        <f>IFERROR(__xludf.DUMMYFUNCTION("IMPORTRANGE(""https://docs.google.com/spreadsheets/d/1XL5vhW3sbDhbH9Cz0tuDiY8C3ctxq1tqvaCgkFb8cCA/edit?usp=sharing"",""ขอนแก่น!M459"")"),51036.979999999996)</f>
        <v>51036.98</v>
      </c>
      <c r="O564" s="406">
        <f t="shared" ref="O564:O568" si="123">+IF(L564&gt;0,N564*100/L564,0)</f>
        <v>30.67126202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IFERROR(__xludf.DUMMYFUNCTION("IMPORTRANGE(""https://docs.google.com/spreadsheets/d/1XL5vhW3sbDhbH9Cz0tuDiY8C3ctxq1tqvaCgkFb8cCA/edit?usp=sharing"",""ขอนแก่น!L460"")"),0.0)</f>
        <v>0</v>
      </c>
      <c r="M565" s="197"/>
      <c r="N565" s="203">
        <f>IFERROR(__xludf.DUMMYFUNCTION("IMPORTRANGE(""https://docs.google.com/spreadsheets/d/1XL5vhW3sbDhbH9Cz0tuDiY8C3ctxq1tqvaCgkFb8cCA/edit?usp=sharing"",""ขอนแก่น!M460"")"),0.0)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IFERROR(__xludf.DUMMYFUNCTION("IMPORTRANGE(""https://docs.google.com/spreadsheets/d/1XL5vhW3sbDhbH9Cz0tuDiY8C3ctxq1tqvaCgkFb8cCA/edit?usp=sharing"",""ขอนแก่น!L461"")"),166400.0)</f>
        <v>166400</v>
      </c>
      <c r="M566" s="198"/>
      <c r="N566" s="203">
        <f>IFERROR(__xludf.DUMMYFUNCTION("IMPORTRANGE(""https://docs.google.com/spreadsheets/d/1XL5vhW3sbDhbH9Cz0tuDiY8C3ctxq1tqvaCgkFb8cCA/edit?usp=sharing"",""ขอนแก่น!M461"")"),51036.979999999996)</f>
        <v>51036.98</v>
      </c>
      <c r="O566" s="203">
        <f t="shared" si="123"/>
        <v>30.67126202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IFERROR(__xludf.DUMMYFUNCTION("IMPORTRANGE(""https://docs.google.com/spreadsheets/d/1XL5vhW3sbDhbH9Cz0tuDiY8C3ctxq1tqvaCgkFb8cCA/edit?usp=sharing"",""ขอนแก่น!L462"")"),0.0)</f>
        <v>0</v>
      </c>
      <c r="M567" s="203"/>
      <c r="N567" s="203">
        <f>IFERROR(__xludf.DUMMYFUNCTION("IMPORTRANGE(""https://docs.google.com/spreadsheets/d/1XL5vhW3sbDhbH9Cz0tuDiY8C3ctxq1tqvaCgkFb8cCA/edit?usp=sharing"",""ขอนแก่น!M462"")"),0.0)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IFERROR(__xludf.DUMMYFUNCTION("IMPORTRANGE(""https://docs.google.com/spreadsheets/d/1XL5vhW3sbDhbH9Cz0tuDiY8C3ctxq1tqvaCgkFb8cCA/edit?usp=sharing"",""ขอนแก่น!L463"")"),166400.0)</f>
        <v>166400</v>
      </c>
      <c r="M568" s="203"/>
      <c r="N568" s="203">
        <f>IFERROR(__xludf.DUMMYFUNCTION("IMPORTRANGE(""https://docs.google.com/spreadsheets/d/1XL5vhW3sbDhbH9Cz0tuDiY8C3ctxq1tqvaCgkFb8cCA/edit?usp=sharing"",""ขอนแก่น!M463"")"),51036.979999999996)</f>
        <v>51036.98</v>
      </c>
      <c r="O568" s="203">
        <f t="shared" si="123"/>
        <v>30.67126202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IFERROR(__xludf.DUMMYFUNCTION("IMPORTRANGE(""https://docs.google.com/spreadsheets/d/1XL5vhW3sbDhbH9Cz0tuDiY8C3ctxq1tqvaCgkFb8cCA/edit?usp=sharing"",""ขอนแก่น!M464"")"),0.0)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IFERROR(__xludf.DUMMYFUNCTION("IMPORTRANGE(""https://docs.google.com/spreadsheets/d/1XL5vhW3sbDhbH9Cz0tuDiY8C3ctxq1tqvaCgkFb8cCA/edit?usp=sharing"",""ขอนแก่น!M465"")"),0.0)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IFERROR(__xludf.DUMMYFUNCTION("IMPORTRANGE(""https://docs.google.com/spreadsheets/d/1XL5vhW3sbDhbH9Cz0tuDiY8C3ctxq1tqvaCgkFb8cCA/edit?usp=sharing"",""ขอนแก่น!M466"")"),31213.98)</f>
        <v>31213.98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IFERROR(__xludf.DUMMYFUNCTION("IMPORTRANGE(""https://docs.google.com/spreadsheets/d/1XL5vhW3sbDhbH9Cz0tuDiY8C3ctxq1tqvaCgkFb8cCA/edit?usp=sharing"",""ขอนแก่น!M467"")"),19823.0)</f>
        <v>19823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IFERROR(__xludf.DUMMYFUNCTION("IMPORTRANGE(""https://docs.google.com/spreadsheets/d/1XL5vhW3sbDhbH9Cz0tuDiY8C3ctxq1tqvaCgkFb8cCA/edit?usp=sharing"",""ขอนแก่น!I468"")"),3000.0)</f>
        <v>3000</v>
      </c>
      <c r="J573" s="453">
        <f>IFERROR(__xludf.DUMMYFUNCTION("IMPORTRANGE(""https://docs.google.com/spreadsheets/d/1XL5vhW3sbDhbH9Cz0tuDiY8C3ctxq1tqvaCgkFb8cCA/edit?usp=sharing"",""ขอนแก่น!J468"")"),1125.0)</f>
        <v>1125</v>
      </c>
      <c r="K573" s="236">
        <f>IF(I573&gt;0,J573*100/I573,0)</f>
        <v>37.5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IFERROR(__xludf.DUMMYFUNCTION("IMPORTRANGE(""https://docs.google.com/spreadsheets/d/1XL5vhW3sbDhbH9Cz0tuDiY8C3ctxq1tqvaCgkFb8cCA/edit?usp=sharing"",""ขอนแก่น!I470"")"),0.0)</f>
        <v>0</v>
      </c>
      <c r="J575" s="232">
        <f>IFERROR(__xludf.DUMMYFUNCTION("IMPORTRANGE(""https://docs.google.com/spreadsheets/d/1XL5vhW3sbDhbH9Cz0tuDiY8C3ctxq1tqvaCgkFb8cCA/edit?usp=sharing"",""ขอนแก่น!J470"")"),4.0)</f>
        <v>4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IFERROR(__xludf.DUMMYFUNCTION("IMPORTRANGE(""https://docs.google.com/spreadsheets/d/1XL5vhW3sbDhbH9Cz0tuDiY8C3ctxq1tqvaCgkFb8cCA/edit?usp=sharing"",""ขอนแก่น!I471"")"),0.0)</f>
        <v>0</v>
      </c>
      <c r="J576" s="232">
        <f>IFERROR(__xludf.DUMMYFUNCTION("IMPORTRANGE(""https://docs.google.com/spreadsheets/d/1XL5vhW3sbDhbH9Cz0tuDiY8C3ctxq1tqvaCgkFb8cCA/edit?usp=sharing"",""ขอนแก่น!J471"")"),374.0)</f>
        <v>374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IFERROR(__xludf.DUMMYFUNCTION("IMPORTRANGE(""https://docs.google.com/spreadsheets/d/1XL5vhW3sbDhbH9Cz0tuDiY8C3ctxq1tqvaCgkFb8cCA/edit?usp=sharing"",""ขอนแก่น!I472"")"),0.0)</f>
        <v>0</v>
      </c>
      <c r="J577" s="223">
        <f>IFERROR(__xludf.DUMMYFUNCTION("IMPORTRANGE(""https://docs.google.com/spreadsheets/d/1XL5vhW3sbDhbH9Cz0tuDiY8C3ctxq1tqvaCgkFb8cCA/edit?usp=sharing"",""ขอนแก่น!J472"")"),750.0)</f>
        <v>750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IFERROR(__xludf.DUMMYFUNCTION("IMPORTRANGE(""https://docs.google.com/spreadsheets/d/1XL5vhW3sbDhbH9Cz0tuDiY8C3ctxq1tqvaCgkFb8cCA/edit?usp=sharing"",""ขอนแก่น!I473"")"),0.0)</f>
        <v>0</v>
      </c>
      <c r="J578" s="232">
        <f>IFERROR(__xludf.DUMMYFUNCTION("IMPORTRANGE(""https://docs.google.com/spreadsheets/d/1XL5vhW3sbDhbH9Cz0tuDiY8C3ctxq1tqvaCgkFb8cCA/edit?usp=sharing"",""ขอนแก่น!J473"")"),1.0)</f>
        <v>1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IFERROR(__xludf.DUMMYFUNCTION("IMPORTRANGE(""https://docs.google.com/spreadsheets/d/1XL5vhW3sbDhbH9Cz0tuDiY8C3ctxq1tqvaCgkFb8cCA/edit?usp=sharing"",""ขอนแก่น!I474"")"),0.0)</f>
        <v>0</v>
      </c>
      <c r="J579" s="232">
        <f>IFERROR(__xludf.DUMMYFUNCTION("IMPORTRANGE(""https://docs.google.com/spreadsheets/d/1XL5vhW3sbDhbH9Cz0tuDiY8C3ctxq1tqvaCgkFb8cCA/edit?usp=sharing"",""ขอนแก่น!J474"")"),0.0)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IFERROR(__xludf.DUMMYFUNCTION("IMPORTRANGE(""https://docs.google.com/spreadsheets/d/1XL5vhW3sbDhbH9Cz0tuDiY8C3ctxq1tqvaCgkFb8cCA/edit?usp=sharing"",""ขอนแก่น!I475"")"),40.0)</f>
        <v>40</v>
      </c>
      <c r="J580" s="404">
        <f>IFERROR(__xludf.DUMMYFUNCTION("IMPORTRANGE(""https://docs.google.com/spreadsheets/d/1XL5vhW3sbDhbH9Cz0tuDiY8C3ctxq1tqvaCgkFb8cCA/edit?usp=sharing"",""ขอนแก่น!J475"")"),0.0)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IFERROR(__xludf.DUMMYFUNCTION("IMPORTRANGE(""https://docs.google.com/spreadsheets/d/1XL5vhW3sbDhbH9Cz0tuDiY8C3ctxq1tqvaCgkFb8cCA/edit?usp=sharing"",""ขอนแก่น!L475"")"),172040.0)</f>
        <v>172040</v>
      </c>
      <c r="M580" s="406"/>
      <c r="N580" s="406">
        <f>IFERROR(__xludf.DUMMYFUNCTION("IMPORTRANGE(""https://docs.google.com/spreadsheets/d/1XL5vhW3sbDhbH9Cz0tuDiY8C3ctxq1tqvaCgkFb8cCA/edit?usp=sharing"",""ขอนแก่น!M475"")"),0.0)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IFERROR(__xludf.DUMMYFUNCTION("IMPORTRANGE(""https://docs.google.com/spreadsheets/d/1XL5vhW3sbDhbH9Cz0tuDiY8C3ctxq1tqvaCgkFb8cCA/edit?usp=sharing"",""ขอนแก่น!L476"")"),0.0)</f>
        <v>0</v>
      </c>
      <c r="M581" s="197"/>
      <c r="N581" s="203">
        <f>IFERROR(__xludf.DUMMYFUNCTION("IMPORTRANGE(""https://docs.google.com/spreadsheets/d/1XL5vhW3sbDhbH9Cz0tuDiY8C3ctxq1tqvaCgkFb8cCA/edit?usp=sharing"",""ขอนแก่น!M476"")"),0.0)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IFERROR(__xludf.DUMMYFUNCTION("IMPORTRANGE(""https://docs.google.com/spreadsheets/d/1XL5vhW3sbDhbH9Cz0tuDiY8C3ctxq1tqvaCgkFb8cCA/edit?usp=sharing"",""ขอนแก่น!L477"")"),172040.0)</f>
        <v>172040</v>
      </c>
      <c r="M582" s="198"/>
      <c r="N582" s="203">
        <f>IFERROR(__xludf.DUMMYFUNCTION("IMPORTRANGE(""https://docs.google.com/spreadsheets/d/1XL5vhW3sbDhbH9Cz0tuDiY8C3ctxq1tqvaCgkFb8cCA/edit?usp=sharing"",""ขอนแก่น!M477"")"),0.0)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IFERROR(__xludf.DUMMYFUNCTION("IMPORTRANGE(""https://docs.google.com/spreadsheets/d/1XL5vhW3sbDhbH9Cz0tuDiY8C3ctxq1tqvaCgkFb8cCA/edit?usp=sharing"",""ขอนแก่น!L478"")"),0.0)</f>
        <v>0</v>
      </c>
      <c r="M583" s="203"/>
      <c r="N583" s="203">
        <f>IFERROR(__xludf.DUMMYFUNCTION("IMPORTRANGE(""https://docs.google.com/spreadsheets/d/1XL5vhW3sbDhbH9Cz0tuDiY8C3ctxq1tqvaCgkFb8cCA/edit?usp=sharing"",""ขอนแก่น!M478"")"),0.0)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IFERROR(__xludf.DUMMYFUNCTION("IMPORTRANGE(""https://docs.google.com/spreadsheets/d/1XL5vhW3sbDhbH9Cz0tuDiY8C3ctxq1tqvaCgkFb8cCA/edit?usp=sharing"",""ขอนแก่น!L479"")"),172040.0)</f>
        <v>172040</v>
      </c>
      <c r="M584" s="203"/>
      <c r="N584" s="203">
        <f>IFERROR(__xludf.DUMMYFUNCTION("IMPORTRANGE(""https://docs.google.com/spreadsheets/d/1XL5vhW3sbDhbH9Cz0tuDiY8C3ctxq1tqvaCgkFb8cCA/edit?usp=sharing"",""ขอนแก่น!M479"")"),0.0)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IFERROR(__xludf.DUMMYFUNCTION("IMPORTRANGE(""https://docs.google.com/spreadsheets/d/1XL5vhW3sbDhbH9Cz0tuDiY8C3ctxq1tqvaCgkFb8cCA/edit?usp=sharing"",""ขอนแก่น!M480"")"),0.0)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IFERROR(__xludf.DUMMYFUNCTION("IMPORTRANGE(""https://docs.google.com/spreadsheets/d/1XL5vhW3sbDhbH9Cz0tuDiY8C3ctxq1tqvaCgkFb8cCA/edit?usp=sharing"",""ขอนแก่น!M481"")"),0.0)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IFERROR(__xludf.DUMMYFUNCTION("IMPORTRANGE(""https://docs.google.com/spreadsheets/d/1XL5vhW3sbDhbH9Cz0tuDiY8C3ctxq1tqvaCgkFb8cCA/edit?usp=sharing"",""ขอนแก่น!M482"")"),0.0)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IFERROR(__xludf.DUMMYFUNCTION("IMPORTRANGE(""https://docs.google.com/spreadsheets/d/1XL5vhW3sbDhbH9Cz0tuDiY8C3ctxq1tqvaCgkFb8cCA/edit?usp=sharing"",""ขอนแก่น!M483"")"),0.0)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IFERROR(__xludf.DUMMYFUNCTION("IMPORTRANGE(""https://docs.google.com/spreadsheets/d/1XL5vhW3sbDhbH9Cz0tuDiY8C3ctxq1tqvaCgkFb8cCA/edit?usp=sharing"",""ขอนแก่น!I484"")"),40.0)</f>
        <v>40</v>
      </c>
      <c r="J589" s="222">
        <f>IFERROR(__xludf.DUMMYFUNCTION("IMPORTRANGE(""https://docs.google.com/spreadsheets/d/1XL5vhW3sbDhbH9Cz0tuDiY8C3ctxq1tqvaCgkFb8cCA/edit?usp=sharing"",""ขอนแก่น!J484"")"),0.0)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IFERROR(__xludf.DUMMYFUNCTION("IMPORTRANGE(""https://docs.google.com/spreadsheets/d/1XL5vhW3sbDhbH9Cz0tuDiY8C3ctxq1tqvaCgkFb8cCA/edit?usp=sharing"",""ขอนแก่น!I485"")"),0.0)</f>
        <v>0</v>
      </c>
      <c r="J590" s="222">
        <f>IFERROR(__xludf.DUMMYFUNCTION("IMPORTRANGE(""https://docs.google.com/spreadsheets/d/1XL5vhW3sbDhbH9Cz0tuDiY8C3ctxq1tqvaCgkFb8cCA/edit?usp=sharing"",""ขอนแก่น!J485"")"),0.0)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IFERROR(__xludf.DUMMYFUNCTION("IMPORTRANGE(""https://docs.google.com/spreadsheets/d/1XL5vhW3sbDhbH9Cz0tuDiY8C3ctxq1tqvaCgkFb8cCA/edit?usp=sharing"",""ขอนแก่น!I486"")"),40.0)</f>
        <v>40</v>
      </c>
      <c r="J591" s="222">
        <f>IFERROR(__xludf.DUMMYFUNCTION("IMPORTRANGE(""https://docs.google.com/spreadsheets/d/1XL5vhW3sbDhbH9Cz0tuDiY8C3ctxq1tqvaCgkFb8cCA/edit?usp=sharing"",""ขอนแก่น!J486"")"),0.0)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IFERROR(__xludf.DUMMYFUNCTION("IMPORTRANGE(""https://docs.google.com/spreadsheets/d/1XL5vhW3sbDhbH9Cz0tuDiY8C3ctxq1tqvaCgkFb8cCA/edit?usp=sharing"",""ขอนแก่น!I487"")"),0.0)</f>
        <v>0</v>
      </c>
      <c r="J592" s="222">
        <f>IFERROR(__xludf.DUMMYFUNCTION("IMPORTRANGE(""https://docs.google.com/spreadsheets/d/1XL5vhW3sbDhbH9Cz0tuDiY8C3ctxq1tqvaCgkFb8cCA/edit?usp=sharing"",""ขอนแก่น!J487"")"),0.0)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IFERROR(__xludf.DUMMYFUNCTION("IMPORTRANGE(""https://docs.google.com/spreadsheets/d/1XL5vhW3sbDhbH9Cz0tuDiY8C3ctxq1tqvaCgkFb8cCA/edit?usp=sharing"",""ขอนแก่น!I488"")"),40.0)</f>
        <v>40</v>
      </c>
      <c r="J593" s="222">
        <f>IFERROR(__xludf.DUMMYFUNCTION("IMPORTRANGE(""https://docs.google.com/spreadsheets/d/1XL5vhW3sbDhbH9Cz0tuDiY8C3ctxq1tqvaCgkFb8cCA/edit?usp=sharing"",""ขอนแก่น!J488"")"),0.0)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IFERROR(__xludf.DUMMYFUNCTION("IMPORTRANGE(""https://docs.google.com/spreadsheets/d/1XL5vhW3sbDhbH9Cz0tuDiY8C3ctxq1tqvaCgkFb8cCA/edit?usp=sharing"",""ขอนแก่น!I489"")"),0.0)</f>
        <v>0</v>
      </c>
      <c r="J594" s="222">
        <f>IFERROR(__xludf.DUMMYFUNCTION("IMPORTRANGE(""https://docs.google.com/spreadsheets/d/1XL5vhW3sbDhbH9Cz0tuDiY8C3ctxq1tqvaCgkFb8cCA/edit?usp=sharing"",""ขอนแก่น!J489"")"),0.0)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IFERROR(__xludf.DUMMYFUNCTION("IMPORTRANGE(""https://docs.google.com/spreadsheets/d/1XL5vhW3sbDhbH9Cz0tuDiY8C3ctxq1tqvaCgkFb8cCA/edit?usp=sharing"",""ขอนแก่น!I490"")"),40.0)</f>
        <v>40</v>
      </c>
      <c r="J595" s="222">
        <f>IFERROR(__xludf.DUMMYFUNCTION("IMPORTRANGE(""https://docs.google.com/spreadsheets/d/1XL5vhW3sbDhbH9Cz0tuDiY8C3ctxq1tqvaCgkFb8cCA/edit?usp=sharing"",""ขอนแก่น!J490"")"),0.0)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IFERROR(__xludf.DUMMYFUNCTION("IMPORTRANGE(""https://docs.google.com/spreadsheets/d/1XL5vhW3sbDhbH9Cz0tuDiY8C3ctxq1tqvaCgkFb8cCA/edit?usp=sharing"",""ขอนแก่น!I491"")"),0.0)</f>
        <v>0</v>
      </c>
      <c r="J596" s="275">
        <f>IFERROR(__xludf.DUMMYFUNCTION("IMPORTRANGE(""https://docs.google.com/spreadsheets/d/1XL5vhW3sbDhbH9Cz0tuDiY8C3ctxq1tqvaCgkFb8cCA/edit?usp=sharing"",""ขอนแก่น!J491"")"),0.0)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IFERROR(__xludf.DUMMYFUNCTION("IMPORTRANGE(""https://docs.google.com/spreadsheets/d/1XL5vhW3sbDhbH9Cz0tuDiY8C3ctxq1tqvaCgkFb8cCA/edit?usp=sharing"",""ขอนแก่น!I492"")"),100.0)</f>
        <v>100</v>
      </c>
      <c r="J597" s="520">
        <f>IFERROR(__xludf.DUMMYFUNCTION("IMPORTRANGE(""https://docs.google.com/spreadsheets/d/1XL5vhW3sbDhbH9Cz0tuDiY8C3ctxq1tqvaCgkFb8cCA/edit?usp=sharing"",""ขอนแก่น!J492"")"),0.0)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IFERROR(__xludf.DUMMYFUNCTION("IMPORTRANGE(""https://docs.google.com/spreadsheets/d/1XL5vhW3sbDhbH9Cz0tuDiY8C3ctxq1tqvaCgkFb8cCA/edit?usp=sharing"",""ขอนแก่น!L492"")"),10500.0)</f>
        <v>10500</v>
      </c>
      <c r="M597" s="445"/>
      <c r="N597" s="445">
        <f>IFERROR(__xludf.DUMMYFUNCTION("IMPORTRANGE(""https://docs.google.com/spreadsheets/d/1XL5vhW3sbDhbH9Cz0tuDiY8C3ctxq1tqvaCgkFb8cCA/edit?usp=sharing"",""ขอนแก่น!M492"")"),5450.0)</f>
        <v>5450</v>
      </c>
      <c r="O597" s="445">
        <f t="shared" ref="O597:O601" si="127">+IF(L597&gt;0,N597*100/L597,0)</f>
        <v>51.9047619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IFERROR(__xludf.DUMMYFUNCTION("IMPORTRANGE(""https://docs.google.com/spreadsheets/d/1XL5vhW3sbDhbH9Cz0tuDiY8C3ctxq1tqvaCgkFb8cCA/edit?usp=sharing"",""ขอนแก่น!L493"")"),0.0)</f>
        <v>0</v>
      </c>
      <c r="M598" s="197"/>
      <c r="N598" s="203">
        <f>IFERROR(__xludf.DUMMYFUNCTION("IMPORTRANGE(""https://docs.google.com/spreadsheets/d/1XL5vhW3sbDhbH9Cz0tuDiY8C3ctxq1tqvaCgkFb8cCA/edit?usp=sharing"",""ขอนแก่น!M493"")"),0.0)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IFERROR(__xludf.DUMMYFUNCTION("IMPORTRANGE(""https://docs.google.com/spreadsheets/d/1XL5vhW3sbDhbH9Cz0tuDiY8C3ctxq1tqvaCgkFb8cCA/edit?usp=sharing"",""ขอนแก่น!L494"")"),10500.0)</f>
        <v>10500</v>
      </c>
      <c r="M599" s="198"/>
      <c r="N599" s="203">
        <f>IFERROR(__xludf.DUMMYFUNCTION("IMPORTRANGE(""https://docs.google.com/spreadsheets/d/1XL5vhW3sbDhbH9Cz0tuDiY8C3ctxq1tqvaCgkFb8cCA/edit?usp=sharing"",""ขอนแก่น!M494"")"),5450.0)</f>
        <v>5450</v>
      </c>
      <c r="O599" s="203">
        <f t="shared" si="127"/>
        <v>51.9047619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IFERROR(__xludf.DUMMYFUNCTION("IMPORTRANGE(""https://docs.google.com/spreadsheets/d/1XL5vhW3sbDhbH9Cz0tuDiY8C3ctxq1tqvaCgkFb8cCA/edit?usp=sharing"",""ขอนแก่น!L495"")"),0.0)</f>
        <v>0</v>
      </c>
      <c r="M600" s="203"/>
      <c r="N600" s="203">
        <f>IFERROR(__xludf.DUMMYFUNCTION("IMPORTRANGE(""https://docs.google.com/spreadsheets/d/1XL5vhW3sbDhbH9Cz0tuDiY8C3ctxq1tqvaCgkFb8cCA/edit?usp=sharing"",""ขอนแก่น!M495"")"),0.0)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IFERROR(__xludf.DUMMYFUNCTION("IMPORTRANGE(""https://docs.google.com/spreadsheets/d/1XL5vhW3sbDhbH9Cz0tuDiY8C3ctxq1tqvaCgkFb8cCA/edit?usp=sharing"",""ขอนแก่น!L496"")"),10500.0)</f>
        <v>10500</v>
      </c>
      <c r="M601" s="203"/>
      <c r="N601" s="203">
        <f>IFERROR(__xludf.DUMMYFUNCTION("IMPORTRANGE(""https://docs.google.com/spreadsheets/d/1XL5vhW3sbDhbH9Cz0tuDiY8C3ctxq1tqvaCgkFb8cCA/edit?usp=sharing"",""ขอนแก่น!M496"")"),5450.0)</f>
        <v>5450</v>
      </c>
      <c r="O601" s="203">
        <f t="shared" si="127"/>
        <v>51.9047619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IFERROR(__xludf.DUMMYFUNCTION("IMPORTRANGE(""https://docs.google.com/spreadsheets/d/1XL5vhW3sbDhbH9Cz0tuDiY8C3ctxq1tqvaCgkFb8cCA/edit?usp=sharing"",""ขอนแก่น!M497"")"),0.0)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IFERROR(__xludf.DUMMYFUNCTION("IMPORTRANGE(""https://docs.google.com/spreadsheets/d/1XL5vhW3sbDhbH9Cz0tuDiY8C3ctxq1tqvaCgkFb8cCA/edit?usp=sharing"",""ขอนแก่น!M498"")"),0.0)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IFERROR(__xludf.DUMMYFUNCTION("IMPORTRANGE(""https://docs.google.com/spreadsheets/d/1XL5vhW3sbDhbH9Cz0tuDiY8C3ctxq1tqvaCgkFb8cCA/edit?usp=sharing"",""ขอนแก่น!M499"")"),0.0)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IFERROR(__xludf.DUMMYFUNCTION("IMPORTRANGE(""https://docs.google.com/spreadsheets/d/1XL5vhW3sbDhbH9Cz0tuDiY8C3ctxq1tqvaCgkFb8cCA/edit?usp=sharing"",""ขอนแก่น!M500"")"),5450.0)</f>
        <v>5450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IFERROR(__xludf.DUMMYFUNCTION("IMPORTRANGE(""https://docs.google.com/spreadsheets/d/1XL5vhW3sbDhbH9Cz0tuDiY8C3ctxq1tqvaCgkFb8cCA/edit?usp=sharing"",""ขอนแก่น!J502"")"),0.0)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IFERROR(__xludf.DUMMYFUNCTION("IMPORTRANGE(""https://docs.google.com/spreadsheets/d/1XL5vhW3sbDhbH9Cz0tuDiY8C3ctxq1tqvaCgkFb8cCA/edit?usp=sharing"",""ขอนแก่น!J503"")"),1.0)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IFERROR(__xludf.DUMMYFUNCTION("IMPORTRANGE(""https://docs.google.com/spreadsheets/d/1XL5vhW3sbDhbH9Cz0tuDiY8C3ctxq1tqvaCgkFb8cCA/edit?usp=sharing"",""ขอนแก่น!J166"")"),0.0)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IFERROR(__xludf.DUMMYFUNCTION("IMPORTRANGE(""https://docs.google.com/spreadsheets/d/1XL5vhW3sbDhbH9Cz0tuDiY8C3ctxq1tqvaCgkFb8cCA/edit?usp=sharing"",""ขอนแก่น!J166"")"),0.0)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IFERROR(__xludf.DUMMYFUNCTION("IMPORTRANGE(""https://docs.google.com/spreadsheets/d/1XL5vhW3sbDhbH9Cz0tuDiY8C3ctxq1tqvaCgkFb8cCA/edit?usp=sharing"",""ขอนแก่น!I506"")"),100.0)</f>
        <v>100</v>
      </c>
      <c r="J611" s="195">
        <f>IFERROR(__xludf.DUMMYFUNCTION("IMPORTRANGE(""https://docs.google.com/spreadsheets/d/1XL5vhW3sbDhbH9Cz0tuDiY8C3ctxq1tqvaCgkFb8cCA/edit?usp=sharing"",""ขอนแก่น!J506"")"),0.0)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IFERROR(__xludf.DUMMYFUNCTION("IMPORTRANGE(""https://docs.google.com/spreadsheets/d/1XL5vhW3sbDhbH9Cz0tuDiY8C3ctxq1tqvaCgkFb8cCA/edit?usp=sharing"",""ขอนแก่น!I507"")"),0.0)</f>
        <v>0</v>
      </c>
      <c r="J612" s="232">
        <f>IFERROR(__xludf.DUMMYFUNCTION("IMPORTRANGE(""https://docs.google.com/spreadsheets/d/1XL5vhW3sbDhbH9Cz0tuDiY8C3ctxq1tqvaCgkFb8cCA/edit?usp=sharing"",""ขอนแก่น!J507"")"),0.0)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IFERROR(__xludf.DUMMYFUNCTION("IMPORTRANGE(""https://docs.google.com/spreadsheets/d/1XL5vhW3sbDhbH9Cz0tuDiY8C3ctxq1tqvaCgkFb8cCA/edit?usp=sharing"",""ขอนแก่น!I508"")"),0.0)</f>
        <v>0</v>
      </c>
      <c r="J613" s="232">
        <f>IFERROR(__xludf.DUMMYFUNCTION("IMPORTRANGE(""https://docs.google.com/spreadsheets/d/1XL5vhW3sbDhbH9Cz0tuDiY8C3ctxq1tqvaCgkFb8cCA/edit?usp=sharing"",""ขอนแก่น!J508"")"),0.0)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IFERROR(__xludf.DUMMYFUNCTION("IMPORTRANGE(""https://docs.google.com/spreadsheets/d/1XL5vhW3sbDhbH9Cz0tuDiY8C3ctxq1tqvaCgkFb8cCA/edit?usp=sharing"",""ขอนแก่น!I509"")"),0.0)</f>
        <v>0</v>
      </c>
      <c r="J614" s="232">
        <f>IFERROR(__xludf.DUMMYFUNCTION("IMPORTRANGE(""https://docs.google.com/spreadsheets/d/1XL5vhW3sbDhbH9Cz0tuDiY8C3ctxq1tqvaCgkFb8cCA/edit?usp=sharing"",""ขอนแก่น!J509"")"),0.0)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IFERROR(__xludf.DUMMYFUNCTION("IMPORTRANGE(""https://docs.google.com/spreadsheets/d/1XL5vhW3sbDhbH9Cz0tuDiY8C3ctxq1tqvaCgkFb8cCA/edit?usp=sharing"",""ขอนแก่น!I510"")"),0.0)</f>
        <v>0</v>
      </c>
      <c r="J615" s="232">
        <f>IFERROR(__xludf.DUMMYFUNCTION("IMPORTRANGE(""https://docs.google.com/spreadsheets/d/1XL5vhW3sbDhbH9Cz0tuDiY8C3ctxq1tqvaCgkFb8cCA/edit?usp=sharing"",""ขอนแก่น!J510"")"),0.0)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IFERROR(__xludf.DUMMYFUNCTION("IMPORTRANGE(""https://docs.google.com/spreadsheets/d/1XL5vhW3sbDhbH9Cz0tuDiY8C3ctxq1tqvaCgkFb8cCA/edit?usp=sharing"",""ขอนแก่น!I511"")"),0.0)</f>
        <v>0</v>
      </c>
      <c r="J616" s="232">
        <f>IFERROR(__xludf.DUMMYFUNCTION("IMPORTRANGE(""https://docs.google.com/spreadsheets/d/1XL5vhW3sbDhbH9Cz0tuDiY8C3ctxq1tqvaCgkFb8cCA/edit?usp=sharing"",""ขอนแก่น!J511"")"),0.0)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IFERROR(__xludf.DUMMYFUNCTION("IMPORTRANGE(""https://docs.google.com/spreadsheets/d/1XL5vhW3sbDhbH9Cz0tuDiY8C3ctxq1tqvaCgkFb8cCA/edit?usp=sharing"",""ขอนแก่น!I512"")"),0.0)</f>
        <v>0</v>
      </c>
      <c r="J617" s="222">
        <f>IFERROR(__xludf.DUMMYFUNCTION("IMPORTRANGE(""https://docs.google.com/spreadsheets/d/1XL5vhW3sbDhbH9Cz0tuDiY8C3ctxq1tqvaCgkFb8cCA/edit?usp=sharing"",""ขอนแก่น!J512"")"),0.0)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IFERROR(__xludf.DUMMYFUNCTION("IMPORTRANGE(""https://docs.google.com/spreadsheets/d/1XL5vhW3sbDhbH9Cz0tuDiY8C3ctxq1tqvaCgkFb8cCA/edit?usp=sharing"",""ขอนแก่น!I513"")"),0.0)</f>
        <v>0</v>
      </c>
      <c r="J618" s="223">
        <f>IFERROR(__xludf.DUMMYFUNCTION("IMPORTRANGE(""https://docs.google.com/spreadsheets/d/1XL5vhW3sbDhbH9Cz0tuDiY8C3ctxq1tqvaCgkFb8cCA/edit?usp=sharing"",""ขอนแก่น!J513"")"),0.0)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IFERROR(__xludf.DUMMYFUNCTION("IMPORTRANGE(""https://docs.google.com/spreadsheets/d/1XL5vhW3sbDhbH9Cz0tuDiY8C3ctxq1tqvaCgkFb8cCA/edit?usp=sharing"",""ขอนแก่น!I514"")"),0.0)</f>
        <v>0</v>
      </c>
      <c r="J619" s="223">
        <f>IFERROR(__xludf.DUMMYFUNCTION("IMPORTRANGE(""https://docs.google.com/spreadsheets/d/1XL5vhW3sbDhbH9Cz0tuDiY8C3ctxq1tqvaCgkFb8cCA/edit?usp=sharing"",""ขอนแก่น!J514"")"),0.0)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IFERROR(__xludf.DUMMYFUNCTION("IMPORTRANGE(""https://docs.google.com/spreadsheets/d/1XL5vhW3sbDhbH9Cz0tuDiY8C3ctxq1tqvaCgkFb8cCA/edit?usp=sharing"",""ขอนแก่น!I515"")"),0.0)</f>
        <v>0</v>
      </c>
      <c r="J620" s="237">
        <f>IFERROR(__xludf.DUMMYFUNCTION("IMPORTRANGE(""https://docs.google.com/spreadsheets/d/1XL5vhW3sbDhbH9Cz0tuDiY8C3ctxq1tqvaCgkFb8cCA/edit?usp=sharing"",""ขอนแก่น!J515"")"),0.0)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IFERROR(__xludf.DUMMYFUNCTION("IMPORTRANGE(""https://docs.google.com/spreadsheets/d/1XL5vhW3sbDhbH9Cz0tuDiY8C3ctxq1tqvaCgkFb8cCA/edit?usp=sharing"",""ขอนแก่น!I516"")"),0.0)</f>
        <v>0</v>
      </c>
      <c r="J621" s="237">
        <f>IFERROR(__xludf.DUMMYFUNCTION("IMPORTRANGE(""https://docs.google.com/spreadsheets/d/1XL5vhW3sbDhbH9Cz0tuDiY8C3ctxq1tqvaCgkFb8cCA/edit?usp=sharing"",""ขอนแก่น!J516"")"),0.0)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IFERROR(__xludf.DUMMYFUNCTION("IMPORTRANGE(""https://docs.google.com/spreadsheets/d/1XL5vhW3sbDhbH9Cz0tuDiY8C3ctxq1tqvaCgkFb8cCA/edit?usp=sharing"",""ขอนแก่น!I517"")"),0.0)</f>
        <v>0</v>
      </c>
      <c r="J622" s="223">
        <f>IFERROR(__xludf.DUMMYFUNCTION("IMPORTRANGE(""https://docs.google.com/spreadsheets/d/1XL5vhW3sbDhbH9Cz0tuDiY8C3ctxq1tqvaCgkFb8cCA/edit?usp=sharing"",""ขอนแก่น!J517"")"),0.0)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IFERROR(__xludf.DUMMYFUNCTION("IMPORTRANGE(""https://docs.google.com/spreadsheets/d/1XL5vhW3sbDhbH9Cz0tuDiY8C3ctxq1tqvaCgkFb8cCA/edit?usp=sharing"",""ขอนแก่น!I518"")"),0.0)</f>
        <v>0</v>
      </c>
      <c r="J623" s="223">
        <f>IFERROR(__xludf.DUMMYFUNCTION("IMPORTRANGE(""https://docs.google.com/spreadsheets/d/1XL5vhW3sbDhbH9Cz0tuDiY8C3ctxq1tqvaCgkFb8cCA/edit?usp=sharing"",""ขอนแก่น!J518"")"),0.0)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IFERROR(__xludf.DUMMYFUNCTION("IMPORTRANGE(""https://docs.google.com/spreadsheets/d/1XL5vhW3sbDhbH9Cz0tuDiY8C3ctxq1tqvaCgkFb8cCA/edit?usp=sharing"",""ขอนแก่น!I519"")"),0.0)</f>
        <v>0</v>
      </c>
      <c r="J624" s="222">
        <f>IFERROR(__xludf.DUMMYFUNCTION("IMPORTRANGE(""https://docs.google.com/spreadsheets/d/1XL5vhW3sbDhbH9Cz0tuDiY8C3ctxq1tqvaCgkFb8cCA/edit?usp=sharing"",""ขอนแก่น!J519"")"),0.0)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IFERROR(__xludf.DUMMYFUNCTION("IMPORTRANGE(""https://docs.google.com/spreadsheets/d/1XL5vhW3sbDhbH9Cz0tuDiY8C3ctxq1tqvaCgkFb8cCA/edit?usp=sharing"",""ขอนแก่น!I520"")"),0.0)</f>
        <v>0</v>
      </c>
      <c r="J625" s="223">
        <f>IFERROR(__xludf.DUMMYFUNCTION("IMPORTRANGE(""https://docs.google.com/spreadsheets/d/1XL5vhW3sbDhbH9Cz0tuDiY8C3ctxq1tqvaCgkFb8cCA/edit?usp=sharing"",""ขอนแก่น!J520"")"),0.0)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IFERROR(__xludf.DUMMYFUNCTION("IMPORTRANGE(""https://docs.google.com/spreadsheets/d/1XL5vhW3sbDhbH9Cz0tuDiY8C3ctxq1tqvaCgkFb8cCA/edit?usp=sharing"",""ขอนแก่น!I521"")"),0.0)</f>
        <v>0</v>
      </c>
      <c r="J626" s="223">
        <f>IFERROR(__xludf.DUMMYFUNCTION("IMPORTRANGE(""https://docs.google.com/spreadsheets/d/1XL5vhW3sbDhbH9Cz0tuDiY8C3ctxq1tqvaCgkFb8cCA/edit?usp=sharing"",""ขอนแก่น!J521"")"),0.0)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IFERROR(__xludf.DUMMYFUNCTION("IMPORTRANGE(""https://docs.google.com/spreadsheets/d/1XL5vhW3sbDhbH9Cz0tuDiY8C3ctxq1tqvaCgkFb8cCA/edit?usp=sharing"",""ขอนแก่น!I523"")"),3622257.64)</f>
        <v>3622257.64</v>
      </c>
      <c r="J628" s="374">
        <f>IFERROR(__xludf.DUMMYFUNCTION("IMPORTRANGE(""https://docs.google.com/spreadsheets/d/1XL5vhW3sbDhbH9Cz0tuDiY8C3ctxq1tqvaCgkFb8cCA/edit?usp=sharing"",""ขอนแก่น!J523"")"),351670.94)</f>
        <v>351670.94</v>
      </c>
      <c r="K628" s="375">
        <f t="shared" ref="K628:K635" si="130">IF(I628&gt;0,J628*100/I628,0)</f>
        <v>9.708612003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IFERROR(__xludf.DUMMYFUNCTION("IMPORTRANGE(""https://docs.google.com/spreadsheets/d/1XL5vhW3sbDhbH9Cz0tuDiY8C3ctxq1tqvaCgkFb8cCA/edit?usp=sharing"",""ขอนแก่น!I524"")"),242.0)</f>
        <v>242</v>
      </c>
      <c r="J629" s="374">
        <f>IFERROR(__xludf.DUMMYFUNCTION("IMPORTRANGE(""https://docs.google.com/spreadsheets/d/1XL5vhW3sbDhbH9Cz0tuDiY8C3ctxq1tqvaCgkFb8cCA/edit?usp=sharing"",""ขอนแก่น!J524"")"),17.0)</f>
        <v>17</v>
      </c>
      <c r="K629" s="375">
        <f t="shared" si="130"/>
        <v>7.024793388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IFERROR(__xludf.DUMMYFUNCTION("IMPORTRANGE(""https://docs.google.com/spreadsheets/d/1XL5vhW3sbDhbH9Cz0tuDiY8C3ctxq1tqvaCgkFb8cCA/edit?usp=sharing"",""ขอนแก่น!I525"")"),2.126771192E7)</f>
        <v>21267711.92</v>
      </c>
      <c r="J630" s="374">
        <f>IFERROR(__xludf.DUMMYFUNCTION("IMPORTRANGE(""https://docs.google.com/spreadsheets/d/1XL5vhW3sbDhbH9Cz0tuDiY8C3ctxq1tqvaCgkFb8cCA/edit?usp=sharing"",""ขอนแก่น!J525"")"),537359.18)</f>
        <v>537359.18</v>
      </c>
      <c r="K630" s="375">
        <f t="shared" si="130"/>
        <v>2.52664312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IFERROR(__xludf.DUMMYFUNCTION("IMPORTRANGE(""https://docs.google.com/spreadsheets/d/1XL5vhW3sbDhbH9Cz0tuDiY8C3ctxq1tqvaCgkFb8cCA/edit?usp=sharing"",""ขอนแก่น!I526"")"),613.0)</f>
        <v>613</v>
      </c>
      <c r="J631" s="374">
        <f>IFERROR(__xludf.DUMMYFUNCTION("IMPORTRANGE(""https://docs.google.com/spreadsheets/d/1XL5vhW3sbDhbH9Cz0tuDiY8C3ctxq1tqvaCgkFb8cCA/edit?usp=sharing"",""ขอนแก่น!J526"")"),102.0)</f>
        <v>102</v>
      </c>
      <c r="K631" s="375">
        <f t="shared" si="130"/>
        <v>16.63947798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IFERROR(__xludf.DUMMYFUNCTION("IMPORTRANGE(""https://docs.google.com/spreadsheets/d/1XL5vhW3sbDhbH9Cz0tuDiY8C3ctxq1tqvaCgkFb8cCA/edit?usp=sharing"",""ขอนแก่น!I527"")"),490580.36)</f>
        <v>490580.36</v>
      </c>
      <c r="J632" s="374">
        <f>IFERROR(__xludf.DUMMYFUNCTION("IMPORTRANGE(""https://docs.google.com/spreadsheets/d/1XL5vhW3sbDhbH9Cz0tuDiY8C3ctxq1tqvaCgkFb8cCA/edit?usp=sharing"",""ขอนแก่น!J527"")"),100665.46)</f>
        <v>100665.46</v>
      </c>
      <c r="K632" s="375">
        <f t="shared" si="130"/>
        <v>20.51966777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IFERROR(__xludf.DUMMYFUNCTION("IMPORTRANGE(""https://docs.google.com/spreadsheets/d/1XL5vhW3sbDhbH9Cz0tuDiY8C3ctxq1tqvaCgkFb8cCA/edit?usp=sharing"",""ขอนแก่น!I528"")"),60.0)</f>
        <v>60</v>
      </c>
      <c r="J633" s="374">
        <f>IFERROR(__xludf.DUMMYFUNCTION("IMPORTRANGE(""https://docs.google.com/spreadsheets/d/1XL5vhW3sbDhbH9Cz0tuDiY8C3ctxq1tqvaCgkFb8cCA/edit?usp=sharing"",""ขอนแก่น!J528"")"),33.0)</f>
        <v>33</v>
      </c>
      <c r="K633" s="375">
        <f t="shared" si="130"/>
        <v>55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IFERROR(__xludf.DUMMYFUNCTION("IMPORTRANGE(""https://docs.google.com/spreadsheets/d/1XL5vhW3sbDhbH9Cz0tuDiY8C3ctxq1tqvaCgkFb8cCA/edit?usp=sharing"",""ขอนแก่น!I529"")"),6500000.0)</f>
        <v>6500000</v>
      </c>
      <c r="J634" s="374">
        <f>IFERROR(__xludf.DUMMYFUNCTION("IMPORTRANGE(""https://docs.google.com/spreadsheets/d/1XL5vhW3sbDhbH9Cz0tuDiY8C3ctxq1tqvaCgkFb8cCA/edit?usp=sharing"",""ขอนแก่น!J529"")"),0.0)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IFERROR(__xludf.DUMMYFUNCTION("IMPORTRANGE(""https://docs.google.com/spreadsheets/d/1XL5vhW3sbDhbH9Cz0tuDiY8C3ctxq1tqvaCgkFb8cCA/edit?usp=sharing"",""ขอนแก่น!I530"")"),130.0)</f>
        <v>130</v>
      </c>
      <c r="J635" s="544">
        <f>IFERROR(__xludf.DUMMYFUNCTION("IMPORTRANGE(""https://docs.google.com/spreadsheets/d/1XL5vhW3sbDhbH9Cz0tuDiY8C3ctxq1tqvaCgkFb8cCA/edit?usp=sharing"",""ขอนแก่น!J530"")"),0.0)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243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8108373</v>
      </c>
      <c r="M8" s="41">
        <f t="shared" si="1"/>
        <v>2472867</v>
      </c>
      <c r="N8" s="41">
        <f t="shared" si="1"/>
        <v>2438616</v>
      </c>
      <c r="O8" s="40">
        <f t="shared" ref="O8:O16" si="3">IF(L8&gt;0,N8*100/L8,0)</f>
        <v>30.07528144</v>
      </c>
      <c r="P8" s="40">
        <f t="shared" ref="P8:P16" si="4">IF(M8&gt;0,N8*100/M8,0)</f>
        <v>98.61492753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8108373</v>
      </c>
      <c r="M10" s="48">
        <f t="shared" si="5"/>
        <v>2472867</v>
      </c>
      <c r="N10" s="48">
        <f t="shared" si="5"/>
        <v>2438616</v>
      </c>
      <c r="O10" s="47">
        <f t="shared" si="3"/>
        <v>30.07528144</v>
      </c>
      <c r="P10" s="47">
        <f t="shared" si="4"/>
        <v>98.61492753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6504373</v>
      </c>
      <c r="M12" s="58">
        <f t="shared" si="7"/>
        <v>2472867</v>
      </c>
      <c r="N12" s="58">
        <f t="shared" si="7"/>
        <v>1648616</v>
      </c>
      <c r="O12" s="58">
        <f t="shared" si="3"/>
        <v>25.34627089</v>
      </c>
      <c r="P12" s="58">
        <f t="shared" si="4"/>
        <v>66.66820334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2863900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3640473</v>
      </c>
      <c r="M14" s="58">
        <f t="shared" si="9"/>
        <v>0</v>
      </c>
      <c r="N14" s="58">
        <f t="shared" si="9"/>
        <v>204703</v>
      </c>
      <c r="O14" s="61">
        <f t="shared" si="3"/>
        <v>5.622978113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1604000</v>
      </c>
      <c r="M16" s="58">
        <f t="shared" si="11"/>
        <v>0</v>
      </c>
      <c r="N16" s="58">
        <f t="shared" si="11"/>
        <v>790000</v>
      </c>
      <c r="O16" s="70">
        <f t="shared" si="3"/>
        <v>49.25187032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6063890</v>
      </c>
      <c r="M18" s="41">
        <f t="shared" si="12"/>
        <v>2472867</v>
      </c>
      <c r="N18" s="41">
        <f t="shared" si="12"/>
        <v>2233913</v>
      </c>
      <c r="O18" s="40">
        <f t="shared" ref="O18:O20" si="14">IF(L18&gt;0,N18*100/L18,0)</f>
        <v>36.83960296</v>
      </c>
      <c r="P18" s="40">
        <f t="shared" ref="P18:P26" si="15">IF(M18&gt;0,N18*100/M18,0)</f>
        <v>90.33696515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6063890</v>
      </c>
      <c r="M20" s="48">
        <f t="shared" si="16"/>
        <v>2472867</v>
      </c>
      <c r="N20" s="48">
        <f t="shared" si="16"/>
        <v>2233913</v>
      </c>
      <c r="O20" s="47">
        <f t="shared" si="14"/>
        <v>36.83960296</v>
      </c>
      <c r="P20" s="47">
        <f t="shared" si="15"/>
        <v>90.33696515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4459890</v>
      </c>
      <c r="M22" s="62">
        <f t="shared" si="18"/>
        <v>2472867</v>
      </c>
      <c r="N22" s="61">
        <f t="shared" si="18"/>
        <v>1443913</v>
      </c>
      <c r="O22" s="61">
        <f t="shared" si="19"/>
        <v>32.37552944</v>
      </c>
      <c r="P22" s="61">
        <f t="shared" si="15"/>
        <v>58.39024096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2863900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1595990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1604000</v>
      </c>
      <c r="M26" s="70">
        <f t="shared" si="23"/>
        <v>0</v>
      </c>
      <c r="N26" s="70">
        <f t="shared" si="23"/>
        <v>790000</v>
      </c>
      <c r="O26" s="70">
        <f t="shared" si="19"/>
        <v>49.25187032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2044483</v>
      </c>
      <c r="M28" s="41">
        <f t="shared" si="24"/>
        <v>0</v>
      </c>
      <c r="N28" s="41">
        <f t="shared" si="24"/>
        <v>204703</v>
      </c>
      <c r="O28" s="40">
        <f t="shared" ref="O28:O30" si="26">IF(L28&gt;0,N28*100/L28,0)</f>
        <v>10.01245792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2044483</v>
      </c>
      <c r="M30" s="48">
        <f t="shared" si="28"/>
        <v>0</v>
      </c>
      <c r="N30" s="48">
        <f t="shared" si="28"/>
        <v>204703</v>
      </c>
      <c r="O30" s="47">
        <f t="shared" si="26"/>
        <v>10.01245792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2044483</v>
      </c>
      <c r="M32" s="61">
        <f t="shared" si="30"/>
        <v>0</v>
      </c>
      <c r="N32" s="61">
        <f t="shared" si="30"/>
        <v>204703</v>
      </c>
      <c r="O32" s="61">
        <f t="shared" si="31"/>
        <v>10.01245792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2044483</v>
      </c>
      <c r="M34" s="61">
        <f t="shared" si="33"/>
        <v>0</v>
      </c>
      <c r="N34" s="61">
        <f t="shared" si="33"/>
        <v>204703</v>
      </c>
      <c r="O34" s="61">
        <f t="shared" si="31"/>
        <v>10.01245792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6063890</v>
      </c>
      <c r="M37" s="75">
        <f t="shared" si="34"/>
        <v>2472867</v>
      </c>
      <c r="N37" s="75">
        <f t="shared" si="34"/>
        <v>2233913</v>
      </c>
      <c r="O37" s="76">
        <f t="shared" si="31"/>
        <v>36.83960296</v>
      </c>
      <c r="P37" s="76">
        <f t="shared" si="27"/>
        <v>90.33696515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2594800</v>
      </c>
      <c r="M41" s="102">
        <f t="shared" si="35"/>
        <v>495400</v>
      </c>
      <c r="N41" s="102">
        <f t="shared" si="35"/>
        <v>1178829</v>
      </c>
      <c r="O41" s="101">
        <f t="shared" ref="O41:O43" si="37">IF(L41&gt;0,N41*100/L41,0)</f>
        <v>45.4304378</v>
      </c>
      <c r="P41" s="101">
        <f t="shared" ref="P41:P43" si="38">IF(M41&gt;0,N41*100/M41,0)</f>
        <v>237.9549859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2594800</v>
      </c>
      <c r="M43" s="102">
        <f t="shared" si="39"/>
        <v>495400</v>
      </c>
      <c r="N43" s="102">
        <f t="shared" si="39"/>
        <v>1178829</v>
      </c>
      <c r="O43" s="101">
        <f t="shared" si="37"/>
        <v>45.4304378</v>
      </c>
      <c r="P43" s="101">
        <f t="shared" si="38"/>
        <v>237.9549859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990800</v>
      </c>
      <c r="M45" s="115">
        <f>IFERROR(__xludf.DUMMYFUNCTION("IMPORTRANGE(""https://docs.google.com/spreadsheets/d/1Yj_ptqi66GCucihVvJfMjLAmec39IyEx_6qawtMGysU/edit?usp=sharing"",""สบก!Q40"")"),495400.0)</f>
        <v>495400</v>
      </c>
      <c r="N45" s="115">
        <f>IFERROR(__xludf.DUMMYFUNCTION("IMPORTRANGE(""https://docs.google.com/spreadsheets/d/1Yj_ptqi66GCucihVvJfMjLAmec39IyEx_6qawtMGysU/edit?usp=sharing"",""สบก!R40"")"),388829.0)</f>
        <v>388829</v>
      </c>
      <c r="O45" s="116">
        <f>IF(L45&gt;0,N45*100/L45,0)</f>
        <v>39.24394429</v>
      </c>
      <c r="P45" s="116">
        <f>IF(M45&gt;0,N45*100/M45,0)</f>
        <v>78.48788857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IFERROR(__xludf.DUMMYFUNCTION("IMPORTRANGE(""https://docs.google.com/spreadsheets/d/1Yj_ptqi66GCucihVvJfMjLAmec39IyEx_6qawtMGysU/edit?usp=sharing"",""สบก!M40"")"),990800.0)</f>
        <v>990800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IFERROR(__xludf.DUMMYFUNCTION("IMPORTRANGE(""https://docs.google.com/spreadsheets/d/1Yj_ptqi66GCucihVvJfMjLAmec39IyEx_6qawtMGysU/edit?usp=sharing"",""สบก!N40"")"),0.0)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IFERROR(__xludf.DUMMYFUNCTION("IMPORTRANGE(""https://docs.google.com/spreadsheets/d/1Yj_ptqi66GCucihVvJfMjLAmec39IyEx_6qawtMGysU/edit?usp=sharing"",""สบก!O40"")"),1604000.0)</f>
        <v>1604000</v>
      </c>
      <c r="M49" s="125"/>
      <c r="N49" s="115">
        <f>IFERROR(__xludf.DUMMYFUNCTION("IMPORTRANGE(""https://docs.google.com/spreadsheets/d/1Yj_ptqi66GCucihVvJfMjLAmec39IyEx_6qawtMGysU/edit?usp=sharing"",""สบก!S40"")"),790000.0)</f>
        <v>790000</v>
      </c>
      <c r="O49" s="125">
        <f>IF(L49&gt;0,N49*100/L49,0)</f>
        <v>49.25187032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778800</v>
      </c>
      <c r="M53" s="151">
        <f t="shared" si="40"/>
        <v>402557</v>
      </c>
      <c r="N53" s="151">
        <f t="shared" si="40"/>
        <v>340293</v>
      </c>
      <c r="O53" s="150">
        <f t="shared" ref="O53:O55" si="42">IF(L53&gt;0,N53*100/L53,0)</f>
        <v>43.69453005</v>
      </c>
      <c r="P53" s="150">
        <f t="shared" ref="P53:P55" si="43">IF(M53&gt;0,N53*100/M53,0)</f>
        <v>84.53287361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778800</v>
      </c>
      <c r="M55" s="151">
        <f t="shared" si="44"/>
        <v>402557</v>
      </c>
      <c r="N55" s="151">
        <f t="shared" si="44"/>
        <v>340293</v>
      </c>
      <c r="O55" s="150">
        <f t="shared" si="42"/>
        <v>43.69453005</v>
      </c>
      <c r="P55" s="150">
        <f t="shared" si="43"/>
        <v>84.53287361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778800</v>
      </c>
      <c r="M57" s="115">
        <f>IFERROR(__xludf.DUMMYFUNCTION("IMPORTRANGE(""https://docs.google.com/spreadsheets/d/1Yj_ptqi66GCucihVvJfMjLAmec39IyEx_6qawtMGysU/edit?usp=sharing"",""สบก!Z40"")"),402557.0)</f>
        <v>402557</v>
      </c>
      <c r="N57" s="115">
        <f>IFERROR(__xludf.DUMMYFUNCTION("IMPORTRANGE(""https://docs.google.com/spreadsheets/d/1Yj_ptqi66GCucihVvJfMjLAmec39IyEx_6qawtMGysU/edit?usp=sharing"",""สบก!AA40"")"),340293.0)</f>
        <v>340293</v>
      </c>
      <c r="O57" s="116">
        <f>IF(L57&gt;0,N57*100/L57,0)</f>
        <v>43.69453005</v>
      </c>
      <c r="P57" s="116">
        <f>IF(M57&gt;0,N57*100/M57,0)</f>
        <v>84.53287361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IFERROR(__xludf.DUMMYFUNCTION("IMPORTRANGE(""https://docs.google.com/spreadsheets/d/1Yj_ptqi66GCucihVvJfMjLAmec39IyEx_6qawtMGysU/edit?usp=sharing"",""สบก!V40"")"),778800.0)</f>
        <v>778800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IFERROR(__xludf.DUMMYFUNCTION("IMPORTRANGE(""https://docs.google.com/spreadsheets/d/1Yj_ptqi66GCucihVvJfMjLAmec39IyEx_6qawtMGysU/edit?usp=sharing"",""สบก!W40"")"),0.0)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IFERROR(__xludf.DUMMYFUNCTION("IMPORTRANGE(""https://docs.google.com/spreadsheets/d/1Yj_ptqi66GCucihVvJfMjLAmec39IyEx_6qawtMGysU/edit?usp=sharing"",""สบก!X40"")"),0.0)</f>
        <v>0</v>
      </c>
      <c r="M61" s="125"/>
      <c r="N61" s="115">
        <f>IFERROR(__xludf.DUMMYFUNCTION("IMPORTRANGE(""https://docs.google.com/spreadsheets/d/1Yj_ptqi66GCucihVvJfMjLAmec39IyEx_6qawtMGysU/edit?usp=sharing"",""สบก!AB40"")"),0.0)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IFERROR(__xludf.DUMMYFUNCTION("IMPORTRANGE(""https://docs.google.com/spreadsheets/d/1XL5vhW3sbDhbH9Cz0tuDiY8C3ctxq1tqvaCgkFb8cCA/edit?usp=sharing"",""ชัยภูมิ!I9"")"),0.0)</f>
        <v>0</v>
      </c>
      <c r="J64" s="172">
        <f>IFERROR(__xludf.DUMMYFUNCTION("IMPORTRANGE(""https://docs.google.com/spreadsheets/d/1XL5vhW3sbDhbH9Cz0tuDiY8C3ctxq1tqvaCgkFb8cCA/edit?usp=sharing"",""ชัยภูมิ!J9"")"),0.0)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IFERROR(__xludf.DUMMYFUNCTION("IMPORTRANGE(""https://docs.google.com/spreadsheets/d/1XL5vhW3sbDhbH9Cz0tuDiY8C3ctxq1tqvaCgkFb8cCA/edit?usp=sharing"",""ชัยภูมิ!I10"")"),0.0)</f>
        <v>0</v>
      </c>
      <c r="J65" s="172">
        <f>IFERROR(__xludf.DUMMYFUNCTION("IMPORTRANGE(""https://docs.google.com/spreadsheets/d/1XL5vhW3sbDhbH9Cz0tuDiY8C3ctxq1tqvaCgkFb8cCA/edit?usp=sharing"",""ชัยภูมิ!J10"")"),0.0)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IFERROR(__xludf.DUMMYFUNCTION("IMPORTRANGE(""https://docs.google.com/spreadsheets/d/1Yj_ptqi66GCucihVvJfMjLAmec39IyEx_6qawtMGysU/edit?usp=sharing"",""สบก!AI40"")"),0.0)</f>
        <v>0</v>
      </c>
      <c r="N70" s="202">
        <f>IFERROR(__xludf.DUMMYFUNCTION("IMPORTRANGE(""https://docs.google.com/spreadsheets/d/1Yj_ptqi66GCucihVvJfMjLAmec39IyEx_6qawtMGysU/edit?usp=sharing"",""สบก!AJ40"")"),0.0)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IFERROR(__xludf.DUMMYFUNCTION("IMPORTRANGE(""https://docs.google.com/spreadsheets/d/1Yj_ptqi66GCucihVvJfMjLAmec39IyEx_6qawtMGysU/edit?usp=sharing"",""สบก!AE40"")"),0.0)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IFERROR(__xludf.DUMMYFUNCTION("IMPORTRANGE(""https://docs.google.com/spreadsheets/d/1Yj_ptqi66GCucihVvJfMjLAmec39IyEx_6qawtMGysU/edit?usp=sharing"",""สบก!AF40"")"),0.0)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IFERROR(__xludf.DUMMYFUNCTION("IMPORTRANGE(""https://docs.google.com/spreadsheets/d/1Yj_ptqi66GCucihVvJfMjLAmec39IyEx_6qawtMGysU/edit?usp=sharing"",""สบก!AG40"")"),0.0)</f>
        <v>0</v>
      </c>
      <c r="M74" s="125"/>
      <c r="N74" s="115">
        <f>IFERROR(__xludf.DUMMYFUNCTION("IMPORTRANGE(""https://docs.google.com/spreadsheets/d/1Yj_ptqi66GCucihVvJfMjLAmec39IyEx_6qawtMGysU/edit?usp=sharing"",""สบก!AK40"")"),0.0)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IFERROR(__xludf.DUMMYFUNCTION("IMPORTRANGE(""https://docs.google.com/spreadsheets/d/1XL5vhW3sbDhbH9Cz0tuDiY8C3ctxq1tqvaCgkFb8cCA/edit?usp=sharing"",""ชัยภูมิ!J16"")"),0.0)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IFERROR(__xludf.DUMMYFUNCTION("IMPORTRANGE(""https://docs.google.com/spreadsheets/d/1XL5vhW3sbDhbH9Cz0tuDiY8C3ctxq1tqvaCgkFb8cCA/edit?usp=sharing"",""ชัยภูมิ!J17"")"),0.0)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IFERROR(__xludf.DUMMYFUNCTION("IMPORTRANGE(""https://docs.google.com/spreadsheets/d/1XL5vhW3sbDhbH9Cz0tuDiY8C3ctxq1tqvaCgkFb8cCA/edit?usp=sharing"",""ชัยภูมิ!J18"")"),0.0)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IFERROR(__xludf.DUMMYFUNCTION("IMPORTRANGE(""https://docs.google.com/spreadsheets/d/1XL5vhW3sbDhbH9Cz0tuDiY8C3ctxq1tqvaCgkFb8cCA/edit?usp=sharing"",""ชัยภูมิ!J19"")"),0.0)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IFERROR(__xludf.DUMMYFUNCTION("IMPORTRANGE(""https://docs.google.com/spreadsheets/d/1XL5vhW3sbDhbH9Cz0tuDiY8C3ctxq1tqvaCgkFb8cCA/edit?usp=sharing"",""ชัยภูมิ!I20"")"),0.0)</f>
        <v>0</v>
      </c>
      <c r="J80" s="235">
        <f>IFERROR(__xludf.DUMMYFUNCTION("IMPORTRANGE(""https://docs.google.com/spreadsheets/d/1XL5vhW3sbDhbH9Cz0tuDiY8C3ctxq1tqvaCgkFb8cCA/edit?usp=sharing"",""ชัยภูมิ!J20"")"),0.0)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IFERROR(__xludf.DUMMYFUNCTION("IMPORTRANGE(""https://docs.google.com/spreadsheets/d/1XL5vhW3sbDhbH9Cz0tuDiY8C3ctxq1tqvaCgkFb8cCA/edit?usp=sharing"",""ชัยภูมิ!I21"")"),0.0)</f>
        <v>0</v>
      </c>
      <c r="J81" s="235">
        <f>IFERROR(__xludf.DUMMYFUNCTION("IMPORTRANGE(""https://docs.google.com/spreadsheets/d/1XL5vhW3sbDhbH9Cz0tuDiY8C3ctxq1tqvaCgkFb8cCA/edit?usp=sharing"",""ชัยภูมิ!J21"")"),0.0)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IFERROR(__xludf.DUMMYFUNCTION("IMPORTRANGE(""https://docs.google.com/spreadsheets/d/1XL5vhW3sbDhbH9Cz0tuDiY8C3ctxq1tqvaCgkFb8cCA/edit?usp=sharing"",""ชัยภูมิ!I22"")"),0.0)</f>
        <v>0</v>
      </c>
      <c r="J82" s="238">
        <f>IFERROR(__xludf.DUMMYFUNCTION("IMPORTRANGE(""https://docs.google.com/spreadsheets/d/1XL5vhW3sbDhbH9Cz0tuDiY8C3ctxq1tqvaCgkFb8cCA/edit?usp=sharing"",""ชัยภูมิ!J22"")"),0.0)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IFERROR(__xludf.DUMMYFUNCTION("IMPORTRANGE(""https://docs.google.com/spreadsheets/d/1XL5vhW3sbDhbH9Cz0tuDiY8C3ctxq1tqvaCgkFb8cCA/edit?usp=sharing"",""ชัยภูมิ!I23"")"),0.0)</f>
        <v>0</v>
      </c>
      <c r="J83" s="238">
        <f>IFERROR(__xludf.DUMMYFUNCTION("IMPORTRANGE(""https://docs.google.com/spreadsheets/d/1XL5vhW3sbDhbH9Cz0tuDiY8C3ctxq1tqvaCgkFb8cCA/edit?usp=sharing"",""ชัยภูมิ!J23"")"),0.0)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IFERROR(__xludf.DUMMYFUNCTION("IMPORTRANGE(""https://docs.google.com/spreadsheets/d/1XL5vhW3sbDhbH9Cz0tuDiY8C3ctxq1tqvaCgkFb8cCA/edit?usp=sharing"",""ชัยภูมิ!I24"")"),0.0)</f>
        <v>0</v>
      </c>
      <c r="J84" s="223">
        <f>IFERROR(__xludf.DUMMYFUNCTION("IMPORTRANGE(""https://docs.google.com/spreadsheets/d/1XL5vhW3sbDhbH9Cz0tuDiY8C3ctxq1tqvaCgkFb8cCA/edit?usp=sharing"",""ชัยภูมิ!J24"")"),0.0)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IFERROR(__xludf.DUMMYFUNCTION("IMPORTRANGE(""https://docs.google.com/spreadsheets/d/1XL5vhW3sbDhbH9Cz0tuDiY8C3ctxq1tqvaCgkFb8cCA/edit?usp=sharing"",""ชัยภูมิ!I25"")"),0.0)</f>
        <v>0</v>
      </c>
      <c r="J85" s="223">
        <f>IFERROR(__xludf.DUMMYFUNCTION("IMPORTRANGE(""https://docs.google.com/spreadsheets/d/1XL5vhW3sbDhbH9Cz0tuDiY8C3ctxq1tqvaCgkFb8cCA/edit?usp=sharing"",""ชัยภูมิ!J25"")"),0.0)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IFERROR(__xludf.DUMMYFUNCTION("IMPORTRANGE(""https://docs.google.com/spreadsheets/d/1XL5vhW3sbDhbH9Cz0tuDiY8C3ctxq1tqvaCgkFb8cCA/edit?usp=sharing"",""ชัยภูมิ!I26"")"),0.0)</f>
        <v>0</v>
      </c>
      <c r="J86" s="238">
        <f>IFERROR(__xludf.DUMMYFUNCTION("IMPORTRANGE(""https://docs.google.com/spreadsheets/d/1XL5vhW3sbDhbH9Cz0tuDiY8C3ctxq1tqvaCgkFb8cCA/edit?usp=sharing"",""ชัยภูมิ!J26"")"),0.0)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IFERROR(__xludf.DUMMYFUNCTION("IMPORTRANGE(""https://docs.google.com/spreadsheets/d/1XL5vhW3sbDhbH9Cz0tuDiY8C3ctxq1tqvaCgkFb8cCA/edit?usp=sharing"",""ชัยภูมิ!I27"")"),0.0)</f>
        <v>0</v>
      </c>
      <c r="J87" s="238">
        <f>IFERROR(__xludf.DUMMYFUNCTION("IMPORTRANGE(""https://docs.google.com/spreadsheets/d/1XL5vhW3sbDhbH9Cz0tuDiY8C3ctxq1tqvaCgkFb8cCA/edit?usp=sharing"",""ชัยภูมิ!J27"")"),0.0)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IFERROR(__xludf.DUMMYFUNCTION("IMPORTRANGE(""https://docs.google.com/spreadsheets/d/1XL5vhW3sbDhbH9Cz0tuDiY8C3ctxq1tqvaCgkFb8cCA/edit?usp=sharing"",""ชัยภูมิ!I28"")"),0.0)</f>
        <v>0</v>
      </c>
      <c r="J88" s="238">
        <f>IFERROR(__xludf.DUMMYFUNCTION("IMPORTRANGE(""https://docs.google.com/spreadsheets/d/1XL5vhW3sbDhbH9Cz0tuDiY8C3ctxq1tqvaCgkFb8cCA/edit?usp=sharing"",""ชัยภูมิ!J28"")"),0.0)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IFERROR(__xludf.DUMMYFUNCTION("IMPORTRANGE(""https://docs.google.com/spreadsheets/d/1XL5vhW3sbDhbH9Cz0tuDiY8C3ctxq1tqvaCgkFb8cCA/edit?usp=sharing"",""ชัยภูมิ!J29"")"),0.0)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IFERROR(__xludf.DUMMYFUNCTION("IMPORTRANGE(""https://docs.google.com/spreadsheets/d/1XL5vhW3sbDhbH9Cz0tuDiY8C3ctxq1tqvaCgkFb8cCA/edit?usp=sharing"",""ชัยภูมิ!J30"")"),0.0)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IFERROR(__xludf.DUMMYFUNCTION("IMPORTRANGE(""https://docs.google.com/spreadsheets/d/1XL5vhW3sbDhbH9Cz0tuDiY8C3ctxq1tqvaCgkFb8cCA/edit?usp=sharing"",""ชัยภูมิ!I32"")"),0.0)</f>
        <v>0</v>
      </c>
      <c r="J92" s="172">
        <f>IFERROR(__xludf.DUMMYFUNCTION("IMPORTRANGE(""https://docs.google.com/spreadsheets/d/1XL5vhW3sbDhbH9Cz0tuDiY8C3ctxq1tqvaCgkFb8cCA/edit?usp=sharing"",""ชัยภูมิ!J32"")"),0.0)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IFERROR(__xludf.DUMMYFUNCTION("IMPORTRANGE(""https://docs.google.com/spreadsheets/d/1XL5vhW3sbDhbH9Cz0tuDiY8C3ctxq1tqvaCgkFb8cCA/edit?usp=sharing"",""ชัยภูมิ!I33"")"),0.0)</f>
        <v>0</v>
      </c>
      <c r="J93" s="172">
        <f>IFERROR(__xludf.DUMMYFUNCTION("IMPORTRANGE(""https://docs.google.com/spreadsheets/d/1XL5vhW3sbDhbH9Cz0tuDiY8C3ctxq1tqvaCgkFb8cCA/edit?usp=sharing"",""ชัยภูมิ!J33"")"),0.0)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IFERROR(__xludf.DUMMYFUNCTION("IMPORTRANGE(""https://docs.google.com/spreadsheets/d/1Yj_ptqi66GCucihVvJfMjLAmec39IyEx_6qawtMGysU/edit?usp=sharing"",""สบก!AR40"")"),0.0)</f>
        <v>0</v>
      </c>
      <c r="N98" s="202">
        <f>IFERROR(__xludf.DUMMYFUNCTION("IMPORTRANGE(""https://docs.google.com/spreadsheets/d/1Yj_ptqi66GCucihVvJfMjLAmec39IyEx_6qawtMGysU/edit?usp=sharing"",""สบก!AS40"")"),0.0)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IFERROR(__xludf.DUMMYFUNCTION("IMPORTRANGE(""https://docs.google.com/spreadsheets/d/1Yj_ptqi66GCucihVvJfMjLAmec39IyEx_6qawtMGysU/edit?usp=sharing"",""สบก!AN40"")"),0.0)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IFERROR(__xludf.DUMMYFUNCTION("IMPORTRANGE(""https://docs.google.com/spreadsheets/d/1Yj_ptqi66GCucihVvJfMjLAmec39IyEx_6qawtMGysU/edit?usp=sharing"",""สบก!AO40"")"),0.0)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IFERROR(__xludf.DUMMYFUNCTION("IMPORTRANGE(""https://docs.google.com/spreadsheets/d/1Yj_ptqi66GCucihVvJfMjLAmec39IyEx_6qawtMGysU/edit?usp=sharing"",""สบก!AP40"")"),0.0)</f>
        <v>0</v>
      </c>
      <c r="M102" s="125"/>
      <c r="N102" s="115">
        <f>IFERROR(__xludf.DUMMYFUNCTION("IMPORTRANGE(""https://docs.google.com/spreadsheets/d/1Yj_ptqi66GCucihVvJfMjLAmec39IyEx_6qawtMGysU/edit?usp=sharing"",""สบก!AT40"")"),0.0)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IFERROR(__xludf.DUMMYFUNCTION("IMPORTRANGE(""https://docs.google.com/spreadsheets/d/1XL5vhW3sbDhbH9Cz0tuDiY8C3ctxq1tqvaCgkFb8cCA/edit?usp=sharing"",""ชัยภูมิ!J39"")"),0.0)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IFERROR(__xludf.DUMMYFUNCTION("IMPORTRANGE(""https://docs.google.com/spreadsheets/d/1XL5vhW3sbDhbH9Cz0tuDiY8C3ctxq1tqvaCgkFb8cCA/edit?usp=sharing"",""ชัยภูมิ!J40"")"),0.0)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IFERROR(__xludf.DUMMYFUNCTION("IMPORTRANGE(""https://docs.google.com/spreadsheets/d/1XL5vhW3sbDhbH9Cz0tuDiY8C3ctxq1tqvaCgkFb8cCA/edit?usp=sharing"",""ชัยภูมิ!J41"")"),0.0)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IFERROR(__xludf.DUMMYFUNCTION("IMPORTRANGE(""https://docs.google.com/spreadsheets/d/1XL5vhW3sbDhbH9Cz0tuDiY8C3ctxq1tqvaCgkFb8cCA/edit?usp=sharing"",""ชัยภูมิ!J42"")"),0.0)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IFERROR(__xludf.DUMMYFUNCTION("IMPORTRANGE(""https://docs.google.com/spreadsheets/d/1XL5vhW3sbDhbH9Cz0tuDiY8C3ctxq1tqvaCgkFb8cCA/edit?usp=sharing"",""ชัยภูมิ!I43"")"),0.0)</f>
        <v>0</v>
      </c>
      <c r="J108" s="238">
        <f>IFERROR(__xludf.DUMMYFUNCTION("IMPORTRANGE(""https://docs.google.com/spreadsheets/d/1XL5vhW3sbDhbH9Cz0tuDiY8C3ctxq1tqvaCgkFb8cCA/edit?usp=sharing"",""ชัยภูมิ!J43"")"),0.0)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IFERROR(__xludf.DUMMYFUNCTION("IMPORTRANGE(""https://docs.google.com/spreadsheets/d/1XL5vhW3sbDhbH9Cz0tuDiY8C3ctxq1tqvaCgkFb8cCA/edit?usp=sharing"",""ชัยภูมิ!I44"")"),0.0)</f>
        <v>0</v>
      </c>
      <c r="J109" s="238">
        <f>IFERROR(__xludf.DUMMYFUNCTION("IMPORTRANGE(""https://docs.google.com/spreadsheets/d/1XL5vhW3sbDhbH9Cz0tuDiY8C3ctxq1tqvaCgkFb8cCA/edit?usp=sharing"",""ชัยภูมิ!J44"")"),0.0)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IFERROR(__xludf.DUMMYFUNCTION("IMPORTRANGE(""https://docs.google.com/spreadsheets/d/1XL5vhW3sbDhbH9Cz0tuDiY8C3ctxq1tqvaCgkFb8cCA/edit?usp=sharing"",""ชัยภูมิ!I45"")"),0.0)</f>
        <v>0</v>
      </c>
      <c r="J110" s="238">
        <f>IFERROR(__xludf.DUMMYFUNCTION("IMPORTRANGE(""https://docs.google.com/spreadsheets/d/1XL5vhW3sbDhbH9Cz0tuDiY8C3ctxq1tqvaCgkFb8cCA/edit?usp=sharing"",""ชัยภูมิ!J45"")"),0.0)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IFERROR(__xludf.DUMMYFUNCTION("IMPORTRANGE(""https://docs.google.com/spreadsheets/d/1XL5vhW3sbDhbH9Cz0tuDiY8C3ctxq1tqvaCgkFb8cCA/edit?usp=sharing"",""ชัยภูมิ!I46"")"),0.0)</f>
        <v>0</v>
      </c>
      <c r="J111" s="238">
        <f>IFERROR(__xludf.DUMMYFUNCTION("IMPORTRANGE(""https://docs.google.com/spreadsheets/d/1XL5vhW3sbDhbH9Cz0tuDiY8C3ctxq1tqvaCgkFb8cCA/edit?usp=sharing"",""ชัยภูมิ!J46"")"),0.0)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IFERROR(__xludf.DUMMYFUNCTION("IMPORTRANGE(""https://docs.google.com/spreadsheets/d/1XL5vhW3sbDhbH9Cz0tuDiY8C3ctxq1tqvaCgkFb8cCA/edit?usp=sharing"",""ชัยภูมิ!I47"")"),0.0)</f>
        <v>0</v>
      </c>
      <c r="J112" s="238">
        <f>IFERROR(__xludf.DUMMYFUNCTION("IMPORTRANGE(""https://docs.google.com/spreadsheets/d/1XL5vhW3sbDhbH9Cz0tuDiY8C3ctxq1tqvaCgkFb8cCA/edit?usp=sharing"",""ชัยภูมิ!J47"")"),0.0)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IFERROR(__xludf.DUMMYFUNCTION("IMPORTRANGE(""https://docs.google.com/spreadsheets/d/1XL5vhW3sbDhbH9Cz0tuDiY8C3ctxq1tqvaCgkFb8cCA/edit?usp=sharing"",""ชัยภูมิ!I48"")"),0.0)</f>
        <v>0</v>
      </c>
      <c r="J113" s="238">
        <f>IFERROR(__xludf.DUMMYFUNCTION("IMPORTRANGE(""https://docs.google.com/spreadsheets/d/1XL5vhW3sbDhbH9Cz0tuDiY8C3ctxq1tqvaCgkFb8cCA/edit?usp=sharing"",""ชัยภูมิ!J48"")"),0.0)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IFERROR(__xludf.DUMMYFUNCTION("IMPORTRANGE(""https://docs.google.com/spreadsheets/d/1XL5vhW3sbDhbH9Cz0tuDiY8C3ctxq1tqvaCgkFb8cCA/edit?usp=sharing"",""ชัยภูมิ!J49"")"),0.0)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IFERROR(__xludf.DUMMYFUNCTION("IMPORTRANGE(""https://docs.google.com/spreadsheets/d/1XL5vhW3sbDhbH9Cz0tuDiY8C3ctxq1tqvaCgkFb8cCA/edit?usp=sharing"",""ชัยภูมิ!J50"")"),0.0)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IFERROR(__xludf.DUMMYFUNCTION("IMPORTRANGE(""https://docs.google.com/spreadsheets/d/1XL5vhW3sbDhbH9Cz0tuDiY8C3ctxq1tqvaCgkFb8cCA/edit?usp=sharing"",""ชัยภูมิ!I52"")"),20.0)</f>
        <v>20</v>
      </c>
      <c r="J117" s="172">
        <f>IFERROR(__xludf.DUMMYFUNCTION("IMPORTRANGE(""https://docs.google.com/spreadsheets/d/1XL5vhW3sbDhbH9Cz0tuDiY8C3ctxq1tqvaCgkFb8cCA/edit?usp=sharing"",""ชัยภูมิ!J52"")"),20.0)</f>
        <v>20</v>
      </c>
      <c r="K117" s="173">
        <f>IF(I117&gt;0,J117*100/I117,0)</f>
        <v>100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82440</v>
      </c>
      <c r="M118" s="183">
        <f t="shared" si="59"/>
        <v>66440</v>
      </c>
      <c r="N118" s="183">
        <f t="shared" si="59"/>
        <v>20245</v>
      </c>
      <c r="O118" s="182">
        <f t="shared" ref="O118:O120" si="61">IF(L118&gt;0,N118*100/L118,0)</f>
        <v>24.55725376</v>
      </c>
      <c r="P118" s="182">
        <f t="shared" ref="P118:P120" si="62">IF(M118&gt;0,N118*100/M118,0)</f>
        <v>30.47110175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82440</v>
      </c>
      <c r="M120" s="188">
        <f t="shared" si="63"/>
        <v>66440</v>
      </c>
      <c r="N120" s="188">
        <f t="shared" si="63"/>
        <v>20245</v>
      </c>
      <c r="O120" s="187">
        <f t="shared" si="61"/>
        <v>24.55725376</v>
      </c>
      <c r="P120" s="187">
        <f t="shared" si="62"/>
        <v>30.47110175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82440</v>
      </c>
      <c r="M122" s="201">
        <f>IFERROR(__xludf.DUMMYFUNCTION("IMPORTRANGE(""https://docs.google.com/spreadsheets/d/1Yj_ptqi66GCucihVvJfMjLAmec39IyEx_6qawtMGysU/edit?usp=sharing"",""สบก!BA40"")"),66440.0)</f>
        <v>66440</v>
      </c>
      <c r="N122" s="202">
        <f>IFERROR(__xludf.DUMMYFUNCTION("IMPORTRANGE(""https://docs.google.com/spreadsheets/d/1Yj_ptqi66GCucihVvJfMjLAmec39IyEx_6qawtMGysU/edit?usp=sharing"",""สบก!BB40"")"),20245.0)</f>
        <v>20245</v>
      </c>
      <c r="O122" s="203">
        <f>IF(L122&gt;0,N122*100/L122,0)</f>
        <v>24.55725376</v>
      </c>
      <c r="P122" s="203">
        <f>IF(M122&gt;0,N122*100/M122,0)</f>
        <v>30.47110175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IFERROR(__xludf.DUMMYFUNCTION("IMPORTRANGE(""https://docs.google.com/spreadsheets/d/1Yj_ptqi66GCucihVvJfMjLAmec39IyEx_6qawtMGysU/edit?usp=sharing"",""สบก!AW40"")"),0.0)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IFERROR(__xludf.DUMMYFUNCTION("IMPORTRANGE(""https://docs.google.com/spreadsheets/d/1Yj_ptqi66GCucihVvJfMjLAmec39IyEx_6qawtMGysU/edit?usp=sharing"",""สบก!AX40"")"),82440.0)</f>
        <v>82440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IFERROR(__xludf.DUMMYFUNCTION("IMPORTRANGE(""https://docs.google.com/spreadsheets/d/1Yj_ptqi66GCucihVvJfMjLAmec39IyEx_6qawtMGysU/edit?usp=sharing"",""สบก!AY40"")"),0.0)</f>
        <v>0</v>
      </c>
      <c r="M126" s="125"/>
      <c r="N126" s="115">
        <f>IFERROR(__xludf.DUMMYFUNCTION("IMPORTRANGE(""https://docs.google.com/spreadsheets/d/1Yj_ptqi66GCucihVvJfMjLAmec39IyEx_6qawtMGysU/edit?usp=sharing"",""สบก!BC40"")"),0.0)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IFERROR(__xludf.DUMMYFUNCTION("IMPORTRANGE(""https://docs.google.com/spreadsheets/d/1XL5vhW3sbDhbH9Cz0tuDiY8C3ctxq1tqvaCgkFb8cCA/edit?usp=sharing"",""ชัยภูมิ!J58"")"),0.0)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IFERROR(__xludf.DUMMYFUNCTION("IMPORTRANGE(""https://docs.google.com/spreadsheets/d/1XL5vhW3sbDhbH9Cz0tuDiY8C3ctxq1tqvaCgkFb8cCA/edit?usp=sharing"",""ชัยภูมิ!J59"")"),1.0)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IFERROR(__xludf.DUMMYFUNCTION("IMPORTRANGE(""https://docs.google.com/spreadsheets/d/1XL5vhW3sbDhbH9Cz0tuDiY8C3ctxq1tqvaCgkFb8cCA/edit?usp=sharing"",""ชัยภูมิ!J60"")"),1.0)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IFERROR(__xludf.DUMMYFUNCTION("IMPORTRANGE(""https://docs.google.com/spreadsheets/d/1XL5vhW3sbDhbH9Cz0tuDiY8C3ctxq1tqvaCgkFb8cCA/edit?usp=sharing"",""ชัยภูมิ!J61"")"),1.0)</f>
        <v>1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IFERROR(__xludf.DUMMYFUNCTION("IMPORTRANGE(""https://docs.google.com/spreadsheets/d/1XL5vhW3sbDhbH9Cz0tuDiY8C3ctxq1tqvaCgkFb8cCA/edit?usp=sharing"",""ชัยภูมิ!I62"")"),20.0)</f>
        <v>20</v>
      </c>
      <c r="J132" s="238">
        <f>IFERROR(__xludf.DUMMYFUNCTION("IMPORTRANGE(""https://docs.google.com/spreadsheets/d/1XL5vhW3sbDhbH9Cz0tuDiY8C3ctxq1tqvaCgkFb8cCA/edit?usp=sharing"",""ชัยภูมิ!J62"")"),20.0)</f>
        <v>20</v>
      </c>
      <c r="K132" s="258">
        <f t="shared" ref="K132:K133" si="64">IF(I132&gt;0,J132*100/I132,0)</f>
        <v>100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IFERROR(__xludf.DUMMYFUNCTION("IMPORTRANGE(""https://docs.google.com/spreadsheets/d/1XL5vhW3sbDhbH9Cz0tuDiY8C3ctxq1tqvaCgkFb8cCA/edit?usp=sharing"",""ชัยภูมิ!I63"")"),20.0)</f>
        <v>20</v>
      </c>
      <c r="J133" s="238">
        <f>IFERROR(__xludf.DUMMYFUNCTION("IMPORTRANGE(""https://docs.google.com/spreadsheets/d/1XL5vhW3sbDhbH9Cz0tuDiY8C3ctxq1tqvaCgkFb8cCA/edit?usp=sharing"",""ชัยภูมิ!J63"")"),0.0)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IFERROR(__xludf.DUMMYFUNCTION("IMPORTRANGE(""https://docs.google.com/spreadsheets/d/1XL5vhW3sbDhbH9Cz0tuDiY8C3ctxq1tqvaCgkFb8cCA/edit?usp=sharing"",""ชัยภูมิ!J64"")"),0.0)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IFERROR(__xludf.DUMMYFUNCTION("IMPORTRANGE(""https://docs.google.com/spreadsheets/d/1XL5vhW3sbDhbH9Cz0tuDiY8C3ctxq1tqvaCgkFb8cCA/edit?usp=sharing"",""ชัยภูมิ!J65"")"),0.0)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IFERROR(__xludf.DUMMYFUNCTION("IMPORTRANGE(""https://docs.google.com/spreadsheets/d/1XL5vhW3sbDhbH9Cz0tuDiY8C3ctxq1tqvaCgkFb8cCA/edit?usp=sharing"",""ชัยภูมิ!I68"")"),0.0)</f>
        <v>0</v>
      </c>
      <c r="J138" s="301">
        <f>IFERROR(__xludf.DUMMYFUNCTION("IMPORTRANGE(""https://docs.google.com/spreadsheets/d/1XL5vhW3sbDhbH9Cz0tuDiY8C3ctxq1tqvaCgkFb8cCA/edit?usp=sharing"",""ชัยภูมิ!J68"")"),0.0)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83000</v>
      </c>
      <c r="M140" s="183">
        <f t="shared" si="65"/>
        <v>59750</v>
      </c>
      <c r="N140" s="183">
        <f t="shared" si="65"/>
        <v>2200</v>
      </c>
      <c r="O140" s="182">
        <f t="shared" ref="O140:O142" si="67">IF(L140&gt;0,N140*100/L140,0)</f>
        <v>2.65060241</v>
      </c>
      <c r="P140" s="182">
        <f t="shared" ref="P140:P142" si="68">IF(M140&gt;0,N140*100/M140,0)</f>
        <v>3.682008368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83000</v>
      </c>
      <c r="M142" s="188">
        <f t="shared" si="69"/>
        <v>59750</v>
      </c>
      <c r="N142" s="188">
        <f t="shared" si="69"/>
        <v>2200</v>
      </c>
      <c r="O142" s="187">
        <f t="shared" si="67"/>
        <v>2.65060241</v>
      </c>
      <c r="P142" s="187">
        <f t="shared" si="68"/>
        <v>3.682008368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83000</v>
      </c>
      <c r="M144" s="201">
        <f>IFERROR(__xludf.DUMMYFUNCTION("IMPORTRANGE(""https://docs.google.com/spreadsheets/d/1Yj_ptqi66GCucihVvJfMjLAmec39IyEx_6qawtMGysU/edit?usp=sharing"",""สบก!BJ40"")"),59750.0)</f>
        <v>59750</v>
      </c>
      <c r="N144" s="202">
        <f>IFERROR(__xludf.DUMMYFUNCTION("IMPORTRANGE(""https://docs.google.com/spreadsheets/d/1Yj_ptqi66GCucihVvJfMjLAmec39IyEx_6qawtMGysU/edit?usp=sharing"",""สบก!BK40"")"),2200.0)</f>
        <v>2200</v>
      </c>
      <c r="O144" s="203">
        <f>IF(L144&gt;0,N144*100/L144,0)</f>
        <v>2.65060241</v>
      </c>
      <c r="P144" s="203">
        <f>IF(M144&gt;0,N144*100/M144,0)</f>
        <v>3.682008368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IFERROR(__xludf.DUMMYFUNCTION("IMPORTRANGE(""https://docs.google.com/spreadsheets/d/1Yj_ptqi66GCucihVvJfMjLAmec39IyEx_6qawtMGysU/edit?usp=sharing"",""สบก!BF40"")"),0.0)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IFERROR(__xludf.DUMMYFUNCTION("IMPORTRANGE(""https://docs.google.com/spreadsheets/d/1Yj_ptqi66GCucihVvJfMjLAmec39IyEx_6qawtMGysU/edit?usp=sharing"",""สบก!BG40"")"),83000.0)</f>
        <v>83000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IFERROR(__xludf.DUMMYFUNCTION("IMPORTRANGE(""https://docs.google.com/spreadsheets/d/1Yj_ptqi66GCucihVvJfMjLAmec39IyEx_6qawtMGysU/edit?usp=sharing"",""สบก!BH40"")"),0.0)</f>
        <v>0</v>
      </c>
      <c r="M148" s="125"/>
      <c r="N148" s="115">
        <f>IFERROR(__xludf.DUMMYFUNCTION("IMPORTRANGE(""https://docs.google.com/spreadsheets/d/1Yj_ptqi66GCucihVvJfMjLAmec39IyEx_6qawtMGysU/edit?usp=sharing"",""สบก!BL40"")"),0.0)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IFERROR(__xludf.DUMMYFUNCTION("IMPORTRANGE(""https://docs.google.com/spreadsheets/d/1XL5vhW3sbDhbH9Cz0tuDiY8C3ctxq1tqvaCgkFb8cCA/edit?usp=sharing"",""ชัยภูมิ!I74"")"),4.0)</f>
        <v>4</v>
      </c>
      <c r="J149" s="309">
        <f>IFERROR(__xludf.DUMMYFUNCTION("IMPORTRANGE(""https://docs.google.com/spreadsheets/d/1XL5vhW3sbDhbH9Cz0tuDiY8C3ctxq1tqvaCgkFb8cCA/edit?usp=sharing"",""ชัยภูมิ!J74"")"),1.0)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IFERROR(__xludf.DUMMYFUNCTION("IMPORTRANGE(""https://docs.google.com/spreadsheets/d/1XL5vhW3sbDhbH9Cz0tuDiY8C3ctxq1tqvaCgkFb8cCA/edit?usp=sharing"",""ชัยภูมิ!J79"")"),0.0)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IFERROR(__xludf.DUMMYFUNCTION("IMPORTRANGE(""https://docs.google.com/spreadsheets/d/1XL5vhW3sbDhbH9Cz0tuDiY8C3ctxq1tqvaCgkFb8cCA/edit?usp=sharing"",""ชัยภูมิ!J80"")"),1.0)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IFERROR(__xludf.DUMMYFUNCTION("IMPORTRANGE(""https://docs.google.com/spreadsheets/d/1XL5vhW3sbDhbH9Cz0tuDiY8C3ctxq1tqvaCgkFb8cCA/edit?usp=sharing"",""ชัยภูมิ!J81"")"),1.0)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IFERROR(__xludf.DUMMYFUNCTION("IMPORTRANGE(""https://docs.google.com/spreadsheets/d/1XL5vhW3sbDhbH9Cz0tuDiY8C3ctxq1tqvaCgkFb8cCA/edit?usp=sharing"",""ชัยภูมิ!J82"")"),1.0)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IFERROR(__xludf.DUMMYFUNCTION("IMPORTRANGE(""https://docs.google.com/spreadsheets/d/1XL5vhW3sbDhbH9Cz0tuDiY8C3ctxq1tqvaCgkFb8cCA/edit?usp=sharing"",""ชัยภูมิ!I83"")"),4.0)</f>
        <v>4</v>
      </c>
      <c r="J158" s="223">
        <f>IFERROR(__xludf.DUMMYFUNCTION("IMPORTRANGE(""https://docs.google.com/spreadsheets/d/1XL5vhW3sbDhbH9Cz0tuDiY8C3ctxq1tqvaCgkFb8cCA/edit?usp=sharing"",""ชัยภูมิ!J83"")"),1.0)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IFERROR(__xludf.DUMMYFUNCTION("IMPORTRANGE(""https://docs.google.com/spreadsheets/d/1XL5vhW3sbDhbH9Cz0tuDiY8C3ctxq1tqvaCgkFb8cCA/edit?usp=sharing"",""ชัยภูมิ!J84"")"),0.0)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IFERROR(__xludf.DUMMYFUNCTION("IMPORTRANGE(""https://docs.google.com/spreadsheets/d/1XL5vhW3sbDhbH9Cz0tuDiY8C3ctxq1tqvaCgkFb8cCA/edit?usp=sharing"",""ชัยภูมิ!J85"")"),0.0)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IFERROR(__xludf.DUMMYFUNCTION("IMPORTRANGE(""https://docs.google.com/spreadsheets/d/1XL5vhW3sbDhbH9Cz0tuDiY8C3ctxq1tqvaCgkFb8cCA/edit?usp=sharing"",""ชัยภูมิ!J86"")"),0.0)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IFERROR(__xludf.DUMMYFUNCTION("IMPORTRANGE(""https://docs.google.com/spreadsheets/d/1XL5vhW3sbDhbH9Cz0tuDiY8C3ctxq1tqvaCgkFb8cCA/edit?usp=sharing"",""ชัยภูมิ!J87"")"),0.0)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IFERROR(__xludf.DUMMYFUNCTION("IMPORTRANGE(""https://docs.google.com/spreadsheets/d/1XL5vhW3sbDhbH9Cz0tuDiY8C3ctxq1tqvaCgkFb8cCA/edit?usp=sharing"",""ชัยภูมิ!J88"")"),0.0)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IFERROR(__xludf.DUMMYFUNCTION("IMPORTRANGE(""https://docs.google.com/spreadsheets/d/1XL5vhW3sbDhbH9Cz0tuDiY8C3ctxq1tqvaCgkFb8cCA/edit?usp=sharing"",""ชัยภูมิ!I89"")"),4.0)</f>
        <v>4</v>
      </c>
      <c r="J164" s="317">
        <f>IFERROR(__xludf.DUMMYFUNCTION("IMPORTRANGE(""https://docs.google.com/spreadsheets/d/1XL5vhW3sbDhbH9Cz0tuDiY8C3ctxq1tqvaCgkFb8cCA/edit?usp=sharing"",""ชัยภูมิ!J89"")"),0.0)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IFERROR(__xludf.DUMMYFUNCTION("IMPORTRANGE(""https://docs.google.com/spreadsheets/d/1XL5vhW3sbDhbH9Cz0tuDiY8C3ctxq1tqvaCgkFb8cCA/edit?usp=sharing"",""ชัยภูมิ!J94"")"),0.0)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IFERROR(__xludf.DUMMYFUNCTION("IMPORTRANGE(""https://docs.google.com/spreadsheets/d/1XL5vhW3sbDhbH9Cz0tuDiY8C3ctxq1tqvaCgkFb8cCA/edit?usp=sharing"",""ชัยภูมิ!J95"")"),1.0)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IFERROR(__xludf.DUMMYFUNCTION("IMPORTRANGE(""https://docs.google.com/spreadsheets/d/1XL5vhW3sbDhbH9Cz0tuDiY8C3ctxq1tqvaCgkFb8cCA/edit?usp=sharing"",""ชัยภูมิ!J96"")"),1.0)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IFERROR(__xludf.DUMMYFUNCTION("IMPORTRANGE(""https://docs.google.com/spreadsheets/d/1XL5vhW3sbDhbH9Cz0tuDiY8C3ctxq1tqvaCgkFb8cCA/edit?usp=sharing"",""ชัยภูมิ!J97"")"),1.0)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IFERROR(__xludf.DUMMYFUNCTION("IMPORTRANGE(""https://docs.google.com/spreadsheets/d/1XL5vhW3sbDhbH9Cz0tuDiY8C3ctxq1tqvaCgkFb8cCA/edit?usp=sharing"",""ชัยภูมิ!I98"")"),4.0)</f>
        <v>4</v>
      </c>
      <c r="J173" s="223">
        <f>IFERROR(__xludf.DUMMYFUNCTION("IMPORTRANGE(""https://docs.google.com/spreadsheets/d/1XL5vhW3sbDhbH9Cz0tuDiY8C3ctxq1tqvaCgkFb8cCA/edit?usp=sharing"",""ชัยภูมิ!J98"")"),0.0)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IFERROR(__xludf.DUMMYFUNCTION("IMPORTRANGE(""https://docs.google.com/spreadsheets/d/1XL5vhW3sbDhbH9Cz0tuDiY8C3ctxq1tqvaCgkFb8cCA/edit?usp=sharing"",""ชัยภูมิ!J99"")"),0.0)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IFERROR(__xludf.DUMMYFUNCTION("IMPORTRANGE(""https://docs.google.com/spreadsheets/d/1XL5vhW3sbDhbH9Cz0tuDiY8C3ctxq1tqvaCgkFb8cCA/edit?usp=sharing"",""ชัยภูมิ!J100"")"),0.0)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IFERROR(__xludf.DUMMYFUNCTION("IMPORTRANGE(""https://docs.google.com/spreadsheets/d/1XL5vhW3sbDhbH9Cz0tuDiY8C3ctxq1tqvaCgkFb8cCA/edit?usp=sharing"",""ชัยภูมิ!I101"")"),0.0)</f>
        <v>0</v>
      </c>
      <c r="J176" s="317">
        <f>IFERROR(__xludf.DUMMYFUNCTION("IMPORTRANGE(""https://docs.google.com/spreadsheets/d/1XL5vhW3sbDhbH9Cz0tuDiY8C3ctxq1tqvaCgkFb8cCA/edit?usp=sharing"",""ชัยภูมิ!J101"")"),0.0)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IFERROR(__xludf.DUMMYFUNCTION("IMPORTRANGE(""https://docs.google.com/spreadsheets/d/1XL5vhW3sbDhbH9Cz0tuDiY8C3ctxq1tqvaCgkFb8cCA/edit?usp=sharing"",""ชัยภูมิ!J106"")"),0.0)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IFERROR(__xludf.DUMMYFUNCTION("IMPORTRANGE(""https://docs.google.com/spreadsheets/d/1XL5vhW3sbDhbH9Cz0tuDiY8C3ctxq1tqvaCgkFb8cCA/edit?usp=sharing"",""ชัยภูมิ!J107"")"),0.0)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IFERROR(__xludf.DUMMYFUNCTION("IMPORTRANGE(""https://docs.google.com/spreadsheets/d/1XL5vhW3sbDhbH9Cz0tuDiY8C3ctxq1tqvaCgkFb8cCA/edit?usp=sharing"",""ชัยภูมิ!J108"")"),0.0)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IFERROR(__xludf.DUMMYFUNCTION("IMPORTRANGE(""https://docs.google.com/spreadsheets/d/1XL5vhW3sbDhbH9Cz0tuDiY8C3ctxq1tqvaCgkFb8cCA/edit?usp=sharing"",""ชัยภูมิ!J109"")"),0.0)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IFERROR(__xludf.DUMMYFUNCTION("IMPORTRANGE(""https://docs.google.com/spreadsheets/d/1XL5vhW3sbDhbH9Cz0tuDiY8C3ctxq1tqvaCgkFb8cCA/edit?usp=sharing"",""ชัยภูมิ!I110"")"),0.0)</f>
        <v>0</v>
      </c>
      <c r="J185" s="238">
        <f>IFERROR(__xludf.DUMMYFUNCTION("IMPORTRANGE(""https://docs.google.com/spreadsheets/d/1XL5vhW3sbDhbH9Cz0tuDiY8C3ctxq1tqvaCgkFb8cCA/edit?usp=sharing"",""ชัยภูมิ!J110"")"),0.0)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IFERROR(__xludf.DUMMYFUNCTION("IMPORTRANGE(""https://docs.google.com/spreadsheets/d/1XL5vhW3sbDhbH9Cz0tuDiY8C3ctxq1tqvaCgkFb8cCA/edit?usp=sharing"",""ชัยภูมิ!I111"")"),0.0)</f>
        <v>0</v>
      </c>
      <c r="J186" s="238">
        <f>IFERROR(__xludf.DUMMYFUNCTION("IMPORTRANGE(""https://docs.google.com/spreadsheets/d/1XL5vhW3sbDhbH9Cz0tuDiY8C3ctxq1tqvaCgkFb8cCA/edit?usp=sharing"",""ชัยภูมิ!J111"")"),0.0)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IFERROR(__xludf.DUMMYFUNCTION("IMPORTRANGE(""https://docs.google.com/spreadsheets/d/1XL5vhW3sbDhbH9Cz0tuDiY8C3ctxq1tqvaCgkFb8cCA/edit?usp=sharing"",""ชัยภูมิ!J112"")"),0.0)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IFERROR(__xludf.DUMMYFUNCTION("IMPORTRANGE(""https://docs.google.com/spreadsheets/d/1XL5vhW3sbDhbH9Cz0tuDiY8C3ctxq1tqvaCgkFb8cCA/edit?usp=sharing"",""ชัยภูมิ!J113"")"),0.0)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IFERROR(__xludf.DUMMYFUNCTION("IMPORTRANGE(""https://docs.google.com/spreadsheets/d/1XL5vhW3sbDhbH9Cz0tuDiY8C3ctxq1tqvaCgkFb8cCA/edit?usp=sharing"",""ชัยภูมิ!I114"")"),50000.0)</f>
        <v>50000</v>
      </c>
      <c r="J189" s="317">
        <f>IFERROR(__xludf.DUMMYFUNCTION("IMPORTRANGE(""https://docs.google.com/spreadsheets/d/1XL5vhW3sbDhbH9Cz0tuDiY8C3ctxq1tqvaCgkFb8cCA/edit?usp=sharing"",""ชัยภูมิ!J114"")"),0.0)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IFERROR(__xludf.DUMMYFUNCTION("IMPORTRANGE(""https://docs.google.com/spreadsheets/d/1XL5vhW3sbDhbH9Cz0tuDiY8C3ctxq1tqvaCgkFb8cCA/edit?usp=sharing"",""ชัยภูมิ!J119"")"),0.0)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IFERROR(__xludf.DUMMYFUNCTION("IMPORTRANGE(""https://docs.google.com/spreadsheets/d/1XL5vhW3sbDhbH9Cz0tuDiY8C3ctxq1tqvaCgkFb8cCA/edit?usp=sharing"",""ชัยภูมิ!J120"")"),1.0)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IFERROR(__xludf.DUMMYFUNCTION("IMPORTRANGE(""https://docs.google.com/spreadsheets/d/1XL5vhW3sbDhbH9Cz0tuDiY8C3ctxq1tqvaCgkFb8cCA/edit?usp=sharing"",""ชัยภูมิ!J121"")"),1.0)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IFERROR(__xludf.DUMMYFUNCTION("IMPORTRANGE(""https://docs.google.com/spreadsheets/d/1XL5vhW3sbDhbH9Cz0tuDiY8C3ctxq1tqvaCgkFb8cCA/edit?usp=sharing"",""ชัยภูมิ!J122"")"),1.0)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IFERROR(__xludf.DUMMYFUNCTION("IMPORTRANGE(""https://docs.google.com/spreadsheets/d/1XL5vhW3sbDhbH9Cz0tuDiY8C3ctxq1tqvaCgkFb8cCA/edit?usp=sharing"",""ชัยภูมิ!I124"")"),50000.0)</f>
        <v>50000</v>
      </c>
      <c r="J199" s="223">
        <f>IFERROR(__xludf.DUMMYFUNCTION("IMPORTRANGE(""https://docs.google.com/spreadsheets/d/1XL5vhW3sbDhbH9Cz0tuDiY8C3ctxq1tqvaCgkFb8cCA/edit?usp=sharing"",""ชัยภูมิ!J124"")"),0.0)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IFERROR(__xludf.DUMMYFUNCTION("IMPORTRANGE(""https://docs.google.com/spreadsheets/d/1XL5vhW3sbDhbH9Cz0tuDiY8C3ctxq1tqvaCgkFb8cCA/edit?usp=sharing"",""ชัยภูมิ!I125"")"),50000.0)</f>
        <v>50000</v>
      </c>
      <c r="J200" s="223">
        <f>IFERROR(__xludf.DUMMYFUNCTION("IMPORTRANGE(""https://docs.google.com/spreadsheets/d/1XL5vhW3sbDhbH9Cz0tuDiY8C3ctxq1tqvaCgkFb8cCA/edit?usp=sharing"",""ชัยภูมิ!J125"")"),0.0)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IFERROR(__xludf.DUMMYFUNCTION("IMPORTRANGE(""https://docs.google.com/spreadsheets/d/1XL5vhW3sbDhbH9Cz0tuDiY8C3ctxq1tqvaCgkFb8cCA/edit?usp=sharing"",""ชัยภูมิ!I126"")"),0.0)</f>
        <v>0</v>
      </c>
      <c r="J201" s="223">
        <f>IFERROR(__xludf.DUMMYFUNCTION("IMPORTRANGE(""https://docs.google.com/spreadsheets/d/1XL5vhW3sbDhbH9Cz0tuDiY8C3ctxq1tqvaCgkFb8cCA/edit?usp=sharing"",""ชัยภูมิ!J126"")"),0.0)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IFERROR(__xludf.DUMMYFUNCTION("IMPORTRANGE(""https://docs.google.com/spreadsheets/d/1XL5vhW3sbDhbH9Cz0tuDiY8C3ctxq1tqvaCgkFb8cCA/edit?usp=sharing"",""ชัยภูมิ!J127"")"),0.0)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IFERROR(__xludf.DUMMYFUNCTION("IMPORTRANGE(""https://docs.google.com/spreadsheets/d/1XL5vhW3sbDhbH9Cz0tuDiY8C3ctxq1tqvaCgkFb8cCA/edit?usp=sharing"",""ชัยภูมิ!J128"")"),0.0)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IFERROR(__xludf.DUMMYFUNCTION("IMPORTRANGE(""https://docs.google.com/spreadsheets/d/1XL5vhW3sbDhbH9Cz0tuDiY8C3ctxq1tqvaCgkFb8cCA/edit?usp=sharing"",""ชัยภูมิ!I129"")"),0.0)</f>
        <v>0</v>
      </c>
      <c r="J204" s="317">
        <f>IFERROR(__xludf.DUMMYFUNCTION("IMPORTRANGE(""https://docs.google.com/spreadsheets/d/1XL5vhW3sbDhbH9Cz0tuDiY8C3ctxq1tqvaCgkFb8cCA/edit?usp=sharing"",""ชัยภูมิ!J129"")"),0.0)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IFERROR(__xludf.DUMMYFUNCTION("IMPORTRANGE(""https://docs.google.com/spreadsheets/d/1XL5vhW3sbDhbH9Cz0tuDiY8C3ctxq1tqvaCgkFb8cCA/edit?usp=sharing"",""ชัยภูมิ!J134"")"),0.0)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IFERROR(__xludf.DUMMYFUNCTION("IMPORTRANGE(""https://docs.google.com/spreadsheets/d/1XL5vhW3sbDhbH9Cz0tuDiY8C3ctxq1tqvaCgkFb8cCA/edit?usp=sharing"",""ชัยภูมิ!J135"")"),0.0)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IFERROR(__xludf.DUMMYFUNCTION("IMPORTRANGE(""https://docs.google.com/spreadsheets/d/1XL5vhW3sbDhbH9Cz0tuDiY8C3ctxq1tqvaCgkFb8cCA/edit?usp=sharing"",""ชัยภูมิ!J136"")"),0.0)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IFERROR(__xludf.DUMMYFUNCTION("IMPORTRANGE(""https://docs.google.com/spreadsheets/d/1XL5vhW3sbDhbH9Cz0tuDiY8C3ctxq1tqvaCgkFb8cCA/edit?usp=sharing"",""ชัยภูมิ!J137"")"),0.0)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IFERROR(__xludf.DUMMYFUNCTION("IMPORTRANGE(""https://docs.google.com/spreadsheets/d/1XL5vhW3sbDhbH9Cz0tuDiY8C3ctxq1tqvaCgkFb8cCA/edit?usp=sharing"",""ชัยภูมิ!I138"")"),0.0)</f>
        <v>0</v>
      </c>
      <c r="J213" s="238">
        <f>IFERROR(__xludf.DUMMYFUNCTION("IMPORTRANGE(""https://docs.google.com/spreadsheets/d/1XL5vhW3sbDhbH9Cz0tuDiY8C3ctxq1tqvaCgkFb8cCA/edit?usp=sharing"",""ชัยภูมิ!J138"")"),0.0)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IFERROR(__xludf.DUMMYFUNCTION("IMPORTRANGE(""https://docs.google.com/spreadsheets/d/1XL5vhW3sbDhbH9Cz0tuDiY8C3ctxq1tqvaCgkFb8cCA/edit?usp=sharing"",""ชัยภูมิ!I140"")"),0.0)</f>
        <v>0</v>
      </c>
      <c r="J215" s="238">
        <f>IFERROR(__xludf.DUMMYFUNCTION("IMPORTRANGE(""https://docs.google.com/spreadsheets/d/1XL5vhW3sbDhbH9Cz0tuDiY8C3ctxq1tqvaCgkFb8cCA/edit?usp=sharing"",""ชัยภูมิ!J140"")"),0.0)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IFERROR(__xludf.DUMMYFUNCTION("IMPORTRANGE(""https://docs.google.com/spreadsheets/d/1XL5vhW3sbDhbH9Cz0tuDiY8C3ctxq1tqvaCgkFb8cCA/edit?usp=sharing"",""ชัยภูมิ!I141"")"),0.0)</f>
        <v>0</v>
      </c>
      <c r="J216" s="238">
        <f>IFERROR(__xludf.DUMMYFUNCTION("IMPORTRANGE(""https://docs.google.com/spreadsheets/d/1XL5vhW3sbDhbH9Cz0tuDiY8C3ctxq1tqvaCgkFb8cCA/edit?usp=sharing"",""ชัยภูมิ!J141"")"),0.0)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IFERROR(__xludf.DUMMYFUNCTION("IMPORTRANGE(""https://docs.google.com/spreadsheets/d/1XL5vhW3sbDhbH9Cz0tuDiY8C3ctxq1tqvaCgkFb8cCA/edit?usp=sharing"",""ชัยภูมิ!J142"")"),0.0)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IFERROR(__xludf.DUMMYFUNCTION("IMPORTRANGE(""https://docs.google.com/spreadsheets/d/1XL5vhW3sbDhbH9Cz0tuDiY8C3ctxq1tqvaCgkFb8cCA/edit?usp=sharing"",""ชัยภูมิ!J143"")"),0.0)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IFERROR(__xludf.DUMMYFUNCTION("IMPORTRANGE(""https://docs.google.com/spreadsheets/d/1XL5vhW3sbDhbH9Cz0tuDiY8C3ctxq1tqvaCgkFb8cCA/edit?usp=sharing"",""ชัยภูมิ!I144"")"),12.0)</f>
        <v>12</v>
      </c>
      <c r="J219" s="301">
        <f>IFERROR(__xludf.DUMMYFUNCTION("IMPORTRANGE(""https://docs.google.com/spreadsheets/d/1XL5vhW3sbDhbH9Cz0tuDiY8C3ctxq1tqvaCgkFb8cCA/edit?usp=sharing"",""ชัยภูมิ!J144"")"),12.0)</f>
        <v>12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18380</v>
      </c>
      <c r="M220" s="183">
        <f t="shared" si="73"/>
        <v>18380</v>
      </c>
      <c r="N220" s="183">
        <f t="shared" si="73"/>
        <v>16130</v>
      </c>
      <c r="O220" s="182">
        <f t="shared" ref="O220:O222" si="75">IF(L220&gt;0,N220*100/L220,0)</f>
        <v>87.75843308</v>
      </c>
      <c r="P220" s="182">
        <f t="shared" ref="P220:P222" si="76">IF(M220&gt;0,N220*100/M220,0)</f>
        <v>87.75843308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18380</v>
      </c>
      <c r="M222" s="188">
        <f t="shared" si="77"/>
        <v>18380</v>
      </c>
      <c r="N222" s="188">
        <f t="shared" si="77"/>
        <v>16130</v>
      </c>
      <c r="O222" s="187">
        <f t="shared" si="75"/>
        <v>87.75843308</v>
      </c>
      <c r="P222" s="187">
        <f t="shared" si="76"/>
        <v>87.75843308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18380</v>
      </c>
      <c r="M224" s="201">
        <f>IFERROR(__xludf.DUMMYFUNCTION("IMPORTRANGE(""https://docs.google.com/spreadsheets/d/1Yj_ptqi66GCucihVvJfMjLAmec39IyEx_6qawtMGysU/edit?usp=sharing"",""สบก!BS40"")"),18380.0)</f>
        <v>18380</v>
      </c>
      <c r="N224" s="202">
        <f>IFERROR(__xludf.DUMMYFUNCTION("IMPORTRANGE(""https://docs.google.com/spreadsheets/d/1Yj_ptqi66GCucihVvJfMjLAmec39IyEx_6qawtMGysU/edit?usp=sharing"",""สบก!BT40"")"),16130.0)</f>
        <v>16130</v>
      </c>
      <c r="O224" s="203">
        <f>IF(L224&gt;0,N224*100/L224,0)</f>
        <v>87.75843308</v>
      </c>
      <c r="P224" s="203">
        <f>IF(M224&gt;0,N224*100/M224,0)</f>
        <v>87.75843308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IFERROR(__xludf.DUMMYFUNCTION("IMPORTRANGE(""https://docs.google.com/spreadsheets/d/1Yj_ptqi66GCucihVvJfMjLAmec39IyEx_6qawtMGysU/edit?usp=sharing"",""สบก!BO40"")"),0.0)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IFERROR(__xludf.DUMMYFUNCTION("IMPORTRANGE(""https://docs.google.com/spreadsheets/d/1Yj_ptqi66GCucihVvJfMjLAmec39IyEx_6qawtMGysU/edit?usp=sharing"",""สบก!BP40"")"),18380.0)</f>
        <v>18380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IFERROR(__xludf.DUMMYFUNCTION("IMPORTRANGE(""https://docs.google.com/spreadsheets/d/1Yj_ptqi66GCucihVvJfMjLAmec39IyEx_6qawtMGysU/edit?usp=sharing"",""สบก!BQ40"")"),0.0)</f>
        <v>0</v>
      </c>
      <c r="M228" s="125"/>
      <c r="N228" s="115">
        <f>IFERROR(__xludf.DUMMYFUNCTION("IMPORTRANGE(""https://docs.google.com/spreadsheets/d/1Yj_ptqi66GCucihVvJfMjLAmec39IyEx_6qawtMGysU/edit?usp=sharing"",""สบก!BU40"")"),0.0)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IFERROR(__xludf.DUMMYFUNCTION("IMPORTRANGE(""https://docs.google.com/spreadsheets/d/1XL5vhW3sbDhbH9Cz0tuDiY8C3ctxq1tqvaCgkFb8cCA/edit?usp=sharing"",""ชัยภูมิ!I149"")"),12.0)</f>
        <v>12</v>
      </c>
      <c r="J229" s="301">
        <f>IFERROR(__xludf.DUMMYFUNCTION("IMPORTRANGE(""https://docs.google.com/spreadsheets/d/1XL5vhW3sbDhbH9Cz0tuDiY8C3ctxq1tqvaCgkFb8cCA/edit?usp=sharing"",""ชัยภูมิ!J149"")"),12.0)</f>
        <v>12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IFERROR(__xludf.DUMMYFUNCTION("IMPORTRANGE(""https://docs.google.com/spreadsheets/d/1XL5vhW3sbDhbH9Cz0tuDiY8C3ctxq1tqvaCgkFb8cCA/edit?usp=sharing"",""ชัยภูมิ!J151"")"),0.0)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IFERROR(__xludf.DUMMYFUNCTION("IMPORTRANGE(""https://docs.google.com/spreadsheets/d/1XL5vhW3sbDhbH9Cz0tuDiY8C3ctxq1tqvaCgkFb8cCA/edit?usp=sharing"",""ชัยภูมิ!J152"")"),1.0)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IFERROR(__xludf.DUMMYFUNCTION("IMPORTRANGE(""https://docs.google.com/spreadsheets/d/1XL5vhW3sbDhbH9Cz0tuDiY8C3ctxq1tqvaCgkFb8cCA/edit?usp=sharing"",""ชัยภูมิ!J153"")"),1.0)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IFERROR(__xludf.DUMMYFUNCTION("IMPORTRANGE(""https://docs.google.com/spreadsheets/d/1XL5vhW3sbDhbH9Cz0tuDiY8C3ctxq1tqvaCgkFb8cCA/edit?usp=sharing"",""ชัยภูมิ!J154"")"),1.0)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IFERROR(__xludf.DUMMYFUNCTION("IMPORTRANGE(""https://docs.google.com/spreadsheets/d/1XL5vhW3sbDhbH9Cz0tuDiY8C3ctxq1tqvaCgkFb8cCA/edit?usp=sharing"",""ชัยภูมิ!I155"")"),12.0)</f>
        <v>12</v>
      </c>
      <c r="J235" s="223">
        <f>IFERROR(__xludf.DUMMYFUNCTION("IMPORTRANGE(""https://docs.google.com/spreadsheets/d/1XL5vhW3sbDhbH9Cz0tuDiY8C3ctxq1tqvaCgkFb8cCA/edit?usp=sharing"",""ชัยภูมิ!J155"")"),12.0)</f>
        <v>12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IFERROR(__xludf.DUMMYFUNCTION("IMPORTRANGE(""https://docs.google.com/spreadsheets/d/1XL5vhW3sbDhbH9Cz0tuDiY8C3ctxq1tqvaCgkFb8cCA/edit?usp=sharing"",""ชัยภูมิ!J156"")"),0.0)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IFERROR(__xludf.DUMMYFUNCTION("IMPORTRANGE(""https://docs.google.com/spreadsheets/d/1XL5vhW3sbDhbH9Cz0tuDiY8C3ctxq1tqvaCgkFb8cCA/edit?usp=sharing"",""ชัยภูมิ!J157"")"),0.0)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IFERROR(__xludf.DUMMYFUNCTION("IMPORTRANGE(""https://docs.google.com/spreadsheets/d/1XL5vhW3sbDhbH9Cz0tuDiY8C3ctxq1tqvaCgkFb8cCA/edit?usp=sharing"",""ชัยภูมิ!I158"")"),0.0)</f>
        <v>0</v>
      </c>
      <c r="J238" s="301">
        <f>IFERROR(__xludf.DUMMYFUNCTION("IMPORTRANGE(""https://docs.google.com/spreadsheets/d/1XL5vhW3sbDhbH9Cz0tuDiY8C3ctxq1tqvaCgkFb8cCA/edit?usp=sharing"",""ชัยภูมิ!J158"")"),0.0)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IFERROR(__xludf.DUMMYFUNCTION("IMPORTRANGE(""https://docs.google.com/spreadsheets/d/1XL5vhW3sbDhbH9Cz0tuDiY8C3ctxq1tqvaCgkFb8cCA/edit?usp=sharing"",""ชัยภูมิ!J159"")"),"")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IFERROR(__xludf.DUMMYFUNCTION("IMPORTRANGE(""https://docs.google.com/spreadsheets/d/1XL5vhW3sbDhbH9Cz0tuDiY8C3ctxq1tqvaCgkFb8cCA/edit?usp=sharing"",""ชัยภูมิ!J161"")"),0.0)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IFERROR(__xludf.DUMMYFUNCTION("IMPORTRANGE(""https://docs.google.com/spreadsheets/d/1XL5vhW3sbDhbH9Cz0tuDiY8C3ctxq1tqvaCgkFb8cCA/edit?usp=sharing"",""ชัยภูมิ!J162"")"),0.0)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IFERROR(__xludf.DUMMYFUNCTION("IMPORTRANGE(""https://docs.google.com/spreadsheets/d/1XL5vhW3sbDhbH9Cz0tuDiY8C3ctxq1tqvaCgkFb8cCA/edit?usp=sharing"",""ชัยภูมิ!J163"")"),0.0)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IFERROR(__xludf.DUMMYFUNCTION("IMPORTRANGE(""https://docs.google.com/spreadsheets/d/1XL5vhW3sbDhbH9Cz0tuDiY8C3ctxq1tqvaCgkFb8cCA/edit?usp=sharing"",""ชัยภูมิ!I164"")"),0.0)</f>
        <v>0</v>
      </c>
      <c r="J244" s="222">
        <f>IFERROR(__xludf.DUMMYFUNCTION("IMPORTRANGE(""https://docs.google.com/spreadsheets/d/1XL5vhW3sbDhbH9Cz0tuDiY8C3ctxq1tqvaCgkFb8cCA/edit?usp=sharing"",""ชัยภูมิ!J164"")"),0.0)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IFERROR(__xludf.DUMMYFUNCTION("IMPORTRANGE(""https://docs.google.com/spreadsheets/d/1XL5vhW3sbDhbH9Cz0tuDiY8C3ctxq1tqvaCgkFb8cCA/edit?usp=sharing"",""ชัยภูมิ!J165"")"),0.0)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IFERROR(__xludf.DUMMYFUNCTION("IMPORTRANGE(""https://docs.google.com/spreadsheets/d/1XL5vhW3sbDhbH9Cz0tuDiY8C3ctxq1tqvaCgkFb8cCA/edit?usp=sharing"",""ชัยภูมิ!J166"")"),0.0)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IFERROR(__xludf.DUMMYFUNCTION("IMPORTRANGE(""https://docs.google.com/spreadsheets/d/1XL5vhW3sbDhbH9Cz0tuDiY8C3ctxq1tqvaCgkFb8cCA/edit?usp=sharing"",""ชัยภูมิ!I169"")"),0.0)</f>
        <v>0</v>
      </c>
      <c r="J249" s="349">
        <f>IFERROR(__xludf.DUMMYFUNCTION("IMPORTRANGE(""https://docs.google.com/spreadsheets/d/1XL5vhW3sbDhbH9Cz0tuDiY8C3ctxq1tqvaCgkFb8cCA/edit?usp=sharing"",""ชัยภูมิ!J169"")"),0.0)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IFERROR(__xludf.DUMMYFUNCTION("IMPORTRANGE(""https://docs.google.com/spreadsheets/d/1Yj_ptqi66GCucihVvJfMjLAmec39IyEx_6qawtMGysU/edit?usp=sharing"",""สบก!CB40"")"),0.0)</f>
        <v>0</v>
      </c>
      <c r="N254" s="202">
        <f>IFERROR(__xludf.DUMMYFUNCTION("IMPORTRANGE(""https://docs.google.com/spreadsheets/d/1Yj_ptqi66GCucihVvJfMjLAmec39IyEx_6qawtMGysU/edit?usp=sharing"",""สบก!CC40"")"),0.0)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IFERROR(__xludf.DUMMYFUNCTION("IMPORTRANGE(""https://docs.google.com/spreadsheets/d/1Yj_ptqi66GCucihVvJfMjLAmec39IyEx_6qawtMGysU/edit?usp=sharing"",""สบก!BX40"")"),0.0)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IFERROR(__xludf.DUMMYFUNCTION("IMPORTRANGE(""https://docs.google.com/spreadsheets/d/1Yj_ptqi66GCucihVvJfMjLAmec39IyEx_6qawtMGysU/edit?usp=sharing"",""สบก!BY40"")"),0.0)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IFERROR(__xludf.DUMMYFUNCTION("IMPORTRANGE(""https://docs.google.com/spreadsheets/d/1Yj_ptqi66GCucihVvJfMjLAmec39IyEx_6qawtMGysU/edit?usp=sharing"",""สบก!BZ40"")"),0.0)</f>
        <v>0</v>
      </c>
      <c r="M258" s="125"/>
      <c r="N258" s="115">
        <f>IFERROR(__xludf.DUMMYFUNCTION("IMPORTRANGE(""https://docs.google.com/spreadsheets/d/1Yj_ptqi66GCucihVvJfMjLAmec39IyEx_6qawtMGysU/edit?usp=sharing"",""สบก!CD40"")"),0.0)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IFERROR(__xludf.DUMMYFUNCTION("IMPORTRANGE(""https://docs.google.com/spreadsheets/d/1XL5vhW3sbDhbH9Cz0tuDiY8C3ctxq1tqvaCgkFb8cCA/edit?usp=sharing"",""ชัยภูมิ!J175"")"),0.0)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IFERROR(__xludf.DUMMYFUNCTION("IMPORTRANGE(""https://docs.google.com/spreadsheets/d/1XL5vhW3sbDhbH9Cz0tuDiY8C3ctxq1tqvaCgkFb8cCA/edit?usp=sharing"",""ชัยภูมิ!J176"")"),0.0)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IFERROR(__xludf.DUMMYFUNCTION("IMPORTRANGE(""https://docs.google.com/spreadsheets/d/1XL5vhW3sbDhbH9Cz0tuDiY8C3ctxq1tqvaCgkFb8cCA/edit?usp=sharing"",""ชัยภูมิ!J177"")"),0.0)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IFERROR(__xludf.DUMMYFUNCTION("IMPORTRANGE(""https://docs.google.com/spreadsheets/d/1XL5vhW3sbDhbH9Cz0tuDiY8C3ctxq1tqvaCgkFb8cCA/edit?usp=sharing"",""ชัยภูมิ!J178"")"),0.0)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IFERROR(__xludf.DUMMYFUNCTION("IMPORTRANGE(""https://docs.google.com/spreadsheets/d/1XL5vhW3sbDhbH9Cz0tuDiY8C3ctxq1tqvaCgkFb8cCA/edit?usp=sharing"",""ชัยภูมิ!I179"")"),0.0)</f>
        <v>0</v>
      </c>
      <c r="J264" s="223">
        <f>IFERROR(__xludf.DUMMYFUNCTION("IMPORTRANGE(""https://docs.google.com/spreadsheets/d/1XL5vhW3sbDhbH9Cz0tuDiY8C3ctxq1tqvaCgkFb8cCA/edit?usp=sharing"",""ชัยภูมิ!J179"")"),0.0)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IFERROR(__xludf.DUMMYFUNCTION("IMPORTRANGE(""https://docs.google.com/spreadsheets/d/1XL5vhW3sbDhbH9Cz0tuDiY8C3ctxq1tqvaCgkFb8cCA/edit?usp=sharing"",""ชัยภูมิ!I180"")"),0.0)</f>
        <v>0</v>
      </c>
      <c r="J265" s="223">
        <f>IFERROR(__xludf.DUMMYFUNCTION("IMPORTRANGE(""https://docs.google.com/spreadsheets/d/1XL5vhW3sbDhbH9Cz0tuDiY8C3ctxq1tqvaCgkFb8cCA/edit?usp=sharing"",""ชัยภูมิ!J180"")"),0.0)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IFERROR(__xludf.DUMMYFUNCTION("IMPORTRANGE(""https://docs.google.com/spreadsheets/d/1XL5vhW3sbDhbH9Cz0tuDiY8C3ctxq1tqvaCgkFb8cCA/edit?usp=sharing"",""ชัยภูมิ!I181"")"),0.0)</f>
        <v>0</v>
      </c>
      <c r="J266" s="223">
        <f>IFERROR(__xludf.DUMMYFUNCTION("IMPORTRANGE(""https://docs.google.com/spreadsheets/d/1XL5vhW3sbDhbH9Cz0tuDiY8C3ctxq1tqvaCgkFb8cCA/edit?usp=sharing"",""ชัยภูมิ!J181"")"),0.0)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IFERROR(__xludf.DUMMYFUNCTION("IMPORTRANGE(""https://docs.google.com/spreadsheets/d/1XL5vhW3sbDhbH9Cz0tuDiY8C3ctxq1tqvaCgkFb8cCA/edit?usp=sharing"",""ชัยภูมิ!I182"")"),0.0)</f>
        <v>0</v>
      </c>
      <c r="J267" s="223">
        <f>IFERROR(__xludf.DUMMYFUNCTION("IMPORTRANGE(""https://docs.google.com/spreadsheets/d/1XL5vhW3sbDhbH9Cz0tuDiY8C3ctxq1tqvaCgkFb8cCA/edit?usp=sharing"",""ชัยภูมิ!J182"")"),0.0)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IFERROR(__xludf.DUMMYFUNCTION("IMPORTRANGE(""https://docs.google.com/spreadsheets/d/1XL5vhW3sbDhbH9Cz0tuDiY8C3ctxq1tqvaCgkFb8cCA/edit?usp=sharing"",""ชัยภูมิ!J183"")"),0.0)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IFERROR(__xludf.DUMMYFUNCTION("IMPORTRANGE(""https://docs.google.com/spreadsheets/d/1XL5vhW3sbDhbH9Cz0tuDiY8C3ctxq1tqvaCgkFb8cCA/edit?usp=sharing"",""ชัยภูมิ!J184"")"),0.0)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IFERROR(__xludf.DUMMYFUNCTION("IMPORTRANGE(""https://docs.google.com/spreadsheets/d/1XL5vhW3sbDhbH9Cz0tuDiY8C3ctxq1tqvaCgkFb8cCA/edit?usp=sharing"",""ชัยภูมิ!I185"")"),15.0)</f>
        <v>15</v>
      </c>
      <c r="J270" s="349">
        <f>IFERROR(__xludf.DUMMYFUNCTION("IMPORTRANGE(""https://docs.google.com/spreadsheets/d/1XL5vhW3sbDhbH9Cz0tuDiY8C3ctxq1tqvaCgkFb8cCA/edit?usp=sharing"",""ชัยภูมิ!J185"")"),15.0)</f>
        <v>15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319200</v>
      </c>
      <c r="M271" s="183">
        <f t="shared" si="84"/>
        <v>164250</v>
      </c>
      <c r="N271" s="183">
        <f t="shared" si="84"/>
        <v>72539</v>
      </c>
      <c r="O271" s="182">
        <f t="shared" ref="O271:O273" si="86">IF(L271&gt;0,N271*100/L271,0)</f>
        <v>22.72525063</v>
      </c>
      <c r="P271" s="182">
        <f t="shared" ref="P271:P273" si="87">IF(M271&gt;0,N271*100/M271,0)</f>
        <v>44.16377473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319200</v>
      </c>
      <c r="M273" s="188">
        <f t="shared" si="88"/>
        <v>164250</v>
      </c>
      <c r="N273" s="188">
        <f t="shared" si="88"/>
        <v>72539</v>
      </c>
      <c r="O273" s="187">
        <f t="shared" si="86"/>
        <v>22.72525063</v>
      </c>
      <c r="P273" s="187">
        <f t="shared" si="87"/>
        <v>44.16377473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319200</v>
      </c>
      <c r="M275" s="201">
        <f>IFERROR(__xludf.DUMMYFUNCTION("IMPORTRANGE(""https://docs.google.com/spreadsheets/d/1Yj_ptqi66GCucihVvJfMjLAmec39IyEx_6qawtMGysU/edit?usp=sharing"",""สบก!CK40"")"),164250.0)</f>
        <v>164250</v>
      </c>
      <c r="N275" s="202">
        <f>IFERROR(__xludf.DUMMYFUNCTION("IMPORTRANGE(""https://docs.google.com/spreadsheets/d/1Yj_ptqi66GCucihVvJfMjLAmec39IyEx_6qawtMGysU/edit?usp=sharing"",""สบก!CL40"")"),72539.0)</f>
        <v>72539</v>
      </c>
      <c r="O275" s="203">
        <f>IF(L275&gt;0,N275*100/L275,0)</f>
        <v>22.72525063</v>
      </c>
      <c r="P275" s="203">
        <f>IF(M275&gt;0,N275*100/M275,0)</f>
        <v>44.16377473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IFERROR(__xludf.DUMMYFUNCTION("IMPORTRANGE(""https://docs.google.com/spreadsheets/d/1Yj_ptqi66GCucihVvJfMjLAmec39IyEx_6qawtMGysU/edit?usp=sharing"",""สบก!CG40"")"),264000.0)</f>
        <v>264000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IFERROR(__xludf.DUMMYFUNCTION("IMPORTRANGE(""https://docs.google.com/spreadsheets/d/1Yj_ptqi66GCucihVvJfMjLAmec39IyEx_6qawtMGysU/edit?usp=sharing"",""สบก!CH40"")"),55200.0)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IFERROR(__xludf.DUMMYFUNCTION("IMPORTRANGE(""https://docs.google.com/spreadsheets/d/1Yj_ptqi66GCucihVvJfMjLAmec39IyEx_6qawtMGysU/edit?usp=sharing"",""สบก!CI40"")"),0.0)</f>
        <v>0</v>
      </c>
      <c r="M279" s="125"/>
      <c r="N279" s="115">
        <f>IFERROR(__xludf.DUMMYFUNCTION("IMPORTRANGE(""https://docs.google.com/spreadsheets/d/1Yj_ptqi66GCucihVvJfMjLAmec39IyEx_6qawtMGysU/edit?usp=sharing"",""สบก!CM40"")"),0.0)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IFERROR(__xludf.DUMMYFUNCTION("IMPORTRANGE(""https://docs.google.com/spreadsheets/d/1XL5vhW3sbDhbH9Cz0tuDiY8C3ctxq1tqvaCgkFb8cCA/edit?usp=sharing"",""ชัยภูมิ!J191"")"),0.0)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IFERROR(__xludf.DUMMYFUNCTION("IMPORTRANGE(""https://docs.google.com/spreadsheets/d/1XL5vhW3sbDhbH9Cz0tuDiY8C3ctxq1tqvaCgkFb8cCA/edit?usp=sharing"",""ชัยภูมิ!J192"")"),1.0)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IFERROR(__xludf.DUMMYFUNCTION("IMPORTRANGE(""https://docs.google.com/spreadsheets/d/1XL5vhW3sbDhbH9Cz0tuDiY8C3ctxq1tqvaCgkFb8cCA/edit?usp=sharing"",""ชัยภูมิ!J193"")"),1.0)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IFERROR(__xludf.DUMMYFUNCTION("IMPORTRANGE(""https://docs.google.com/spreadsheets/d/1XL5vhW3sbDhbH9Cz0tuDiY8C3ctxq1tqvaCgkFb8cCA/edit?usp=sharing"",""ชัยภูมิ!J194"")"),1.0)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IFERROR(__xludf.DUMMYFUNCTION("IMPORTRANGE(""https://docs.google.com/spreadsheets/d/1XL5vhW3sbDhbH9Cz0tuDiY8C3ctxq1tqvaCgkFb8cCA/edit?usp=sharing"",""ชัยภูมิ!I195"")"),15.0)</f>
        <v>15</v>
      </c>
      <c r="J285" s="223">
        <f>IFERROR(__xludf.DUMMYFUNCTION("IMPORTRANGE(""https://docs.google.com/spreadsheets/d/1XL5vhW3sbDhbH9Cz0tuDiY8C3ctxq1tqvaCgkFb8cCA/edit?usp=sharing"",""ชัยภูมิ!J195"")"),15.0)</f>
        <v>15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IFERROR(__xludf.DUMMYFUNCTION("IMPORTRANGE(""https://docs.google.com/spreadsheets/d/1XL5vhW3sbDhbH9Cz0tuDiY8C3ctxq1tqvaCgkFb8cCA/edit?usp=sharing"",""ชัยภูมิ!J196"")"),0.0)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IFERROR(__xludf.DUMMYFUNCTION("IMPORTRANGE(""https://docs.google.com/spreadsheets/d/1XL5vhW3sbDhbH9Cz0tuDiY8C3ctxq1tqvaCgkFb8cCA/edit?usp=sharing"",""ชัยภูมิ!J197"")"),0.0)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IFERROR(__xludf.DUMMYFUNCTION("IMPORTRANGE(""https://docs.google.com/spreadsheets/d/1XL5vhW3sbDhbH9Cz0tuDiY8C3ctxq1tqvaCgkFb8cCA/edit?usp=sharing"",""ชัยภูมิ!I199"")"),0.0)</f>
        <v>0</v>
      </c>
      <c r="J289" s="349">
        <f>IFERROR(__xludf.DUMMYFUNCTION("IMPORTRANGE(""https://docs.google.com/spreadsheets/d/1XL5vhW3sbDhbH9Cz0tuDiY8C3ctxq1tqvaCgkFb8cCA/edit?usp=sharing"",""ชัยภูมิ!J199"")"),0.0)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IFERROR(__xludf.DUMMYFUNCTION("IMPORTRANGE(""https://docs.google.com/spreadsheets/d/1Yj_ptqi66GCucihVvJfMjLAmec39IyEx_6qawtMGysU/edit?usp=sharing"",""สบก!CT40"")"),0.0)</f>
        <v>0</v>
      </c>
      <c r="N294" s="202">
        <f>IFERROR(__xludf.DUMMYFUNCTION("IMPORTRANGE(""https://docs.google.com/spreadsheets/d/1Yj_ptqi66GCucihVvJfMjLAmec39IyEx_6qawtMGysU/edit?usp=sharing"",""สบก!CU40"")"),0.0)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IFERROR(__xludf.DUMMYFUNCTION("IMPORTRANGE(""https://docs.google.com/spreadsheets/d/1Yj_ptqi66GCucihVvJfMjLAmec39IyEx_6qawtMGysU/edit?usp=sharing"",""สบก!CP40"")"),0.0)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IFERROR(__xludf.DUMMYFUNCTION("IMPORTRANGE(""https://docs.google.com/spreadsheets/d/1Yj_ptqi66GCucihVvJfMjLAmec39IyEx_6qawtMGysU/edit?usp=sharing"",""สบก!CQ40"")"),0.0)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IFERROR(__xludf.DUMMYFUNCTION("IMPORTRANGE(""https://docs.google.com/spreadsheets/d/1Yj_ptqi66GCucihVvJfMjLAmec39IyEx_6qawtMGysU/edit?usp=sharing"",""สบก!CR40"")"),0.0)</f>
        <v>0</v>
      </c>
      <c r="M298" s="125"/>
      <c r="N298" s="115">
        <f>IFERROR(__xludf.DUMMYFUNCTION("IMPORTRANGE(""https://docs.google.com/spreadsheets/d/1Yj_ptqi66GCucihVvJfMjLAmec39IyEx_6qawtMGysU/edit?usp=sharing"",""สบก!CV40"")"),0.0)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IFERROR(__xludf.DUMMYFUNCTION("IMPORTRANGE(""https://docs.google.com/spreadsheets/d/1XL5vhW3sbDhbH9Cz0tuDiY8C3ctxq1tqvaCgkFb8cCA/edit?usp=sharing"",""ชัยภูมิ!J205"")"),0.0)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IFERROR(__xludf.DUMMYFUNCTION("IMPORTRANGE(""https://docs.google.com/spreadsheets/d/1XL5vhW3sbDhbH9Cz0tuDiY8C3ctxq1tqvaCgkFb8cCA/edit?usp=sharing"",""ชัยภูมิ!J206"")"),0.0)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IFERROR(__xludf.DUMMYFUNCTION("IMPORTRANGE(""https://docs.google.com/spreadsheets/d/1XL5vhW3sbDhbH9Cz0tuDiY8C3ctxq1tqvaCgkFb8cCA/edit?usp=sharing"",""ชัยภูมิ!J207"")"),0.0)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IFERROR(__xludf.DUMMYFUNCTION("IMPORTRANGE(""https://docs.google.com/spreadsheets/d/1XL5vhW3sbDhbH9Cz0tuDiY8C3ctxq1tqvaCgkFb8cCA/edit?usp=sharing"",""ชัยภูมิ!J208"")"),0.0)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IFERROR(__xludf.DUMMYFUNCTION("IMPORTRANGE(""https://docs.google.com/spreadsheets/d/1XL5vhW3sbDhbH9Cz0tuDiY8C3ctxq1tqvaCgkFb8cCA/edit?usp=sharing"",""ชัยภูมิ!I209"")"),0.0)</f>
        <v>0</v>
      </c>
      <c r="J304" s="238">
        <f>IFERROR(__xludf.DUMMYFUNCTION("IMPORTRANGE(""https://docs.google.com/spreadsheets/d/1XL5vhW3sbDhbH9Cz0tuDiY8C3ctxq1tqvaCgkFb8cCA/edit?usp=sharing"",""ชัยภูมิ!J209"")"),0.0)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IFERROR(__xludf.DUMMYFUNCTION("IMPORTRANGE(""https://docs.google.com/spreadsheets/d/1XL5vhW3sbDhbH9Cz0tuDiY8C3ctxq1tqvaCgkFb8cCA/edit?usp=sharing"",""ชัยภูมิ!I211"")"),0.0)</f>
        <v>0</v>
      </c>
      <c r="J306" s="238">
        <f>IFERROR(__xludf.DUMMYFUNCTION("IMPORTRANGE(""https://docs.google.com/spreadsheets/d/1XL5vhW3sbDhbH9Cz0tuDiY8C3ctxq1tqvaCgkFb8cCA/edit?usp=sharing"",""ชัยภูมิ!J211"")"),0.0)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IFERROR(__xludf.DUMMYFUNCTION("IMPORTRANGE(""https://docs.google.com/spreadsheets/d/1XL5vhW3sbDhbH9Cz0tuDiY8C3ctxq1tqvaCgkFb8cCA/edit?usp=sharing"",""ชัยภูมิ!J212"")"),0.0)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IFERROR(__xludf.DUMMYFUNCTION("IMPORTRANGE(""https://docs.google.com/spreadsheets/d/1XL5vhW3sbDhbH9Cz0tuDiY8C3ctxq1tqvaCgkFb8cCA/edit?usp=sharing"",""ชัยภูมิ!J213"")"),0.0)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IFERROR(__xludf.DUMMYFUNCTION("IMPORTRANGE(""https://docs.google.com/spreadsheets/d/1XL5vhW3sbDhbH9Cz0tuDiY8C3ctxq1tqvaCgkFb8cCA/edit?usp=sharing"",""ชัยภูมิ!I214"")"),0.0)</f>
        <v>0</v>
      </c>
      <c r="J309" s="366">
        <f>IFERROR(__xludf.DUMMYFUNCTION("IMPORTRANGE(""https://docs.google.com/spreadsheets/d/1XL5vhW3sbDhbH9Cz0tuDiY8C3ctxq1tqvaCgkFb8cCA/edit?usp=sharing"",""ชัยภูมิ!J214"")"),0.0)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IFERROR(__xludf.DUMMYFUNCTION("IMPORTRANGE(""https://docs.google.com/spreadsheets/d/1Yj_ptqi66GCucihVvJfMjLAmec39IyEx_6qawtMGysU/edit?usp=sharing"",""สบก!DC40"")"),0.0)</f>
        <v>0</v>
      </c>
      <c r="N314" s="202">
        <f>IFERROR(__xludf.DUMMYFUNCTION("IMPORTRANGE(""https://docs.google.com/spreadsheets/d/1Yj_ptqi66GCucihVvJfMjLAmec39IyEx_6qawtMGysU/edit?usp=sharing"",""สบก!DD40"")"),0.0)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IFERROR(__xludf.DUMMYFUNCTION("IMPORTRANGE(""https://docs.google.com/spreadsheets/d/1Yj_ptqi66GCucihVvJfMjLAmec39IyEx_6qawtMGysU/edit?usp=sharing"",""สบก!CY40"")"),0.0)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IFERROR(__xludf.DUMMYFUNCTION("IMPORTRANGE(""https://docs.google.com/spreadsheets/d/1Yj_ptqi66GCucihVvJfMjLAmec39IyEx_6qawtMGysU/edit?usp=sharing"",""สบก!CZ40"")"),0.0)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IFERROR(__xludf.DUMMYFUNCTION("IMPORTRANGE(""https://docs.google.com/spreadsheets/d/1Yj_ptqi66GCucihVvJfMjLAmec39IyEx_6qawtMGysU/edit?usp=sharing"",""สบก!DA40"")"),0.0)</f>
        <v>0</v>
      </c>
      <c r="M318" s="125"/>
      <c r="N318" s="115">
        <f>IFERROR(__xludf.DUMMYFUNCTION("IMPORTRANGE(""https://docs.google.com/spreadsheets/d/1Yj_ptqi66GCucihVvJfMjLAmec39IyEx_6qawtMGysU/edit?usp=sharing"",""สบก!DE40"")"),0.0)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IFERROR(__xludf.DUMMYFUNCTION("IMPORTRANGE(""https://docs.google.com/spreadsheets/d/1XL5vhW3sbDhbH9Cz0tuDiY8C3ctxq1tqvaCgkFb8cCA/edit?usp=sharing"",""ชัยภูมิ!J220"")"),0.0)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IFERROR(__xludf.DUMMYFUNCTION("IMPORTRANGE(""https://docs.google.com/spreadsheets/d/1XL5vhW3sbDhbH9Cz0tuDiY8C3ctxq1tqvaCgkFb8cCA/edit?usp=sharing"",""ชัยภูมิ!J221"")"),0.0)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IFERROR(__xludf.DUMMYFUNCTION("IMPORTRANGE(""https://docs.google.com/spreadsheets/d/1XL5vhW3sbDhbH9Cz0tuDiY8C3ctxq1tqvaCgkFb8cCA/edit?usp=sharing"",""ชัยภูมิ!J222"")"),0.0)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IFERROR(__xludf.DUMMYFUNCTION("IMPORTRANGE(""https://docs.google.com/spreadsheets/d/1XL5vhW3sbDhbH9Cz0tuDiY8C3ctxq1tqvaCgkFb8cCA/edit?usp=sharing"",""ชัยภูมิ!J223"")"),0.0)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IFERROR(__xludf.DUMMYFUNCTION("IMPORTRANGE(""https://docs.google.com/spreadsheets/d/1XL5vhW3sbDhbH9Cz0tuDiY8C3ctxq1tqvaCgkFb8cCA/edit?usp=sharing"",""ชัยภูมิ!I224"")"),0.0)</f>
        <v>0</v>
      </c>
      <c r="J324" s="238">
        <f>IFERROR(__xludf.DUMMYFUNCTION("IMPORTRANGE(""https://docs.google.com/spreadsheets/d/1XL5vhW3sbDhbH9Cz0tuDiY8C3ctxq1tqvaCgkFb8cCA/edit?usp=sharing"",""ชัยภูมิ!J224"")"),0.0)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IFERROR(__xludf.DUMMYFUNCTION("IMPORTRANGE(""https://docs.google.com/spreadsheets/d/1XL5vhW3sbDhbH9Cz0tuDiY8C3ctxq1tqvaCgkFb8cCA/edit?usp=sharing"",""ชัยภูมิ!J225"")"),0.0)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IFERROR(__xludf.DUMMYFUNCTION("IMPORTRANGE(""https://docs.google.com/spreadsheets/d/1XL5vhW3sbDhbH9Cz0tuDiY8C3ctxq1tqvaCgkFb8cCA/edit?usp=sharing"",""ชัยภูมิ!J226"")"),0.0)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IFERROR(__xludf.DUMMYFUNCTION("IMPORTRANGE(""https://docs.google.com/spreadsheets/d/1XL5vhW3sbDhbH9Cz0tuDiY8C3ctxq1tqvaCgkFb8cCA/edit?usp=sharing"",""ชัยภูมิ!I228"")"),920.0)</f>
        <v>920</v>
      </c>
      <c r="J328" s="372">
        <f>IFERROR(__xludf.DUMMYFUNCTION("IMPORTRANGE(""https://docs.google.com/spreadsheets/d/1XL5vhW3sbDhbH9Cz0tuDiY8C3ctxq1tqvaCgkFb8cCA/edit?usp=sharing"",""ชัยภูมิ!J228"")"),44.0)</f>
        <v>44</v>
      </c>
      <c r="K328" s="350">
        <f>IF(I328&gt;0,J328*100/I328,0)</f>
        <v>4.782608696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2187270</v>
      </c>
      <c r="M329" s="183">
        <f t="shared" si="99"/>
        <v>1266090</v>
      </c>
      <c r="N329" s="183">
        <f t="shared" si="99"/>
        <v>603677</v>
      </c>
      <c r="O329" s="182">
        <f t="shared" ref="O329:O331" si="101">IF(L329&gt;0,N329*100/L329,0)</f>
        <v>27.59956475</v>
      </c>
      <c r="P329" s="182">
        <f t="shared" ref="P329:P331" si="102">IF(M329&gt;0,N329*100/M329,0)</f>
        <v>47.68041766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2187270</v>
      </c>
      <c r="M331" s="188">
        <f t="shared" si="103"/>
        <v>1266090</v>
      </c>
      <c r="N331" s="188">
        <f t="shared" si="103"/>
        <v>603677</v>
      </c>
      <c r="O331" s="187">
        <f t="shared" si="101"/>
        <v>27.59956475</v>
      </c>
      <c r="P331" s="187">
        <f t="shared" si="102"/>
        <v>47.68041766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2187270</v>
      </c>
      <c r="M333" s="201">
        <f>IFERROR(__xludf.DUMMYFUNCTION("IMPORTRANGE(""https://docs.google.com/spreadsheets/d/1Yj_ptqi66GCucihVvJfMjLAmec39IyEx_6qawtMGysU/edit?usp=sharing"",""สบก!DL40"")"),1266090.0)</f>
        <v>1266090</v>
      </c>
      <c r="N333" s="202">
        <f>IFERROR(__xludf.DUMMYFUNCTION("IMPORTRANGE(""https://docs.google.com/spreadsheets/d/1Yj_ptqi66GCucihVvJfMjLAmec39IyEx_6qawtMGysU/edit?usp=sharing"",""สบก!DM40"")"),603677.0)</f>
        <v>603677</v>
      </c>
      <c r="O333" s="203">
        <f>IF(L333&gt;0,N333*100/L333,0)</f>
        <v>27.59956475</v>
      </c>
      <c r="P333" s="203">
        <f>IF(M333&gt;0,N333*100/M333,0)</f>
        <v>47.68041766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IFERROR(__xludf.DUMMYFUNCTION("IMPORTRANGE(""https://docs.google.com/spreadsheets/d/1Yj_ptqi66GCucihVvJfMjLAmec39IyEx_6qawtMGysU/edit?usp=sharing"",""สบก!DH40"")"),830300.0)</f>
        <v>830300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IFERROR(__xludf.DUMMYFUNCTION("IMPORTRANGE(""https://docs.google.com/spreadsheets/d/1Yj_ptqi66GCucihVvJfMjLAmec39IyEx_6qawtMGysU/edit?usp=sharing"",""สบก!DI40"")"),1356970.0)</f>
        <v>1356970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IFERROR(__xludf.DUMMYFUNCTION("IMPORTRANGE(""https://docs.google.com/spreadsheets/d/1Yj_ptqi66GCucihVvJfMjLAmec39IyEx_6qawtMGysU/edit?usp=sharing"",""สบก!DJ40"")"),0.0)</f>
        <v>0</v>
      </c>
      <c r="M337" s="125"/>
      <c r="N337" s="115">
        <f>IFERROR(__xludf.DUMMYFUNCTION("IMPORTRANGE(""https://docs.google.com/spreadsheets/d/1Yj_ptqi66GCucihVvJfMjLAmec39IyEx_6qawtMGysU/edit?usp=sharing"",""สบก!DN40"")"),0.0)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IFERROR(__xludf.DUMMYFUNCTION("IMPORTRANGE(""https://docs.google.com/spreadsheets/d/1XL5vhW3sbDhbH9Cz0tuDiY8C3ctxq1tqvaCgkFb8cCA/edit?usp=sharing"",""ชัยภูมิ!I234"")"),0.0)</f>
        <v>0</v>
      </c>
      <c r="J339" s="222">
        <f>IFERROR(__xludf.DUMMYFUNCTION("IMPORTRANGE(""https://docs.google.com/spreadsheets/d/1XL5vhW3sbDhbH9Cz0tuDiY8C3ctxq1tqvaCgkFb8cCA/edit?usp=sharing"",""ชัยภูมิ!J234"")"),74.0)</f>
        <v>74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IFERROR(__xludf.DUMMYFUNCTION("IMPORTRANGE(""https://docs.google.com/spreadsheets/d/1XL5vhW3sbDhbH9Cz0tuDiY8C3ctxq1tqvaCgkFb8cCA/edit?usp=sharing"",""ชัยภูมิ!I235"")"),11000.0)</f>
        <v>11000</v>
      </c>
      <c r="J340" s="222">
        <f>IFERROR(__xludf.DUMMYFUNCTION("IMPORTRANGE(""https://docs.google.com/spreadsheets/d/1XL5vhW3sbDhbH9Cz0tuDiY8C3ctxq1tqvaCgkFb8cCA/edit?usp=sharing"",""ชัยภูมิ!J235"")"),817.4)</f>
        <v>817.4</v>
      </c>
      <c r="K340" s="375">
        <f t="shared" si="104"/>
        <v>7.430909091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IFERROR(__xludf.DUMMYFUNCTION("IMPORTRANGE(""https://docs.google.com/spreadsheets/d/1XL5vhW3sbDhbH9Cz0tuDiY8C3ctxq1tqvaCgkFb8cCA/edit?usp=sharing"",""ชัยภูมิ!I236"")"),920.0)</f>
        <v>920</v>
      </c>
      <c r="J341" s="222">
        <f>IFERROR(__xludf.DUMMYFUNCTION("IMPORTRANGE(""https://docs.google.com/spreadsheets/d/1XL5vhW3sbDhbH9Cz0tuDiY8C3ctxq1tqvaCgkFb8cCA/edit?usp=sharing"",""ชัยภูมิ!J236"")"),94.0)</f>
        <v>94</v>
      </c>
      <c r="K341" s="375">
        <f t="shared" si="104"/>
        <v>10.2173913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IFERROR(__xludf.DUMMYFUNCTION("IMPORTRANGE(""https://docs.google.com/spreadsheets/d/1XL5vhW3sbDhbH9Cz0tuDiY8C3ctxq1tqvaCgkFb8cCA/edit?usp=sharing"",""ชัยภูมิ!I237"")"),0.0)</f>
        <v>0</v>
      </c>
      <c r="J342" s="222">
        <f>IFERROR(__xludf.DUMMYFUNCTION("IMPORTRANGE(""https://docs.google.com/spreadsheets/d/1XL5vhW3sbDhbH9Cz0tuDiY8C3ctxq1tqvaCgkFb8cCA/edit?usp=sharing"",""ชัยภูมิ!J237"")"),1370.74)</f>
        <v>1370.74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IFERROR(__xludf.DUMMYFUNCTION("IMPORTRANGE(""https://docs.google.com/spreadsheets/d/1XL5vhW3sbDhbH9Cz0tuDiY8C3ctxq1tqvaCgkFb8cCA/edit?usp=sharing"",""ชัยภูมิ!I238"")"),920.0)</f>
        <v>920</v>
      </c>
      <c r="J343" s="222">
        <f>IFERROR(__xludf.DUMMYFUNCTION("IMPORTRANGE(""https://docs.google.com/spreadsheets/d/1XL5vhW3sbDhbH9Cz0tuDiY8C3ctxq1tqvaCgkFb8cCA/edit?usp=sharing"",""ชัยภูมิ!J238"")"),0.0)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IFERROR(__xludf.DUMMYFUNCTION("IMPORTRANGE(""https://docs.google.com/spreadsheets/d/1XL5vhW3sbDhbH9Cz0tuDiY8C3ctxq1tqvaCgkFb8cCA/edit?usp=sharing"",""ชัยภูมิ!I239"")"),0.0)</f>
        <v>0</v>
      </c>
      <c r="J344" s="222">
        <f>IFERROR(__xludf.DUMMYFUNCTION("IMPORTRANGE(""https://docs.google.com/spreadsheets/d/1XL5vhW3sbDhbH9Cz0tuDiY8C3ctxq1tqvaCgkFb8cCA/edit?usp=sharing"",""ชัยภูมิ!J239"")"),0.0)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IFERROR(__xludf.DUMMYFUNCTION("IMPORTRANGE(""https://docs.google.com/spreadsheets/d/1XL5vhW3sbDhbH9Cz0tuDiY8C3ctxq1tqvaCgkFb8cCA/edit?usp=sharing"",""ชัยภูมิ!I240"")"),920.0)</f>
        <v>920</v>
      </c>
      <c r="J345" s="222">
        <f>IFERROR(__xludf.DUMMYFUNCTION("IMPORTRANGE(""https://docs.google.com/spreadsheets/d/1XL5vhW3sbDhbH9Cz0tuDiY8C3ctxq1tqvaCgkFb8cCA/edit?usp=sharing"",""ชัยภูมิ!J240"")"),44.0)</f>
        <v>44</v>
      </c>
      <c r="K345" s="375">
        <f t="shared" si="104"/>
        <v>4.782608696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IFERROR(__xludf.DUMMYFUNCTION("IMPORTRANGE(""https://docs.google.com/spreadsheets/d/1XL5vhW3sbDhbH9Cz0tuDiY8C3ctxq1tqvaCgkFb8cCA/edit?usp=sharing"",""ชัยภูมิ!I241"")"),0.0)</f>
        <v>0</v>
      </c>
      <c r="J346" s="222">
        <f>IFERROR(__xludf.DUMMYFUNCTION("IMPORTRANGE(""https://docs.google.com/spreadsheets/d/1XL5vhW3sbDhbH9Cz0tuDiY8C3ctxq1tqvaCgkFb8cCA/edit?usp=sharing"",""ชัยภูมิ!J241"")"),712.96)</f>
        <v>712.96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IFERROR(__xludf.DUMMYFUNCTION("IMPORTRANGE(""https://docs.google.com/spreadsheets/d/1XL5vhW3sbDhbH9Cz0tuDiY8C3ctxq1tqvaCgkFb8cCA/edit?usp=sharing"",""ชัยภูมิ!L242"")"),2044483.0)</f>
        <v>2044483</v>
      </c>
      <c r="M347" s="391"/>
      <c r="N347" s="391">
        <f>IFERROR(__xludf.DUMMYFUNCTION("IMPORTRANGE(""https://docs.google.com/spreadsheets/d/1XL5vhW3sbDhbH9Cz0tuDiY8C3ctxq1tqvaCgkFb8cCA/edit?usp=sharing"",""ชัยภูมิ!M242"")"),204703.0)</f>
        <v>204703</v>
      </c>
      <c r="O347" s="391">
        <f>+IF(L347&gt;0,N347*100/L347,0)</f>
        <v>10.01245792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IFERROR(__xludf.DUMMYFUNCTION("IMPORTRANGE(""https://docs.google.com/spreadsheets/d/1XL5vhW3sbDhbH9Cz0tuDiY8C3ctxq1tqvaCgkFb8cCA/edit?usp=sharing"",""ชัยภูมิ!I244"")"),0.0)</f>
        <v>0</v>
      </c>
      <c r="J349" s="404">
        <f>IFERROR(__xludf.DUMMYFUNCTION("IMPORTRANGE(""https://docs.google.com/spreadsheets/d/1XL5vhW3sbDhbH9Cz0tuDiY8C3ctxq1tqvaCgkFb8cCA/edit?usp=sharing"",""ชัยภูมิ!J244"")"),0.0)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IFERROR(__xludf.DUMMYFUNCTION("IMPORTRANGE(""https://docs.google.com/spreadsheets/d/1XL5vhW3sbDhbH9Cz0tuDiY8C3ctxq1tqvaCgkFb8cCA/edit?usp=sharing"",""ชัยภูมิ!L244"")"),0.0)</f>
        <v>0</v>
      </c>
      <c r="M349" s="406"/>
      <c r="N349" s="406">
        <f>IFERROR(__xludf.DUMMYFUNCTION("IMPORTRANGE(""https://docs.google.com/spreadsheets/d/1XL5vhW3sbDhbH9Cz0tuDiY8C3ctxq1tqvaCgkFb8cCA/edit?usp=sharing"",""ชัยภูมิ!M244"")"),0.0)</f>
        <v>0</v>
      </c>
      <c r="O349" s="406">
        <f>+IF(L349&gt;0,N349*100/L349,0)</f>
        <v>0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IFERROR(__xludf.DUMMYFUNCTION("IMPORTRANGE(""https://docs.google.com/spreadsheets/d/1XL5vhW3sbDhbH9Cz0tuDiY8C3ctxq1tqvaCgkFb8cCA/edit?usp=sharing"",""ชัยภูมิ!I245"")"),0.0)</f>
        <v>0</v>
      </c>
      <c r="J350" s="404">
        <f>IFERROR(__xludf.DUMMYFUNCTION("IMPORTRANGE(""https://docs.google.com/spreadsheets/d/1XL5vhW3sbDhbH9Cz0tuDiY8C3ctxq1tqvaCgkFb8cCA/edit?usp=sharing"",""ชัยภูมิ!J245"")"),0.0)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IFERROR(__xludf.DUMMYFUNCTION("IMPORTRANGE(""https://docs.google.com/spreadsheets/d/1XL5vhW3sbDhbH9Cz0tuDiY8C3ctxq1tqvaCgkFb8cCA/edit?usp=sharing"",""ชัยภูมิ!L246"")"),0.0)</f>
        <v>0</v>
      </c>
      <c r="M351" s="197"/>
      <c r="N351" s="197">
        <f>IFERROR(__xludf.DUMMYFUNCTION("IMPORTRANGE(""https://docs.google.com/spreadsheets/d/1XL5vhW3sbDhbH9Cz0tuDiY8C3ctxq1tqvaCgkFb8cCA/edit?usp=sharing"",""ชัยภูมิ!M246"")"),0.0)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IFERROR(__xludf.DUMMYFUNCTION("IMPORTRANGE(""https://docs.google.com/spreadsheets/d/1XL5vhW3sbDhbH9Cz0tuDiY8C3ctxq1tqvaCgkFb8cCA/edit?usp=sharing"",""ชัยภูมิ!L247"")"),0.0)</f>
        <v>0</v>
      </c>
      <c r="M352" s="198"/>
      <c r="N352" s="197">
        <f>IFERROR(__xludf.DUMMYFUNCTION("IMPORTRANGE(""https://docs.google.com/spreadsheets/d/1XL5vhW3sbDhbH9Cz0tuDiY8C3ctxq1tqvaCgkFb8cCA/edit?usp=sharing"",""ชัยภูมิ!M247"")"),0.0)</f>
        <v>0</v>
      </c>
      <c r="O352" s="198">
        <f t="shared" si="106"/>
        <v>0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IFERROR(__xludf.DUMMYFUNCTION("IMPORTRANGE(""https://docs.google.com/spreadsheets/d/1XL5vhW3sbDhbH9Cz0tuDiY8C3ctxq1tqvaCgkFb8cCA/edit?usp=sharing"",""ชัยภูมิ!L248"")"),0.0)</f>
        <v>0</v>
      </c>
      <c r="M353" s="203"/>
      <c r="N353" s="203">
        <f>IFERROR(__xludf.DUMMYFUNCTION("IMPORTRANGE(""https://docs.google.com/spreadsheets/d/1XL5vhW3sbDhbH9Cz0tuDiY8C3ctxq1tqvaCgkFb8cCA/edit?usp=sharing"",""ชัยภูมิ!M248"")"),0.0)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IFERROR(__xludf.DUMMYFUNCTION("IMPORTRANGE(""https://docs.google.com/spreadsheets/d/1XL5vhW3sbDhbH9Cz0tuDiY8C3ctxq1tqvaCgkFb8cCA/edit?usp=sharing"",""ชัยภูมิ!L249"")"),0.0)</f>
        <v>0</v>
      </c>
      <c r="M354" s="203"/>
      <c r="N354" s="200">
        <f>IFERROR(__xludf.DUMMYFUNCTION("IMPORTRANGE(""https://docs.google.com/spreadsheets/d/1XL5vhW3sbDhbH9Cz0tuDiY8C3ctxq1tqvaCgkFb8cCA/edit?usp=sharing"",""ชัยภูมิ!M249"")"),0.0)</f>
        <v>0</v>
      </c>
      <c r="O354" s="203">
        <f t="shared" si="106"/>
        <v>0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IFERROR(__xludf.DUMMYFUNCTION("IMPORTRANGE(""https://docs.google.com/spreadsheets/d/1XL5vhW3sbDhbH9Cz0tuDiY8C3ctxq1tqvaCgkFb8cCA/edit?usp=sharing"",""ชัยภูมิ!M250"")"),0.0)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IFERROR(__xludf.DUMMYFUNCTION("IMPORTRANGE(""https://docs.google.com/spreadsheets/d/1XL5vhW3sbDhbH9Cz0tuDiY8C3ctxq1tqvaCgkFb8cCA/edit?usp=sharing"",""ชัยภูมิ!M251"")"),0.0)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IFERROR(__xludf.DUMMYFUNCTION("IMPORTRANGE(""https://docs.google.com/spreadsheets/d/1XL5vhW3sbDhbH9Cz0tuDiY8C3ctxq1tqvaCgkFb8cCA/edit?usp=sharing"",""ชัยภูมิ!M252"")"),0.0)</f>
        <v>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IFERROR(__xludf.DUMMYFUNCTION("IMPORTRANGE(""https://docs.google.com/spreadsheets/d/1XL5vhW3sbDhbH9Cz0tuDiY8C3ctxq1tqvaCgkFb8cCA/edit?usp=sharing"",""ชัยภูมิ!M253"")"),0.0)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IFERROR(__xludf.DUMMYFUNCTION("IMPORTRANGE(""https://docs.google.com/spreadsheets/d/1XL5vhW3sbDhbH9Cz0tuDiY8C3ctxq1tqvaCgkFb8cCA/edit?usp=sharing"",""ชัยภูมิ!J255"")"),0.0)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IFERROR(__xludf.DUMMYFUNCTION("IMPORTRANGE(""https://docs.google.com/spreadsheets/d/1XL5vhW3sbDhbH9Cz0tuDiY8C3ctxq1tqvaCgkFb8cCA/edit?usp=sharing"",""ชัยภูมิ!J256"")"),0.0)</f>
        <v>0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IFERROR(__xludf.DUMMYFUNCTION("IMPORTRANGE(""https://docs.google.com/spreadsheets/d/1XL5vhW3sbDhbH9Cz0tuDiY8C3ctxq1tqvaCgkFb8cCA/edit?usp=sharing"",""ชัยภูมิ!J257"")"),0.0)</f>
        <v>0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IFERROR(__xludf.DUMMYFUNCTION("IMPORTRANGE(""https://docs.google.com/spreadsheets/d/1XL5vhW3sbDhbH9Cz0tuDiY8C3ctxq1tqvaCgkFb8cCA/edit?usp=sharing"",""ชัยภูมิ!J258"")"),0.0)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IFERROR(__xludf.DUMMYFUNCTION("IMPORTRANGE(""https://docs.google.com/spreadsheets/d/1XL5vhW3sbDhbH9Cz0tuDiY8C3ctxq1tqvaCgkFb8cCA/edit?usp=sharing"",""ชัยภูมิ!J166"")"),0.0)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IFERROR(__xludf.DUMMYFUNCTION("IMPORTRANGE(""https://docs.google.com/spreadsheets/d/1XL5vhW3sbDhbH9Cz0tuDiY8C3ctxq1tqvaCgkFb8cCA/edit?usp=sharing"",""ชัยภูมิ!J166"")"),0.0)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IFERROR(__xludf.DUMMYFUNCTION("IMPORTRANGE(""https://docs.google.com/spreadsheets/d/1XL5vhW3sbDhbH9Cz0tuDiY8C3ctxq1tqvaCgkFb8cCA/edit?usp=sharing"",""ชัยภูมิ!J166"")"),0.0)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IFERROR(__xludf.DUMMYFUNCTION("IMPORTRANGE(""https://docs.google.com/spreadsheets/d/1XL5vhW3sbDhbH9Cz0tuDiY8C3ctxq1tqvaCgkFb8cCA/edit?usp=sharing"",""ชัยภูมิ!J166"")"),0.0)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IFERROR(__xludf.DUMMYFUNCTION("IMPORTRANGE(""https://docs.google.com/spreadsheets/d/1XL5vhW3sbDhbH9Cz0tuDiY8C3ctxq1tqvaCgkFb8cCA/edit?usp=sharing"",""ชัยภูมิ!I263"")"),0.0)</f>
        <v>0</v>
      </c>
      <c r="J368" s="222">
        <f>IFERROR(__xludf.DUMMYFUNCTION("IMPORTRANGE(""https://docs.google.com/spreadsheets/d/1XL5vhW3sbDhbH9Cz0tuDiY8C3ctxq1tqvaCgkFb8cCA/edit?usp=sharing"",""ชัยภูมิ!J263"")"),0.0)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IFERROR(__xludf.DUMMYFUNCTION("IMPORTRANGE(""https://docs.google.com/spreadsheets/d/1XL5vhW3sbDhbH9Cz0tuDiY8C3ctxq1tqvaCgkFb8cCA/edit?usp=sharing"",""ชัยภูมิ!I164"")"),0.0)</f>
        <v>0</v>
      </c>
      <c r="J369" s="238">
        <f>IFERROR(__xludf.DUMMYFUNCTION("IMPORTRANGE(""https://docs.google.com/spreadsheets/d/1XL5vhW3sbDhbH9Cz0tuDiY8C3ctxq1tqvaCgkFb8cCA/edit?usp=sharing"",""ชัยภูมิ!J164"")"),0.0)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IFERROR(__xludf.DUMMYFUNCTION("IMPORTRANGE(""https://docs.google.com/spreadsheets/d/1XL5vhW3sbDhbH9Cz0tuDiY8C3ctxq1tqvaCgkFb8cCA/edit?usp=sharing"",""ชัยภูมิ!I265"")"),0.0)</f>
        <v>0</v>
      </c>
      <c r="J370" s="238">
        <f>IFERROR(__xludf.DUMMYFUNCTION("IMPORTRANGE(""https://docs.google.com/spreadsheets/d/1XL5vhW3sbDhbH9Cz0tuDiY8C3ctxq1tqvaCgkFb8cCA/edit?usp=sharing"",""ชัยภูมิ!J265"")"),0.0)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IFERROR(__xludf.DUMMYFUNCTION("IMPORTRANGE(""https://docs.google.com/spreadsheets/d/1XL5vhW3sbDhbH9Cz0tuDiY8C3ctxq1tqvaCgkFb8cCA/edit?usp=sharing"",""ชัยภูมิ!I164"")"),0.0)</f>
        <v>0</v>
      </c>
      <c r="J371" s="223">
        <f>IFERROR(__xludf.DUMMYFUNCTION("IMPORTRANGE(""https://docs.google.com/spreadsheets/d/1XL5vhW3sbDhbH9Cz0tuDiY8C3ctxq1tqvaCgkFb8cCA/edit?usp=sharing"",""ชัยภูมิ!J164"")"),0.0)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IFERROR(__xludf.DUMMYFUNCTION("IMPORTRANGE(""https://docs.google.com/spreadsheets/d/1XL5vhW3sbDhbH9Cz0tuDiY8C3ctxq1tqvaCgkFb8cCA/edit?usp=sharing"",""ชัยภูมิ!I267"")"),0.0)</f>
        <v>0</v>
      </c>
      <c r="J372" s="223">
        <f>IFERROR(__xludf.DUMMYFUNCTION("IMPORTRANGE(""https://docs.google.com/spreadsheets/d/1XL5vhW3sbDhbH9Cz0tuDiY8C3ctxq1tqvaCgkFb8cCA/edit?usp=sharing"",""ชัยภูมิ!J267"")"),0.0)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IFERROR(__xludf.DUMMYFUNCTION("IMPORTRANGE(""https://docs.google.com/spreadsheets/d/1XL5vhW3sbDhbH9Cz0tuDiY8C3ctxq1tqvaCgkFb8cCA/edit?usp=sharing"",""ชัยภูมิ!I164"")"),0.0)</f>
        <v>0</v>
      </c>
      <c r="J373" s="238">
        <f>IFERROR(__xludf.DUMMYFUNCTION("IMPORTRANGE(""https://docs.google.com/spreadsheets/d/1XL5vhW3sbDhbH9Cz0tuDiY8C3ctxq1tqvaCgkFb8cCA/edit?usp=sharing"",""ชัยภูมิ!J164"")"),0.0)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IFERROR(__xludf.DUMMYFUNCTION("IMPORTRANGE(""https://docs.google.com/spreadsheets/d/1XL5vhW3sbDhbH9Cz0tuDiY8C3ctxq1tqvaCgkFb8cCA/edit?usp=sharing"",""ชัยภูมิ!I164"")"),0.0)</f>
        <v>0</v>
      </c>
      <c r="J374" s="222">
        <f>IFERROR(__xludf.DUMMYFUNCTION("IMPORTRANGE(""https://docs.google.com/spreadsheets/d/1XL5vhW3sbDhbH9Cz0tuDiY8C3ctxq1tqvaCgkFb8cCA/edit?usp=sharing"",""ชัยภูมิ!J164"")"),0.0)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IFERROR(__xludf.DUMMYFUNCTION("IMPORTRANGE(""https://docs.google.com/spreadsheets/d/1XL5vhW3sbDhbH9Cz0tuDiY8C3ctxq1tqvaCgkFb8cCA/edit?usp=sharing"",""ชัยภูมิ!I270"")"),0.0)</f>
        <v>0</v>
      </c>
      <c r="J375" s="222">
        <f>IFERROR(__xludf.DUMMYFUNCTION("IMPORTRANGE(""https://docs.google.com/spreadsheets/d/1XL5vhW3sbDhbH9Cz0tuDiY8C3ctxq1tqvaCgkFb8cCA/edit?usp=sharing"",""ชัยภูมิ!J270"")"),0.0)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IFERROR(__xludf.DUMMYFUNCTION("IMPORTRANGE(""https://docs.google.com/spreadsheets/d/1XL5vhW3sbDhbH9Cz0tuDiY8C3ctxq1tqvaCgkFb8cCA/edit?usp=sharing"",""ชัยภูมิ!I271"")"),0.0)</f>
        <v>0</v>
      </c>
      <c r="J376" s="223">
        <f>IFERROR(__xludf.DUMMYFUNCTION("IMPORTRANGE(""https://docs.google.com/spreadsheets/d/1XL5vhW3sbDhbH9Cz0tuDiY8C3ctxq1tqvaCgkFb8cCA/edit?usp=sharing"",""ชัยภูมิ!J271"")"),0.0)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IFERROR(__xludf.DUMMYFUNCTION("IMPORTRANGE(""https://docs.google.com/spreadsheets/d/1XL5vhW3sbDhbH9Cz0tuDiY8C3ctxq1tqvaCgkFb8cCA/edit?usp=sharing"",""ชัยภูมิ!I272"")"),0.0)</f>
        <v>0</v>
      </c>
      <c r="J377" s="238">
        <f>IFERROR(__xludf.DUMMYFUNCTION("IMPORTRANGE(""https://docs.google.com/spreadsheets/d/1XL5vhW3sbDhbH9Cz0tuDiY8C3ctxq1tqvaCgkFb8cCA/edit?usp=sharing"",""ชัยภูมิ!J272"")"),0.0)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IFERROR(__xludf.DUMMYFUNCTION("IMPORTRANGE(""https://docs.google.com/spreadsheets/d/1XL5vhW3sbDhbH9Cz0tuDiY8C3ctxq1tqvaCgkFb8cCA/edit?usp=sharing"",""ชัยภูมิ!J273"")"),0.0)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IFERROR(__xludf.DUMMYFUNCTION("IMPORTRANGE(""https://docs.google.com/spreadsheets/d/1XL5vhW3sbDhbH9Cz0tuDiY8C3ctxq1tqvaCgkFb8cCA/edit?usp=sharing"",""ชัยภูมิ!J274"")"),0.0)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IFERROR(__xludf.DUMMYFUNCTION("IMPORTRANGE(""https://docs.google.com/spreadsheets/d/1XL5vhW3sbDhbH9Cz0tuDiY8C3ctxq1tqvaCgkFb8cCA/edit?usp=sharing"",""ชัยภูมิ!I275"")"),1000.0)</f>
        <v>1000</v>
      </c>
      <c r="J380" s="404">
        <f>IFERROR(__xludf.DUMMYFUNCTION("IMPORTRANGE(""https://docs.google.com/spreadsheets/d/1XL5vhW3sbDhbH9Cz0tuDiY8C3ctxq1tqvaCgkFb8cCA/edit?usp=sharing"",""ชัยภูมิ!J275"")"),0.0)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IFERROR(__xludf.DUMMYFUNCTION("IMPORTRANGE(""https://docs.google.com/spreadsheets/d/1XL5vhW3sbDhbH9Cz0tuDiY8C3ctxq1tqvaCgkFb8cCA/edit?usp=sharing"",""ชัยภูมิ!L275"")"),1028520.0)</f>
        <v>1028520</v>
      </c>
      <c r="M380" s="406"/>
      <c r="N380" s="406">
        <f>IFERROR(__xludf.DUMMYFUNCTION("IMPORTRANGE(""https://docs.google.com/spreadsheets/d/1XL5vhW3sbDhbH9Cz0tuDiY8C3ctxq1tqvaCgkFb8cCA/edit?usp=sharing"",""ชัยภูมิ!M275"")"),44329.0)</f>
        <v>44329</v>
      </c>
      <c r="O380" s="406">
        <f>+IF(L380&gt;0,N380*100/L380,0)</f>
        <v>4.309979388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IFERROR(__xludf.DUMMYFUNCTION("IMPORTRANGE(""https://docs.google.com/spreadsheets/d/1XL5vhW3sbDhbH9Cz0tuDiY8C3ctxq1tqvaCgkFb8cCA/edit?usp=sharing"",""ชัยภูมิ!I276"")"),100.0)</f>
        <v>100</v>
      </c>
      <c r="J381" s="404" t="str">
        <f>IFERROR(__xludf.DUMMYFUNCTION("IMPORTRANGE(""https://docs.google.com/spreadsheets/d/1XL5vhW3sbDhbH9Cz0tuDiY8C3ctxq1tqvaCgkFb8cCA/edit?usp=sharing"",""ชัยภูมิ!J276"")"),"")</f>
        <v/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IFERROR(__xludf.DUMMYFUNCTION("IMPORTRANGE(""https://docs.google.com/spreadsheets/d/1XL5vhW3sbDhbH9Cz0tuDiY8C3ctxq1tqvaCgkFb8cCA/edit?usp=sharing"",""ชัยภูมิ!L277"")"),0.0)</f>
        <v>0</v>
      </c>
      <c r="M382" s="197"/>
      <c r="N382" s="197">
        <f>IFERROR(__xludf.DUMMYFUNCTION("IMPORTRANGE(""https://docs.google.com/spreadsheets/d/1XL5vhW3sbDhbH9Cz0tuDiY8C3ctxq1tqvaCgkFb8cCA/edit?usp=sharing"",""ชัยภูมิ!M277"")"),0.0)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IFERROR(__xludf.DUMMYFUNCTION("IMPORTRANGE(""https://docs.google.com/spreadsheets/d/1XL5vhW3sbDhbH9Cz0tuDiY8C3ctxq1tqvaCgkFb8cCA/edit?usp=sharing"",""ชัยภูมิ!L278"")"),1028520.0)</f>
        <v>1028520</v>
      </c>
      <c r="M383" s="198"/>
      <c r="N383" s="198">
        <f>IFERROR(__xludf.DUMMYFUNCTION("IMPORTRANGE(""https://docs.google.com/spreadsheets/d/1XL5vhW3sbDhbH9Cz0tuDiY8C3ctxq1tqvaCgkFb8cCA/edit?usp=sharing"",""ชัยภูมิ!M278"")"),44329.0)</f>
        <v>44329</v>
      </c>
      <c r="O383" s="198">
        <f t="shared" si="110"/>
        <v>4.309979388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IFERROR(__xludf.DUMMYFUNCTION("IMPORTRANGE(""https://docs.google.com/spreadsheets/d/1XL5vhW3sbDhbH9Cz0tuDiY8C3ctxq1tqvaCgkFb8cCA/edit?usp=sharing"",""ชัยภูมิ!L279"")"),0.0)</f>
        <v>0</v>
      </c>
      <c r="M384" s="203"/>
      <c r="N384" s="203">
        <f>IFERROR(__xludf.DUMMYFUNCTION("IMPORTRANGE(""https://docs.google.com/spreadsheets/d/1XL5vhW3sbDhbH9Cz0tuDiY8C3ctxq1tqvaCgkFb8cCA/edit?usp=sharing"",""ชัยภูมิ!M279"")"),0.0)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IFERROR(__xludf.DUMMYFUNCTION("IMPORTRANGE(""https://docs.google.com/spreadsheets/d/1XL5vhW3sbDhbH9Cz0tuDiY8C3ctxq1tqvaCgkFb8cCA/edit?usp=sharing"",""ชัยภูมิ!L280"")"),1028520.0)</f>
        <v>1028520</v>
      </c>
      <c r="M385" s="203"/>
      <c r="N385" s="200">
        <f>IFERROR(__xludf.DUMMYFUNCTION("IMPORTRANGE(""https://docs.google.com/spreadsheets/d/1XL5vhW3sbDhbH9Cz0tuDiY8C3ctxq1tqvaCgkFb8cCA/edit?usp=sharing"",""ชัยภูมิ!M280"")"),44329.0)</f>
        <v>44329</v>
      </c>
      <c r="O385" s="203">
        <f t="shared" si="110"/>
        <v>4.309979388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IFERROR(__xludf.DUMMYFUNCTION("IMPORTRANGE(""https://docs.google.com/spreadsheets/d/1XL5vhW3sbDhbH9Cz0tuDiY8C3ctxq1tqvaCgkFb8cCA/edit?usp=sharing"",""ชัยภูมิ!M281"")"),0.0)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IFERROR(__xludf.DUMMYFUNCTION("IMPORTRANGE(""https://docs.google.com/spreadsheets/d/1XL5vhW3sbDhbH9Cz0tuDiY8C3ctxq1tqvaCgkFb8cCA/edit?usp=sharing"",""ชัยภูมิ!M282"")"),0.0)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IFERROR(__xludf.DUMMYFUNCTION("IMPORTRANGE(""https://docs.google.com/spreadsheets/d/1XL5vhW3sbDhbH9Cz0tuDiY8C3ctxq1tqvaCgkFb8cCA/edit?usp=sharing"",""ชัยภูมิ!M283"")"),37529.0)</f>
        <v>37529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IFERROR(__xludf.DUMMYFUNCTION("IMPORTRANGE(""https://docs.google.com/spreadsheets/d/1XL5vhW3sbDhbH9Cz0tuDiY8C3ctxq1tqvaCgkFb8cCA/edit?usp=sharing"",""ชัยภูมิ!M284"")"),6800.0)</f>
        <v>6800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IFERROR(__xludf.DUMMYFUNCTION("IMPORTRANGE(""https://docs.google.com/spreadsheets/d/1XL5vhW3sbDhbH9Cz0tuDiY8C3ctxq1tqvaCgkFb8cCA/edit?usp=sharing"",""ชัยภูมิ!J286"")"),0.0)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IFERROR(__xludf.DUMMYFUNCTION("IMPORTRANGE(""https://docs.google.com/spreadsheets/d/1XL5vhW3sbDhbH9Cz0tuDiY8C3ctxq1tqvaCgkFb8cCA/edit?usp=sharing"",""ชัยภูมิ!J287"")"),1.0)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IFERROR(__xludf.DUMMYFUNCTION("IMPORTRANGE(""https://docs.google.com/spreadsheets/d/1XL5vhW3sbDhbH9Cz0tuDiY8C3ctxq1tqvaCgkFb8cCA/edit?usp=sharing"",""ชัยภูมิ!J288"")"),1.0)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IFERROR(__xludf.DUMMYFUNCTION("IMPORTRANGE(""https://docs.google.com/spreadsheets/d/1XL5vhW3sbDhbH9Cz0tuDiY8C3ctxq1tqvaCgkFb8cCA/edit?usp=sharing"",""ชัยภูมิ!J289"")"),1.0)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IFERROR(__xludf.DUMMYFUNCTION("IMPORTRANGE(""https://docs.google.com/spreadsheets/d/1XL5vhW3sbDhbH9Cz0tuDiY8C3ctxq1tqvaCgkFb8cCA/edit?usp=sharing"",""ชัยภูมิ!I291"")"),100.0)</f>
        <v>100</v>
      </c>
      <c r="J396" s="232" t="str">
        <f>IFERROR(__xludf.DUMMYFUNCTION("IMPORTRANGE(""https://docs.google.com/spreadsheets/d/1XL5vhW3sbDhbH9Cz0tuDiY8C3ctxq1tqvaCgkFb8cCA/edit?usp=sharing"",""ชัยภูมิ!J291"")"),"")</f>
        <v/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IFERROR(__xludf.DUMMYFUNCTION("IMPORTRANGE(""https://docs.google.com/spreadsheets/d/1XL5vhW3sbDhbH9Cz0tuDiY8C3ctxq1tqvaCgkFb8cCA/edit?usp=sharing"",""ชัยภูมิ!I292"")"),1000.0)</f>
        <v>1000</v>
      </c>
      <c r="J397" s="232">
        <f>IFERROR(__xludf.DUMMYFUNCTION("IMPORTRANGE(""https://docs.google.com/spreadsheets/d/1XL5vhW3sbDhbH9Cz0tuDiY8C3ctxq1tqvaCgkFb8cCA/edit?usp=sharing"",""ชัยภูมิ!J292"")"),0.0)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IFERROR(__xludf.DUMMYFUNCTION("IMPORTRANGE(""https://docs.google.com/spreadsheets/d/1XL5vhW3sbDhbH9Cz0tuDiY8C3ctxq1tqvaCgkFb8cCA/edit?usp=sharing"",""ชัยภูมิ!I293"")"),100.0)</f>
        <v>100</v>
      </c>
      <c r="J398" s="232">
        <f>IFERROR(__xludf.DUMMYFUNCTION("IMPORTRANGE(""https://docs.google.com/spreadsheets/d/1XL5vhW3sbDhbH9Cz0tuDiY8C3ctxq1tqvaCgkFb8cCA/edit?usp=sharing"",""ชัยภูมิ!J293"")"),0.0)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IFERROR(__xludf.DUMMYFUNCTION("IMPORTRANGE(""https://docs.google.com/spreadsheets/d/1XL5vhW3sbDhbH9Cz0tuDiY8C3ctxq1tqvaCgkFb8cCA/edit?usp=sharing"",""ชัยภูมิ!J294"")"),0.0)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IFERROR(__xludf.DUMMYFUNCTION("IMPORTRANGE(""https://docs.google.com/spreadsheets/d/1XL5vhW3sbDhbH9Cz0tuDiY8C3ctxq1tqvaCgkFb8cCA/edit?usp=sharing"",""ชัยภูมิ!J295"")"),0.0)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IFERROR(__xludf.DUMMYFUNCTION("IMPORTRANGE(""https://docs.google.com/spreadsheets/d/1XL5vhW3sbDhbH9Cz0tuDiY8C3ctxq1tqvaCgkFb8cCA/edit?usp=sharing"",""ชัยภูมิ!I296"")"),90.0)</f>
        <v>90</v>
      </c>
      <c r="J401" s="404">
        <f>IFERROR(__xludf.DUMMYFUNCTION("IMPORTRANGE(""https://docs.google.com/spreadsheets/d/1XL5vhW3sbDhbH9Cz0tuDiY8C3ctxq1tqvaCgkFb8cCA/edit?usp=sharing"",""ชัยภูมิ!J296"")"),0.0)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IFERROR(__xludf.DUMMYFUNCTION("IMPORTRANGE(""https://docs.google.com/spreadsheets/d/1XL5vhW3sbDhbH9Cz0tuDiY8C3ctxq1tqvaCgkFb8cCA/edit?usp=sharing"",""ชัยภูมิ!L296"")"),101920.0)</f>
        <v>101920</v>
      </c>
      <c r="M401" s="406"/>
      <c r="N401" s="406">
        <f>IFERROR(__xludf.DUMMYFUNCTION("IMPORTRANGE(""https://docs.google.com/spreadsheets/d/1XL5vhW3sbDhbH9Cz0tuDiY8C3ctxq1tqvaCgkFb8cCA/edit?usp=sharing"",""ชัยภูมิ!M296"")"),0.0)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IFERROR(__xludf.DUMMYFUNCTION("IMPORTRANGE(""https://docs.google.com/spreadsheets/d/1XL5vhW3sbDhbH9Cz0tuDiY8C3ctxq1tqvaCgkFb8cCA/edit?usp=sharing"",""ชัยภูมิ!I297"")"),30.0)</f>
        <v>30</v>
      </c>
      <c r="J402" s="404">
        <f>IFERROR(__xludf.DUMMYFUNCTION("IMPORTRANGE(""https://docs.google.com/spreadsheets/d/1XL5vhW3sbDhbH9Cz0tuDiY8C3ctxq1tqvaCgkFb8cCA/edit?usp=sharing"",""ชัยภูมิ!J297"")"),0.0)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IFERROR(__xludf.DUMMYFUNCTION("IMPORTRANGE(""https://docs.google.com/spreadsheets/d/1XL5vhW3sbDhbH9Cz0tuDiY8C3ctxq1tqvaCgkFb8cCA/edit?usp=sharing"",""ชัยภูมิ!L298"")"),0.0)</f>
        <v>0</v>
      </c>
      <c r="M403" s="197"/>
      <c r="N403" s="203">
        <f>IFERROR(__xludf.DUMMYFUNCTION("IMPORTRANGE(""https://docs.google.com/spreadsheets/d/1XL5vhW3sbDhbH9Cz0tuDiY8C3ctxq1tqvaCgkFb8cCA/edit?usp=sharing"",""ชัยภูมิ!M298"")"),0.0)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IFERROR(__xludf.DUMMYFUNCTION("IMPORTRANGE(""https://docs.google.com/spreadsheets/d/1XL5vhW3sbDhbH9Cz0tuDiY8C3ctxq1tqvaCgkFb8cCA/edit?usp=sharing"",""ชัยภูมิ!L299"")"),101920.0)</f>
        <v>101920</v>
      </c>
      <c r="M404" s="198"/>
      <c r="N404" s="203">
        <f>IFERROR(__xludf.DUMMYFUNCTION("IMPORTRANGE(""https://docs.google.com/spreadsheets/d/1XL5vhW3sbDhbH9Cz0tuDiY8C3ctxq1tqvaCgkFb8cCA/edit?usp=sharing"",""ชัยภูมิ!M299"")"),0.0)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IFERROR(__xludf.DUMMYFUNCTION("IMPORTRANGE(""https://docs.google.com/spreadsheets/d/1XL5vhW3sbDhbH9Cz0tuDiY8C3ctxq1tqvaCgkFb8cCA/edit?usp=sharing"",""ชัยภูมิ!L300"")"),0.0)</f>
        <v>0</v>
      </c>
      <c r="M405" s="203"/>
      <c r="N405" s="203">
        <f>IFERROR(__xludf.DUMMYFUNCTION("IMPORTRANGE(""https://docs.google.com/spreadsheets/d/1XL5vhW3sbDhbH9Cz0tuDiY8C3ctxq1tqvaCgkFb8cCA/edit?usp=sharing"",""ชัยภูมิ!M300"")"),0.0)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IFERROR(__xludf.DUMMYFUNCTION("IMPORTRANGE(""https://docs.google.com/spreadsheets/d/1XL5vhW3sbDhbH9Cz0tuDiY8C3ctxq1tqvaCgkFb8cCA/edit?usp=sharing"",""ชัยภูมิ!L301"")"),101920.0)</f>
        <v>101920</v>
      </c>
      <c r="M406" s="203"/>
      <c r="N406" s="203">
        <f>IFERROR(__xludf.DUMMYFUNCTION("IMPORTRANGE(""https://docs.google.com/spreadsheets/d/1XL5vhW3sbDhbH9Cz0tuDiY8C3ctxq1tqvaCgkFb8cCA/edit?usp=sharing"",""ชัยภูมิ!M301"")"),0.0)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IFERROR(__xludf.DUMMYFUNCTION("IMPORTRANGE(""https://docs.google.com/spreadsheets/d/1XL5vhW3sbDhbH9Cz0tuDiY8C3ctxq1tqvaCgkFb8cCA/edit?usp=sharing"",""ชัยภูมิ!M302"")"),0.0)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IFERROR(__xludf.DUMMYFUNCTION("IMPORTRANGE(""https://docs.google.com/spreadsheets/d/1XL5vhW3sbDhbH9Cz0tuDiY8C3ctxq1tqvaCgkFb8cCA/edit?usp=sharing"",""ชัยภูมิ!M303"")"),0.0)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IFERROR(__xludf.DUMMYFUNCTION("IMPORTRANGE(""https://docs.google.com/spreadsheets/d/1XL5vhW3sbDhbH9Cz0tuDiY8C3ctxq1tqvaCgkFb8cCA/edit?usp=sharing"",""ชัยภูมิ!M304"")"),0.0)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IFERROR(__xludf.DUMMYFUNCTION("IMPORTRANGE(""https://docs.google.com/spreadsheets/d/1XL5vhW3sbDhbH9Cz0tuDiY8C3ctxq1tqvaCgkFb8cCA/edit?usp=sharing"",""ชัยภูมิ!M305"")"),0.0)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IFERROR(__xludf.DUMMYFUNCTION("IMPORTRANGE(""https://docs.google.com/spreadsheets/d/1XL5vhW3sbDhbH9Cz0tuDiY8C3ctxq1tqvaCgkFb8cCA/edit?usp=sharing"",""ชัยภูมิ!J307"")"),0.0)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IFERROR(__xludf.DUMMYFUNCTION("IMPORTRANGE(""https://docs.google.com/spreadsheets/d/1XL5vhW3sbDhbH9Cz0tuDiY8C3ctxq1tqvaCgkFb8cCA/edit?usp=sharing"",""ชัยภูมิ!J308"")"),1.0)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IFERROR(__xludf.DUMMYFUNCTION("IMPORTRANGE(""https://docs.google.com/spreadsheets/d/1XL5vhW3sbDhbH9Cz0tuDiY8C3ctxq1tqvaCgkFb8cCA/edit?usp=sharing"",""ชัยภูมิ!J309"")"),1.0)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IFERROR(__xludf.DUMMYFUNCTION("IMPORTRANGE(""https://docs.google.com/spreadsheets/d/1XL5vhW3sbDhbH9Cz0tuDiY8C3ctxq1tqvaCgkFb8cCA/edit?usp=sharing"",""ชัยภูมิ!J310"")"),1.0)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IFERROR(__xludf.DUMMYFUNCTION("IMPORTRANGE(""https://docs.google.com/spreadsheets/d/1XL5vhW3sbDhbH9Cz0tuDiY8C3ctxq1tqvaCgkFb8cCA/edit?usp=sharing"",""ชัยภูมิ!I311"")"),30.0)</f>
        <v>30</v>
      </c>
      <c r="J416" s="235">
        <f>IFERROR(__xludf.DUMMYFUNCTION("IMPORTRANGE(""https://docs.google.com/spreadsheets/d/1XL5vhW3sbDhbH9Cz0tuDiY8C3ctxq1tqvaCgkFb8cCA/edit?usp=sharing"",""ชัยภูมิ!J311"")"),0.0)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IFERROR(__xludf.DUMMYFUNCTION("IMPORTRANGE(""https://docs.google.com/spreadsheets/d/1XL5vhW3sbDhbH9Cz0tuDiY8C3ctxq1tqvaCgkFb8cCA/edit?usp=sharing"",""ชัยภูมิ!I312"")"),0.0)</f>
        <v>0</v>
      </c>
      <c r="J417" s="425">
        <f>IFERROR(__xludf.DUMMYFUNCTION("IMPORTRANGE(""https://docs.google.com/spreadsheets/d/1XL5vhW3sbDhbH9Cz0tuDiY8C3ctxq1tqvaCgkFb8cCA/edit?usp=sharing"",""ชัยภูมิ!J312"")"),0.0)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IFERROR(__xludf.DUMMYFUNCTION("IMPORTRANGE(""https://docs.google.com/spreadsheets/d/1XL5vhW3sbDhbH9Cz0tuDiY8C3ctxq1tqvaCgkFb8cCA/edit?usp=sharing"",""ชัยภูมิ!I313"")"),0.0)</f>
        <v>0</v>
      </c>
      <c r="J418" s="426">
        <f>IFERROR(__xludf.DUMMYFUNCTION("IMPORTRANGE(""https://docs.google.com/spreadsheets/d/1XL5vhW3sbDhbH9Cz0tuDiY8C3ctxq1tqvaCgkFb8cCA/edit?usp=sharing"",""ชัยภูมิ!J313"")"),0.0)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IFERROR(__xludf.DUMMYFUNCTION("IMPORTRANGE(""https://docs.google.com/spreadsheets/d/1XL5vhW3sbDhbH9Cz0tuDiY8C3ctxq1tqvaCgkFb8cCA/edit?usp=sharing"",""ชัยภูมิ!I314"")"),0.0)</f>
        <v>0</v>
      </c>
      <c r="J419" s="427">
        <f>IFERROR(__xludf.DUMMYFUNCTION("IMPORTRANGE(""https://docs.google.com/spreadsheets/d/1XL5vhW3sbDhbH9Cz0tuDiY8C3ctxq1tqvaCgkFb8cCA/edit?usp=sharing"",""ชัยภูมิ!J314"")"),0.0)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IFERROR(__xludf.DUMMYFUNCTION("IMPORTRANGE(""https://docs.google.com/spreadsheets/d/1XL5vhW3sbDhbH9Cz0tuDiY8C3ctxq1tqvaCgkFb8cCA/edit?usp=sharing"",""ชัยภูมิ!I315"")"),0.0)</f>
        <v>0</v>
      </c>
      <c r="J420" s="427">
        <f>IFERROR(__xludf.DUMMYFUNCTION("IMPORTRANGE(""https://docs.google.com/spreadsheets/d/1XL5vhW3sbDhbH9Cz0tuDiY8C3ctxq1tqvaCgkFb8cCA/edit?usp=sharing"",""ชัยภูมิ!J315"")"),0.0)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IFERROR(__xludf.DUMMYFUNCTION("IMPORTRANGE(""https://docs.google.com/spreadsheets/d/1XL5vhW3sbDhbH9Cz0tuDiY8C3ctxq1tqvaCgkFb8cCA/edit?usp=sharing"",""ชัยภูมิ!I316"")"),20.0)</f>
        <v>20</v>
      </c>
      <c r="J421" s="425">
        <f>IFERROR(__xludf.DUMMYFUNCTION("IMPORTRANGE(""https://docs.google.com/spreadsheets/d/1XL5vhW3sbDhbH9Cz0tuDiY8C3ctxq1tqvaCgkFb8cCA/edit?usp=sharing"",""ชัยภูมิ!J316"")"),0.0)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IFERROR(__xludf.DUMMYFUNCTION("IMPORTRANGE(""https://docs.google.com/spreadsheets/d/1XL5vhW3sbDhbH9Cz0tuDiY8C3ctxq1tqvaCgkFb8cCA/edit?usp=sharing"",""ชัยภูมิ!I317"")"),60.0)</f>
        <v>60</v>
      </c>
      <c r="J422" s="426">
        <f>IFERROR(__xludf.DUMMYFUNCTION("IMPORTRANGE(""https://docs.google.com/spreadsheets/d/1XL5vhW3sbDhbH9Cz0tuDiY8C3ctxq1tqvaCgkFb8cCA/edit?usp=sharing"",""ชัยภูมิ!J317"")"),0.0)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IFERROR(__xludf.DUMMYFUNCTION("IMPORTRANGE(""https://docs.google.com/spreadsheets/d/1XL5vhW3sbDhbH9Cz0tuDiY8C3ctxq1tqvaCgkFb8cCA/edit?usp=sharing"",""ชัยภูมิ!I318"")"),20.0)</f>
        <v>20</v>
      </c>
      <c r="J423" s="427">
        <f>IFERROR(__xludf.DUMMYFUNCTION("IMPORTRANGE(""https://docs.google.com/spreadsheets/d/1XL5vhW3sbDhbH9Cz0tuDiY8C3ctxq1tqvaCgkFb8cCA/edit?usp=sharing"",""ชัยภูมิ!J318"")"),0.0)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IFERROR(__xludf.DUMMYFUNCTION("IMPORTRANGE(""https://docs.google.com/spreadsheets/d/1XL5vhW3sbDhbH9Cz0tuDiY8C3ctxq1tqvaCgkFb8cCA/edit?usp=sharing"",""ชัยภูมิ!I319"")"),20.0)</f>
        <v>20</v>
      </c>
      <c r="J424" s="427">
        <f>IFERROR(__xludf.DUMMYFUNCTION("IMPORTRANGE(""https://docs.google.com/spreadsheets/d/1XL5vhW3sbDhbH9Cz0tuDiY8C3ctxq1tqvaCgkFb8cCA/edit?usp=sharing"",""ชัยภูมิ!J319"")"),0.0)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IFERROR(__xludf.DUMMYFUNCTION("IMPORTRANGE(""https://docs.google.com/spreadsheets/d/1XL5vhW3sbDhbH9Cz0tuDiY8C3ctxq1tqvaCgkFb8cCA/edit?usp=sharing"",""ชัยภูมิ!I320"")"),20.0)</f>
        <v>20</v>
      </c>
      <c r="J425" s="427">
        <f>IFERROR(__xludf.DUMMYFUNCTION("IMPORTRANGE(""https://docs.google.com/spreadsheets/d/1XL5vhW3sbDhbH9Cz0tuDiY8C3ctxq1tqvaCgkFb8cCA/edit?usp=sharing"",""ชัยภูมิ!J320"")"),0.0)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IFERROR(__xludf.DUMMYFUNCTION("IMPORTRANGE(""https://docs.google.com/spreadsheets/d/1XL5vhW3sbDhbH9Cz0tuDiY8C3ctxq1tqvaCgkFb8cCA/edit?usp=sharing"",""ชัยภูมิ!I321"")"),10.0)</f>
        <v>10</v>
      </c>
      <c r="J426" s="425">
        <f>IFERROR(__xludf.DUMMYFUNCTION("IMPORTRANGE(""https://docs.google.com/spreadsheets/d/1XL5vhW3sbDhbH9Cz0tuDiY8C3ctxq1tqvaCgkFb8cCA/edit?usp=sharing"",""ชัยภูมิ!J321"")"),0.0)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IFERROR(__xludf.DUMMYFUNCTION("IMPORTRANGE(""https://docs.google.com/spreadsheets/d/1XL5vhW3sbDhbH9Cz0tuDiY8C3ctxq1tqvaCgkFb8cCA/edit?usp=sharing"",""ชัยภูมิ!I322"")"),30.0)</f>
        <v>30</v>
      </c>
      <c r="J427" s="426">
        <f>IFERROR(__xludf.DUMMYFUNCTION("IMPORTRANGE(""https://docs.google.com/spreadsheets/d/1XL5vhW3sbDhbH9Cz0tuDiY8C3ctxq1tqvaCgkFb8cCA/edit?usp=sharing"",""ชัยภูมิ!J322"")"),0.0)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IFERROR(__xludf.DUMMYFUNCTION("IMPORTRANGE(""https://docs.google.com/spreadsheets/d/1XL5vhW3sbDhbH9Cz0tuDiY8C3ctxq1tqvaCgkFb8cCA/edit?usp=sharing"",""ชัยภูมิ!I323"")"),10.0)</f>
        <v>10</v>
      </c>
      <c r="J428" s="427">
        <f>IFERROR(__xludf.DUMMYFUNCTION("IMPORTRANGE(""https://docs.google.com/spreadsheets/d/1XL5vhW3sbDhbH9Cz0tuDiY8C3ctxq1tqvaCgkFb8cCA/edit?usp=sharing"",""ชัยภูมิ!J323"")"),0.0)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IFERROR(__xludf.DUMMYFUNCTION("IMPORTRANGE(""https://docs.google.com/spreadsheets/d/1XL5vhW3sbDhbH9Cz0tuDiY8C3ctxq1tqvaCgkFb8cCA/edit?usp=sharing"",""ชัยภูมิ!I324"")"),10.0)</f>
        <v>10</v>
      </c>
      <c r="J429" s="427">
        <f>IFERROR(__xludf.DUMMYFUNCTION("IMPORTRANGE(""https://docs.google.com/spreadsheets/d/1XL5vhW3sbDhbH9Cz0tuDiY8C3ctxq1tqvaCgkFb8cCA/edit?usp=sharing"",""ชัยภูมิ!J324"")"),0.0)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IFERROR(__xludf.DUMMYFUNCTION("IMPORTRANGE(""https://docs.google.com/spreadsheets/d/1XL5vhW3sbDhbH9Cz0tuDiY8C3ctxq1tqvaCgkFb8cCA/edit?usp=sharing"",""ชัยภูมิ!I325"")"),20.0)</f>
        <v>20</v>
      </c>
      <c r="J430" s="425">
        <f>IFERROR(__xludf.DUMMYFUNCTION("IMPORTRANGE(""https://docs.google.com/spreadsheets/d/1XL5vhW3sbDhbH9Cz0tuDiY8C3ctxq1tqvaCgkFb8cCA/edit?usp=sharing"",""ชัยภูมิ!J325"")"),0.0)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IFERROR(__xludf.DUMMYFUNCTION("IMPORTRANGE(""https://docs.google.com/spreadsheets/d/1XL5vhW3sbDhbH9Cz0tuDiY8C3ctxq1tqvaCgkFb8cCA/edit?usp=sharing"",""ชัยภูมิ!I326"")"),0.0)</f>
        <v>0</v>
      </c>
      <c r="J431" s="427">
        <f>IFERROR(__xludf.DUMMYFUNCTION("IMPORTRANGE(""https://docs.google.com/spreadsheets/d/1XL5vhW3sbDhbH9Cz0tuDiY8C3ctxq1tqvaCgkFb8cCA/edit?usp=sharing"",""ชัยภูมิ!J326"")"),0.0)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IFERROR(__xludf.DUMMYFUNCTION("IMPORTRANGE(""https://docs.google.com/spreadsheets/d/1XL5vhW3sbDhbH9Cz0tuDiY8C3ctxq1tqvaCgkFb8cCA/edit?usp=sharing"",""ชัยภูมิ!I327"")"),20.0)</f>
        <v>20</v>
      </c>
      <c r="J432" s="427">
        <f>IFERROR(__xludf.DUMMYFUNCTION("IMPORTRANGE(""https://docs.google.com/spreadsheets/d/1XL5vhW3sbDhbH9Cz0tuDiY8C3ctxq1tqvaCgkFb8cCA/edit?usp=sharing"",""ชัยภูมิ!J327"")"),0.0)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IFERROR(__xludf.DUMMYFUNCTION("IMPORTRANGE(""https://docs.google.com/spreadsheets/d/1XL5vhW3sbDhbH9Cz0tuDiY8C3ctxq1tqvaCgkFb8cCA/edit?usp=sharing"",""ชัยภูมิ!J328"")"),0.0)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IFERROR(__xludf.DUMMYFUNCTION("IMPORTRANGE(""https://docs.google.com/spreadsheets/d/1XL5vhW3sbDhbH9Cz0tuDiY8C3ctxq1tqvaCgkFb8cCA/edit?usp=sharing"",""ชัยภูมิ!J329"")"),0.0)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IFERROR(__xludf.DUMMYFUNCTION("IMPORTRANGE(""https://docs.google.com/spreadsheets/d/1XL5vhW3sbDhbH9Cz0tuDiY8C3ctxq1tqvaCgkFb8cCA/edit?usp=sharing"",""ชัยภูมิ!I330"")"),15.0)</f>
        <v>15</v>
      </c>
      <c r="J435" s="443">
        <f>IFERROR(__xludf.DUMMYFUNCTION("IMPORTRANGE(""https://docs.google.com/spreadsheets/d/1XL5vhW3sbDhbH9Cz0tuDiY8C3ctxq1tqvaCgkFb8cCA/edit?usp=sharing"",""ชัยภูมิ!J330"")"),15.0)</f>
        <v>15</v>
      </c>
      <c r="K435" s="444">
        <f>IF(I435&gt;0,J435*100/I435,0)</f>
        <v>100</v>
      </c>
      <c r="L435" s="445">
        <f>IFERROR(__xludf.DUMMYFUNCTION("IMPORTRANGE(""https://docs.google.com/spreadsheets/d/1XL5vhW3sbDhbH9Cz0tuDiY8C3ctxq1tqvaCgkFb8cCA/edit?usp=sharing"",""ชัยภูมิ!L330"")"),83000.0)</f>
        <v>83000</v>
      </c>
      <c r="M435" s="445"/>
      <c r="N435" s="445">
        <f>IFERROR(__xludf.DUMMYFUNCTION("IMPORTRANGE(""https://docs.google.com/spreadsheets/d/1XL5vhW3sbDhbH9Cz0tuDiY8C3ctxq1tqvaCgkFb8cCA/edit?usp=sharing"",""ชัยภูมิ!M330"")"),49137.0)</f>
        <v>49137</v>
      </c>
      <c r="O435" s="445">
        <f t="shared" ref="O435:O439" si="115">+IF(L435&gt;0,N435*100/L435,0)</f>
        <v>59.20120482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IFERROR(__xludf.DUMMYFUNCTION("IMPORTRANGE(""https://docs.google.com/spreadsheets/d/1XL5vhW3sbDhbH9Cz0tuDiY8C3ctxq1tqvaCgkFb8cCA/edit?usp=sharing"",""ชัยภูมิ!L331"")"),0.0)</f>
        <v>0</v>
      </c>
      <c r="M436" s="197"/>
      <c r="N436" s="203">
        <f>IFERROR(__xludf.DUMMYFUNCTION("IMPORTRANGE(""https://docs.google.com/spreadsheets/d/1XL5vhW3sbDhbH9Cz0tuDiY8C3ctxq1tqvaCgkFb8cCA/edit?usp=sharing"",""ชัยภูมิ!M331"")"),0.0)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IFERROR(__xludf.DUMMYFUNCTION("IMPORTRANGE(""https://docs.google.com/spreadsheets/d/1XL5vhW3sbDhbH9Cz0tuDiY8C3ctxq1tqvaCgkFb8cCA/edit?usp=sharing"",""ชัยภูมิ!L332"")"),83000.0)</f>
        <v>83000</v>
      </c>
      <c r="M437" s="198"/>
      <c r="N437" s="203">
        <f>IFERROR(__xludf.DUMMYFUNCTION("IMPORTRANGE(""https://docs.google.com/spreadsheets/d/1XL5vhW3sbDhbH9Cz0tuDiY8C3ctxq1tqvaCgkFb8cCA/edit?usp=sharing"",""ชัยภูมิ!M332"")"),49137.0)</f>
        <v>49137</v>
      </c>
      <c r="O437" s="203">
        <f t="shared" si="115"/>
        <v>59.20120482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IFERROR(__xludf.DUMMYFUNCTION("IMPORTRANGE(""https://docs.google.com/spreadsheets/d/1XL5vhW3sbDhbH9Cz0tuDiY8C3ctxq1tqvaCgkFb8cCA/edit?usp=sharing"",""ชัยภูมิ!L333"")"),0.0)</f>
        <v>0</v>
      </c>
      <c r="M438" s="203"/>
      <c r="N438" s="203">
        <f>IFERROR(__xludf.DUMMYFUNCTION("IMPORTRANGE(""https://docs.google.com/spreadsheets/d/1XL5vhW3sbDhbH9Cz0tuDiY8C3ctxq1tqvaCgkFb8cCA/edit?usp=sharing"",""ชัยภูมิ!M333"")"),0.0)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IFERROR(__xludf.DUMMYFUNCTION("IMPORTRANGE(""https://docs.google.com/spreadsheets/d/1XL5vhW3sbDhbH9Cz0tuDiY8C3ctxq1tqvaCgkFb8cCA/edit?usp=sharing"",""ชัยภูมิ!L334"")"),83000.0)</f>
        <v>83000</v>
      </c>
      <c r="M439" s="203"/>
      <c r="N439" s="203">
        <f>IFERROR(__xludf.DUMMYFUNCTION("IMPORTRANGE(""https://docs.google.com/spreadsheets/d/1XL5vhW3sbDhbH9Cz0tuDiY8C3ctxq1tqvaCgkFb8cCA/edit?usp=sharing"",""ชัยภูมิ!M334"")"),49137.0)</f>
        <v>49137</v>
      </c>
      <c r="O439" s="203">
        <f t="shared" si="115"/>
        <v>59.20120482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IFERROR(__xludf.DUMMYFUNCTION("IMPORTRANGE(""https://docs.google.com/spreadsheets/d/1XL5vhW3sbDhbH9Cz0tuDiY8C3ctxq1tqvaCgkFb8cCA/edit?usp=sharing"",""ชัยภูมิ!M335"")"),24900.0)</f>
        <v>24900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IFERROR(__xludf.DUMMYFUNCTION("IMPORTRANGE(""https://docs.google.com/spreadsheets/d/1XL5vhW3sbDhbH9Cz0tuDiY8C3ctxq1tqvaCgkFb8cCA/edit?usp=sharing"",""ชัยภูมิ!M336"")"),0.0)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IFERROR(__xludf.DUMMYFUNCTION("IMPORTRANGE(""https://docs.google.com/spreadsheets/d/1XL5vhW3sbDhbH9Cz0tuDiY8C3ctxq1tqvaCgkFb8cCA/edit?usp=sharing"",""ชัยภูมิ!M337"")"),0.0)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IFERROR(__xludf.DUMMYFUNCTION("IMPORTRANGE(""https://docs.google.com/spreadsheets/d/1XL5vhW3sbDhbH9Cz0tuDiY8C3ctxq1tqvaCgkFb8cCA/edit?usp=sharing"",""ชัยภูมิ!M338"")"),24237.0)</f>
        <v>24237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IFERROR(__xludf.DUMMYFUNCTION("IMPORTRANGE(""https://docs.google.com/spreadsheets/d/1XL5vhW3sbDhbH9Cz0tuDiY8C3ctxq1tqvaCgkFb8cCA/edit?usp=sharing"",""ชัยภูมิ!J340"")"),0.0)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IFERROR(__xludf.DUMMYFUNCTION("IMPORTRANGE(""https://docs.google.com/spreadsheets/d/1XL5vhW3sbDhbH9Cz0tuDiY8C3ctxq1tqvaCgkFb8cCA/edit?usp=sharing"",""ชัยภูมิ!J341"")"),1.0)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IFERROR(__xludf.DUMMYFUNCTION("IMPORTRANGE(""https://docs.google.com/spreadsheets/d/1XL5vhW3sbDhbH9Cz0tuDiY8C3ctxq1tqvaCgkFb8cCA/edit?usp=sharing"",""ชัยภูมิ!J342"")"),1.0)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IFERROR(__xludf.DUMMYFUNCTION("IMPORTRANGE(""https://docs.google.com/spreadsheets/d/1XL5vhW3sbDhbH9Cz0tuDiY8C3ctxq1tqvaCgkFb8cCA/edit?usp=sharing"",""ชัยภูมิ!J343"")"),1.0)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IFERROR(__xludf.DUMMYFUNCTION("IMPORTRANGE(""https://docs.google.com/spreadsheets/d/1XL5vhW3sbDhbH9Cz0tuDiY8C3ctxq1tqvaCgkFb8cCA/edit?usp=sharing"",""ชัยภูมิ!I344"")"),15.0)</f>
        <v>15</v>
      </c>
      <c r="J449" s="235">
        <f>IFERROR(__xludf.DUMMYFUNCTION("IMPORTRANGE(""https://docs.google.com/spreadsheets/d/1XL5vhW3sbDhbH9Cz0tuDiY8C3ctxq1tqvaCgkFb8cCA/edit?usp=sharing"",""ชัยภูมิ!J344"")"),15.0)</f>
        <v>15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IFERROR(__xludf.DUMMYFUNCTION("IMPORTRANGE(""https://docs.google.com/spreadsheets/d/1XL5vhW3sbDhbH9Cz0tuDiY8C3ctxq1tqvaCgkFb8cCA/edit?usp=sharing"",""ชัยภูมิ!I345"")"),15.0)</f>
        <v>15</v>
      </c>
      <c r="J450" s="223">
        <f>IFERROR(__xludf.DUMMYFUNCTION("IMPORTRANGE(""https://docs.google.com/spreadsheets/d/1XL5vhW3sbDhbH9Cz0tuDiY8C3ctxq1tqvaCgkFb8cCA/edit?usp=sharing"",""ชัยภูมิ!J345"")"),15.0)</f>
        <v>15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IFERROR(__xludf.DUMMYFUNCTION("IMPORTRANGE(""https://docs.google.com/spreadsheets/d/1XL5vhW3sbDhbH9Cz0tuDiY8C3ctxq1tqvaCgkFb8cCA/edit?usp=sharing"",""ชัยภูมิ!I346"")"),0.0)</f>
        <v>0</v>
      </c>
      <c r="J451" s="222">
        <f>IFERROR(__xludf.DUMMYFUNCTION("IMPORTRANGE(""https://docs.google.com/spreadsheets/d/1XL5vhW3sbDhbH9Cz0tuDiY8C3ctxq1tqvaCgkFb8cCA/edit?usp=sharing"",""ชัยภูมิ!J346"")"),0.0)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IFERROR(__xludf.DUMMYFUNCTION("IMPORTRANGE(""https://docs.google.com/spreadsheets/d/1XL5vhW3sbDhbH9Cz0tuDiY8C3ctxq1tqvaCgkFb8cCA/edit?usp=sharing"",""ชัยภูมิ!I347"")"),0.0)</f>
        <v>0</v>
      </c>
      <c r="J452" s="222">
        <f>IFERROR(__xludf.DUMMYFUNCTION("IMPORTRANGE(""https://docs.google.com/spreadsheets/d/1XL5vhW3sbDhbH9Cz0tuDiY8C3ctxq1tqvaCgkFb8cCA/edit?usp=sharing"",""ชัยภูมิ!J347"")"),0.0)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IFERROR(__xludf.DUMMYFUNCTION("IMPORTRANGE(""https://docs.google.com/spreadsheets/d/1XL5vhW3sbDhbH9Cz0tuDiY8C3ctxq1tqvaCgkFb8cCA/edit?usp=sharing"",""ชัยภูมิ!J348"")"),0.0)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IFERROR(__xludf.DUMMYFUNCTION("IMPORTRANGE(""https://docs.google.com/spreadsheets/d/1XL5vhW3sbDhbH9Cz0tuDiY8C3ctxq1tqvaCgkFb8cCA/edit?usp=sharing"",""ชัยภูมิ!J349"")"),0.0)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IFERROR(__xludf.DUMMYFUNCTION("IMPORTRANGE(""https://docs.google.com/spreadsheets/d/1XL5vhW3sbDhbH9Cz0tuDiY8C3ctxq1tqvaCgkFb8cCA/edit?usp=sharing"",""ชัยภูมิ!I350"")"),57198.0)</f>
        <v>57198</v>
      </c>
      <c r="J455" s="404">
        <f>IFERROR(__xludf.DUMMYFUNCTION("IMPORTRANGE(""https://docs.google.com/spreadsheets/d/1XL5vhW3sbDhbH9Cz0tuDiY8C3ctxq1tqvaCgkFb8cCA/edit?usp=sharing"",""ชัยภูมิ!J350"")"),0.0)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IFERROR(__xludf.DUMMYFUNCTION("IMPORTRANGE(""https://docs.google.com/spreadsheets/d/1XL5vhW3sbDhbH9Cz0tuDiY8C3ctxq1tqvaCgkFb8cCA/edit?usp=sharing"",""ชัยภูมิ!L350"")"),613203.0)</f>
        <v>613203</v>
      </c>
      <c r="M455" s="406"/>
      <c r="N455" s="406">
        <f>IFERROR(__xludf.DUMMYFUNCTION("IMPORTRANGE(""https://docs.google.com/spreadsheets/d/1XL5vhW3sbDhbH9Cz0tuDiY8C3ctxq1tqvaCgkFb8cCA/edit?usp=sharing"",""ชัยภูมิ!M350"")"),61565.0)</f>
        <v>61565</v>
      </c>
      <c r="O455" s="406">
        <f t="shared" ref="O455:O459" si="117">+IF(L455&gt;0,N455*100/L455,0)</f>
        <v>10.03990522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IFERROR(__xludf.DUMMYFUNCTION("IMPORTRANGE(""https://docs.google.com/spreadsheets/d/1XL5vhW3sbDhbH9Cz0tuDiY8C3ctxq1tqvaCgkFb8cCA/edit?usp=sharing"",""ชัยภูมิ!L351"")"),0.0)</f>
        <v>0</v>
      </c>
      <c r="M456" s="197"/>
      <c r="N456" s="203">
        <f>IFERROR(__xludf.DUMMYFUNCTION("IMPORTRANGE(""https://docs.google.com/spreadsheets/d/1XL5vhW3sbDhbH9Cz0tuDiY8C3ctxq1tqvaCgkFb8cCA/edit?usp=sharing"",""ชัยภูมิ!M351"")"),0.0)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IFERROR(__xludf.DUMMYFUNCTION("IMPORTRANGE(""https://docs.google.com/spreadsheets/d/1XL5vhW3sbDhbH9Cz0tuDiY8C3ctxq1tqvaCgkFb8cCA/edit?usp=sharing"",""ชัยภูมิ!L352"")"),613203.0)</f>
        <v>613203</v>
      </c>
      <c r="M457" s="198"/>
      <c r="N457" s="203">
        <f>IFERROR(__xludf.DUMMYFUNCTION("IMPORTRANGE(""https://docs.google.com/spreadsheets/d/1XL5vhW3sbDhbH9Cz0tuDiY8C3ctxq1tqvaCgkFb8cCA/edit?usp=sharing"",""ชัยภูมิ!M352"")"),61565.0)</f>
        <v>61565</v>
      </c>
      <c r="O457" s="203">
        <f t="shared" si="117"/>
        <v>10.03990522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IFERROR(__xludf.DUMMYFUNCTION("IMPORTRANGE(""https://docs.google.com/spreadsheets/d/1XL5vhW3sbDhbH9Cz0tuDiY8C3ctxq1tqvaCgkFb8cCA/edit?usp=sharing"",""ชัยภูมิ!L353"")"),0.0)</f>
        <v>0</v>
      </c>
      <c r="M458" s="203"/>
      <c r="N458" s="203">
        <f>IFERROR(__xludf.DUMMYFUNCTION("IMPORTRANGE(""https://docs.google.com/spreadsheets/d/1XL5vhW3sbDhbH9Cz0tuDiY8C3ctxq1tqvaCgkFb8cCA/edit?usp=sharing"",""ชัยภูมิ!M353"")"),0.0)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IFERROR(__xludf.DUMMYFUNCTION("IMPORTRANGE(""https://docs.google.com/spreadsheets/d/1XL5vhW3sbDhbH9Cz0tuDiY8C3ctxq1tqvaCgkFb8cCA/edit?usp=sharing"",""ชัยภูมิ!L354"")"),613203.0)</f>
        <v>613203</v>
      </c>
      <c r="M459" s="203"/>
      <c r="N459" s="203">
        <f>IFERROR(__xludf.DUMMYFUNCTION("IMPORTRANGE(""https://docs.google.com/spreadsheets/d/1XL5vhW3sbDhbH9Cz0tuDiY8C3ctxq1tqvaCgkFb8cCA/edit?usp=sharing"",""ชัยภูมิ!M354"")"),61565.0)</f>
        <v>61565</v>
      </c>
      <c r="O459" s="203">
        <f t="shared" si="117"/>
        <v>10.03990522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IFERROR(__xludf.DUMMYFUNCTION("IMPORTRANGE(""https://docs.google.com/spreadsheets/d/1XL5vhW3sbDhbH9Cz0tuDiY8C3ctxq1tqvaCgkFb8cCA/edit?usp=sharing"",""ชัยภูมิ!M355"")"),0.0)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IFERROR(__xludf.DUMMYFUNCTION("IMPORTRANGE(""https://docs.google.com/spreadsheets/d/1XL5vhW3sbDhbH9Cz0tuDiY8C3ctxq1tqvaCgkFb8cCA/edit?usp=sharing"",""ชัยภูมิ!M356"")"),0.0)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IFERROR(__xludf.DUMMYFUNCTION("IMPORTRANGE(""https://docs.google.com/spreadsheets/d/1XL5vhW3sbDhbH9Cz0tuDiY8C3ctxq1tqvaCgkFb8cCA/edit?usp=sharing"",""ชัยภูมิ!M357"")"),33000.0)</f>
        <v>33000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IFERROR(__xludf.DUMMYFUNCTION("IMPORTRANGE(""https://docs.google.com/spreadsheets/d/1XL5vhW3sbDhbH9Cz0tuDiY8C3ctxq1tqvaCgkFb8cCA/edit?usp=sharing"",""ชัยภูมิ!M358"")"),28565.0)</f>
        <v>28565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IFERROR(__xludf.DUMMYFUNCTION("IMPORTRANGE(""https://docs.google.com/spreadsheets/d/1XL5vhW3sbDhbH9Cz0tuDiY8C3ctxq1tqvaCgkFb8cCA/edit?usp=sharing"",""ชัยภูมิ!I359"")"),57198.0)</f>
        <v>57198</v>
      </c>
      <c r="J464" s="301">
        <f>IFERROR(__xludf.DUMMYFUNCTION("IMPORTRANGE(""https://docs.google.com/spreadsheets/d/1XL5vhW3sbDhbH9Cz0tuDiY8C3ctxq1tqvaCgkFb8cCA/edit?usp=sharing"",""ชัยภูมิ!J359"")"),0.0)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IFERROR(__xludf.DUMMYFUNCTION("IMPORTRANGE(""https://docs.google.com/spreadsheets/d/1XL5vhW3sbDhbH9Cz0tuDiY8C3ctxq1tqvaCgkFb8cCA/edit?usp=sharing"",""ชัยภูมิ!I360"")"),57198.0)</f>
        <v>57198</v>
      </c>
      <c r="J465" s="453">
        <f>IFERROR(__xludf.DUMMYFUNCTION("IMPORTRANGE(""https://docs.google.com/spreadsheets/d/1XL5vhW3sbDhbH9Cz0tuDiY8C3ctxq1tqvaCgkFb8cCA/edit?usp=sharing"",""ชัยภูมิ!J360"")"),59839.0)</f>
        <v>59839</v>
      </c>
      <c r="K465" s="236">
        <f t="shared" si="118"/>
        <v>104.6172943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IFERROR(__xludf.DUMMYFUNCTION("IMPORTRANGE(""https://docs.google.com/spreadsheets/d/1XL5vhW3sbDhbH9Cz0tuDiY8C3ctxq1tqvaCgkFb8cCA/edit?usp=sharing"",""ชัยภูมิ!I361"")"),6678.0)</f>
        <v>6678</v>
      </c>
      <c r="J466" s="453">
        <f>IFERROR(__xludf.DUMMYFUNCTION("IMPORTRANGE(""https://docs.google.com/spreadsheets/d/1XL5vhW3sbDhbH9Cz0tuDiY8C3ctxq1tqvaCgkFb8cCA/edit?usp=sharing"",""ชัยภูมิ!J361"")"),6647.0)</f>
        <v>6647</v>
      </c>
      <c r="K466" s="236">
        <f t="shared" si="118"/>
        <v>99.53578916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IFERROR(__xludf.DUMMYFUNCTION("IMPORTRANGE(""https://docs.google.com/spreadsheets/d/1XL5vhW3sbDhbH9Cz0tuDiY8C3ctxq1tqvaCgkFb8cCA/edit?usp=sharing"",""ชัยภูมิ!I362"")"),0.0)</f>
        <v>0</v>
      </c>
      <c r="J467" s="223">
        <f>IFERROR(__xludf.DUMMYFUNCTION("IMPORTRANGE(""https://docs.google.com/spreadsheets/d/1XL5vhW3sbDhbH9Cz0tuDiY8C3ctxq1tqvaCgkFb8cCA/edit?usp=sharing"",""ชัยภูมิ!J362"")"),47669.0)</f>
        <v>47669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IFERROR(__xludf.DUMMYFUNCTION("IMPORTRANGE(""https://docs.google.com/spreadsheets/d/1XL5vhW3sbDhbH9Cz0tuDiY8C3ctxq1tqvaCgkFb8cCA/edit?usp=sharing"",""ชัยภูมิ!I363"")"),0.0)</f>
        <v>0</v>
      </c>
      <c r="J468" s="223">
        <f>IFERROR(__xludf.DUMMYFUNCTION("IMPORTRANGE(""https://docs.google.com/spreadsheets/d/1XL5vhW3sbDhbH9Cz0tuDiY8C3ctxq1tqvaCgkFb8cCA/edit?usp=sharing"",""ชัยภูมิ!J363"")"),5607.0)</f>
        <v>5607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IFERROR(__xludf.DUMMYFUNCTION("IMPORTRANGE(""https://docs.google.com/spreadsheets/d/1XL5vhW3sbDhbH9Cz0tuDiY8C3ctxq1tqvaCgkFb8cCA/edit?usp=sharing"",""ชัยภูมิ!I364"")"),0.0)</f>
        <v>0</v>
      </c>
      <c r="J469" s="223">
        <f>IFERROR(__xludf.DUMMYFUNCTION("IMPORTRANGE(""https://docs.google.com/spreadsheets/d/1XL5vhW3sbDhbH9Cz0tuDiY8C3ctxq1tqvaCgkFb8cCA/edit?usp=sharing"",""ชัยภูมิ!J364"")"),10442.0)</f>
        <v>10442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IFERROR(__xludf.DUMMYFUNCTION("IMPORTRANGE(""https://docs.google.com/spreadsheets/d/1XL5vhW3sbDhbH9Cz0tuDiY8C3ctxq1tqvaCgkFb8cCA/edit?usp=sharing"",""ชัยภูมิ!I365"")"),0.0)</f>
        <v>0</v>
      </c>
      <c r="J470" s="223">
        <f>IFERROR(__xludf.DUMMYFUNCTION("IMPORTRANGE(""https://docs.google.com/spreadsheets/d/1XL5vhW3sbDhbH9Cz0tuDiY8C3ctxq1tqvaCgkFb8cCA/edit?usp=sharing"",""ชัยภูมิ!J365"")"),863.0)</f>
        <v>863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IFERROR(__xludf.DUMMYFUNCTION("IMPORTRANGE(""https://docs.google.com/spreadsheets/d/1XL5vhW3sbDhbH9Cz0tuDiY8C3ctxq1tqvaCgkFb8cCA/edit?usp=sharing"",""ชัยภูมิ!I366"")"),0.0)</f>
        <v>0</v>
      </c>
      <c r="J471" s="223">
        <f>IFERROR(__xludf.DUMMYFUNCTION("IMPORTRANGE(""https://docs.google.com/spreadsheets/d/1XL5vhW3sbDhbH9Cz0tuDiY8C3ctxq1tqvaCgkFb8cCA/edit?usp=sharing"",""ชัยภูมิ!J366"")"),1728.0)</f>
        <v>1728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IFERROR(__xludf.DUMMYFUNCTION("IMPORTRANGE(""https://docs.google.com/spreadsheets/d/1XL5vhW3sbDhbH9Cz0tuDiY8C3ctxq1tqvaCgkFb8cCA/edit?usp=sharing"",""ชัยภูมิ!I367"")"),0.0)</f>
        <v>0</v>
      </c>
      <c r="J472" s="223">
        <f>IFERROR(__xludf.DUMMYFUNCTION("IMPORTRANGE(""https://docs.google.com/spreadsheets/d/1XL5vhW3sbDhbH9Cz0tuDiY8C3ctxq1tqvaCgkFb8cCA/edit?usp=sharing"",""ชัยภูมิ!J367"")"),177.0)</f>
        <v>177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IFERROR(__xludf.DUMMYFUNCTION("IMPORTRANGE(""https://docs.google.com/spreadsheets/d/1XL5vhW3sbDhbH9Cz0tuDiY8C3ctxq1tqvaCgkFb8cCA/edit?usp=sharing"",""ชัยภูมิ!I368"")"),57198.0)</f>
        <v>57198</v>
      </c>
      <c r="J473" s="453">
        <f>IFERROR(__xludf.DUMMYFUNCTION("IMPORTRANGE(""https://docs.google.com/spreadsheets/d/1XL5vhW3sbDhbH9Cz0tuDiY8C3ctxq1tqvaCgkFb8cCA/edit?usp=sharing"",""ชัยภูมิ!J368"")"),0.0)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IFERROR(__xludf.DUMMYFUNCTION("IMPORTRANGE(""https://docs.google.com/spreadsheets/d/1XL5vhW3sbDhbH9Cz0tuDiY8C3ctxq1tqvaCgkFb8cCA/edit?usp=sharing"",""ชัยภูมิ!I369"")"),6678.0)</f>
        <v>6678</v>
      </c>
      <c r="J474" s="453">
        <f>IFERROR(__xludf.DUMMYFUNCTION("IMPORTRANGE(""https://docs.google.com/spreadsheets/d/1XL5vhW3sbDhbH9Cz0tuDiY8C3ctxq1tqvaCgkFb8cCA/edit?usp=sharing"",""ชัยภูมิ!J369"")"),0.0)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IFERROR(__xludf.DUMMYFUNCTION("IMPORTRANGE(""https://docs.google.com/spreadsheets/d/1XL5vhW3sbDhbH9Cz0tuDiY8C3ctxq1tqvaCgkFb8cCA/edit?usp=sharing"",""ชัยภูมิ!I370"")"),0.0)</f>
        <v>0</v>
      </c>
      <c r="J475" s="223">
        <f>IFERROR(__xludf.DUMMYFUNCTION("IMPORTRANGE(""https://docs.google.com/spreadsheets/d/1XL5vhW3sbDhbH9Cz0tuDiY8C3ctxq1tqvaCgkFb8cCA/edit?usp=sharing"",""ชัยภูมิ!J370"")"),0.0)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IFERROR(__xludf.DUMMYFUNCTION("IMPORTRANGE(""https://docs.google.com/spreadsheets/d/1XL5vhW3sbDhbH9Cz0tuDiY8C3ctxq1tqvaCgkFb8cCA/edit?usp=sharing"",""ชัยภูมิ!I371"")"),0.0)</f>
        <v>0</v>
      </c>
      <c r="J476" s="223">
        <f>IFERROR(__xludf.DUMMYFUNCTION("IMPORTRANGE(""https://docs.google.com/spreadsheets/d/1XL5vhW3sbDhbH9Cz0tuDiY8C3ctxq1tqvaCgkFb8cCA/edit?usp=sharing"",""ชัยภูมิ!J371"")"),0.0)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IFERROR(__xludf.DUMMYFUNCTION("IMPORTRANGE(""https://docs.google.com/spreadsheets/d/1XL5vhW3sbDhbH9Cz0tuDiY8C3ctxq1tqvaCgkFb8cCA/edit?usp=sharing"",""ชัยภูมิ!I372"")"),0.0)</f>
        <v>0</v>
      </c>
      <c r="J477" s="223">
        <f>IFERROR(__xludf.DUMMYFUNCTION("IMPORTRANGE(""https://docs.google.com/spreadsheets/d/1XL5vhW3sbDhbH9Cz0tuDiY8C3ctxq1tqvaCgkFb8cCA/edit?usp=sharing"",""ชัยภูมิ!J372"")"),0.0)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IFERROR(__xludf.DUMMYFUNCTION("IMPORTRANGE(""https://docs.google.com/spreadsheets/d/1XL5vhW3sbDhbH9Cz0tuDiY8C3ctxq1tqvaCgkFb8cCA/edit?usp=sharing"",""ชัยภูมิ!I373"")"),0.0)</f>
        <v>0</v>
      </c>
      <c r="J478" s="223">
        <f>IFERROR(__xludf.DUMMYFUNCTION("IMPORTRANGE(""https://docs.google.com/spreadsheets/d/1XL5vhW3sbDhbH9Cz0tuDiY8C3ctxq1tqvaCgkFb8cCA/edit?usp=sharing"",""ชัยภูมิ!J373"")"),0.0)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IFERROR(__xludf.DUMMYFUNCTION("IMPORTRANGE(""https://docs.google.com/spreadsheets/d/1XL5vhW3sbDhbH9Cz0tuDiY8C3ctxq1tqvaCgkFb8cCA/edit?usp=sharing"",""ชัยภูมิ!I374"")"),0.0)</f>
        <v>0</v>
      </c>
      <c r="J479" s="223">
        <f>IFERROR(__xludf.DUMMYFUNCTION("IMPORTRANGE(""https://docs.google.com/spreadsheets/d/1XL5vhW3sbDhbH9Cz0tuDiY8C3ctxq1tqvaCgkFb8cCA/edit?usp=sharing"",""ชัยภูมิ!J374"")"),0.0)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IFERROR(__xludf.DUMMYFUNCTION("IMPORTRANGE(""https://docs.google.com/spreadsheets/d/1XL5vhW3sbDhbH9Cz0tuDiY8C3ctxq1tqvaCgkFb8cCA/edit?usp=sharing"",""ชัยภูมิ!I375"")"),0.0)</f>
        <v>0</v>
      </c>
      <c r="J480" s="223">
        <f>IFERROR(__xludf.DUMMYFUNCTION("IMPORTRANGE(""https://docs.google.com/spreadsheets/d/1XL5vhW3sbDhbH9Cz0tuDiY8C3ctxq1tqvaCgkFb8cCA/edit?usp=sharing"",""ชัยภูมิ!J375"")"),0.0)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IFERROR(__xludf.DUMMYFUNCTION("IMPORTRANGE(""https://docs.google.com/spreadsheets/d/1XL5vhW3sbDhbH9Cz0tuDiY8C3ctxq1tqvaCgkFb8cCA/edit?usp=sharing"",""ชัยภูมิ!I376"")"),57198.0)</f>
        <v>57198</v>
      </c>
      <c r="J481" s="453">
        <f>IFERROR(__xludf.DUMMYFUNCTION("IMPORTRANGE(""https://docs.google.com/spreadsheets/d/1XL5vhW3sbDhbH9Cz0tuDiY8C3ctxq1tqvaCgkFb8cCA/edit?usp=sharing"",""ชัยภูมิ!J376"")"),0.0)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IFERROR(__xludf.DUMMYFUNCTION("IMPORTRANGE(""https://docs.google.com/spreadsheets/d/1XL5vhW3sbDhbH9Cz0tuDiY8C3ctxq1tqvaCgkFb8cCA/edit?usp=sharing"",""ชัยภูมิ!I377"")"),6678.0)</f>
        <v>6678</v>
      </c>
      <c r="J482" s="453">
        <f>IFERROR(__xludf.DUMMYFUNCTION("IMPORTRANGE(""https://docs.google.com/spreadsheets/d/1XL5vhW3sbDhbH9Cz0tuDiY8C3ctxq1tqvaCgkFb8cCA/edit?usp=sharing"",""ชัยภูมิ!J377"")"),0.0)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IFERROR(__xludf.DUMMYFUNCTION("IMPORTRANGE(""https://docs.google.com/spreadsheets/d/1XL5vhW3sbDhbH9Cz0tuDiY8C3ctxq1tqvaCgkFb8cCA/edit?usp=sharing"",""ชัยภูมิ!I378"")"),0.0)</f>
        <v>0</v>
      </c>
      <c r="J483" s="223">
        <f>IFERROR(__xludf.DUMMYFUNCTION("IMPORTRANGE(""https://docs.google.com/spreadsheets/d/1XL5vhW3sbDhbH9Cz0tuDiY8C3ctxq1tqvaCgkFb8cCA/edit?usp=sharing"",""ชัยภูมิ!J378"")"),0.0)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IFERROR(__xludf.DUMMYFUNCTION("IMPORTRANGE(""https://docs.google.com/spreadsheets/d/1XL5vhW3sbDhbH9Cz0tuDiY8C3ctxq1tqvaCgkFb8cCA/edit?usp=sharing"",""ชัยภูมิ!I379"")"),0.0)</f>
        <v>0</v>
      </c>
      <c r="J484" s="223">
        <f>IFERROR(__xludf.DUMMYFUNCTION("IMPORTRANGE(""https://docs.google.com/spreadsheets/d/1XL5vhW3sbDhbH9Cz0tuDiY8C3ctxq1tqvaCgkFb8cCA/edit?usp=sharing"",""ชัยภูมิ!J379"")"),0.0)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IFERROR(__xludf.DUMMYFUNCTION("IMPORTRANGE(""https://docs.google.com/spreadsheets/d/1XL5vhW3sbDhbH9Cz0tuDiY8C3ctxq1tqvaCgkFb8cCA/edit?usp=sharing"",""ชัยภูมิ!I380"")"),0.0)</f>
        <v>0</v>
      </c>
      <c r="J485" s="223">
        <f>IFERROR(__xludf.DUMMYFUNCTION("IMPORTRANGE(""https://docs.google.com/spreadsheets/d/1XL5vhW3sbDhbH9Cz0tuDiY8C3ctxq1tqvaCgkFb8cCA/edit?usp=sharing"",""ชัยภูมิ!J380"")"),0.0)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IFERROR(__xludf.DUMMYFUNCTION("IMPORTRANGE(""https://docs.google.com/spreadsheets/d/1XL5vhW3sbDhbH9Cz0tuDiY8C3ctxq1tqvaCgkFb8cCA/edit?usp=sharing"",""ชัยภูมิ!I381"")"),0.0)</f>
        <v>0</v>
      </c>
      <c r="J486" s="223">
        <f>IFERROR(__xludf.DUMMYFUNCTION("IMPORTRANGE(""https://docs.google.com/spreadsheets/d/1XL5vhW3sbDhbH9Cz0tuDiY8C3ctxq1tqvaCgkFb8cCA/edit?usp=sharing"",""ชัยภูมิ!J381"")"),0.0)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IFERROR(__xludf.DUMMYFUNCTION("IMPORTRANGE(""https://docs.google.com/spreadsheets/d/1XL5vhW3sbDhbH9Cz0tuDiY8C3ctxq1tqvaCgkFb8cCA/edit?usp=sharing"",""ชัยภูมิ!I382"")"),0.0)</f>
        <v>0</v>
      </c>
      <c r="J487" s="453">
        <f>IFERROR(__xludf.DUMMYFUNCTION("IMPORTRANGE(""https://docs.google.com/spreadsheets/d/1XL5vhW3sbDhbH9Cz0tuDiY8C3ctxq1tqvaCgkFb8cCA/edit?usp=sharing"",""ชัยภูมิ!J382"")"),0.0)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IFERROR(__xludf.DUMMYFUNCTION("IMPORTRANGE(""https://docs.google.com/spreadsheets/d/1XL5vhW3sbDhbH9Cz0tuDiY8C3ctxq1tqvaCgkFb8cCA/edit?usp=sharing"",""ชัยภูมิ!I383"")"),0.0)</f>
        <v>0</v>
      </c>
      <c r="J488" s="453">
        <f>IFERROR(__xludf.DUMMYFUNCTION("IMPORTRANGE(""https://docs.google.com/spreadsheets/d/1XL5vhW3sbDhbH9Cz0tuDiY8C3ctxq1tqvaCgkFb8cCA/edit?usp=sharing"",""ชัยภูมิ!J383"")"),0.0)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IFERROR(__xludf.DUMMYFUNCTION("IMPORTRANGE(""https://docs.google.com/spreadsheets/d/1XL5vhW3sbDhbH9Cz0tuDiY8C3ctxq1tqvaCgkFb8cCA/edit?usp=sharing"",""ชัยภูมิ!I384"")"),0.0)</f>
        <v>0</v>
      </c>
      <c r="J489" s="223">
        <f>IFERROR(__xludf.DUMMYFUNCTION("IMPORTRANGE(""https://docs.google.com/spreadsheets/d/1XL5vhW3sbDhbH9Cz0tuDiY8C3ctxq1tqvaCgkFb8cCA/edit?usp=sharing"",""ชัยภูมิ!J384"")"),0.0)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IFERROR(__xludf.DUMMYFUNCTION("IMPORTRANGE(""https://docs.google.com/spreadsheets/d/1XL5vhW3sbDhbH9Cz0tuDiY8C3ctxq1tqvaCgkFb8cCA/edit?usp=sharing"",""ชัยภูมิ!I385"")"),0.0)</f>
        <v>0</v>
      </c>
      <c r="J490" s="223">
        <f>IFERROR(__xludf.DUMMYFUNCTION("IMPORTRANGE(""https://docs.google.com/spreadsheets/d/1XL5vhW3sbDhbH9Cz0tuDiY8C3ctxq1tqvaCgkFb8cCA/edit?usp=sharing"",""ชัยภูมิ!J385"")"),0.0)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IFERROR(__xludf.DUMMYFUNCTION("IMPORTRANGE(""https://docs.google.com/spreadsheets/d/1XL5vhW3sbDhbH9Cz0tuDiY8C3ctxq1tqvaCgkFb8cCA/edit?usp=sharing"",""ชัยภูมิ!I386"")"),0.0)</f>
        <v>0</v>
      </c>
      <c r="J491" s="223">
        <f>IFERROR(__xludf.DUMMYFUNCTION("IMPORTRANGE(""https://docs.google.com/spreadsheets/d/1XL5vhW3sbDhbH9Cz0tuDiY8C3ctxq1tqvaCgkFb8cCA/edit?usp=sharing"",""ชัยภูมิ!J386"")"),0.0)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IFERROR(__xludf.DUMMYFUNCTION("IMPORTRANGE(""https://docs.google.com/spreadsheets/d/1XL5vhW3sbDhbH9Cz0tuDiY8C3ctxq1tqvaCgkFb8cCA/edit?usp=sharing"",""ชัยภูมิ!I387"")"),0.0)</f>
        <v>0</v>
      </c>
      <c r="J492" s="223">
        <f>IFERROR(__xludf.DUMMYFUNCTION("IMPORTRANGE(""https://docs.google.com/spreadsheets/d/1XL5vhW3sbDhbH9Cz0tuDiY8C3ctxq1tqvaCgkFb8cCA/edit?usp=sharing"",""ชัยภูมิ!J387"")"),0.0)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IFERROR(__xludf.DUMMYFUNCTION("IMPORTRANGE(""https://docs.google.com/spreadsheets/d/1XL5vhW3sbDhbH9Cz0tuDiY8C3ctxq1tqvaCgkFb8cCA/edit?usp=sharing"",""ชัยภูมิ!I388"")"),0.0)</f>
        <v>0</v>
      </c>
      <c r="J493" s="223">
        <f>IFERROR(__xludf.DUMMYFUNCTION("IMPORTRANGE(""https://docs.google.com/spreadsheets/d/1XL5vhW3sbDhbH9Cz0tuDiY8C3ctxq1tqvaCgkFb8cCA/edit?usp=sharing"",""ชัยภูมิ!J388"")"),0.0)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IFERROR(__xludf.DUMMYFUNCTION("IMPORTRANGE(""https://docs.google.com/spreadsheets/d/1XL5vhW3sbDhbH9Cz0tuDiY8C3ctxq1tqvaCgkFb8cCA/edit?usp=sharing"",""ชัยภูมิ!I389"")"),0.0)</f>
        <v>0</v>
      </c>
      <c r="J494" s="469">
        <f>IFERROR(__xludf.DUMMYFUNCTION("IMPORTRANGE(""https://docs.google.com/spreadsheets/d/1XL5vhW3sbDhbH9Cz0tuDiY8C3ctxq1tqvaCgkFb8cCA/edit?usp=sharing"",""ชัยภูมิ!J389"")"),0.0)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IFERROR(__xludf.DUMMYFUNCTION("IMPORTRANGE(""https://docs.google.com/spreadsheets/d/1XL5vhW3sbDhbH9Cz0tuDiY8C3ctxq1tqvaCgkFb8cCA/edit?usp=sharing"",""ชัยภูมิ!I390"")"),0.0)</f>
        <v>0</v>
      </c>
      <c r="J495" s="469">
        <f>IFERROR(__xludf.DUMMYFUNCTION("IMPORTRANGE(""https://docs.google.com/spreadsheets/d/1XL5vhW3sbDhbH9Cz0tuDiY8C3ctxq1tqvaCgkFb8cCA/edit?usp=sharing"",""ชัยภูมิ!J390"")"),0.0)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IFERROR(__xludf.DUMMYFUNCTION("IMPORTRANGE(""https://docs.google.com/spreadsheets/d/1XL5vhW3sbDhbH9Cz0tuDiY8C3ctxq1tqvaCgkFb8cCA/edit?usp=sharing"",""ชัยภูมิ!I391"")"),0.0)</f>
        <v>0</v>
      </c>
      <c r="J496" s="469">
        <f>IFERROR(__xludf.DUMMYFUNCTION("IMPORTRANGE(""https://docs.google.com/spreadsheets/d/1XL5vhW3sbDhbH9Cz0tuDiY8C3ctxq1tqvaCgkFb8cCA/edit?usp=sharing"",""ชัยภูมิ!J391"")"),0.0)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IFERROR(__xludf.DUMMYFUNCTION("IMPORTRANGE(""https://docs.google.com/spreadsheets/d/1XL5vhW3sbDhbH9Cz0tuDiY8C3ctxq1tqvaCgkFb8cCA/edit?usp=sharing"",""ชัยภูมิ!I392"")"),1130.0)</f>
        <v>1130</v>
      </c>
      <c r="J497" s="476">
        <f>IFERROR(__xludf.DUMMYFUNCTION("IMPORTRANGE(""https://docs.google.com/spreadsheets/d/1XL5vhW3sbDhbH9Cz0tuDiY8C3ctxq1tqvaCgkFb8cCA/edit?usp=sharing"",""ชัยภูมิ!J392"")"),0.0)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IFERROR(__xludf.DUMMYFUNCTION("IMPORTRANGE(""https://docs.google.com/spreadsheets/d/1XL5vhW3sbDhbH9Cz0tuDiY8C3ctxq1tqvaCgkFb8cCA/edit?usp=sharing"",""ชัยภูมิ!I393"")"),1130.0)</f>
        <v>1130</v>
      </c>
      <c r="J498" s="453">
        <f>IFERROR(__xludf.DUMMYFUNCTION("IMPORTRANGE(""https://docs.google.com/spreadsheets/d/1XL5vhW3sbDhbH9Cz0tuDiY8C3ctxq1tqvaCgkFb8cCA/edit?usp=sharing"",""ชัยภูมิ!J393"")"),0.0)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IFERROR(__xludf.DUMMYFUNCTION("IMPORTRANGE(""https://docs.google.com/spreadsheets/d/1XL5vhW3sbDhbH9Cz0tuDiY8C3ctxq1tqvaCgkFb8cCA/edit?usp=sharing"",""ชัยภูมิ!I394"")"),161.0)</f>
        <v>161</v>
      </c>
      <c r="J499" s="453">
        <f>IFERROR(__xludf.DUMMYFUNCTION("IMPORTRANGE(""https://docs.google.com/spreadsheets/d/1XL5vhW3sbDhbH9Cz0tuDiY8C3ctxq1tqvaCgkFb8cCA/edit?usp=sharing"",""ชัยภูมิ!J394"")"),0.0)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IFERROR(__xludf.DUMMYFUNCTION("IMPORTRANGE(""https://docs.google.com/spreadsheets/d/1XL5vhW3sbDhbH9Cz0tuDiY8C3ctxq1tqvaCgkFb8cCA/edit?usp=sharing"",""ชัยภูมิ!I395"")"),0.0)</f>
        <v>0</v>
      </c>
      <c r="J500" s="195">
        <f>IFERROR(__xludf.DUMMYFUNCTION("IMPORTRANGE(""https://docs.google.com/spreadsheets/d/1XL5vhW3sbDhbH9Cz0tuDiY8C3ctxq1tqvaCgkFb8cCA/edit?usp=sharing"",""ชัยภูมิ!J395"")"),0.0)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IFERROR(__xludf.DUMMYFUNCTION("IMPORTRANGE(""https://docs.google.com/spreadsheets/d/1XL5vhW3sbDhbH9Cz0tuDiY8C3ctxq1tqvaCgkFb8cCA/edit?usp=sharing"",""ชัยภูมิ!I396"")"),0.0)</f>
        <v>0</v>
      </c>
      <c r="J501" s="195">
        <f>IFERROR(__xludf.DUMMYFUNCTION("IMPORTRANGE(""https://docs.google.com/spreadsheets/d/1XL5vhW3sbDhbH9Cz0tuDiY8C3ctxq1tqvaCgkFb8cCA/edit?usp=sharing"",""ชัยภูมิ!J396"")"),0.0)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IFERROR(__xludf.DUMMYFUNCTION("IMPORTRANGE(""https://docs.google.com/spreadsheets/d/1XL5vhW3sbDhbH9Cz0tuDiY8C3ctxq1tqvaCgkFb8cCA/edit?usp=sharing"",""ชัยภูมิ!I397"")"),0.0)</f>
        <v>0</v>
      </c>
      <c r="J502" s="223">
        <f>IFERROR(__xludf.DUMMYFUNCTION("IMPORTRANGE(""https://docs.google.com/spreadsheets/d/1XL5vhW3sbDhbH9Cz0tuDiY8C3ctxq1tqvaCgkFb8cCA/edit?usp=sharing"",""ชัยภูมิ!J397"")"),0.0)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IFERROR(__xludf.DUMMYFUNCTION("IMPORTRANGE(""https://docs.google.com/spreadsheets/d/1XL5vhW3sbDhbH9Cz0tuDiY8C3ctxq1tqvaCgkFb8cCA/edit?usp=sharing"",""ชัยภูมิ!I398"")"),0.0)</f>
        <v>0</v>
      </c>
      <c r="J503" s="232">
        <f>IFERROR(__xludf.DUMMYFUNCTION("IMPORTRANGE(""https://docs.google.com/spreadsheets/d/1XL5vhW3sbDhbH9Cz0tuDiY8C3ctxq1tqvaCgkFb8cCA/edit?usp=sharing"",""ชัยภูมิ!J398"")"),0.0)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IFERROR(__xludf.DUMMYFUNCTION("IMPORTRANGE(""https://docs.google.com/spreadsheets/d/1XL5vhW3sbDhbH9Cz0tuDiY8C3ctxq1tqvaCgkFb8cCA/edit?usp=sharing"",""ชัยภูมิ!I399"")"),0.0)</f>
        <v>0</v>
      </c>
      <c r="J504" s="223">
        <f>IFERROR(__xludf.DUMMYFUNCTION("IMPORTRANGE(""https://docs.google.com/spreadsheets/d/1XL5vhW3sbDhbH9Cz0tuDiY8C3ctxq1tqvaCgkFb8cCA/edit?usp=sharing"",""ชัยภูมิ!J399"")"),0.0)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IFERROR(__xludf.DUMMYFUNCTION("IMPORTRANGE(""https://docs.google.com/spreadsheets/d/1XL5vhW3sbDhbH9Cz0tuDiY8C3ctxq1tqvaCgkFb8cCA/edit?usp=sharing"",""ชัยภูมิ!I400"")"),0.0)</f>
        <v>0</v>
      </c>
      <c r="J505" s="232">
        <f>IFERROR(__xludf.DUMMYFUNCTION("IMPORTRANGE(""https://docs.google.com/spreadsheets/d/1XL5vhW3sbDhbH9Cz0tuDiY8C3ctxq1tqvaCgkFb8cCA/edit?usp=sharing"",""ชัยภูมิ!J400"")"),0.0)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IFERROR(__xludf.DUMMYFUNCTION("IMPORTRANGE(""https://docs.google.com/spreadsheets/d/1XL5vhW3sbDhbH9Cz0tuDiY8C3ctxq1tqvaCgkFb8cCA/edit?usp=sharing"",""ชัยภูมิ!I401"")"),0.0)</f>
        <v>0</v>
      </c>
      <c r="J506" s="223">
        <f>IFERROR(__xludf.DUMMYFUNCTION("IMPORTRANGE(""https://docs.google.com/spreadsheets/d/1XL5vhW3sbDhbH9Cz0tuDiY8C3ctxq1tqvaCgkFb8cCA/edit?usp=sharing"",""ชัยภูมิ!J401"")"),0.0)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IFERROR(__xludf.DUMMYFUNCTION("IMPORTRANGE(""https://docs.google.com/spreadsheets/d/1XL5vhW3sbDhbH9Cz0tuDiY8C3ctxq1tqvaCgkFb8cCA/edit?usp=sharing"",""ชัยภูมิ!I402"")"),0.0)</f>
        <v>0</v>
      </c>
      <c r="J507" s="232">
        <f>IFERROR(__xludf.DUMMYFUNCTION("IMPORTRANGE(""https://docs.google.com/spreadsheets/d/1XL5vhW3sbDhbH9Cz0tuDiY8C3ctxq1tqvaCgkFb8cCA/edit?usp=sharing"",""ชัยภูมิ!J402"")"),0.0)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IFERROR(__xludf.DUMMYFUNCTION("IMPORTRANGE(""https://docs.google.com/spreadsheets/d/1XL5vhW3sbDhbH9Cz0tuDiY8C3ctxq1tqvaCgkFb8cCA/edit?usp=sharing"",""ชัยภูมิ!I403"")"),0.0)</f>
        <v>0</v>
      </c>
      <c r="J508" s="195">
        <f>IFERROR(__xludf.DUMMYFUNCTION("IMPORTRANGE(""https://docs.google.com/spreadsheets/d/1XL5vhW3sbDhbH9Cz0tuDiY8C3ctxq1tqvaCgkFb8cCA/edit?usp=sharing"",""ชัยภูมิ!J403"")"),0.0)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IFERROR(__xludf.DUMMYFUNCTION("IMPORTRANGE(""https://docs.google.com/spreadsheets/d/1XL5vhW3sbDhbH9Cz0tuDiY8C3ctxq1tqvaCgkFb8cCA/edit?usp=sharing"",""ชัยภูมิ!I404"")"),0.0)</f>
        <v>0</v>
      </c>
      <c r="J509" s="195">
        <f>IFERROR(__xludf.DUMMYFUNCTION("IMPORTRANGE(""https://docs.google.com/spreadsheets/d/1XL5vhW3sbDhbH9Cz0tuDiY8C3ctxq1tqvaCgkFb8cCA/edit?usp=sharing"",""ชัยภูมิ!J404"")"),0.0)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IFERROR(__xludf.DUMMYFUNCTION("IMPORTRANGE(""https://docs.google.com/spreadsheets/d/1XL5vhW3sbDhbH9Cz0tuDiY8C3ctxq1tqvaCgkFb8cCA/edit?usp=sharing"",""ชัยภูมิ!I405"")"),0.0)</f>
        <v>0</v>
      </c>
      <c r="J510" s="232">
        <f>IFERROR(__xludf.DUMMYFUNCTION("IMPORTRANGE(""https://docs.google.com/spreadsheets/d/1XL5vhW3sbDhbH9Cz0tuDiY8C3ctxq1tqvaCgkFb8cCA/edit?usp=sharing"",""ชัยภูมิ!J405"")"),0.0)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IFERROR(__xludf.DUMMYFUNCTION("IMPORTRANGE(""https://docs.google.com/spreadsheets/d/1XL5vhW3sbDhbH9Cz0tuDiY8C3ctxq1tqvaCgkFb8cCA/edit?usp=sharing"",""ชัยภูมิ!I406"")"),0.0)</f>
        <v>0</v>
      </c>
      <c r="J511" s="232">
        <f>IFERROR(__xludf.DUMMYFUNCTION("IMPORTRANGE(""https://docs.google.com/spreadsheets/d/1XL5vhW3sbDhbH9Cz0tuDiY8C3ctxq1tqvaCgkFb8cCA/edit?usp=sharing"",""ชัยภูมิ!J406"")"),0.0)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IFERROR(__xludf.DUMMYFUNCTION("IMPORTRANGE(""https://docs.google.com/spreadsheets/d/1XL5vhW3sbDhbH9Cz0tuDiY8C3ctxq1tqvaCgkFb8cCA/edit?usp=sharing"",""ชัยภูมิ!I407"")"),0.0)</f>
        <v>0</v>
      </c>
      <c r="J512" s="232">
        <f>IFERROR(__xludf.DUMMYFUNCTION("IMPORTRANGE(""https://docs.google.com/spreadsheets/d/1XL5vhW3sbDhbH9Cz0tuDiY8C3ctxq1tqvaCgkFb8cCA/edit?usp=sharing"",""ชัยภูมิ!J407"")"),0.0)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IFERROR(__xludf.DUMMYFUNCTION("IMPORTRANGE(""https://docs.google.com/spreadsheets/d/1XL5vhW3sbDhbH9Cz0tuDiY8C3ctxq1tqvaCgkFb8cCA/edit?usp=sharing"",""ชัยภูมิ!I408"")"),0.0)</f>
        <v>0</v>
      </c>
      <c r="J513" s="232">
        <f>IFERROR(__xludf.DUMMYFUNCTION("IMPORTRANGE(""https://docs.google.com/spreadsheets/d/1XL5vhW3sbDhbH9Cz0tuDiY8C3ctxq1tqvaCgkFb8cCA/edit?usp=sharing"",""ชัยภูมิ!J408"")"),0.0)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IFERROR(__xludf.DUMMYFUNCTION("IMPORTRANGE(""https://docs.google.com/spreadsheets/d/1XL5vhW3sbDhbH9Cz0tuDiY8C3ctxq1tqvaCgkFb8cCA/edit?usp=sharing"",""ชัยภูมิ!I409"")"),0.0)</f>
        <v>0</v>
      </c>
      <c r="J514" s="232">
        <f>IFERROR(__xludf.DUMMYFUNCTION("IMPORTRANGE(""https://docs.google.com/spreadsheets/d/1XL5vhW3sbDhbH9Cz0tuDiY8C3ctxq1tqvaCgkFb8cCA/edit?usp=sharing"",""ชัยภูมิ!J409"")"),0.0)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IFERROR(__xludf.DUMMYFUNCTION("IMPORTRANGE(""https://docs.google.com/spreadsheets/d/1XL5vhW3sbDhbH9Cz0tuDiY8C3ctxq1tqvaCgkFb8cCA/edit?usp=sharing"",""ชัยภูมิ!I410"")"),0.0)</f>
        <v>0</v>
      </c>
      <c r="J515" s="232">
        <f>IFERROR(__xludf.DUMMYFUNCTION("IMPORTRANGE(""https://docs.google.com/spreadsheets/d/1XL5vhW3sbDhbH9Cz0tuDiY8C3ctxq1tqvaCgkFb8cCA/edit?usp=sharing"",""ชัยภูมิ!J410"")"),0.0)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IFERROR(__xludf.DUMMYFUNCTION("IMPORTRANGE(""https://docs.google.com/spreadsheets/d/1XL5vhW3sbDhbH9Cz0tuDiY8C3ctxq1tqvaCgkFb8cCA/edit?usp=sharing"",""ชัยภูมิ!I411"")"),0.0)</f>
        <v>0</v>
      </c>
      <c r="J516" s="301">
        <f>IFERROR(__xludf.DUMMYFUNCTION("IMPORTRANGE(""https://docs.google.com/spreadsheets/d/1XL5vhW3sbDhbH9Cz0tuDiY8C3ctxq1tqvaCgkFb8cCA/edit?usp=sharing"",""ชัยภูมิ!J411"")"),0.0)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IFERROR(__xludf.DUMMYFUNCTION("IMPORTRANGE(""https://docs.google.com/spreadsheets/d/1XL5vhW3sbDhbH9Cz0tuDiY8C3ctxq1tqvaCgkFb8cCA/edit?usp=sharing"",""ชัยภูมิ!I412"")"),0.0)</f>
        <v>0</v>
      </c>
      <c r="J517" s="317">
        <f>IFERROR(__xludf.DUMMYFUNCTION("IMPORTRANGE(""https://docs.google.com/spreadsheets/d/1XL5vhW3sbDhbH9Cz0tuDiY8C3ctxq1tqvaCgkFb8cCA/edit?usp=sharing"",""ชัยภูมิ!J412"")"),0.0)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IFERROR(__xludf.DUMMYFUNCTION("IMPORTRANGE(""https://docs.google.com/spreadsheets/d/1XL5vhW3sbDhbH9Cz0tuDiY8C3ctxq1tqvaCgkFb8cCA/edit?usp=sharing"",""ชัยภูมิ!I413"")"),0.0)</f>
        <v>0</v>
      </c>
      <c r="J518" s="317">
        <f>IFERROR(__xludf.DUMMYFUNCTION("IMPORTRANGE(""https://docs.google.com/spreadsheets/d/1XL5vhW3sbDhbH9Cz0tuDiY8C3ctxq1tqvaCgkFb8cCA/edit?usp=sharing"",""ชัยภูมิ!J413"")"),0.0)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IFERROR(__xludf.DUMMYFUNCTION("IMPORTRANGE(""https://docs.google.com/spreadsheets/d/1XL5vhW3sbDhbH9Cz0tuDiY8C3ctxq1tqvaCgkFb8cCA/edit?usp=sharing"",""ชัยภูมิ!I414"")"),0.0)</f>
        <v>0</v>
      </c>
      <c r="J519" s="222">
        <f>IFERROR(__xludf.DUMMYFUNCTION("IMPORTRANGE(""https://docs.google.com/spreadsheets/d/1XL5vhW3sbDhbH9Cz0tuDiY8C3ctxq1tqvaCgkFb8cCA/edit?usp=sharing"",""ชัยภูมิ!J414"")"),0.0)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IFERROR(__xludf.DUMMYFUNCTION("IMPORTRANGE(""https://docs.google.com/spreadsheets/d/1XL5vhW3sbDhbH9Cz0tuDiY8C3ctxq1tqvaCgkFb8cCA/edit?usp=sharing"",""ชัยภูมิ!I415"")"),0.0)</f>
        <v>0</v>
      </c>
      <c r="J520" s="222">
        <f>IFERROR(__xludf.DUMMYFUNCTION("IMPORTRANGE(""https://docs.google.com/spreadsheets/d/1XL5vhW3sbDhbH9Cz0tuDiY8C3ctxq1tqvaCgkFb8cCA/edit?usp=sharing"",""ชัยภูมิ!J415"")"),0.0)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IFERROR(__xludf.DUMMYFUNCTION("IMPORTRANGE(""https://docs.google.com/spreadsheets/d/1XL5vhW3sbDhbH9Cz0tuDiY8C3ctxq1tqvaCgkFb8cCA/edit?usp=sharing"",""ชัยภูมิ!I416"")"),0.0)</f>
        <v>0</v>
      </c>
      <c r="J521" s="222">
        <f>IFERROR(__xludf.DUMMYFUNCTION("IMPORTRANGE(""https://docs.google.com/spreadsheets/d/1XL5vhW3sbDhbH9Cz0tuDiY8C3ctxq1tqvaCgkFb8cCA/edit?usp=sharing"",""ชัยภูมิ!J416"")"),0.0)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IFERROR(__xludf.DUMMYFUNCTION("IMPORTRANGE(""https://docs.google.com/spreadsheets/d/1XL5vhW3sbDhbH9Cz0tuDiY8C3ctxq1tqvaCgkFb8cCA/edit?usp=sharing"",""ชัยภูมิ!I417"")"),0.0)</f>
        <v>0</v>
      </c>
      <c r="J522" s="222">
        <f>IFERROR(__xludf.DUMMYFUNCTION("IMPORTRANGE(""https://docs.google.com/spreadsheets/d/1XL5vhW3sbDhbH9Cz0tuDiY8C3ctxq1tqvaCgkFb8cCA/edit?usp=sharing"",""ชัยภูมิ!J417"")"),0.0)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IFERROR(__xludf.DUMMYFUNCTION("IMPORTRANGE(""https://docs.google.com/spreadsheets/d/1XL5vhW3sbDhbH9Cz0tuDiY8C3ctxq1tqvaCgkFb8cCA/edit?usp=sharing"",""ชัยภูมิ!I418"")"),0.0)</f>
        <v>0</v>
      </c>
      <c r="J523" s="222">
        <f>IFERROR(__xludf.DUMMYFUNCTION("IMPORTRANGE(""https://docs.google.com/spreadsheets/d/1XL5vhW3sbDhbH9Cz0tuDiY8C3ctxq1tqvaCgkFb8cCA/edit?usp=sharing"",""ชัยภูมิ!J418"")"),0.0)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IFERROR(__xludf.DUMMYFUNCTION("IMPORTRANGE(""https://docs.google.com/spreadsheets/d/1XL5vhW3sbDhbH9Cz0tuDiY8C3ctxq1tqvaCgkFb8cCA/edit?usp=sharing"",""ชัยภูมิ!I419"")"),0.0)</f>
        <v>0</v>
      </c>
      <c r="J524" s="222">
        <f>IFERROR(__xludf.DUMMYFUNCTION("IMPORTRANGE(""https://docs.google.com/spreadsheets/d/1XL5vhW3sbDhbH9Cz0tuDiY8C3ctxq1tqvaCgkFb8cCA/edit?usp=sharing"",""ชัยภูมิ!J419"")"),0.0)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IFERROR(__xludf.DUMMYFUNCTION("IMPORTRANGE(""https://docs.google.com/spreadsheets/d/1XL5vhW3sbDhbH9Cz0tuDiY8C3ctxq1tqvaCgkFb8cCA/edit?usp=sharing"",""ชัยภูมิ!I420"")"),0.0)</f>
        <v>0</v>
      </c>
      <c r="J525" s="317">
        <f>IFERROR(__xludf.DUMMYFUNCTION("IMPORTRANGE(""https://docs.google.com/spreadsheets/d/1XL5vhW3sbDhbH9Cz0tuDiY8C3ctxq1tqvaCgkFb8cCA/edit?usp=sharing"",""ชัยภูมิ!J420"")"),0.0)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IFERROR(__xludf.DUMMYFUNCTION("IMPORTRANGE(""https://docs.google.com/spreadsheets/d/1XL5vhW3sbDhbH9Cz0tuDiY8C3ctxq1tqvaCgkFb8cCA/edit?usp=sharing"",""ชัยภูมิ!I421"")"),0.0)</f>
        <v>0</v>
      </c>
      <c r="J526" s="317">
        <f>IFERROR(__xludf.DUMMYFUNCTION("IMPORTRANGE(""https://docs.google.com/spreadsheets/d/1XL5vhW3sbDhbH9Cz0tuDiY8C3ctxq1tqvaCgkFb8cCA/edit?usp=sharing"",""ชัยภูมิ!J421"")"),0.0)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IFERROR(__xludf.DUMMYFUNCTION("IMPORTRANGE(""https://docs.google.com/spreadsheets/d/1XL5vhW3sbDhbH9Cz0tuDiY8C3ctxq1tqvaCgkFb8cCA/edit?usp=sharing"",""ชัยภูมิ!I422"")"),0.0)</f>
        <v>0</v>
      </c>
      <c r="J527" s="232">
        <f>IFERROR(__xludf.DUMMYFUNCTION("IMPORTRANGE(""https://docs.google.com/spreadsheets/d/1XL5vhW3sbDhbH9Cz0tuDiY8C3ctxq1tqvaCgkFb8cCA/edit?usp=sharing"",""ชัยภูมิ!J422"")"),0.0)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IFERROR(__xludf.DUMMYFUNCTION("IMPORTRANGE(""https://docs.google.com/spreadsheets/d/1XL5vhW3sbDhbH9Cz0tuDiY8C3ctxq1tqvaCgkFb8cCA/edit?usp=sharing"",""ชัยภูมิ!I423"")"),0.0)</f>
        <v>0</v>
      </c>
      <c r="J528" s="232">
        <f>IFERROR(__xludf.DUMMYFUNCTION("IMPORTRANGE(""https://docs.google.com/spreadsheets/d/1XL5vhW3sbDhbH9Cz0tuDiY8C3ctxq1tqvaCgkFb8cCA/edit?usp=sharing"",""ชัยภูมิ!J423"")"),0.0)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IFERROR(__xludf.DUMMYFUNCTION("IMPORTRANGE(""https://docs.google.com/spreadsheets/d/1XL5vhW3sbDhbH9Cz0tuDiY8C3ctxq1tqvaCgkFb8cCA/edit?usp=sharing"",""ชัยภูมิ!I424"")"),0.0)</f>
        <v>0</v>
      </c>
      <c r="J529" s="232">
        <f>IFERROR(__xludf.DUMMYFUNCTION("IMPORTRANGE(""https://docs.google.com/spreadsheets/d/1XL5vhW3sbDhbH9Cz0tuDiY8C3ctxq1tqvaCgkFb8cCA/edit?usp=sharing"",""ชัยภูมิ!J424"")"),0.0)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IFERROR(__xludf.DUMMYFUNCTION("IMPORTRANGE(""https://docs.google.com/spreadsheets/d/1XL5vhW3sbDhbH9Cz0tuDiY8C3ctxq1tqvaCgkFb8cCA/edit?usp=sharing"",""ชัยภูมิ!I425"")"),0.0)</f>
        <v>0</v>
      </c>
      <c r="J530" s="232">
        <f>IFERROR(__xludf.DUMMYFUNCTION("IMPORTRANGE(""https://docs.google.com/spreadsheets/d/1XL5vhW3sbDhbH9Cz0tuDiY8C3ctxq1tqvaCgkFb8cCA/edit?usp=sharing"",""ชัยภูมิ!J425"")"),0.0)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IFERROR(__xludf.DUMMYFUNCTION("IMPORTRANGE(""https://docs.google.com/spreadsheets/d/1XL5vhW3sbDhbH9Cz0tuDiY8C3ctxq1tqvaCgkFb8cCA/edit?usp=sharing"",""ชัยภูมิ!I426"")"),0.0)</f>
        <v>0</v>
      </c>
      <c r="J531" s="232">
        <f>IFERROR(__xludf.DUMMYFUNCTION("IMPORTRANGE(""https://docs.google.com/spreadsheets/d/1XL5vhW3sbDhbH9Cz0tuDiY8C3ctxq1tqvaCgkFb8cCA/edit?usp=sharing"",""ชัยภูมิ!J426"")"),0.0)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IFERROR(__xludf.DUMMYFUNCTION("IMPORTRANGE(""https://docs.google.com/spreadsheets/d/1XL5vhW3sbDhbH9Cz0tuDiY8C3ctxq1tqvaCgkFb8cCA/edit?usp=sharing"",""ชัยภูมิ!I427"")"),0.0)</f>
        <v>0</v>
      </c>
      <c r="J532" s="499">
        <f>IFERROR(__xludf.DUMMYFUNCTION("IMPORTRANGE(""https://docs.google.com/spreadsheets/d/1XL5vhW3sbDhbH9Cz0tuDiY8C3ctxq1tqvaCgkFb8cCA/edit?usp=sharing"",""ชัยภูมิ!J427"")"),0.0)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IFERROR(__xludf.DUMMYFUNCTION("IMPORTRANGE(""https://docs.google.com/spreadsheets/d/1XL5vhW3sbDhbH9Cz0tuDiY8C3ctxq1tqvaCgkFb8cCA/edit?usp=sharing"",""ชัยภูมิ!I428"")"),26.0)</f>
        <v>26</v>
      </c>
      <c r="J533" s="443">
        <f>IFERROR(__xludf.DUMMYFUNCTION("IMPORTRANGE(""https://docs.google.com/spreadsheets/d/1XL5vhW3sbDhbH9Cz0tuDiY8C3ctxq1tqvaCgkFb8cCA/edit?usp=sharing"",""ชัยภูมิ!J428"")"),26.0)</f>
        <v>26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IFERROR(__xludf.DUMMYFUNCTION("IMPORTRANGE(""https://docs.google.com/spreadsheets/d/1XL5vhW3sbDhbH9Cz0tuDiY8C3ctxq1tqvaCgkFb8cCA/edit?usp=sharing"",""ชัยภูมิ!L428"")"),37740.0)</f>
        <v>37740</v>
      </c>
      <c r="M533" s="445"/>
      <c r="N533" s="445">
        <f>IFERROR(__xludf.DUMMYFUNCTION("IMPORTRANGE(""https://docs.google.com/spreadsheets/d/1XL5vhW3sbDhbH9Cz0tuDiY8C3ctxq1tqvaCgkFb8cCA/edit?usp=sharing"",""ชัยภูมิ!M428"")"),27634.0)</f>
        <v>27634</v>
      </c>
      <c r="O533" s="445">
        <f t="shared" ref="O533:O537" si="119">+IF(L533&gt;0,N533*100/L533,0)</f>
        <v>73.22204557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IFERROR(__xludf.DUMMYFUNCTION("IMPORTRANGE(""https://docs.google.com/spreadsheets/d/1XL5vhW3sbDhbH9Cz0tuDiY8C3ctxq1tqvaCgkFb8cCA/edit?usp=sharing"",""ชัยภูมิ!L429"")"),0.0)</f>
        <v>0</v>
      </c>
      <c r="M534" s="197"/>
      <c r="N534" s="203">
        <f>IFERROR(__xludf.DUMMYFUNCTION("IMPORTRANGE(""https://docs.google.com/spreadsheets/d/1XL5vhW3sbDhbH9Cz0tuDiY8C3ctxq1tqvaCgkFb8cCA/edit?usp=sharing"",""ชัยภูมิ!M429"")"),0.0)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IFERROR(__xludf.DUMMYFUNCTION("IMPORTRANGE(""https://docs.google.com/spreadsheets/d/1XL5vhW3sbDhbH9Cz0tuDiY8C3ctxq1tqvaCgkFb8cCA/edit?usp=sharing"",""ชัยภูมิ!L430"")"),37740.0)</f>
        <v>37740</v>
      </c>
      <c r="M535" s="198"/>
      <c r="N535" s="203">
        <f>IFERROR(__xludf.DUMMYFUNCTION("IMPORTRANGE(""https://docs.google.com/spreadsheets/d/1XL5vhW3sbDhbH9Cz0tuDiY8C3ctxq1tqvaCgkFb8cCA/edit?usp=sharing"",""ชัยภูมิ!M430"")"),27634.0)</f>
        <v>27634</v>
      </c>
      <c r="O535" s="203">
        <f t="shared" si="119"/>
        <v>73.22204557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IFERROR(__xludf.DUMMYFUNCTION("IMPORTRANGE(""https://docs.google.com/spreadsheets/d/1XL5vhW3sbDhbH9Cz0tuDiY8C3ctxq1tqvaCgkFb8cCA/edit?usp=sharing"",""ชัยภูมิ!L431"")"),0.0)</f>
        <v>0</v>
      </c>
      <c r="M536" s="203"/>
      <c r="N536" s="203">
        <f>IFERROR(__xludf.DUMMYFUNCTION("IMPORTRANGE(""https://docs.google.com/spreadsheets/d/1XL5vhW3sbDhbH9Cz0tuDiY8C3ctxq1tqvaCgkFb8cCA/edit?usp=sharing"",""ชัยภูมิ!M431"")"),0.0)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IFERROR(__xludf.DUMMYFUNCTION("IMPORTRANGE(""https://docs.google.com/spreadsheets/d/1XL5vhW3sbDhbH9Cz0tuDiY8C3ctxq1tqvaCgkFb8cCA/edit?usp=sharing"",""ชัยภูมิ!L432"")"),37740.0)</f>
        <v>37740</v>
      </c>
      <c r="M537" s="203"/>
      <c r="N537" s="203">
        <f>IFERROR(__xludf.DUMMYFUNCTION("IMPORTRANGE(""https://docs.google.com/spreadsheets/d/1XL5vhW3sbDhbH9Cz0tuDiY8C3ctxq1tqvaCgkFb8cCA/edit?usp=sharing"",""ชัยภูมิ!M432"")"),27634.0)</f>
        <v>27634</v>
      </c>
      <c r="O537" s="203">
        <f t="shared" si="119"/>
        <v>73.22204557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IFERROR(__xludf.DUMMYFUNCTION("IMPORTRANGE(""https://docs.google.com/spreadsheets/d/1XL5vhW3sbDhbH9Cz0tuDiY8C3ctxq1tqvaCgkFb8cCA/edit?usp=sharing"",""ชัยภูมิ!M433"")"),0.0)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IFERROR(__xludf.DUMMYFUNCTION("IMPORTRANGE(""https://docs.google.com/spreadsheets/d/1XL5vhW3sbDhbH9Cz0tuDiY8C3ctxq1tqvaCgkFb8cCA/edit?usp=sharing"",""ชัยภูมิ!M434"")"),18090.0)</f>
        <v>18090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IFERROR(__xludf.DUMMYFUNCTION("IMPORTRANGE(""https://docs.google.com/spreadsheets/d/1XL5vhW3sbDhbH9Cz0tuDiY8C3ctxq1tqvaCgkFb8cCA/edit?usp=sharing"",""ชัยภูมิ!M435"")"),0.0)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IFERROR(__xludf.DUMMYFUNCTION("IMPORTRANGE(""https://docs.google.com/spreadsheets/d/1XL5vhW3sbDhbH9Cz0tuDiY8C3ctxq1tqvaCgkFb8cCA/edit?usp=sharing"",""ชัยภูมิ!M436"")"),9544.0)</f>
        <v>9544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IFERROR(__xludf.DUMMYFUNCTION("IMPORTRANGE(""https://docs.google.com/spreadsheets/d/1XL5vhW3sbDhbH9Cz0tuDiY8C3ctxq1tqvaCgkFb8cCA/edit?usp=sharing"",""ชัยภูมิ!J438"")"),0.0)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IFERROR(__xludf.DUMMYFUNCTION("IMPORTRANGE(""https://docs.google.com/spreadsheets/d/1XL5vhW3sbDhbH9Cz0tuDiY8C3ctxq1tqvaCgkFb8cCA/edit?usp=sharing"",""ชัยภูมิ!J439"")"),1.0)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IFERROR(__xludf.DUMMYFUNCTION("IMPORTRANGE(""https://docs.google.com/spreadsheets/d/1XL5vhW3sbDhbH9Cz0tuDiY8C3ctxq1tqvaCgkFb8cCA/edit?usp=sharing"",""ชัยภูมิ!J440"")"),1.0)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IFERROR(__xludf.DUMMYFUNCTION("IMPORTRANGE(""https://docs.google.com/spreadsheets/d/1XL5vhW3sbDhbH9Cz0tuDiY8C3ctxq1tqvaCgkFb8cCA/edit?usp=sharing"",""ชัยภูมิ!J441"")"),1.0)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IFERROR(__xludf.DUMMYFUNCTION("IMPORTRANGE(""https://docs.google.com/spreadsheets/d/1XL5vhW3sbDhbH9Cz0tuDiY8C3ctxq1tqvaCgkFb8cCA/edit?usp=sharing"",""ชัยภูมิ!I442"")"),26.0)</f>
        <v>26</v>
      </c>
      <c r="J547" s="223">
        <f>IFERROR(__xludf.DUMMYFUNCTION("IMPORTRANGE(""https://docs.google.com/spreadsheets/d/1XL5vhW3sbDhbH9Cz0tuDiY8C3ctxq1tqvaCgkFb8cCA/edit?usp=sharing"",""ชัยภูมิ!J442"")"),26.0)</f>
        <v>26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IFERROR(__xludf.DUMMYFUNCTION("IMPORTRANGE(""https://docs.google.com/spreadsheets/d/1XL5vhW3sbDhbH9Cz0tuDiY8C3ctxq1tqvaCgkFb8cCA/edit?usp=sharing"",""ชัยภูมิ!J166"")"),0.0)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IFERROR(__xludf.DUMMYFUNCTION("IMPORTRANGE(""https://docs.google.com/spreadsheets/d/1XL5vhW3sbDhbH9Cz0tuDiY8C3ctxq1tqvaCgkFb8cCA/edit?usp=sharing"",""ชัยภูมิ!J444"")"),0.0)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IFERROR(__xludf.DUMMYFUNCTION("IMPORTRANGE(""https://docs.google.com/spreadsheets/d/1XL5vhW3sbDhbH9Cz0tuDiY8C3ctxq1tqvaCgkFb8cCA/edit?usp=sharing"",""ชัยภูมิ!J445"")"),0.0)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IFERROR(__xludf.DUMMYFUNCTION("IMPORTRANGE(""https://docs.google.com/spreadsheets/d/1XL5vhW3sbDhbH9Cz0tuDiY8C3ctxq1tqvaCgkFb8cCA/edit?usp=sharing"",""ชัยภูมิ!I446"")"),0.0)</f>
        <v>0</v>
      </c>
      <c r="J551" s="443">
        <f>IFERROR(__xludf.DUMMYFUNCTION("IMPORTRANGE(""https://docs.google.com/spreadsheets/d/1XL5vhW3sbDhbH9Cz0tuDiY8C3ctxq1tqvaCgkFb8cCA/edit?usp=sharing"",""ชัยภูมิ!J446"")"),0.0)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IFERROR(__xludf.DUMMYFUNCTION("IMPORTRANGE(""https://docs.google.com/spreadsheets/d/1XL5vhW3sbDhbH9Cz0tuDiY8C3ctxq1tqvaCgkFb8cCA/edit?usp=sharing"",""ชัยภูมิ!L446"")"),0.0)</f>
        <v>0</v>
      </c>
      <c r="M551" s="445"/>
      <c r="N551" s="445">
        <f>IFERROR(__xludf.DUMMYFUNCTION("IMPORTRANGE(""https://docs.google.com/spreadsheets/d/1XL5vhW3sbDhbH9Cz0tuDiY8C3ctxq1tqvaCgkFb8cCA/edit?usp=sharing"",""ชัยภูมิ!M446"")"),0.0)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IFERROR(__xludf.DUMMYFUNCTION("IMPORTRANGE(""https://docs.google.com/spreadsheets/d/1XL5vhW3sbDhbH9Cz0tuDiY8C3ctxq1tqvaCgkFb8cCA/edit?usp=sharing"",""ชัยภูมิ!L447"")"),0.0)</f>
        <v>0</v>
      </c>
      <c r="M552" s="197"/>
      <c r="N552" s="203">
        <f>IFERROR(__xludf.DUMMYFUNCTION("IMPORTRANGE(""https://docs.google.com/spreadsheets/d/1XL5vhW3sbDhbH9Cz0tuDiY8C3ctxq1tqvaCgkFb8cCA/edit?usp=sharing"",""ชัยภูมิ!M447"")"),0.0)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IFERROR(__xludf.DUMMYFUNCTION("IMPORTRANGE(""https://docs.google.com/spreadsheets/d/1XL5vhW3sbDhbH9Cz0tuDiY8C3ctxq1tqvaCgkFb8cCA/edit?usp=sharing"",""ชัยภูมิ!L448"")"),0.0)</f>
        <v>0</v>
      </c>
      <c r="M553" s="198"/>
      <c r="N553" s="203">
        <f>IFERROR(__xludf.DUMMYFUNCTION("IMPORTRANGE(""https://docs.google.com/spreadsheets/d/1XL5vhW3sbDhbH9Cz0tuDiY8C3ctxq1tqvaCgkFb8cCA/edit?usp=sharing"",""ชัยภูมิ!M448"")"),0.0)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IFERROR(__xludf.DUMMYFUNCTION("IMPORTRANGE(""https://docs.google.com/spreadsheets/d/1XL5vhW3sbDhbH9Cz0tuDiY8C3ctxq1tqvaCgkFb8cCA/edit?usp=sharing"",""ชัยภูมิ!L449"")"),0.0)</f>
        <v>0</v>
      </c>
      <c r="M554" s="203"/>
      <c r="N554" s="203">
        <f>IFERROR(__xludf.DUMMYFUNCTION("IMPORTRANGE(""https://docs.google.com/spreadsheets/d/1XL5vhW3sbDhbH9Cz0tuDiY8C3ctxq1tqvaCgkFb8cCA/edit?usp=sharing"",""ชัยภูมิ!M449"")"),0.0)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IFERROR(__xludf.DUMMYFUNCTION("IMPORTRANGE(""https://docs.google.com/spreadsheets/d/1XL5vhW3sbDhbH9Cz0tuDiY8C3ctxq1tqvaCgkFb8cCA/edit?usp=sharing"",""ชัยภูมิ!L450"")"),0.0)</f>
        <v>0</v>
      </c>
      <c r="M555" s="203"/>
      <c r="N555" s="203">
        <f>IFERROR(__xludf.DUMMYFUNCTION("IMPORTRANGE(""https://docs.google.com/spreadsheets/d/1XL5vhW3sbDhbH9Cz0tuDiY8C3ctxq1tqvaCgkFb8cCA/edit?usp=sharing"",""ชัยภูมิ!M450"")"),0.0)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IFERROR(__xludf.DUMMYFUNCTION("IMPORTRANGE(""https://docs.google.com/spreadsheets/d/1XL5vhW3sbDhbH9Cz0tuDiY8C3ctxq1tqvaCgkFb8cCA/edit?usp=sharing"",""ชัยภูมิ!M451"")"),0.0)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IFERROR(__xludf.DUMMYFUNCTION("IMPORTRANGE(""https://docs.google.com/spreadsheets/d/1XL5vhW3sbDhbH9Cz0tuDiY8C3ctxq1tqvaCgkFb8cCA/edit?usp=sharing"",""ชัยภูมิ!M452"")"),0.0)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IFERROR(__xludf.DUMMYFUNCTION("IMPORTRANGE(""https://docs.google.com/spreadsheets/d/1XL5vhW3sbDhbH9Cz0tuDiY8C3ctxq1tqvaCgkFb8cCA/edit?usp=sharing"",""ชัยภูมิ!M453"")"),0.0)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IFERROR(__xludf.DUMMYFUNCTION("IMPORTRANGE(""https://docs.google.com/spreadsheets/d/1XL5vhW3sbDhbH9Cz0tuDiY8C3ctxq1tqvaCgkFb8cCA/edit?usp=sharing"",""ชัยภูมิ!M454"")"),0.0)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IFERROR(__xludf.DUMMYFUNCTION("IMPORTRANGE(""https://docs.google.com/spreadsheets/d/1XL5vhW3sbDhbH9Cz0tuDiY8C3ctxq1tqvaCgkFb8cCA/edit?usp=sharing"",""ชัยภูมิ!I455"")"),0.0)</f>
        <v>0</v>
      </c>
      <c r="J560" s="195">
        <f>IFERROR(__xludf.DUMMYFUNCTION("IMPORTRANGE(""https://docs.google.com/spreadsheets/d/1XL5vhW3sbDhbH9Cz0tuDiY8C3ctxq1tqvaCgkFb8cCA/edit?usp=sharing"",""ชัยภูมิ!J455"")"),0.0)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IFERROR(__xludf.DUMMYFUNCTION("IMPORTRANGE(""https://docs.google.com/spreadsheets/d/1XL5vhW3sbDhbH9Cz0tuDiY8C3ctxq1tqvaCgkFb8cCA/edit?usp=sharing"",""ชัยภูมิ!I456"")"),0.0)</f>
        <v>0</v>
      </c>
      <c r="J561" s="238">
        <f>IFERROR(__xludf.DUMMYFUNCTION("IMPORTRANGE(""https://docs.google.com/spreadsheets/d/1XL5vhW3sbDhbH9Cz0tuDiY8C3ctxq1tqvaCgkFb8cCA/edit?usp=sharing"",""ชัยภูมิ!J456"")"),0.0)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IFERROR(__xludf.DUMMYFUNCTION("IMPORTRANGE(""https://docs.google.com/spreadsheets/d/1XL5vhW3sbDhbH9Cz0tuDiY8C3ctxq1tqvaCgkFb8cCA/edit?usp=sharing"",""ชัยภูมิ!I457"")"),"")</f>
        <v/>
      </c>
      <c r="J562" s="238" t="str">
        <f>IFERROR(__xludf.DUMMYFUNCTION("IMPORTRANGE(""https://docs.google.com/spreadsheets/d/1XL5vhW3sbDhbH9Cz0tuDiY8C3ctxq1tqvaCgkFb8cCA/edit?usp=sharing"",""ชัยภูมิ!J457"")"),"")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IFERROR(__xludf.DUMMYFUNCTION("IMPORTRANGE(""https://docs.google.com/spreadsheets/d/1XL5vhW3sbDhbH9Cz0tuDiY8C3ctxq1tqvaCgkFb8cCA/edit?usp=sharing"",""ชัยภูมิ!I458"")"),"")</f>
        <v/>
      </c>
      <c r="J563" s="222" t="str">
        <f>IFERROR(__xludf.DUMMYFUNCTION("IMPORTRANGE(""https://docs.google.com/spreadsheets/d/1XL5vhW3sbDhbH9Cz0tuDiY8C3ctxq1tqvaCgkFb8cCA/edit?usp=sharing"",""ชัยภูมิ!J458"")"),"")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IFERROR(__xludf.DUMMYFUNCTION("IMPORTRANGE(""https://docs.google.com/spreadsheets/d/1XL5vhW3sbDhbH9Cz0tuDiY8C3ctxq1tqvaCgkFb8cCA/edit?usp=sharing"",""ชัยภูมิ!I459"")"),4600.0)</f>
        <v>4600</v>
      </c>
      <c r="J564" s="404">
        <f>IFERROR(__xludf.DUMMYFUNCTION("IMPORTRANGE(""https://docs.google.com/spreadsheets/d/1XL5vhW3sbDhbH9Cz0tuDiY8C3ctxq1tqvaCgkFb8cCA/edit?usp=sharing"",""ชัยภูมิ!J459"")"),2343.0)</f>
        <v>2343</v>
      </c>
      <c r="K564" s="405">
        <f t="shared" si="122"/>
        <v>50.93478261</v>
      </c>
      <c r="L564" s="406">
        <f>IFERROR(__xludf.DUMMYFUNCTION("IMPORTRANGE(""https://docs.google.com/spreadsheets/d/1XL5vhW3sbDhbH9Cz0tuDiY8C3ctxq1tqvaCgkFb8cCA/edit?usp=sharing"",""ชัยภูมิ!L459"")"),172800.0)</f>
        <v>172800</v>
      </c>
      <c r="M564" s="406"/>
      <c r="N564" s="406">
        <f>IFERROR(__xludf.DUMMYFUNCTION("IMPORTRANGE(""https://docs.google.com/spreadsheets/d/1XL5vhW3sbDhbH9Cz0tuDiY8C3ctxq1tqvaCgkFb8cCA/edit?usp=sharing"",""ชัยภูมิ!M459"")"),21318.0)</f>
        <v>21318</v>
      </c>
      <c r="O564" s="406">
        <f t="shared" ref="O564:O568" si="123">+IF(L564&gt;0,N564*100/L564,0)</f>
        <v>12.33680556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IFERROR(__xludf.DUMMYFUNCTION("IMPORTRANGE(""https://docs.google.com/spreadsheets/d/1XL5vhW3sbDhbH9Cz0tuDiY8C3ctxq1tqvaCgkFb8cCA/edit?usp=sharing"",""ชัยภูมิ!L460"")"),0.0)</f>
        <v>0</v>
      </c>
      <c r="M565" s="197"/>
      <c r="N565" s="203">
        <f>IFERROR(__xludf.DUMMYFUNCTION("IMPORTRANGE(""https://docs.google.com/spreadsheets/d/1XL5vhW3sbDhbH9Cz0tuDiY8C3ctxq1tqvaCgkFb8cCA/edit?usp=sharing"",""ชัยภูมิ!M460"")"),0.0)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IFERROR(__xludf.DUMMYFUNCTION("IMPORTRANGE(""https://docs.google.com/spreadsheets/d/1XL5vhW3sbDhbH9Cz0tuDiY8C3ctxq1tqvaCgkFb8cCA/edit?usp=sharing"",""ชัยภูมิ!L461"")"),172800.0)</f>
        <v>172800</v>
      </c>
      <c r="M566" s="198"/>
      <c r="N566" s="203">
        <f>IFERROR(__xludf.DUMMYFUNCTION("IMPORTRANGE(""https://docs.google.com/spreadsheets/d/1XL5vhW3sbDhbH9Cz0tuDiY8C3ctxq1tqvaCgkFb8cCA/edit?usp=sharing"",""ชัยภูมิ!M461"")"),21318.0)</f>
        <v>21318</v>
      </c>
      <c r="O566" s="203">
        <f t="shared" si="123"/>
        <v>12.33680556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IFERROR(__xludf.DUMMYFUNCTION("IMPORTRANGE(""https://docs.google.com/spreadsheets/d/1XL5vhW3sbDhbH9Cz0tuDiY8C3ctxq1tqvaCgkFb8cCA/edit?usp=sharing"",""ชัยภูมิ!L462"")"),0.0)</f>
        <v>0</v>
      </c>
      <c r="M567" s="203"/>
      <c r="N567" s="203">
        <f>IFERROR(__xludf.DUMMYFUNCTION("IMPORTRANGE(""https://docs.google.com/spreadsheets/d/1XL5vhW3sbDhbH9Cz0tuDiY8C3ctxq1tqvaCgkFb8cCA/edit?usp=sharing"",""ชัยภูมิ!M462"")"),0.0)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IFERROR(__xludf.DUMMYFUNCTION("IMPORTRANGE(""https://docs.google.com/spreadsheets/d/1XL5vhW3sbDhbH9Cz0tuDiY8C3ctxq1tqvaCgkFb8cCA/edit?usp=sharing"",""ชัยภูมิ!L463"")"),172800.0)</f>
        <v>172800</v>
      </c>
      <c r="M568" s="203"/>
      <c r="N568" s="203">
        <f>IFERROR(__xludf.DUMMYFUNCTION("IMPORTRANGE(""https://docs.google.com/spreadsheets/d/1XL5vhW3sbDhbH9Cz0tuDiY8C3ctxq1tqvaCgkFb8cCA/edit?usp=sharing"",""ชัยภูมิ!M463"")"),21318.0)</f>
        <v>21318</v>
      </c>
      <c r="O568" s="203">
        <f t="shared" si="123"/>
        <v>12.33680556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IFERROR(__xludf.DUMMYFUNCTION("IMPORTRANGE(""https://docs.google.com/spreadsheets/d/1XL5vhW3sbDhbH9Cz0tuDiY8C3ctxq1tqvaCgkFb8cCA/edit?usp=sharing"",""ชัยภูมิ!M464"")"),0.0)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IFERROR(__xludf.DUMMYFUNCTION("IMPORTRANGE(""https://docs.google.com/spreadsheets/d/1XL5vhW3sbDhbH9Cz0tuDiY8C3ctxq1tqvaCgkFb8cCA/edit?usp=sharing"",""ชัยภูมิ!M465"")"),0.0)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IFERROR(__xludf.DUMMYFUNCTION("IMPORTRANGE(""https://docs.google.com/spreadsheets/d/1XL5vhW3sbDhbH9Cz0tuDiY8C3ctxq1tqvaCgkFb8cCA/edit?usp=sharing"",""ชัยภูมิ!M466"")"),11000.0)</f>
        <v>11000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IFERROR(__xludf.DUMMYFUNCTION("IMPORTRANGE(""https://docs.google.com/spreadsheets/d/1XL5vhW3sbDhbH9Cz0tuDiY8C3ctxq1tqvaCgkFb8cCA/edit?usp=sharing"",""ชัยภูมิ!M467"")"),10318.0)</f>
        <v>10318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IFERROR(__xludf.DUMMYFUNCTION("IMPORTRANGE(""https://docs.google.com/spreadsheets/d/1XL5vhW3sbDhbH9Cz0tuDiY8C3ctxq1tqvaCgkFb8cCA/edit?usp=sharing"",""ชัยภูมิ!I468"")"),4600.0)</f>
        <v>4600</v>
      </c>
      <c r="J573" s="453">
        <f>IFERROR(__xludf.DUMMYFUNCTION("IMPORTRANGE(""https://docs.google.com/spreadsheets/d/1XL5vhW3sbDhbH9Cz0tuDiY8C3ctxq1tqvaCgkFb8cCA/edit?usp=sharing"",""ชัยภูมิ!J468"")"),2343.0)</f>
        <v>2343</v>
      </c>
      <c r="K573" s="236">
        <f>IF(I573&gt;0,J573*100/I573,0)</f>
        <v>50.93478261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IFERROR(__xludf.DUMMYFUNCTION("IMPORTRANGE(""https://docs.google.com/spreadsheets/d/1XL5vhW3sbDhbH9Cz0tuDiY8C3ctxq1tqvaCgkFb8cCA/edit?usp=sharing"",""ชัยภูมิ!I470"")"),0.0)</f>
        <v>0</v>
      </c>
      <c r="J575" s="232">
        <f>IFERROR(__xludf.DUMMYFUNCTION("IMPORTRANGE(""https://docs.google.com/spreadsheets/d/1XL5vhW3sbDhbH9Cz0tuDiY8C3ctxq1tqvaCgkFb8cCA/edit?usp=sharing"",""ชัยภูมิ!J470"")"),1.0)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IFERROR(__xludf.DUMMYFUNCTION("IMPORTRANGE(""https://docs.google.com/spreadsheets/d/1XL5vhW3sbDhbH9Cz0tuDiY8C3ctxq1tqvaCgkFb8cCA/edit?usp=sharing"",""ชัยภูมิ!I471"")"),0.0)</f>
        <v>0</v>
      </c>
      <c r="J576" s="232">
        <f>IFERROR(__xludf.DUMMYFUNCTION("IMPORTRANGE(""https://docs.google.com/spreadsheets/d/1XL5vhW3sbDhbH9Cz0tuDiY8C3ctxq1tqvaCgkFb8cCA/edit?usp=sharing"",""ชัยภูมิ!J471"")"),42.0)</f>
        <v>42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IFERROR(__xludf.DUMMYFUNCTION("IMPORTRANGE(""https://docs.google.com/spreadsheets/d/1XL5vhW3sbDhbH9Cz0tuDiY8C3ctxq1tqvaCgkFb8cCA/edit?usp=sharing"",""ชัยภูมิ!I472"")"),0.0)</f>
        <v>0</v>
      </c>
      <c r="J577" s="223">
        <f>IFERROR(__xludf.DUMMYFUNCTION("IMPORTRANGE(""https://docs.google.com/spreadsheets/d/1XL5vhW3sbDhbH9Cz0tuDiY8C3ctxq1tqvaCgkFb8cCA/edit?usp=sharing"",""ชัยภูมิ!J472"")"),2301.0)</f>
        <v>2301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IFERROR(__xludf.DUMMYFUNCTION("IMPORTRANGE(""https://docs.google.com/spreadsheets/d/1XL5vhW3sbDhbH9Cz0tuDiY8C3ctxq1tqvaCgkFb8cCA/edit?usp=sharing"",""ชัยภูมิ!I473"")"),0.0)</f>
        <v>0</v>
      </c>
      <c r="J578" s="232">
        <f>IFERROR(__xludf.DUMMYFUNCTION("IMPORTRANGE(""https://docs.google.com/spreadsheets/d/1XL5vhW3sbDhbH9Cz0tuDiY8C3ctxq1tqvaCgkFb8cCA/edit?usp=sharing"",""ชัยภูมิ!J473"")"),0.0)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IFERROR(__xludf.DUMMYFUNCTION("IMPORTRANGE(""https://docs.google.com/spreadsheets/d/1XL5vhW3sbDhbH9Cz0tuDiY8C3ctxq1tqvaCgkFb8cCA/edit?usp=sharing"",""ชัยภูมิ!I474"")"),0.0)</f>
        <v>0</v>
      </c>
      <c r="J579" s="232">
        <f>IFERROR(__xludf.DUMMYFUNCTION("IMPORTRANGE(""https://docs.google.com/spreadsheets/d/1XL5vhW3sbDhbH9Cz0tuDiY8C3ctxq1tqvaCgkFb8cCA/edit?usp=sharing"",""ชัยภูมิ!J474"")"),0.0)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IFERROR(__xludf.DUMMYFUNCTION("IMPORTRANGE(""https://docs.google.com/spreadsheets/d/1XL5vhW3sbDhbH9Cz0tuDiY8C3ctxq1tqvaCgkFb8cCA/edit?usp=sharing"",""ชัยภูมิ!I475"")"),0.0)</f>
        <v>0</v>
      </c>
      <c r="J580" s="404">
        <f>IFERROR(__xludf.DUMMYFUNCTION("IMPORTRANGE(""https://docs.google.com/spreadsheets/d/1XL5vhW3sbDhbH9Cz0tuDiY8C3ctxq1tqvaCgkFb8cCA/edit?usp=sharing"",""ชัยภูมิ!J475"")"),19.0)</f>
        <v>19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IFERROR(__xludf.DUMMYFUNCTION("IMPORTRANGE(""https://docs.google.com/spreadsheets/d/1XL5vhW3sbDhbH9Cz0tuDiY8C3ctxq1tqvaCgkFb8cCA/edit?usp=sharing"",""ชัยภูมิ!L475"")"),0.0)</f>
        <v>0</v>
      </c>
      <c r="M580" s="406"/>
      <c r="N580" s="406">
        <f>IFERROR(__xludf.DUMMYFUNCTION("IMPORTRANGE(""https://docs.google.com/spreadsheets/d/1XL5vhW3sbDhbH9Cz0tuDiY8C3ctxq1tqvaCgkFb8cCA/edit?usp=sharing"",""ชัยภูมิ!M475"")"),0.0)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IFERROR(__xludf.DUMMYFUNCTION("IMPORTRANGE(""https://docs.google.com/spreadsheets/d/1XL5vhW3sbDhbH9Cz0tuDiY8C3ctxq1tqvaCgkFb8cCA/edit?usp=sharing"",""ชัยภูมิ!L476"")"),0.0)</f>
        <v>0</v>
      </c>
      <c r="M581" s="197"/>
      <c r="N581" s="203">
        <f>IFERROR(__xludf.DUMMYFUNCTION("IMPORTRANGE(""https://docs.google.com/spreadsheets/d/1XL5vhW3sbDhbH9Cz0tuDiY8C3ctxq1tqvaCgkFb8cCA/edit?usp=sharing"",""ชัยภูมิ!M476"")"),0.0)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IFERROR(__xludf.DUMMYFUNCTION("IMPORTRANGE(""https://docs.google.com/spreadsheets/d/1XL5vhW3sbDhbH9Cz0tuDiY8C3ctxq1tqvaCgkFb8cCA/edit?usp=sharing"",""ชัยภูมิ!L477"")"),0.0)</f>
        <v>0</v>
      </c>
      <c r="M582" s="198"/>
      <c r="N582" s="203">
        <f>IFERROR(__xludf.DUMMYFUNCTION("IMPORTRANGE(""https://docs.google.com/spreadsheets/d/1XL5vhW3sbDhbH9Cz0tuDiY8C3ctxq1tqvaCgkFb8cCA/edit?usp=sharing"",""ชัยภูมิ!M477"")"),0.0)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IFERROR(__xludf.DUMMYFUNCTION("IMPORTRANGE(""https://docs.google.com/spreadsheets/d/1XL5vhW3sbDhbH9Cz0tuDiY8C3ctxq1tqvaCgkFb8cCA/edit?usp=sharing"",""ชัยภูมิ!L478"")"),0.0)</f>
        <v>0</v>
      </c>
      <c r="M583" s="203"/>
      <c r="N583" s="203">
        <f>IFERROR(__xludf.DUMMYFUNCTION("IMPORTRANGE(""https://docs.google.com/spreadsheets/d/1XL5vhW3sbDhbH9Cz0tuDiY8C3ctxq1tqvaCgkFb8cCA/edit?usp=sharing"",""ชัยภูมิ!M478"")"),0.0)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IFERROR(__xludf.DUMMYFUNCTION("IMPORTRANGE(""https://docs.google.com/spreadsheets/d/1XL5vhW3sbDhbH9Cz0tuDiY8C3ctxq1tqvaCgkFb8cCA/edit?usp=sharing"",""ชัยภูมิ!L479"")"),0.0)</f>
        <v>0</v>
      </c>
      <c r="M584" s="203"/>
      <c r="N584" s="203">
        <f>IFERROR(__xludf.DUMMYFUNCTION("IMPORTRANGE(""https://docs.google.com/spreadsheets/d/1XL5vhW3sbDhbH9Cz0tuDiY8C3ctxq1tqvaCgkFb8cCA/edit?usp=sharing"",""ชัยภูมิ!M479"")"),0.0)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IFERROR(__xludf.DUMMYFUNCTION("IMPORTRANGE(""https://docs.google.com/spreadsheets/d/1XL5vhW3sbDhbH9Cz0tuDiY8C3ctxq1tqvaCgkFb8cCA/edit?usp=sharing"",""ชัยภูมิ!M480"")"),0.0)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IFERROR(__xludf.DUMMYFUNCTION("IMPORTRANGE(""https://docs.google.com/spreadsheets/d/1XL5vhW3sbDhbH9Cz0tuDiY8C3ctxq1tqvaCgkFb8cCA/edit?usp=sharing"",""ชัยภูมิ!M481"")"),0.0)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IFERROR(__xludf.DUMMYFUNCTION("IMPORTRANGE(""https://docs.google.com/spreadsheets/d/1XL5vhW3sbDhbH9Cz0tuDiY8C3ctxq1tqvaCgkFb8cCA/edit?usp=sharing"",""ชัยภูมิ!M482"")"),0.0)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IFERROR(__xludf.DUMMYFUNCTION("IMPORTRANGE(""https://docs.google.com/spreadsheets/d/1XL5vhW3sbDhbH9Cz0tuDiY8C3ctxq1tqvaCgkFb8cCA/edit?usp=sharing"",""ชัยภูมิ!M483"")"),0.0)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IFERROR(__xludf.DUMMYFUNCTION("IMPORTRANGE(""https://docs.google.com/spreadsheets/d/1XL5vhW3sbDhbH9Cz0tuDiY8C3ctxq1tqvaCgkFb8cCA/edit?usp=sharing"",""ชัยภูมิ!I484"")"),0.0)</f>
        <v>0</v>
      </c>
      <c r="J589" s="222">
        <f>IFERROR(__xludf.DUMMYFUNCTION("IMPORTRANGE(""https://docs.google.com/spreadsheets/d/1XL5vhW3sbDhbH9Cz0tuDiY8C3ctxq1tqvaCgkFb8cCA/edit?usp=sharing"",""ชัยภูมิ!J484"")"),0.0)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IFERROR(__xludf.DUMMYFUNCTION("IMPORTRANGE(""https://docs.google.com/spreadsheets/d/1XL5vhW3sbDhbH9Cz0tuDiY8C3ctxq1tqvaCgkFb8cCA/edit?usp=sharing"",""ชัยภูมิ!I485"")"),0.0)</f>
        <v>0</v>
      </c>
      <c r="J590" s="222">
        <f>IFERROR(__xludf.DUMMYFUNCTION("IMPORTRANGE(""https://docs.google.com/spreadsheets/d/1XL5vhW3sbDhbH9Cz0tuDiY8C3ctxq1tqvaCgkFb8cCA/edit?usp=sharing"",""ชัยภูมิ!J485"")"),0.0)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IFERROR(__xludf.DUMMYFUNCTION("IMPORTRANGE(""https://docs.google.com/spreadsheets/d/1XL5vhW3sbDhbH9Cz0tuDiY8C3ctxq1tqvaCgkFb8cCA/edit?usp=sharing"",""ชัยภูมิ!I486"")"),0.0)</f>
        <v>0</v>
      </c>
      <c r="J591" s="222">
        <f>IFERROR(__xludf.DUMMYFUNCTION("IMPORTRANGE(""https://docs.google.com/spreadsheets/d/1XL5vhW3sbDhbH9Cz0tuDiY8C3ctxq1tqvaCgkFb8cCA/edit?usp=sharing"",""ชัยภูมิ!J486"")"),21.0)</f>
        <v>21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IFERROR(__xludf.DUMMYFUNCTION("IMPORTRANGE(""https://docs.google.com/spreadsheets/d/1XL5vhW3sbDhbH9Cz0tuDiY8C3ctxq1tqvaCgkFb8cCA/edit?usp=sharing"",""ชัยภูมิ!I487"")"),0.0)</f>
        <v>0</v>
      </c>
      <c r="J592" s="222">
        <f>IFERROR(__xludf.DUMMYFUNCTION("IMPORTRANGE(""https://docs.google.com/spreadsheets/d/1XL5vhW3sbDhbH9Cz0tuDiY8C3ctxq1tqvaCgkFb8cCA/edit?usp=sharing"",""ชัยภูมิ!J487"")"),12.0)</f>
        <v>12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IFERROR(__xludf.DUMMYFUNCTION("IMPORTRANGE(""https://docs.google.com/spreadsheets/d/1XL5vhW3sbDhbH9Cz0tuDiY8C3ctxq1tqvaCgkFb8cCA/edit?usp=sharing"",""ชัยภูมิ!I488"")"),0.0)</f>
        <v>0</v>
      </c>
      <c r="J593" s="222">
        <f>IFERROR(__xludf.DUMMYFUNCTION("IMPORTRANGE(""https://docs.google.com/spreadsheets/d/1XL5vhW3sbDhbH9Cz0tuDiY8C3ctxq1tqvaCgkFb8cCA/edit?usp=sharing"",""ชัยภูมิ!J488"")"),0.0)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IFERROR(__xludf.DUMMYFUNCTION("IMPORTRANGE(""https://docs.google.com/spreadsheets/d/1XL5vhW3sbDhbH9Cz0tuDiY8C3ctxq1tqvaCgkFb8cCA/edit?usp=sharing"",""ชัยภูมิ!I489"")"),0.0)</f>
        <v>0</v>
      </c>
      <c r="J594" s="222">
        <f>IFERROR(__xludf.DUMMYFUNCTION("IMPORTRANGE(""https://docs.google.com/spreadsheets/d/1XL5vhW3sbDhbH9Cz0tuDiY8C3ctxq1tqvaCgkFb8cCA/edit?usp=sharing"",""ชัยภูมิ!J489"")"),0.0)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IFERROR(__xludf.DUMMYFUNCTION("IMPORTRANGE(""https://docs.google.com/spreadsheets/d/1XL5vhW3sbDhbH9Cz0tuDiY8C3ctxq1tqvaCgkFb8cCA/edit?usp=sharing"",""ชัยภูมิ!I490"")"),0.0)</f>
        <v>0</v>
      </c>
      <c r="J595" s="222">
        <f>IFERROR(__xludf.DUMMYFUNCTION("IMPORTRANGE(""https://docs.google.com/spreadsheets/d/1XL5vhW3sbDhbH9Cz0tuDiY8C3ctxq1tqvaCgkFb8cCA/edit?usp=sharing"",""ชัยภูมิ!J490"")"),19.0)</f>
        <v>19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IFERROR(__xludf.DUMMYFUNCTION("IMPORTRANGE(""https://docs.google.com/spreadsheets/d/1XL5vhW3sbDhbH9Cz0tuDiY8C3ctxq1tqvaCgkFb8cCA/edit?usp=sharing"",""ชัยภูมิ!I491"")"),0.0)</f>
        <v>0</v>
      </c>
      <c r="J596" s="275">
        <f>IFERROR(__xludf.DUMMYFUNCTION("IMPORTRANGE(""https://docs.google.com/spreadsheets/d/1XL5vhW3sbDhbH9Cz0tuDiY8C3ctxq1tqvaCgkFb8cCA/edit?usp=sharing"",""ชัยภูมิ!J491"")"),11.09)</f>
        <v>11.09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IFERROR(__xludf.DUMMYFUNCTION("IMPORTRANGE(""https://docs.google.com/spreadsheets/d/1XL5vhW3sbDhbH9Cz0tuDiY8C3ctxq1tqvaCgkFb8cCA/edit?usp=sharing"",""ชัยภูมิ!I492"")"),100.0)</f>
        <v>100</v>
      </c>
      <c r="J597" s="520">
        <f>IFERROR(__xludf.DUMMYFUNCTION("IMPORTRANGE(""https://docs.google.com/spreadsheets/d/1XL5vhW3sbDhbH9Cz0tuDiY8C3ctxq1tqvaCgkFb8cCA/edit?usp=sharing"",""ชัยภูมิ!J492"")"),0.0)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IFERROR(__xludf.DUMMYFUNCTION("IMPORTRANGE(""https://docs.google.com/spreadsheets/d/1XL5vhW3sbDhbH9Cz0tuDiY8C3ctxq1tqvaCgkFb8cCA/edit?usp=sharing"",""ชัยภูมิ!L492"")"),7300.0)</f>
        <v>7300</v>
      </c>
      <c r="M597" s="445"/>
      <c r="N597" s="445">
        <f>IFERROR(__xludf.DUMMYFUNCTION("IMPORTRANGE(""https://docs.google.com/spreadsheets/d/1XL5vhW3sbDhbH9Cz0tuDiY8C3ctxq1tqvaCgkFb8cCA/edit?usp=sharing"",""ชัยภูมิ!M492"")"),720.0)</f>
        <v>720</v>
      </c>
      <c r="O597" s="445">
        <f t="shared" ref="O597:O601" si="127">+IF(L597&gt;0,N597*100/L597,0)</f>
        <v>9.863013699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IFERROR(__xludf.DUMMYFUNCTION("IMPORTRANGE(""https://docs.google.com/spreadsheets/d/1XL5vhW3sbDhbH9Cz0tuDiY8C3ctxq1tqvaCgkFb8cCA/edit?usp=sharing"",""ชัยภูมิ!L493"")"),0.0)</f>
        <v>0</v>
      </c>
      <c r="M598" s="197"/>
      <c r="N598" s="203">
        <f>IFERROR(__xludf.DUMMYFUNCTION("IMPORTRANGE(""https://docs.google.com/spreadsheets/d/1XL5vhW3sbDhbH9Cz0tuDiY8C3ctxq1tqvaCgkFb8cCA/edit?usp=sharing"",""ชัยภูมิ!M493"")"),0.0)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IFERROR(__xludf.DUMMYFUNCTION("IMPORTRANGE(""https://docs.google.com/spreadsheets/d/1XL5vhW3sbDhbH9Cz0tuDiY8C3ctxq1tqvaCgkFb8cCA/edit?usp=sharing"",""ชัยภูมิ!L494"")"),7300.0)</f>
        <v>7300</v>
      </c>
      <c r="M599" s="198"/>
      <c r="N599" s="203">
        <f>IFERROR(__xludf.DUMMYFUNCTION("IMPORTRANGE(""https://docs.google.com/spreadsheets/d/1XL5vhW3sbDhbH9Cz0tuDiY8C3ctxq1tqvaCgkFb8cCA/edit?usp=sharing"",""ชัยภูมิ!M494"")"),720.0)</f>
        <v>720</v>
      </c>
      <c r="O599" s="203">
        <f t="shared" si="127"/>
        <v>9.863013699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IFERROR(__xludf.DUMMYFUNCTION("IMPORTRANGE(""https://docs.google.com/spreadsheets/d/1XL5vhW3sbDhbH9Cz0tuDiY8C3ctxq1tqvaCgkFb8cCA/edit?usp=sharing"",""ชัยภูมิ!L495"")"),0.0)</f>
        <v>0</v>
      </c>
      <c r="M600" s="203"/>
      <c r="N600" s="203">
        <f>IFERROR(__xludf.DUMMYFUNCTION("IMPORTRANGE(""https://docs.google.com/spreadsheets/d/1XL5vhW3sbDhbH9Cz0tuDiY8C3ctxq1tqvaCgkFb8cCA/edit?usp=sharing"",""ชัยภูมิ!M495"")"),0.0)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IFERROR(__xludf.DUMMYFUNCTION("IMPORTRANGE(""https://docs.google.com/spreadsheets/d/1XL5vhW3sbDhbH9Cz0tuDiY8C3ctxq1tqvaCgkFb8cCA/edit?usp=sharing"",""ชัยภูมิ!L496"")"),7300.0)</f>
        <v>7300</v>
      </c>
      <c r="M601" s="203"/>
      <c r="N601" s="203">
        <f>IFERROR(__xludf.DUMMYFUNCTION("IMPORTRANGE(""https://docs.google.com/spreadsheets/d/1XL5vhW3sbDhbH9Cz0tuDiY8C3ctxq1tqvaCgkFb8cCA/edit?usp=sharing"",""ชัยภูมิ!M496"")"),720.0)</f>
        <v>720</v>
      </c>
      <c r="O601" s="203">
        <f t="shared" si="127"/>
        <v>9.863013699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IFERROR(__xludf.DUMMYFUNCTION("IMPORTRANGE(""https://docs.google.com/spreadsheets/d/1XL5vhW3sbDhbH9Cz0tuDiY8C3ctxq1tqvaCgkFb8cCA/edit?usp=sharing"",""ชัยภูมิ!M497"")"),0.0)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IFERROR(__xludf.DUMMYFUNCTION("IMPORTRANGE(""https://docs.google.com/spreadsheets/d/1XL5vhW3sbDhbH9Cz0tuDiY8C3ctxq1tqvaCgkFb8cCA/edit?usp=sharing"",""ชัยภูมิ!M498"")"),0.0)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IFERROR(__xludf.DUMMYFUNCTION("IMPORTRANGE(""https://docs.google.com/spreadsheets/d/1XL5vhW3sbDhbH9Cz0tuDiY8C3ctxq1tqvaCgkFb8cCA/edit?usp=sharing"",""ชัยภูมิ!M499"")"),0.0)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IFERROR(__xludf.DUMMYFUNCTION("IMPORTRANGE(""https://docs.google.com/spreadsheets/d/1XL5vhW3sbDhbH9Cz0tuDiY8C3ctxq1tqvaCgkFb8cCA/edit?usp=sharing"",""ชัยภูมิ!M500"")"),720.0)</f>
        <v>720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IFERROR(__xludf.DUMMYFUNCTION("IMPORTRANGE(""https://docs.google.com/spreadsheets/d/1XL5vhW3sbDhbH9Cz0tuDiY8C3ctxq1tqvaCgkFb8cCA/edit?usp=sharing"",""ชัยภูมิ!J502"")"),0.0)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IFERROR(__xludf.DUMMYFUNCTION("IMPORTRANGE(""https://docs.google.com/spreadsheets/d/1XL5vhW3sbDhbH9Cz0tuDiY8C3ctxq1tqvaCgkFb8cCA/edit?usp=sharing"",""ชัยภูมิ!J503"")"),1.0)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IFERROR(__xludf.DUMMYFUNCTION("IMPORTRANGE(""https://docs.google.com/spreadsheets/d/1XL5vhW3sbDhbH9Cz0tuDiY8C3ctxq1tqvaCgkFb8cCA/edit?usp=sharing"",""ชัยภูมิ!J166"")"),0.0)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IFERROR(__xludf.DUMMYFUNCTION("IMPORTRANGE(""https://docs.google.com/spreadsheets/d/1XL5vhW3sbDhbH9Cz0tuDiY8C3ctxq1tqvaCgkFb8cCA/edit?usp=sharing"",""ชัยภูมิ!J166"")"),0.0)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IFERROR(__xludf.DUMMYFUNCTION("IMPORTRANGE(""https://docs.google.com/spreadsheets/d/1XL5vhW3sbDhbH9Cz0tuDiY8C3ctxq1tqvaCgkFb8cCA/edit?usp=sharing"",""ชัยภูมิ!I506"")"),100.0)</f>
        <v>100</v>
      </c>
      <c r="J611" s="195">
        <f>IFERROR(__xludf.DUMMYFUNCTION("IMPORTRANGE(""https://docs.google.com/spreadsheets/d/1XL5vhW3sbDhbH9Cz0tuDiY8C3ctxq1tqvaCgkFb8cCA/edit?usp=sharing"",""ชัยภูมิ!J506"")"),0.0)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IFERROR(__xludf.DUMMYFUNCTION("IMPORTRANGE(""https://docs.google.com/spreadsheets/d/1XL5vhW3sbDhbH9Cz0tuDiY8C3ctxq1tqvaCgkFb8cCA/edit?usp=sharing"",""ชัยภูมิ!I507"")"),0.0)</f>
        <v>0</v>
      </c>
      <c r="J612" s="232">
        <f>IFERROR(__xludf.DUMMYFUNCTION("IMPORTRANGE(""https://docs.google.com/spreadsheets/d/1XL5vhW3sbDhbH9Cz0tuDiY8C3ctxq1tqvaCgkFb8cCA/edit?usp=sharing"",""ชัยภูมิ!J507"")"),0.0)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IFERROR(__xludf.DUMMYFUNCTION("IMPORTRANGE(""https://docs.google.com/spreadsheets/d/1XL5vhW3sbDhbH9Cz0tuDiY8C3ctxq1tqvaCgkFb8cCA/edit?usp=sharing"",""ชัยภูมิ!I508"")"),0.0)</f>
        <v>0</v>
      </c>
      <c r="J613" s="232">
        <f>IFERROR(__xludf.DUMMYFUNCTION("IMPORTRANGE(""https://docs.google.com/spreadsheets/d/1XL5vhW3sbDhbH9Cz0tuDiY8C3ctxq1tqvaCgkFb8cCA/edit?usp=sharing"",""ชัยภูมิ!J508"")"),0.0)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IFERROR(__xludf.DUMMYFUNCTION("IMPORTRANGE(""https://docs.google.com/spreadsheets/d/1XL5vhW3sbDhbH9Cz0tuDiY8C3ctxq1tqvaCgkFb8cCA/edit?usp=sharing"",""ชัยภูมิ!I509"")"),0.0)</f>
        <v>0</v>
      </c>
      <c r="J614" s="232">
        <f>IFERROR(__xludf.DUMMYFUNCTION("IMPORTRANGE(""https://docs.google.com/spreadsheets/d/1XL5vhW3sbDhbH9Cz0tuDiY8C3ctxq1tqvaCgkFb8cCA/edit?usp=sharing"",""ชัยภูมิ!J509"")"),0.0)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IFERROR(__xludf.DUMMYFUNCTION("IMPORTRANGE(""https://docs.google.com/spreadsheets/d/1XL5vhW3sbDhbH9Cz0tuDiY8C3ctxq1tqvaCgkFb8cCA/edit?usp=sharing"",""ชัยภูมิ!I510"")"),0.0)</f>
        <v>0</v>
      </c>
      <c r="J615" s="232">
        <f>IFERROR(__xludf.DUMMYFUNCTION("IMPORTRANGE(""https://docs.google.com/spreadsheets/d/1XL5vhW3sbDhbH9Cz0tuDiY8C3ctxq1tqvaCgkFb8cCA/edit?usp=sharing"",""ชัยภูมิ!J510"")"),0.0)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IFERROR(__xludf.DUMMYFUNCTION("IMPORTRANGE(""https://docs.google.com/spreadsheets/d/1XL5vhW3sbDhbH9Cz0tuDiY8C3ctxq1tqvaCgkFb8cCA/edit?usp=sharing"",""ชัยภูมิ!I511"")"),0.0)</f>
        <v>0</v>
      </c>
      <c r="J616" s="232">
        <f>IFERROR(__xludf.DUMMYFUNCTION("IMPORTRANGE(""https://docs.google.com/spreadsheets/d/1XL5vhW3sbDhbH9Cz0tuDiY8C3ctxq1tqvaCgkFb8cCA/edit?usp=sharing"",""ชัยภูมิ!J511"")"),0.0)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IFERROR(__xludf.DUMMYFUNCTION("IMPORTRANGE(""https://docs.google.com/spreadsheets/d/1XL5vhW3sbDhbH9Cz0tuDiY8C3ctxq1tqvaCgkFb8cCA/edit?usp=sharing"",""ชัยภูมิ!I512"")"),0.0)</f>
        <v>0</v>
      </c>
      <c r="J617" s="222">
        <f>IFERROR(__xludf.DUMMYFUNCTION("IMPORTRANGE(""https://docs.google.com/spreadsheets/d/1XL5vhW3sbDhbH9Cz0tuDiY8C3ctxq1tqvaCgkFb8cCA/edit?usp=sharing"",""ชัยภูมิ!J512"")"),0.0)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IFERROR(__xludf.DUMMYFUNCTION("IMPORTRANGE(""https://docs.google.com/spreadsheets/d/1XL5vhW3sbDhbH9Cz0tuDiY8C3ctxq1tqvaCgkFb8cCA/edit?usp=sharing"",""ชัยภูมิ!I513"")"),0.0)</f>
        <v>0</v>
      </c>
      <c r="J618" s="223">
        <f>IFERROR(__xludf.DUMMYFUNCTION("IMPORTRANGE(""https://docs.google.com/spreadsheets/d/1XL5vhW3sbDhbH9Cz0tuDiY8C3ctxq1tqvaCgkFb8cCA/edit?usp=sharing"",""ชัยภูมิ!J513"")"),0.0)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IFERROR(__xludf.DUMMYFUNCTION("IMPORTRANGE(""https://docs.google.com/spreadsheets/d/1XL5vhW3sbDhbH9Cz0tuDiY8C3ctxq1tqvaCgkFb8cCA/edit?usp=sharing"",""ชัยภูมิ!I514"")"),0.0)</f>
        <v>0</v>
      </c>
      <c r="J619" s="223">
        <f>IFERROR(__xludf.DUMMYFUNCTION("IMPORTRANGE(""https://docs.google.com/spreadsheets/d/1XL5vhW3sbDhbH9Cz0tuDiY8C3ctxq1tqvaCgkFb8cCA/edit?usp=sharing"",""ชัยภูมิ!J514"")"),0.0)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IFERROR(__xludf.DUMMYFUNCTION("IMPORTRANGE(""https://docs.google.com/spreadsheets/d/1XL5vhW3sbDhbH9Cz0tuDiY8C3ctxq1tqvaCgkFb8cCA/edit?usp=sharing"",""ชัยภูมิ!I515"")"),0.0)</f>
        <v>0</v>
      </c>
      <c r="J620" s="237">
        <f>IFERROR(__xludf.DUMMYFUNCTION("IMPORTRANGE(""https://docs.google.com/spreadsheets/d/1XL5vhW3sbDhbH9Cz0tuDiY8C3ctxq1tqvaCgkFb8cCA/edit?usp=sharing"",""ชัยภูมิ!J515"")"),0.0)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IFERROR(__xludf.DUMMYFUNCTION("IMPORTRANGE(""https://docs.google.com/spreadsheets/d/1XL5vhW3sbDhbH9Cz0tuDiY8C3ctxq1tqvaCgkFb8cCA/edit?usp=sharing"",""ชัยภูมิ!I516"")"),0.0)</f>
        <v>0</v>
      </c>
      <c r="J621" s="237">
        <f>IFERROR(__xludf.DUMMYFUNCTION("IMPORTRANGE(""https://docs.google.com/spreadsheets/d/1XL5vhW3sbDhbH9Cz0tuDiY8C3ctxq1tqvaCgkFb8cCA/edit?usp=sharing"",""ชัยภูมิ!J516"")"),0.0)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IFERROR(__xludf.DUMMYFUNCTION("IMPORTRANGE(""https://docs.google.com/spreadsheets/d/1XL5vhW3sbDhbH9Cz0tuDiY8C3ctxq1tqvaCgkFb8cCA/edit?usp=sharing"",""ชัยภูมิ!I517"")"),0.0)</f>
        <v>0</v>
      </c>
      <c r="J622" s="223">
        <f>IFERROR(__xludf.DUMMYFUNCTION("IMPORTRANGE(""https://docs.google.com/spreadsheets/d/1XL5vhW3sbDhbH9Cz0tuDiY8C3ctxq1tqvaCgkFb8cCA/edit?usp=sharing"",""ชัยภูมิ!J517"")"),0.0)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IFERROR(__xludf.DUMMYFUNCTION("IMPORTRANGE(""https://docs.google.com/spreadsheets/d/1XL5vhW3sbDhbH9Cz0tuDiY8C3ctxq1tqvaCgkFb8cCA/edit?usp=sharing"",""ชัยภูมิ!I518"")"),0.0)</f>
        <v>0</v>
      </c>
      <c r="J623" s="223">
        <f>IFERROR(__xludf.DUMMYFUNCTION("IMPORTRANGE(""https://docs.google.com/spreadsheets/d/1XL5vhW3sbDhbH9Cz0tuDiY8C3ctxq1tqvaCgkFb8cCA/edit?usp=sharing"",""ชัยภูมิ!J518"")"),0.0)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IFERROR(__xludf.DUMMYFUNCTION("IMPORTRANGE(""https://docs.google.com/spreadsheets/d/1XL5vhW3sbDhbH9Cz0tuDiY8C3ctxq1tqvaCgkFb8cCA/edit?usp=sharing"",""ชัยภูมิ!I519"")"),0.0)</f>
        <v>0</v>
      </c>
      <c r="J624" s="222">
        <f>IFERROR(__xludf.DUMMYFUNCTION("IMPORTRANGE(""https://docs.google.com/spreadsheets/d/1XL5vhW3sbDhbH9Cz0tuDiY8C3ctxq1tqvaCgkFb8cCA/edit?usp=sharing"",""ชัยภูมิ!J519"")"),0.0)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IFERROR(__xludf.DUMMYFUNCTION("IMPORTRANGE(""https://docs.google.com/spreadsheets/d/1XL5vhW3sbDhbH9Cz0tuDiY8C3ctxq1tqvaCgkFb8cCA/edit?usp=sharing"",""ชัยภูมิ!I520"")"),0.0)</f>
        <v>0</v>
      </c>
      <c r="J625" s="223">
        <f>IFERROR(__xludf.DUMMYFUNCTION("IMPORTRANGE(""https://docs.google.com/spreadsheets/d/1XL5vhW3sbDhbH9Cz0tuDiY8C3ctxq1tqvaCgkFb8cCA/edit?usp=sharing"",""ชัยภูมิ!J520"")"),0.0)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IFERROR(__xludf.DUMMYFUNCTION("IMPORTRANGE(""https://docs.google.com/spreadsheets/d/1XL5vhW3sbDhbH9Cz0tuDiY8C3ctxq1tqvaCgkFb8cCA/edit?usp=sharing"",""ชัยภูมิ!I521"")"),0.0)</f>
        <v>0</v>
      </c>
      <c r="J626" s="223">
        <f>IFERROR(__xludf.DUMMYFUNCTION("IMPORTRANGE(""https://docs.google.com/spreadsheets/d/1XL5vhW3sbDhbH9Cz0tuDiY8C3ctxq1tqvaCgkFb8cCA/edit?usp=sharing"",""ชัยภูมิ!J521"")"),0.0)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IFERROR(__xludf.DUMMYFUNCTION("IMPORTRANGE(""https://docs.google.com/spreadsheets/d/1XL5vhW3sbDhbH9Cz0tuDiY8C3ctxq1tqvaCgkFb8cCA/edit?usp=sharing"",""ชัยภูมิ!I523"")"),4000000.0)</f>
        <v>4000000</v>
      </c>
      <c r="J628" s="374">
        <f>IFERROR(__xludf.DUMMYFUNCTION("IMPORTRANGE(""https://docs.google.com/spreadsheets/d/1XL5vhW3sbDhbH9Cz0tuDiY8C3ctxq1tqvaCgkFb8cCA/edit?usp=sharing"",""ชัยภูมิ!J523"")"),135982.47)</f>
        <v>135982.47</v>
      </c>
      <c r="K628" s="375">
        <f t="shared" ref="K628:K635" si="130">IF(I628&gt;0,J628*100/I628,0)</f>
        <v>3.39956175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IFERROR(__xludf.DUMMYFUNCTION("IMPORTRANGE(""https://docs.google.com/spreadsheets/d/1XL5vhW3sbDhbH9Cz0tuDiY8C3ctxq1tqvaCgkFb8cCA/edit?usp=sharing"",""ชัยภูมิ!I524"")"),129.0)</f>
        <v>129</v>
      </c>
      <c r="J629" s="374">
        <f>IFERROR(__xludf.DUMMYFUNCTION("IMPORTRANGE(""https://docs.google.com/spreadsheets/d/1XL5vhW3sbDhbH9Cz0tuDiY8C3ctxq1tqvaCgkFb8cCA/edit?usp=sharing"",""ชัยภูมิ!J524"")"),44.0)</f>
        <v>44</v>
      </c>
      <c r="K629" s="375">
        <f t="shared" si="130"/>
        <v>34.10852713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IFERROR(__xludf.DUMMYFUNCTION("IMPORTRANGE(""https://docs.google.com/spreadsheets/d/1XL5vhW3sbDhbH9Cz0tuDiY8C3ctxq1tqvaCgkFb8cCA/edit?usp=sharing"",""ชัยภูมิ!I525"")"),8228236.47)</f>
        <v>8228236.47</v>
      </c>
      <c r="J630" s="374">
        <f>IFERROR(__xludf.DUMMYFUNCTION("IMPORTRANGE(""https://docs.google.com/spreadsheets/d/1XL5vhW3sbDhbH9Cz0tuDiY8C3ctxq1tqvaCgkFb8cCA/edit?usp=sharing"",""ชัยภูมิ!J525"")"),176816.6)</f>
        <v>176816.6</v>
      </c>
      <c r="K630" s="375">
        <f t="shared" si="130"/>
        <v>2.148900322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IFERROR(__xludf.DUMMYFUNCTION("IMPORTRANGE(""https://docs.google.com/spreadsheets/d/1XL5vhW3sbDhbH9Cz0tuDiY8C3ctxq1tqvaCgkFb8cCA/edit?usp=sharing"",""ชัยภูมิ!I526"")"),358.0)</f>
        <v>358</v>
      </c>
      <c r="J631" s="374">
        <f>IFERROR(__xludf.DUMMYFUNCTION("IMPORTRANGE(""https://docs.google.com/spreadsheets/d/1XL5vhW3sbDhbH9Cz0tuDiY8C3ctxq1tqvaCgkFb8cCA/edit?usp=sharing"",""ชัยภูมิ!J526"")"),37.0)</f>
        <v>37</v>
      </c>
      <c r="K631" s="375">
        <f t="shared" si="130"/>
        <v>10.33519553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IFERROR(__xludf.DUMMYFUNCTION("IMPORTRANGE(""https://docs.google.com/spreadsheets/d/1XL5vhW3sbDhbH9Cz0tuDiY8C3ctxq1tqvaCgkFb8cCA/edit?usp=sharing"",""ชัยภูมิ!I527"")"),893351.91)</f>
        <v>893351.91</v>
      </c>
      <c r="J632" s="374">
        <f>IFERROR(__xludf.DUMMYFUNCTION("IMPORTRANGE(""https://docs.google.com/spreadsheets/d/1XL5vhW3sbDhbH9Cz0tuDiY8C3ctxq1tqvaCgkFb8cCA/edit?usp=sharing"",""ชัยภูมิ!J527"")"),325380.89)</f>
        <v>325380.89</v>
      </c>
      <c r="K632" s="375">
        <f t="shared" si="130"/>
        <v>36.42247656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IFERROR(__xludf.DUMMYFUNCTION("IMPORTRANGE(""https://docs.google.com/spreadsheets/d/1XL5vhW3sbDhbH9Cz0tuDiY8C3ctxq1tqvaCgkFb8cCA/edit?usp=sharing"",""ชัยภูมิ!I528"")"),9.0)</f>
        <v>9</v>
      </c>
      <c r="J633" s="374">
        <f>IFERROR(__xludf.DUMMYFUNCTION("IMPORTRANGE(""https://docs.google.com/spreadsheets/d/1XL5vhW3sbDhbH9Cz0tuDiY8C3ctxq1tqvaCgkFb8cCA/edit?usp=sharing"",""ชัยภูมิ!J528"")"),8.0)</f>
        <v>8</v>
      </c>
      <c r="K633" s="375">
        <f t="shared" si="130"/>
        <v>88.88888889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IFERROR(__xludf.DUMMYFUNCTION("IMPORTRANGE(""https://docs.google.com/spreadsheets/d/1XL5vhW3sbDhbH9Cz0tuDiY8C3ctxq1tqvaCgkFb8cCA/edit?usp=sharing"",""ชัยภูมิ!I529"")"),3000000.0)</f>
        <v>3000000</v>
      </c>
      <c r="J634" s="374">
        <f>IFERROR(__xludf.DUMMYFUNCTION("IMPORTRANGE(""https://docs.google.com/spreadsheets/d/1XL5vhW3sbDhbH9Cz0tuDiY8C3ctxq1tqvaCgkFb8cCA/edit?usp=sharing"",""ชัยภูมิ!J529"")"),0.0)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IFERROR(__xludf.DUMMYFUNCTION("IMPORTRANGE(""https://docs.google.com/spreadsheets/d/1XL5vhW3sbDhbH9Cz0tuDiY8C3ctxq1tqvaCgkFb8cCA/edit?usp=sharing"",""ชัยภูมิ!I530"")"),100.0)</f>
        <v>100</v>
      </c>
      <c r="J635" s="544">
        <f>IFERROR(__xludf.DUMMYFUNCTION("IMPORTRANGE(""https://docs.google.com/spreadsheets/d/1XL5vhW3sbDhbH9Cz0tuDiY8C3ctxq1tqvaCgkFb8cCA/edit?usp=sharing"",""ชัยภูมิ!J530"")"),0.0)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245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5989954</v>
      </c>
      <c r="M8" s="41">
        <f t="shared" si="1"/>
        <v>1592225</v>
      </c>
      <c r="N8" s="41">
        <f t="shared" si="1"/>
        <v>1149396.81</v>
      </c>
      <c r="O8" s="40">
        <f t="shared" ref="O8:O16" si="3">IF(L8&gt;0,N8*100/L8,0)</f>
        <v>19.18874185</v>
      </c>
      <c r="P8" s="40">
        <f t="shared" ref="P8:P16" si="4">IF(M8&gt;0,N8*100/M8,0)</f>
        <v>72.18808962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5989954</v>
      </c>
      <c r="M10" s="48">
        <f t="shared" si="5"/>
        <v>1592225</v>
      </c>
      <c r="N10" s="48">
        <f t="shared" si="5"/>
        <v>1149396.81</v>
      </c>
      <c r="O10" s="47">
        <f t="shared" si="3"/>
        <v>19.18874185</v>
      </c>
      <c r="P10" s="47">
        <f t="shared" si="4"/>
        <v>72.18808962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4978954</v>
      </c>
      <c r="M12" s="58">
        <f t="shared" si="7"/>
        <v>1592225</v>
      </c>
      <c r="N12" s="58">
        <f t="shared" si="7"/>
        <v>958096.81</v>
      </c>
      <c r="O12" s="58">
        <f t="shared" si="3"/>
        <v>19.24293356</v>
      </c>
      <c r="P12" s="58">
        <f t="shared" si="4"/>
        <v>60.17345601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1752900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3226054</v>
      </c>
      <c r="M14" s="58">
        <f t="shared" si="9"/>
        <v>0</v>
      </c>
      <c r="N14" s="58">
        <f t="shared" si="9"/>
        <v>225723.81</v>
      </c>
      <c r="O14" s="61">
        <f t="shared" si="3"/>
        <v>6.996901168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1011000</v>
      </c>
      <c r="M16" s="58">
        <f t="shared" si="11"/>
        <v>0</v>
      </c>
      <c r="N16" s="58">
        <f t="shared" si="11"/>
        <v>191300</v>
      </c>
      <c r="O16" s="70">
        <f t="shared" si="3"/>
        <v>18.92185955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3958595</v>
      </c>
      <c r="M18" s="41">
        <f t="shared" si="12"/>
        <v>1592225</v>
      </c>
      <c r="N18" s="41">
        <f t="shared" si="12"/>
        <v>923673</v>
      </c>
      <c r="O18" s="40">
        <f t="shared" ref="O18:O20" si="14">IF(L18&gt;0,N18*100/L18,0)</f>
        <v>23.33335438</v>
      </c>
      <c r="P18" s="40">
        <f t="shared" ref="P18:P26" si="15">IF(M18&gt;0,N18*100/M18,0)</f>
        <v>58.01146195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3958595</v>
      </c>
      <c r="M20" s="48">
        <f t="shared" si="16"/>
        <v>1592225</v>
      </c>
      <c r="N20" s="48">
        <f t="shared" si="16"/>
        <v>923673</v>
      </c>
      <c r="O20" s="47">
        <f t="shared" si="14"/>
        <v>23.33335438</v>
      </c>
      <c r="P20" s="47">
        <f t="shared" si="15"/>
        <v>58.01146195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2947595</v>
      </c>
      <c r="M22" s="62">
        <f t="shared" si="18"/>
        <v>1592225</v>
      </c>
      <c r="N22" s="61">
        <f t="shared" si="18"/>
        <v>732373</v>
      </c>
      <c r="O22" s="61">
        <f t="shared" si="19"/>
        <v>24.84645957</v>
      </c>
      <c r="P22" s="61">
        <f t="shared" si="15"/>
        <v>45.99682834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1752900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1194695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1011000</v>
      </c>
      <c r="M26" s="70">
        <f t="shared" si="23"/>
        <v>0</v>
      </c>
      <c r="N26" s="70">
        <f t="shared" si="23"/>
        <v>191300</v>
      </c>
      <c r="O26" s="70">
        <f t="shared" si="19"/>
        <v>18.92185955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2031359</v>
      </c>
      <c r="M28" s="41">
        <f t="shared" si="24"/>
        <v>0</v>
      </c>
      <c r="N28" s="41">
        <f t="shared" si="24"/>
        <v>225723.81</v>
      </c>
      <c r="O28" s="40">
        <f t="shared" ref="O28:O30" si="26">IF(L28&gt;0,N28*100/L28,0)</f>
        <v>11.11196052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2031359</v>
      </c>
      <c r="M30" s="48">
        <f t="shared" si="28"/>
        <v>0</v>
      </c>
      <c r="N30" s="48">
        <f t="shared" si="28"/>
        <v>225723.81</v>
      </c>
      <c r="O30" s="47">
        <f t="shared" si="26"/>
        <v>11.11196052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2031359</v>
      </c>
      <c r="M32" s="61">
        <f t="shared" si="30"/>
        <v>0</v>
      </c>
      <c r="N32" s="61">
        <f t="shared" si="30"/>
        <v>225723.81</v>
      </c>
      <c r="O32" s="61">
        <f t="shared" si="31"/>
        <v>11.11196052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2031359</v>
      </c>
      <c r="M34" s="61">
        <f t="shared" si="33"/>
        <v>0</v>
      </c>
      <c r="N34" s="61">
        <f t="shared" si="33"/>
        <v>225723.81</v>
      </c>
      <c r="O34" s="61">
        <f t="shared" si="31"/>
        <v>11.11196052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3958595</v>
      </c>
      <c r="M37" s="75">
        <f t="shared" si="34"/>
        <v>1592225</v>
      </c>
      <c r="N37" s="75">
        <f t="shared" si="34"/>
        <v>923673</v>
      </c>
      <c r="O37" s="76">
        <f t="shared" si="31"/>
        <v>23.33335438</v>
      </c>
      <c r="P37" s="76">
        <f t="shared" si="27"/>
        <v>58.01146195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1441100</v>
      </c>
      <c r="M41" s="102">
        <f t="shared" si="35"/>
        <v>315500</v>
      </c>
      <c r="N41" s="102">
        <f t="shared" si="35"/>
        <v>182449</v>
      </c>
      <c r="O41" s="101">
        <f t="shared" ref="O41:O43" si="37">IF(L41&gt;0,N41*100/L41,0)</f>
        <v>12.66039831</v>
      </c>
      <c r="P41" s="101">
        <f t="shared" ref="P41:P43" si="38">IF(M41&gt;0,N41*100/M41,0)</f>
        <v>57.82852615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1441100</v>
      </c>
      <c r="M43" s="102">
        <f t="shared" si="39"/>
        <v>315500</v>
      </c>
      <c r="N43" s="102">
        <f t="shared" si="39"/>
        <v>182449</v>
      </c>
      <c r="O43" s="101">
        <f t="shared" si="37"/>
        <v>12.66039831</v>
      </c>
      <c r="P43" s="101">
        <f t="shared" si="38"/>
        <v>57.82852615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631100</v>
      </c>
      <c r="M45" s="115">
        <f>IFERROR(__xludf.DUMMYFUNCTION("IMPORTRANGE(""https://docs.google.com/spreadsheets/d/1Yj_ptqi66GCucihVvJfMjLAmec39IyEx_6qawtMGysU/edit?usp=sharing"",""สบก!Q41"")"),315500.0)</f>
        <v>315500</v>
      </c>
      <c r="N45" s="115">
        <f>IFERROR(__xludf.DUMMYFUNCTION("IMPORTRANGE(""https://docs.google.com/spreadsheets/d/1Yj_ptqi66GCucihVvJfMjLAmec39IyEx_6qawtMGysU/edit?usp=sharing"",""สบก!R41"")"),182449.0)</f>
        <v>182449</v>
      </c>
      <c r="O45" s="116">
        <f>IF(L45&gt;0,N45*100/L45,0)</f>
        <v>28.90968151</v>
      </c>
      <c r="P45" s="116">
        <f>IF(M45&gt;0,N45*100/M45,0)</f>
        <v>57.82852615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IFERROR(__xludf.DUMMYFUNCTION("IMPORTRANGE(""https://docs.google.com/spreadsheets/d/1Yj_ptqi66GCucihVvJfMjLAmec39IyEx_6qawtMGysU/edit?usp=sharing"",""สบก!M41"")"),631100.0)</f>
        <v>631100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IFERROR(__xludf.DUMMYFUNCTION("IMPORTRANGE(""https://docs.google.com/spreadsheets/d/1Yj_ptqi66GCucihVvJfMjLAmec39IyEx_6qawtMGysU/edit?usp=sharing"",""สบก!N41"")"),0.0)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IFERROR(__xludf.DUMMYFUNCTION("IMPORTRANGE(""https://docs.google.com/spreadsheets/d/1Yj_ptqi66GCucihVvJfMjLAmec39IyEx_6qawtMGysU/edit?usp=sharing"",""สบก!O41"")"),810000.0)</f>
        <v>810000</v>
      </c>
      <c r="M49" s="125"/>
      <c r="N49" s="115">
        <f>IFERROR(__xludf.DUMMYFUNCTION("IMPORTRANGE(""https://docs.google.com/spreadsheets/d/1Yj_ptqi66GCucihVvJfMjLAmec39IyEx_6qawtMGysU/edit?usp=sharing"",""สบก!S41"")"),0.0)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412800</v>
      </c>
      <c r="M53" s="151">
        <f t="shared" si="40"/>
        <v>215400</v>
      </c>
      <c r="N53" s="151">
        <f t="shared" si="40"/>
        <v>154901</v>
      </c>
      <c r="O53" s="150">
        <f t="shared" ref="O53:O55" si="42">IF(L53&gt;0,N53*100/L53,0)</f>
        <v>37.52446705</v>
      </c>
      <c r="P53" s="150">
        <f t="shared" ref="P53:P55" si="43">IF(M53&gt;0,N53*100/M53,0)</f>
        <v>71.91318477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412800</v>
      </c>
      <c r="M55" s="151">
        <f t="shared" si="44"/>
        <v>215400</v>
      </c>
      <c r="N55" s="151">
        <f t="shared" si="44"/>
        <v>154901</v>
      </c>
      <c r="O55" s="150">
        <f t="shared" si="42"/>
        <v>37.52446705</v>
      </c>
      <c r="P55" s="150">
        <f t="shared" si="43"/>
        <v>71.91318477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412800</v>
      </c>
      <c r="M57" s="115">
        <f>IFERROR(__xludf.DUMMYFUNCTION("IMPORTRANGE(""https://docs.google.com/spreadsheets/d/1Yj_ptqi66GCucihVvJfMjLAmec39IyEx_6qawtMGysU/edit?usp=sharing"",""สบก!Z41"")"),215400.0)</f>
        <v>215400</v>
      </c>
      <c r="N57" s="115">
        <f>IFERROR(__xludf.DUMMYFUNCTION("IMPORTRANGE(""https://docs.google.com/spreadsheets/d/1Yj_ptqi66GCucihVvJfMjLAmec39IyEx_6qawtMGysU/edit?usp=sharing"",""สบก!AA41"")"),154901.0)</f>
        <v>154901</v>
      </c>
      <c r="O57" s="116">
        <f>IF(L57&gt;0,N57*100/L57,0)</f>
        <v>37.52446705</v>
      </c>
      <c r="P57" s="116">
        <f>IF(M57&gt;0,N57*100/M57,0)</f>
        <v>71.91318477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IFERROR(__xludf.DUMMYFUNCTION("IMPORTRANGE(""https://docs.google.com/spreadsheets/d/1Yj_ptqi66GCucihVvJfMjLAmec39IyEx_6qawtMGysU/edit?usp=sharing"",""สบก!V41"")"),412800.0)</f>
        <v>412800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IFERROR(__xludf.DUMMYFUNCTION("IMPORTRANGE(""https://docs.google.com/spreadsheets/d/1Yj_ptqi66GCucihVvJfMjLAmec39IyEx_6qawtMGysU/edit?usp=sharing"",""สบก!W41"")"),0.0)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IFERROR(__xludf.DUMMYFUNCTION("IMPORTRANGE(""https://docs.google.com/spreadsheets/d/1Yj_ptqi66GCucihVvJfMjLAmec39IyEx_6qawtMGysU/edit?usp=sharing"",""สบก!X41"")"),0.0)</f>
        <v>0</v>
      </c>
      <c r="M61" s="125"/>
      <c r="N61" s="115">
        <f>IFERROR(__xludf.DUMMYFUNCTION("IMPORTRANGE(""https://docs.google.com/spreadsheets/d/1Yj_ptqi66GCucihVvJfMjLAmec39IyEx_6qawtMGysU/edit?usp=sharing"",""สบก!AB41"")"),0.0)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IFERROR(__xludf.DUMMYFUNCTION("IMPORTRANGE(""https://docs.google.com/spreadsheets/d/1XL5vhW3sbDhbH9Cz0tuDiY8C3ctxq1tqvaCgkFb8cCA/edit?usp=sharing"",""นครพนม!I9"")"),1.0)</f>
        <v>1</v>
      </c>
      <c r="J64" s="172">
        <f>IFERROR(__xludf.DUMMYFUNCTION("IMPORTRANGE(""https://docs.google.com/spreadsheets/d/1XL5vhW3sbDhbH9Cz0tuDiY8C3ctxq1tqvaCgkFb8cCA/edit?usp=sharing"",""นครพนม!J9"")"),1.0)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IFERROR(__xludf.DUMMYFUNCTION("IMPORTRANGE(""https://docs.google.com/spreadsheets/d/1XL5vhW3sbDhbH9Cz0tuDiY8C3ctxq1tqvaCgkFb8cCA/edit?usp=sharing"",""นครพนม!I10"")"),50.0)</f>
        <v>50</v>
      </c>
      <c r="J65" s="172">
        <f>IFERROR(__xludf.DUMMYFUNCTION("IMPORTRANGE(""https://docs.google.com/spreadsheets/d/1XL5vhW3sbDhbH9Cz0tuDiY8C3ctxq1tqvaCgkFb8cCA/edit?usp=sharing"",""นครพนม!J10"")"),50.0)</f>
        <v>50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674200</v>
      </c>
      <c r="M66" s="183">
        <f t="shared" si="46"/>
        <v>373720</v>
      </c>
      <c r="N66" s="183">
        <f t="shared" si="46"/>
        <v>108730</v>
      </c>
      <c r="O66" s="182">
        <f t="shared" ref="O66:O68" si="48">IF(L66&gt;0,N66*100/L66,0)</f>
        <v>16.12726194</v>
      </c>
      <c r="P66" s="182">
        <f t="shared" ref="P66:P68" si="49">IF(M66&gt;0,N66*100/M66,0)</f>
        <v>29.0939741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674200</v>
      </c>
      <c r="M68" s="188">
        <f t="shared" si="50"/>
        <v>373720</v>
      </c>
      <c r="N68" s="188">
        <f t="shared" si="50"/>
        <v>108730</v>
      </c>
      <c r="O68" s="187">
        <f t="shared" si="48"/>
        <v>16.12726194</v>
      </c>
      <c r="P68" s="187">
        <f t="shared" si="49"/>
        <v>29.0939741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674200</v>
      </c>
      <c r="M70" s="201">
        <f>IFERROR(__xludf.DUMMYFUNCTION("IMPORTRANGE(""https://docs.google.com/spreadsheets/d/1Yj_ptqi66GCucihVvJfMjLAmec39IyEx_6qawtMGysU/edit?usp=sharing"",""สบก!AI41"")"),373720.0)</f>
        <v>373720</v>
      </c>
      <c r="N70" s="202">
        <f>IFERROR(__xludf.DUMMYFUNCTION("IMPORTRANGE(""https://docs.google.com/spreadsheets/d/1Yj_ptqi66GCucihVvJfMjLAmec39IyEx_6qawtMGysU/edit?usp=sharing"",""สบก!AJ41"")"),108730.0)</f>
        <v>108730</v>
      </c>
      <c r="O70" s="203">
        <f>IF(L70&gt;0,N70*100/L70,0)</f>
        <v>16.12726194</v>
      </c>
      <c r="P70" s="203">
        <f>IF(M70&gt;0,N70*100/M70,0)</f>
        <v>29.0939741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IFERROR(__xludf.DUMMYFUNCTION("IMPORTRANGE(""https://docs.google.com/spreadsheets/d/1Yj_ptqi66GCucihVvJfMjLAmec39IyEx_6qawtMGysU/edit?usp=sharing"",""สบก!AE41"")"),188200.0)</f>
        <v>188200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IFERROR(__xludf.DUMMYFUNCTION("IMPORTRANGE(""https://docs.google.com/spreadsheets/d/1Yj_ptqi66GCucihVvJfMjLAmec39IyEx_6qawtMGysU/edit?usp=sharing"",""สบก!AF41"")"),486000.0)</f>
        <v>486000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IFERROR(__xludf.DUMMYFUNCTION("IMPORTRANGE(""https://docs.google.com/spreadsheets/d/1Yj_ptqi66GCucihVvJfMjLAmec39IyEx_6qawtMGysU/edit?usp=sharing"",""สบก!AG41"")"),0.0)</f>
        <v>0</v>
      </c>
      <c r="M74" s="125"/>
      <c r="N74" s="115">
        <f>IFERROR(__xludf.DUMMYFUNCTION("IMPORTRANGE(""https://docs.google.com/spreadsheets/d/1Yj_ptqi66GCucihVvJfMjLAmec39IyEx_6qawtMGysU/edit?usp=sharing"",""สบก!AK41"")"),0.0)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IFERROR(__xludf.DUMMYFUNCTION("IMPORTRANGE(""https://docs.google.com/spreadsheets/d/1XL5vhW3sbDhbH9Cz0tuDiY8C3ctxq1tqvaCgkFb8cCA/edit?usp=sharing"",""นครพนม!J16"")"),0.0)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IFERROR(__xludf.DUMMYFUNCTION("IMPORTRANGE(""https://docs.google.com/spreadsheets/d/1XL5vhW3sbDhbH9Cz0tuDiY8C3ctxq1tqvaCgkFb8cCA/edit?usp=sharing"",""นครพนม!J17"")"),1.0)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IFERROR(__xludf.DUMMYFUNCTION("IMPORTRANGE(""https://docs.google.com/spreadsheets/d/1XL5vhW3sbDhbH9Cz0tuDiY8C3ctxq1tqvaCgkFb8cCA/edit?usp=sharing"",""นครพนม!J18"")"),1.0)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IFERROR(__xludf.DUMMYFUNCTION("IMPORTRANGE(""https://docs.google.com/spreadsheets/d/1XL5vhW3sbDhbH9Cz0tuDiY8C3ctxq1tqvaCgkFb8cCA/edit?usp=sharing"",""นครพนม!J19"")"),1.0)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IFERROR(__xludf.DUMMYFUNCTION("IMPORTRANGE(""https://docs.google.com/spreadsheets/d/1XL5vhW3sbDhbH9Cz0tuDiY8C3ctxq1tqvaCgkFb8cCA/edit?usp=sharing"",""นครพนม!I20"")"),1.0)</f>
        <v>1</v>
      </c>
      <c r="J80" s="235">
        <f>IFERROR(__xludf.DUMMYFUNCTION("IMPORTRANGE(""https://docs.google.com/spreadsheets/d/1XL5vhW3sbDhbH9Cz0tuDiY8C3ctxq1tqvaCgkFb8cCA/edit?usp=sharing"",""นครพนม!J20"")"),1.0)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IFERROR(__xludf.DUMMYFUNCTION("IMPORTRANGE(""https://docs.google.com/spreadsheets/d/1XL5vhW3sbDhbH9Cz0tuDiY8C3ctxq1tqvaCgkFb8cCA/edit?usp=sharing"",""นครพนม!I21"")"),50.0)</f>
        <v>50</v>
      </c>
      <c r="J81" s="235">
        <f>IFERROR(__xludf.DUMMYFUNCTION("IMPORTRANGE(""https://docs.google.com/spreadsheets/d/1XL5vhW3sbDhbH9Cz0tuDiY8C3ctxq1tqvaCgkFb8cCA/edit?usp=sharing"",""นครพนม!J21"")"),50.0)</f>
        <v>50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IFERROR(__xludf.DUMMYFUNCTION("IMPORTRANGE(""https://docs.google.com/spreadsheets/d/1XL5vhW3sbDhbH9Cz0tuDiY8C3ctxq1tqvaCgkFb8cCA/edit?usp=sharing"",""นครพนม!I22"")"),0.0)</f>
        <v>0</v>
      </c>
      <c r="J82" s="238">
        <f>IFERROR(__xludf.DUMMYFUNCTION("IMPORTRANGE(""https://docs.google.com/spreadsheets/d/1XL5vhW3sbDhbH9Cz0tuDiY8C3ctxq1tqvaCgkFb8cCA/edit?usp=sharing"",""นครพนม!J22"")"),0.0)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IFERROR(__xludf.DUMMYFUNCTION("IMPORTRANGE(""https://docs.google.com/spreadsheets/d/1XL5vhW3sbDhbH9Cz0tuDiY8C3ctxq1tqvaCgkFb8cCA/edit?usp=sharing"",""นครพนม!I23"")"),0.0)</f>
        <v>0</v>
      </c>
      <c r="J83" s="238">
        <f>IFERROR(__xludf.DUMMYFUNCTION("IMPORTRANGE(""https://docs.google.com/spreadsheets/d/1XL5vhW3sbDhbH9Cz0tuDiY8C3ctxq1tqvaCgkFb8cCA/edit?usp=sharing"",""นครพนม!J23"")"),0.0)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IFERROR(__xludf.DUMMYFUNCTION("IMPORTRANGE(""https://docs.google.com/spreadsheets/d/1XL5vhW3sbDhbH9Cz0tuDiY8C3ctxq1tqvaCgkFb8cCA/edit?usp=sharing"",""นครพนม!I24"")"),1.0)</f>
        <v>1</v>
      </c>
      <c r="J84" s="223">
        <f>IFERROR(__xludf.DUMMYFUNCTION("IMPORTRANGE(""https://docs.google.com/spreadsheets/d/1XL5vhW3sbDhbH9Cz0tuDiY8C3ctxq1tqvaCgkFb8cCA/edit?usp=sharing"",""นครพนม!J24"")"),1.0)</f>
        <v>1</v>
      </c>
      <c r="K84" s="196">
        <f t="shared" si="51"/>
        <v>100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IFERROR(__xludf.DUMMYFUNCTION("IMPORTRANGE(""https://docs.google.com/spreadsheets/d/1XL5vhW3sbDhbH9Cz0tuDiY8C3ctxq1tqvaCgkFb8cCA/edit?usp=sharing"",""นครพนม!I25"")"),50.0)</f>
        <v>50</v>
      </c>
      <c r="J85" s="223">
        <f>IFERROR(__xludf.DUMMYFUNCTION("IMPORTRANGE(""https://docs.google.com/spreadsheets/d/1XL5vhW3sbDhbH9Cz0tuDiY8C3ctxq1tqvaCgkFb8cCA/edit?usp=sharing"",""นครพนม!J25"")"),50.0)</f>
        <v>50</v>
      </c>
      <c r="K85" s="196">
        <f t="shared" si="51"/>
        <v>100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IFERROR(__xludf.DUMMYFUNCTION("IMPORTRANGE(""https://docs.google.com/spreadsheets/d/1XL5vhW3sbDhbH9Cz0tuDiY8C3ctxq1tqvaCgkFb8cCA/edit?usp=sharing"",""นครพนม!I26"")"),0.0)</f>
        <v>0</v>
      </c>
      <c r="J86" s="238">
        <f>IFERROR(__xludf.DUMMYFUNCTION("IMPORTRANGE(""https://docs.google.com/spreadsheets/d/1XL5vhW3sbDhbH9Cz0tuDiY8C3ctxq1tqvaCgkFb8cCA/edit?usp=sharing"",""นครพนม!J26"")"),0.0)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IFERROR(__xludf.DUMMYFUNCTION("IMPORTRANGE(""https://docs.google.com/spreadsheets/d/1XL5vhW3sbDhbH9Cz0tuDiY8C3ctxq1tqvaCgkFb8cCA/edit?usp=sharing"",""นครพนม!I27"")"),0.0)</f>
        <v>0</v>
      </c>
      <c r="J87" s="238">
        <f>IFERROR(__xludf.DUMMYFUNCTION("IMPORTRANGE(""https://docs.google.com/spreadsheets/d/1XL5vhW3sbDhbH9Cz0tuDiY8C3ctxq1tqvaCgkFb8cCA/edit?usp=sharing"",""นครพนม!J27"")"),0.0)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IFERROR(__xludf.DUMMYFUNCTION("IMPORTRANGE(""https://docs.google.com/spreadsheets/d/1XL5vhW3sbDhbH9Cz0tuDiY8C3ctxq1tqvaCgkFb8cCA/edit?usp=sharing"",""นครพนม!I28"")"),0.0)</f>
        <v>0</v>
      </c>
      <c r="J88" s="238">
        <f>IFERROR(__xludf.DUMMYFUNCTION("IMPORTRANGE(""https://docs.google.com/spreadsheets/d/1XL5vhW3sbDhbH9Cz0tuDiY8C3ctxq1tqvaCgkFb8cCA/edit?usp=sharing"",""นครพนม!J28"")"),0.0)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IFERROR(__xludf.DUMMYFUNCTION("IMPORTRANGE(""https://docs.google.com/spreadsheets/d/1XL5vhW3sbDhbH9Cz0tuDiY8C3ctxq1tqvaCgkFb8cCA/edit?usp=sharing"",""นครพนม!J29"")"),0.0)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IFERROR(__xludf.DUMMYFUNCTION("IMPORTRANGE(""https://docs.google.com/spreadsheets/d/1XL5vhW3sbDhbH9Cz0tuDiY8C3ctxq1tqvaCgkFb8cCA/edit?usp=sharing"",""นครพนม!J30"")"),0.0)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IFERROR(__xludf.DUMMYFUNCTION("IMPORTRANGE(""https://docs.google.com/spreadsheets/d/1XL5vhW3sbDhbH9Cz0tuDiY8C3ctxq1tqvaCgkFb8cCA/edit?usp=sharing"",""นครพนม!I32"")"),4.0)</f>
        <v>4</v>
      </c>
      <c r="J92" s="172">
        <f>IFERROR(__xludf.DUMMYFUNCTION("IMPORTRANGE(""https://docs.google.com/spreadsheets/d/1XL5vhW3sbDhbH9Cz0tuDiY8C3ctxq1tqvaCgkFb8cCA/edit?usp=sharing"",""นครพนม!J32"")"),0.0)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IFERROR(__xludf.DUMMYFUNCTION("IMPORTRANGE(""https://docs.google.com/spreadsheets/d/1XL5vhW3sbDhbH9Cz0tuDiY8C3ctxq1tqvaCgkFb8cCA/edit?usp=sharing"",""นครพนม!I33"")"),1.0)</f>
        <v>1</v>
      </c>
      <c r="J93" s="172">
        <f>IFERROR(__xludf.DUMMYFUNCTION("IMPORTRANGE(""https://docs.google.com/spreadsheets/d/1XL5vhW3sbDhbH9Cz0tuDiY8C3ctxq1tqvaCgkFb8cCA/edit?usp=sharing"",""นครพนม!J33"")"),0.0)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95360</v>
      </c>
      <c r="O94" s="182">
        <f t="shared" ref="O94:O96" si="55">IF(L94&gt;0,N94*100/L94,0)</f>
        <v>44.45687646</v>
      </c>
      <c r="P94" s="182">
        <f t="shared" ref="P94:P96" si="56">IF(M94&gt;0,N94*100/M94,0)</f>
        <v>138.745817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95360</v>
      </c>
      <c r="O96" s="187">
        <f t="shared" si="55"/>
        <v>44.45687646</v>
      </c>
      <c r="P96" s="187">
        <f t="shared" si="56"/>
        <v>138.745817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IFERROR(__xludf.DUMMYFUNCTION("IMPORTRANGE(""https://docs.google.com/spreadsheets/d/1Yj_ptqi66GCucihVvJfMjLAmec39IyEx_6qawtMGysU/edit?usp=sharing"",""สบก!AR41"")"),68730.0)</f>
        <v>68730</v>
      </c>
      <c r="N98" s="202">
        <f>IFERROR(__xludf.DUMMYFUNCTION("IMPORTRANGE(""https://docs.google.com/spreadsheets/d/1Yj_ptqi66GCucihVvJfMjLAmec39IyEx_6qawtMGysU/edit?usp=sharing"",""สบก!AS41"")"),3360.0)</f>
        <v>3360</v>
      </c>
      <c r="O98" s="203">
        <f>IF(L98&gt;0,N98*100/L98,0)</f>
        <v>2.751842752</v>
      </c>
      <c r="P98" s="203">
        <f>IF(M98&gt;0,N98*100/M98,0)</f>
        <v>4.888694893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IFERROR(__xludf.DUMMYFUNCTION("IMPORTRANGE(""https://docs.google.com/spreadsheets/d/1Yj_ptqi66GCucihVvJfMjLAmec39IyEx_6qawtMGysU/edit?usp=sharing"",""สบก!AN41"")"),0.0)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IFERROR(__xludf.DUMMYFUNCTION("IMPORTRANGE(""https://docs.google.com/spreadsheets/d/1Yj_ptqi66GCucihVvJfMjLAmec39IyEx_6qawtMGysU/edit?usp=sharing"",""สบก!AO41"")"),122100.0)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IFERROR(__xludf.DUMMYFUNCTION("IMPORTRANGE(""https://docs.google.com/spreadsheets/d/1Yj_ptqi66GCucihVvJfMjLAmec39IyEx_6qawtMGysU/edit?usp=sharing"",""สบก!AP41"")"),92400.0)</f>
        <v>92400</v>
      </c>
      <c r="M102" s="125"/>
      <c r="N102" s="115">
        <f>IFERROR(__xludf.DUMMYFUNCTION("IMPORTRANGE(""https://docs.google.com/spreadsheets/d/1Yj_ptqi66GCucihVvJfMjLAmec39IyEx_6qawtMGysU/edit?usp=sharing"",""สบก!AT41"")"),92000.0)</f>
        <v>92000</v>
      </c>
      <c r="O102" s="125">
        <f>IF(L102&gt;0,N102*100/L102,0)</f>
        <v>99.56709957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IFERROR(__xludf.DUMMYFUNCTION("IMPORTRANGE(""https://docs.google.com/spreadsheets/d/1XL5vhW3sbDhbH9Cz0tuDiY8C3ctxq1tqvaCgkFb8cCA/edit?usp=sharing"",""นครพนม!J39"")"),0.0)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IFERROR(__xludf.DUMMYFUNCTION("IMPORTRANGE(""https://docs.google.com/spreadsheets/d/1XL5vhW3sbDhbH9Cz0tuDiY8C3ctxq1tqvaCgkFb8cCA/edit?usp=sharing"",""นครพนม!J40"")"),1.0)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IFERROR(__xludf.DUMMYFUNCTION("IMPORTRANGE(""https://docs.google.com/spreadsheets/d/1XL5vhW3sbDhbH9Cz0tuDiY8C3ctxq1tqvaCgkFb8cCA/edit?usp=sharing"",""นครพนม!J41"")"),1.0)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IFERROR(__xludf.DUMMYFUNCTION("IMPORTRANGE(""https://docs.google.com/spreadsheets/d/1XL5vhW3sbDhbH9Cz0tuDiY8C3ctxq1tqvaCgkFb8cCA/edit?usp=sharing"",""นครพนม!J42"")"),1.0)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IFERROR(__xludf.DUMMYFUNCTION("IMPORTRANGE(""https://docs.google.com/spreadsheets/d/1XL5vhW3sbDhbH9Cz0tuDiY8C3ctxq1tqvaCgkFb8cCA/edit?usp=sharing"",""นครพนม!I43"")"),1.0)</f>
        <v>1</v>
      </c>
      <c r="J108" s="238">
        <f>IFERROR(__xludf.DUMMYFUNCTION("IMPORTRANGE(""https://docs.google.com/spreadsheets/d/1XL5vhW3sbDhbH9Cz0tuDiY8C3ctxq1tqvaCgkFb8cCA/edit?usp=sharing"",""นครพนม!J43"")"),0.0)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IFERROR(__xludf.DUMMYFUNCTION("IMPORTRANGE(""https://docs.google.com/spreadsheets/d/1XL5vhW3sbDhbH9Cz0tuDiY8C3ctxq1tqvaCgkFb8cCA/edit?usp=sharing"",""นครพนม!I44"")"),4.0)</f>
        <v>4</v>
      </c>
      <c r="J109" s="238">
        <f>IFERROR(__xludf.DUMMYFUNCTION("IMPORTRANGE(""https://docs.google.com/spreadsheets/d/1XL5vhW3sbDhbH9Cz0tuDiY8C3ctxq1tqvaCgkFb8cCA/edit?usp=sharing"",""นครพนม!J44"")"),0.0)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IFERROR(__xludf.DUMMYFUNCTION("IMPORTRANGE(""https://docs.google.com/spreadsheets/d/1XL5vhW3sbDhbH9Cz0tuDiY8C3ctxq1tqvaCgkFb8cCA/edit?usp=sharing"",""นครพนม!I45"")"),4.0)</f>
        <v>4</v>
      </c>
      <c r="J110" s="238">
        <f>IFERROR(__xludf.DUMMYFUNCTION("IMPORTRANGE(""https://docs.google.com/spreadsheets/d/1XL5vhW3sbDhbH9Cz0tuDiY8C3ctxq1tqvaCgkFb8cCA/edit?usp=sharing"",""นครพนม!J45"")"),4.0)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IFERROR(__xludf.DUMMYFUNCTION("IMPORTRANGE(""https://docs.google.com/spreadsheets/d/1XL5vhW3sbDhbH9Cz0tuDiY8C3ctxq1tqvaCgkFb8cCA/edit?usp=sharing"",""นครพนม!I46"")"),4.0)</f>
        <v>4</v>
      </c>
      <c r="J111" s="238">
        <f>IFERROR(__xludf.DUMMYFUNCTION("IMPORTRANGE(""https://docs.google.com/spreadsheets/d/1XL5vhW3sbDhbH9Cz0tuDiY8C3ctxq1tqvaCgkFb8cCA/edit?usp=sharing"",""นครพนม!J46"")"),0.0)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IFERROR(__xludf.DUMMYFUNCTION("IMPORTRANGE(""https://docs.google.com/spreadsheets/d/1XL5vhW3sbDhbH9Cz0tuDiY8C3ctxq1tqvaCgkFb8cCA/edit?usp=sharing"",""นครพนม!I47"")"),4.0)</f>
        <v>4</v>
      </c>
      <c r="J112" s="238">
        <f>IFERROR(__xludf.DUMMYFUNCTION("IMPORTRANGE(""https://docs.google.com/spreadsheets/d/1XL5vhW3sbDhbH9Cz0tuDiY8C3ctxq1tqvaCgkFb8cCA/edit?usp=sharing"",""นครพนม!J47"")"),0.0)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IFERROR(__xludf.DUMMYFUNCTION("IMPORTRANGE(""https://docs.google.com/spreadsheets/d/1XL5vhW3sbDhbH9Cz0tuDiY8C3ctxq1tqvaCgkFb8cCA/edit?usp=sharing"",""นครพนม!I48"")"),1.0)</f>
        <v>1</v>
      </c>
      <c r="J113" s="238">
        <f>IFERROR(__xludf.DUMMYFUNCTION("IMPORTRANGE(""https://docs.google.com/spreadsheets/d/1XL5vhW3sbDhbH9Cz0tuDiY8C3ctxq1tqvaCgkFb8cCA/edit?usp=sharing"",""นครพนม!J48"")"),0.0)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IFERROR(__xludf.DUMMYFUNCTION("IMPORTRANGE(""https://docs.google.com/spreadsheets/d/1XL5vhW3sbDhbH9Cz0tuDiY8C3ctxq1tqvaCgkFb8cCA/edit?usp=sharing"",""นครพนม!J49"")"),0.0)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IFERROR(__xludf.DUMMYFUNCTION("IMPORTRANGE(""https://docs.google.com/spreadsheets/d/1XL5vhW3sbDhbH9Cz0tuDiY8C3ctxq1tqvaCgkFb8cCA/edit?usp=sharing"",""นครพนม!J50"")"),0.0)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IFERROR(__xludf.DUMMYFUNCTION("IMPORTRANGE(""https://docs.google.com/spreadsheets/d/1XL5vhW3sbDhbH9Cz0tuDiY8C3ctxq1tqvaCgkFb8cCA/edit?usp=sharing"",""นครพนม!I52"")"),0.0)</f>
        <v>0</v>
      </c>
      <c r="J117" s="172">
        <f>IFERROR(__xludf.DUMMYFUNCTION("IMPORTRANGE(""https://docs.google.com/spreadsheets/d/1XL5vhW3sbDhbH9Cz0tuDiY8C3ctxq1tqvaCgkFb8cCA/edit?usp=sharing"",""นครพนม!J52"")"),0.0)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IFERROR(__xludf.DUMMYFUNCTION("IMPORTRANGE(""https://docs.google.com/spreadsheets/d/1Yj_ptqi66GCucihVvJfMjLAmec39IyEx_6qawtMGysU/edit?usp=sharing"",""สบก!BA41"")"),0.0)</f>
        <v>0</v>
      </c>
      <c r="N122" s="202">
        <f>IFERROR(__xludf.DUMMYFUNCTION("IMPORTRANGE(""https://docs.google.com/spreadsheets/d/1Yj_ptqi66GCucihVvJfMjLAmec39IyEx_6qawtMGysU/edit?usp=sharing"",""สบก!BB41"")"),0.0)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IFERROR(__xludf.DUMMYFUNCTION("IMPORTRANGE(""https://docs.google.com/spreadsheets/d/1Yj_ptqi66GCucihVvJfMjLAmec39IyEx_6qawtMGysU/edit?usp=sharing"",""สบก!AW41"")"),0.0)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IFERROR(__xludf.DUMMYFUNCTION("IMPORTRANGE(""https://docs.google.com/spreadsheets/d/1Yj_ptqi66GCucihVvJfMjLAmec39IyEx_6qawtMGysU/edit?usp=sharing"",""สบก!AX41"")"),0.0)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IFERROR(__xludf.DUMMYFUNCTION("IMPORTRANGE(""https://docs.google.com/spreadsheets/d/1Yj_ptqi66GCucihVvJfMjLAmec39IyEx_6qawtMGysU/edit?usp=sharing"",""สบก!AY41"")"),0.0)</f>
        <v>0</v>
      </c>
      <c r="M126" s="125"/>
      <c r="N126" s="115">
        <f>IFERROR(__xludf.DUMMYFUNCTION("IMPORTRANGE(""https://docs.google.com/spreadsheets/d/1Yj_ptqi66GCucihVvJfMjLAmec39IyEx_6qawtMGysU/edit?usp=sharing"",""สบก!BC41"")"),0.0)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246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IFERROR(__xludf.DUMMYFUNCTION("IMPORTRANGE(""https://docs.google.com/spreadsheets/d/1XL5vhW3sbDhbH9Cz0tuDiY8C3ctxq1tqvaCgkFb8cCA/edit?usp=sharing"",""นครพนม!J58"")"),0.0)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IFERROR(__xludf.DUMMYFUNCTION("IMPORTRANGE(""https://docs.google.com/spreadsheets/d/1XL5vhW3sbDhbH9Cz0tuDiY8C3ctxq1tqvaCgkFb8cCA/edit?usp=sharing"",""นครพนม!J59"")"),0.0)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IFERROR(__xludf.DUMMYFUNCTION("IMPORTRANGE(""https://docs.google.com/spreadsheets/d/1XL5vhW3sbDhbH9Cz0tuDiY8C3ctxq1tqvaCgkFb8cCA/edit?usp=sharing"",""นครพนม!J60"")"),0.0)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IFERROR(__xludf.DUMMYFUNCTION("IMPORTRANGE(""https://docs.google.com/spreadsheets/d/1XL5vhW3sbDhbH9Cz0tuDiY8C3ctxq1tqvaCgkFb8cCA/edit?usp=sharing"",""นครพนม!J61"")"),0.0)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IFERROR(__xludf.DUMMYFUNCTION("IMPORTRANGE(""https://docs.google.com/spreadsheets/d/1XL5vhW3sbDhbH9Cz0tuDiY8C3ctxq1tqvaCgkFb8cCA/edit?usp=sharing"",""นครพนม!I62"")"),0.0)</f>
        <v>0</v>
      </c>
      <c r="J132" s="238">
        <f>IFERROR(__xludf.DUMMYFUNCTION("IMPORTRANGE(""https://docs.google.com/spreadsheets/d/1XL5vhW3sbDhbH9Cz0tuDiY8C3ctxq1tqvaCgkFb8cCA/edit?usp=sharing"",""นครพนม!J62"")"),0.0)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IFERROR(__xludf.DUMMYFUNCTION("IMPORTRANGE(""https://docs.google.com/spreadsheets/d/1XL5vhW3sbDhbH9Cz0tuDiY8C3ctxq1tqvaCgkFb8cCA/edit?usp=sharing"",""นครพนม!I63"")"),0.0)</f>
        <v>0</v>
      </c>
      <c r="J133" s="238">
        <f>IFERROR(__xludf.DUMMYFUNCTION("IMPORTRANGE(""https://docs.google.com/spreadsheets/d/1XL5vhW3sbDhbH9Cz0tuDiY8C3ctxq1tqvaCgkFb8cCA/edit?usp=sharing"",""นครพนม!J63"")"),0.0)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IFERROR(__xludf.DUMMYFUNCTION("IMPORTRANGE(""https://docs.google.com/spreadsheets/d/1XL5vhW3sbDhbH9Cz0tuDiY8C3ctxq1tqvaCgkFb8cCA/edit?usp=sharing"",""นครพนม!J64"")"),0.0)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IFERROR(__xludf.DUMMYFUNCTION("IMPORTRANGE(""https://docs.google.com/spreadsheets/d/1XL5vhW3sbDhbH9Cz0tuDiY8C3ctxq1tqvaCgkFb8cCA/edit?usp=sharing"",""นครพนม!J65"")"),0.0)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IFERROR(__xludf.DUMMYFUNCTION("IMPORTRANGE(""https://docs.google.com/spreadsheets/d/1XL5vhW3sbDhbH9Cz0tuDiY8C3ctxq1tqvaCgkFb8cCA/edit?usp=sharing"",""นครพนม!I68"")"),0.0)</f>
        <v>0</v>
      </c>
      <c r="J138" s="301">
        <f>IFERROR(__xludf.DUMMYFUNCTION("IMPORTRANGE(""https://docs.google.com/spreadsheets/d/1XL5vhW3sbDhbH9Cz0tuDiY8C3ctxq1tqvaCgkFb8cCA/edit?usp=sharing"",""นครพนม!J68"")"),0.0)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72000</v>
      </c>
      <c r="M140" s="183">
        <f t="shared" si="65"/>
        <v>55750</v>
      </c>
      <c r="N140" s="183">
        <f t="shared" si="65"/>
        <v>1960</v>
      </c>
      <c r="O140" s="182">
        <f t="shared" ref="O140:O142" si="67">IF(L140&gt;0,N140*100/L140,0)</f>
        <v>2.722222222</v>
      </c>
      <c r="P140" s="182">
        <f t="shared" ref="P140:P142" si="68">IF(M140&gt;0,N140*100/M140,0)</f>
        <v>3.515695067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72000</v>
      </c>
      <c r="M142" s="188">
        <f t="shared" si="69"/>
        <v>55750</v>
      </c>
      <c r="N142" s="188">
        <f t="shared" si="69"/>
        <v>1960</v>
      </c>
      <c r="O142" s="187">
        <f t="shared" si="67"/>
        <v>2.722222222</v>
      </c>
      <c r="P142" s="187">
        <f t="shared" si="68"/>
        <v>3.515695067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72000</v>
      </c>
      <c r="M144" s="201">
        <f>IFERROR(__xludf.DUMMYFUNCTION("IMPORTRANGE(""https://docs.google.com/spreadsheets/d/1Yj_ptqi66GCucihVvJfMjLAmec39IyEx_6qawtMGysU/edit?usp=sharing"",""สบก!BJ41"")"),55750.0)</f>
        <v>55750</v>
      </c>
      <c r="N144" s="202">
        <f>IFERROR(__xludf.DUMMYFUNCTION("IMPORTRANGE(""https://docs.google.com/spreadsheets/d/1Yj_ptqi66GCucihVvJfMjLAmec39IyEx_6qawtMGysU/edit?usp=sharing"",""สบก!BK41"")"),1960.0)</f>
        <v>1960</v>
      </c>
      <c r="O144" s="203">
        <f>IF(L144&gt;0,N144*100/L144,0)</f>
        <v>2.722222222</v>
      </c>
      <c r="P144" s="203">
        <f>IF(M144&gt;0,N144*100/M144,0)</f>
        <v>3.515695067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IFERROR(__xludf.DUMMYFUNCTION("IMPORTRANGE(""https://docs.google.com/spreadsheets/d/1Yj_ptqi66GCucihVvJfMjLAmec39IyEx_6qawtMGysU/edit?usp=sharing"",""สบก!BF41"")"),0.0)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IFERROR(__xludf.DUMMYFUNCTION("IMPORTRANGE(""https://docs.google.com/spreadsheets/d/1Yj_ptqi66GCucihVvJfMjLAmec39IyEx_6qawtMGysU/edit?usp=sharing"",""สบก!BG41"")"),72000.0)</f>
        <v>72000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IFERROR(__xludf.DUMMYFUNCTION("IMPORTRANGE(""https://docs.google.com/spreadsheets/d/1Yj_ptqi66GCucihVvJfMjLAmec39IyEx_6qawtMGysU/edit?usp=sharing"",""สบก!BH41"")"),0.0)</f>
        <v>0</v>
      </c>
      <c r="M148" s="125"/>
      <c r="N148" s="115">
        <f>IFERROR(__xludf.DUMMYFUNCTION("IMPORTRANGE(""https://docs.google.com/spreadsheets/d/1Yj_ptqi66GCucihVvJfMjLAmec39IyEx_6qawtMGysU/edit?usp=sharing"",""สบก!BL41"")"),0.0)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IFERROR(__xludf.DUMMYFUNCTION("IMPORTRANGE(""https://docs.google.com/spreadsheets/d/1XL5vhW3sbDhbH9Cz0tuDiY8C3ctxq1tqvaCgkFb8cCA/edit?usp=sharing"",""นครพนม!I74"")"),4.0)</f>
        <v>4</v>
      </c>
      <c r="J149" s="309">
        <f>IFERROR(__xludf.DUMMYFUNCTION("IMPORTRANGE(""https://docs.google.com/spreadsheets/d/1XL5vhW3sbDhbH9Cz0tuDiY8C3ctxq1tqvaCgkFb8cCA/edit?usp=sharing"",""นครพนม!J74"")"),1.0)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IFERROR(__xludf.DUMMYFUNCTION("IMPORTRANGE(""https://docs.google.com/spreadsheets/d/1XL5vhW3sbDhbH9Cz0tuDiY8C3ctxq1tqvaCgkFb8cCA/edit?usp=sharing"",""นครพนม!J79"")"),0.0)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IFERROR(__xludf.DUMMYFUNCTION("IMPORTRANGE(""https://docs.google.com/spreadsheets/d/1XL5vhW3sbDhbH9Cz0tuDiY8C3ctxq1tqvaCgkFb8cCA/edit?usp=sharing"",""นครพนม!J80"")"),1.0)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IFERROR(__xludf.DUMMYFUNCTION("IMPORTRANGE(""https://docs.google.com/spreadsheets/d/1XL5vhW3sbDhbH9Cz0tuDiY8C3ctxq1tqvaCgkFb8cCA/edit?usp=sharing"",""นครพนม!J81"")"),0.0)</f>
        <v>0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IFERROR(__xludf.DUMMYFUNCTION("IMPORTRANGE(""https://docs.google.com/spreadsheets/d/1XL5vhW3sbDhbH9Cz0tuDiY8C3ctxq1tqvaCgkFb8cCA/edit?usp=sharing"",""นครพนม!J82"")"),0.0)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IFERROR(__xludf.DUMMYFUNCTION("IMPORTRANGE(""https://docs.google.com/spreadsheets/d/1XL5vhW3sbDhbH9Cz0tuDiY8C3ctxq1tqvaCgkFb8cCA/edit?usp=sharing"",""นครพนม!I83"")"),4.0)</f>
        <v>4</v>
      </c>
      <c r="J158" s="223">
        <f>IFERROR(__xludf.DUMMYFUNCTION("IMPORTRANGE(""https://docs.google.com/spreadsheets/d/1XL5vhW3sbDhbH9Cz0tuDiY8C3ctxq1tqvaCgkFb8cCA/edit?usp=sharing"",""นครพนม!J83"")"),1.0)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IFERROR(__xludf.DUMMYFUNCTION("IMPORTRANGE(""https://docs.google.com/spreadsheets/d/1XL5vhW3sbDhbH9Cz0tuDiY8C3ctxq1tqvaCgkFb8cCA/edit?usp=sharing"",""นครพนม!J84"")"),0.0)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IFERROR(__xludf.DUMMYFUNCTION("IMPORTRANGE(""https://docs.google.com/spreadsheets/d/1XL5vhW3sbDhbH9Cz0tuDiY8C3ctxq1tqvaCgkFb8cCA/edit?usp=sharing"",""นครพนม!J85"")"),0.0)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IFERROR(__xludf.DUMMYFUNCTION("IMPORTRANGE(""https://docs.google.com/spreadsheets/d/1XL5vhW3sbDhbH9Cz0tuDiY8C3ctxq1tqvaCgkFb8cCA/edit?usp=sharing"",""นครพนม!J86"")"),0.0)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IFERROR(__xludf.DUMMYFUNCTION("IMPORTRANGE(""https://docs.google.com/spreadsheets/d/1XL5vhW3sbDhbH9Cz0tuDiY8C3ctxq1tqvaCgkFb8cCA/edit?usp=sharing"",""นครพนม!J87"")"),0.0)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IFERROR(__xludf.DUMMYFUNCTION("IMPORTRANGE(""https://docs.google.com/spreadsheets/d/1XL5vhW3sbDhbH9Cz0tuDiY8C3ctxq1tqvaCgkFb8cCA/edit?usp=sharing"",""นครพนม!J88"")"),0.0)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IFERROR(__xludf.DUMMYFUNCTION("IMPORTRANGE(""https://docs.google.com/spreadsheets/d/1XL5vhW3sbDhbH9Cz0tuDiY8C3ctxq1tqvaCgkFb8cCA/edit?usp=sharing"",""นครพนม!I89"")"),3.0)</f>
        <v>3</v>
      </c>
      <c r="J164" s="317">
        <f>IFERROR(__xludf.DUMMYFUNCTION("IMPORTRANGE(""https://docs.google.com/spreadsheets/d/1XL5vhW3sbDhbH9Cz0tuDiY8C3ctxq1tqvaCgkFb8cCA/edit?usp=sharing"",""นครพนม!J89"")"),0.0)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IFERROR(__xludf.DUMMYFUNCTION("IMPORTRANGE(""https://docs.google.com/spreadsheets/d/1XL5vhW3sbDhbH9Cz0tuDiY8C3ctxq1tqvaCgkFb8cCA/edit?usp=sharing"",""นครพนม!J94"")"),0.0)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IFERROR(__xludf.DUMMYFUNCTION("IMPORTRANGE(""https://docs.google.com/spreadsheets/d/1XL5vhW3sbDhbH9Cz0tuDiY8C3ctxq1tqvaCgkFb8cCA/edit?usp=sharing"",""นครพนม!J95"")"),1.0)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IFERROR(__xludf.DUMMYFUNCTION("IMPORTRANGE(""https://docs.google.com/spreadsheets/d/1XL5vhW3sbDhbH9Cz0tuDiY8C3ctxq1tqvaCgkFb8cCA/edit?usp=sharing"",""นครพนม!J96"")"),1.0)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IFERROR(__xludf.DUMMYFUNCTION("IMPORTRANGE(""https://docs.google.com/spreadsheets/d/1XL5vhW3sbDhbH9Cz0tuDiY8C3ctxq1tqvaCgkFb8cCA/edit?usp=sharing"",""นครพนม!J97"")"),1.0)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IFERROR(__xludf.DUMMYFUNCTION("IMPORTRANGE(""https://docs.google.com/spreadsheets/d/1XL5vhW3sbDhbH9Cz0tuDiY8C3ctxq1tqvaCgkFb8cCA/edit?usp=sharing"",""นครพนม!I98"")"),3.0)</f>
        <v>3</v>
      </c>
      <c r="J173" s="223">
        <f>IFERROR(__xludf.DUMMYFUNCTION("IMPORTRANGE(""https://docs.google.com/spreadsheets/d/1XL5vhW3sbDhbH9Cz0tuDiY8C3ctxq1tqvaCgkFb8cCA/edit?usp=sharing"",""นครพนม!J98"")"),0.0)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IFERROR(__xludf.DUMMYFUNCTION("IMPORTRANGE(""https://docs.google.com/spreadsheets/d/1XL5vhW3sbDhbH9Cz0tuDiY8C3ctxq1tqvaCgkFb8cCA/edit?usp=sharing"",""นครพนม!J99"")"),0.0)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IFERROR(__xludf.DUMMYFUNCTION("IMPORTRANGE(""https://docs.google.com/spreadsheets/d/1XL5vhW3sbDhbH9Cz0tuDiY8C3ctxq1tqvaCgkFb8cCA/edit?usp=sharing"",""นครพนม!J100"")"),0.0)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IFERROR(__xludf.DUMMYFUNCTION("IMPORTRANGE(""https://docs.google.com/spreadsheets/d/1XL5vhW3sbDhbH9Cz0tuDiY8C3ctxq1tqvaCgkFb8cCA/edit?usp=sharing"",""นครพนม!I101"")"),1.0)</f>
        <v>1</v>
      </c>
      <c r="J176" s="317">
        <f>IFERROR(__xludf.DUMMYFUNCTION("IMPORTRANGE(""https://docs.google.com/spreadsheets/d/1XL5vhW3sbDhbH9Cz0tuDiY8C3ctxq1tqvaCgkFb8cCA/edit?usp=sharing"",""นครพนม!J101"")"),0.0)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IFERROR(__xludf.DUMMYFUNCTION("IMPORTRANGE(""https://docs.google.com/spreadsheets/d/1XL5vhW3sbDhbH9Cz0tuDiY8C3ctxq1tqvaCgkFb8cCA/edit?usp=sharing"",""นครพนม!J106"")"),0.0)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IFERROR(__xludf.DUMMYFUNCTION("IMPORTRANGE(""https://docs.google.com/spreadsheets/d/1XL5vhW3sbDhbH9Cz0tuDiY8C3ctxq1tqvaCgkFb8cCA/edit?usp=sharing"",""นครพนม!J107"")"),1.0)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IFERROR(__xludf.DUMMYFUNCTION("IMPORTRANGE(""https://docs.google.com/spreadsheets/d/1XL5vhW3sbDhbH9Cz0tuDiY8C3ctxq1tqvaCgkFb8cCA/edit?usp=sharing"",""นครพนม!J108"")"),1.0)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IFERROR(__xludf.DUMMYFUNCTION("IMPORTRANGE(""https://docs.google.com/spreadsheets/d/1XL5vhW3sbDhbH9Cz0tuDiY8C3ctxq1tqvaCgkFb8cCA/edit?usp=sharing"",""นครพนม!J109"")"),1.0)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IFERROR(__xludf.DUMMYFUNCTION("IMPORTRANGE(""https://docs.google.com/spreadsheets/d/1XL5vhW3sbDhbH9Cz0tuDiY8C3ctxq1tqvaCgkFb8cCA/edit?usp=sharing"",""นครพนม!I110"")"),1.0)</f>
        <v>1</v>
      </c>
      <c r="J185" s="238">
        <f>IFERROR(__xludf.DUMMYFUNCTION("IMPORTRANGE(""https://docs.google.com/spreadsheets/d/1XL5vhW3sbDhbH9Cz0tuDiY8C3ctxq1tqvaCgkFb8cCA/edit?usp=sharing"",""นครพนม!J110"")"),0.0)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IFERROR(__xludf.DUMMYFUNCTION("IMPORTRANGE(""https://docs.google.com/spreadsheets/d/1XL5vhW3sbDhbH9Cz0tuDiY8C3ctxq1tqvaCgkFb8cCA/edit?usp=sharing"",""นครพนม!I111"")"),1.0)</f>
        <v>1</v>
      </c>
      <c r="J186" s="238">
        <f>IFERROR(__xludf.DUMMYFUNCTION("IMPORTRANGE(""https://docs.google.com/spreadsheets/d/1XL5vhW3sbDhbH9Cz0tuDiY8C3ctxq1tqvaCgkFb8cCA/edit?usp=sharing"",""นครพนม!J111"")"),0.0)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IFERROR(__xludf.DUMMYFUNCTION("IMPORTRANGE(""https://docs.google.com/spreadsheets/d/1XL5vhW3sbDhbH9Cz0tuDiY8C3ctxq1tqvaCgkFb8cCA/edit?usp=sharing"",""นครพนม!J112"")"),0.0)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IFERROR(__xludf.DUMMYFUNCTION("IMPORTRANGE(""https://docs.google.com/spreadsheets/d/1XL5vhW3sbDhbH9Cz0tuDiY8C3ctxq1tqvaCgkFb8cCA/edit?usp=sharing"",""นครพนม!J113"")"),0.0)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IFERROR(__xludf.DUMMYFUNCTION("IMPORTRANGE(""https://docs.google.com/spreadsheets/d/1XL5vhW3sbDhbH9Cz0tuDiY8C3ctxq1tqvaCgkFb8cCA/edit?usp=sharing"",""นครพนม!I114"")"),10000.0)</f>
        <v>10000</v>
      </c>
      <c r="J189" s="317">
        <f>IFERROR(__xludf.DUMMYFUNCTION("IMPORTRANGE(""https://docs.google.com/spreadsheets/d/1XL5vhW3sbDhbH9Cz0tuDiY8C3ctxq1tqvaCgkFb8cCA/edit?usp=sharing"",""นครพนม!J114"")"),0.0)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IFERROR(__xludf.DUMMYFUNCTION("IMPORTRANGE(""https://docs.google.com/spreadsheets/d/1XL5vhW3sbDhbH9Cz0tuDiY8C3ctxq1tqvaCgkFb8cCA/edit?usp=sharing"",""นครพนม!J119"")"),0.0)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IFERROR(__xludf.DUMMYFUNCTION("IMPORTRANGE(""https://docs.google.com/spreadsheets/d/1XL5vhW3sbDhbH9Cz0tuDiY8C3ctxq1tqvaCgkFb8cCA/edit?usp=sharing"",""นครพนม!J120"")"),1.0)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IFERROR(__xludf.DUMMYFUNCTION("IMPORTRANGE(""https://docs.google.com/spreadsheets/d/1XL5vhW3sbDhbH9Cz0tuDiY8C3ctxq1tqvaCgkFb8cCA/edit?usp=sharing"",""นครพนม!J121"")"),1.0)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IFERROR(__xludf.DUMMYFUNCTION("IMPORTRANGE(""https://docs.google.com/spreadsheets/d/1XL5vhW3sbDhbH9Cz0tuDiY8C3ctxq1tqvaCgkFb8cCA/edit?usp=sharing"",""นครพนม!J122"")"),1.0)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IFERROR(__xludf.DUMMYFUNCTION("IMPORTRANGE(""https://docs.google.com/spreadsheets/d/1XL5vhW3sbDhbH9Cz0tuDiY8C3ctxq1tqvaCgkFb8cCA/edit?usp=sharing"",""นครพนม!I124"")"),10000.0)</f>
        <v>10000</v>
      </c>
      <c r="J199" s="223">
        <f>IFERROR(__xludf.DUMMYFUNCTION("IMPORTRANGE(""https://docs.google.com/spreadsheets/d/1XL5vhW3sbDhbH9Cz0tuDiY8C3ctxq1tqvaCgkFb8cCA/edit?usp=sharing"",""นครพนม!J124"")"),0.0)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IFERROR(__xludf.DUMMYFUNCTION("IMPORTRANGE(""https://docs.google.com/spreadsheets/d/1XL5vhW3sbDhbH9Cz0tuDiY8C3ctxq1tqvaCgkFb8cCA/edit?usp=sharing"",""นครพนม!I125"")"),10000.0)</f>
        <v>10000</v>
      </c>
      <c r="J200" s="223">
        <f>IFERROR(__xludf.DUMMYFUNCTION("IMPORTRANGE(""https://docs.google.com/spreadsheets/d/1XL5vhW3sbDhbH9Cz0tuDiY8C3ctxq1tqvaCgkFb8cCA/edit?usp=sharing"",""นครพนม!J125"")"),0.0)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IFERROR(__xludf.DUMMYFUNCTION("IMPORTRANGE(""https://docs.google.com/spreadsheets/d/1XL5vhW3sbDhbH9Cz0tuDiY8C3ctxq1tqvaCgkFb8cCA/edit?usp=sharing"",""นครพนม!I126"")"),0.0)</f>
        <v>0</v>
      </c>
      <c r="J201" s="223">
        <f>IFERROR(__xludf.DUMMYFUNCTION("IMPORTRANGE(""https://docs.google.com/spreadsheets/d/1XL5vhW3sbDhbH9Cz0tuDiY8C3ctxq1tqvaCgkFb8cCA/edit?usp=sharing"",""นครพนม!J126"")"),0.0)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IFERROR(__xludf.DUMMYFUNCTION("IMPORTRANGE(""https://docs.google.com/spreadsheets/d/1XL5vhW3sbDhbH9Cz0tuDiY8C3ctxq1tqvaCgkFb8cCA/edit?usp=sharing"",""นครพนม!J127"")"),0.0)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IFERROR(__xludf.DUMMYFUNCTION("IMPORTRANGE(""https://docs.google.com/spreadsheets/d/1XL5vhW3sbDhbH9Cz0tuDiY8C3ctxq1tqvaCgkFb8cCA/edit?usp=sharing"",""นครพนม!J128"")"),0.0)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IFERROR(__xludf.DUMMYFUNCTION("IMPORTRANGE(""https://docs.google.com/spreadsheets/d/1XL5vhW3sbDhbH9Cz0tuDiY8C3ctxq1tqvaCgkFb8cCA/edit?usp=sharing"",""นครพนม!I129"")"),0.0)</f>
        <v>0</v>
      </c>
      <c r="J204" s="317">
        <f>IFERROR(__xludf.DUMMYFUNCTION("IMPORTRANGE(""https://docs.google.com/spreadsheets/d/1XL5vhW3sbDhbH9Cz0tuDiY8C3ctxq1tqvaCgkFb8cCA/edit?usp=sharing"",""นครพนม!J129"")"),0.0)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IFERROR(__xludf.DUMMYFUNCTION("IMPORTRANGE(""https://docs.google.com/spreadsheets/d/1XL5vhW3sbDhbH9Cz0tuDiY8C3ctxq1tqvaCgkFb8cCA/edit?usp=sharing"",""นครพนม!J134"")"),0.0)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IFERROR(__xludf.DUMMYFUNCTION("IMPORTRANGE(""https://docs.google.com/spreadsheets/d/1XL5vhW3sbDhbH9Cz0tuDiY8C3ctxq1tqvaCgkFb8cCA/edit?usp=sharing"",""นครพนม!J135"")"),0.0)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IFERROR(__xludf.DUMMYFUNCTION("IMPORTRANGE(""https://docs.google.com/spreadsheets/d/1XL5vhW3sbDhbH9Cz0tuDiY8C3ctxq1tqvaCgkFb8cCA/edit?usp=sharing"",""นครพนม!J136"")"),0.0)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IFERROR(__xludf.DUMMYFUNCTION("IMPORTRANGE(""https://docs.google.com/spreadsheets/d/1XL5vhW3sbDhbH9Cz0tuDiY8C3ctxq1tqvaCgkFb8cCA/edit?usp=sharing"",""นครพนม!J137"")"),0.0)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IFERROR(__xludf.DUMMYFUNCTION("IMPORTRANGE(""https://docs.google.com/spreadsheets/d/1XL5vhW3sbDhbH9Cz0tuDiY8C3ctxq1tqvaCgkFb8cCA/edit?usp=sharing"",""นครพนม!I138"")"),0.0)</f>
        <v>0</v>
      </c>
      <c r="J213" s="238">
        <f>IFERROR(__xludf.DUMMYFUNCTION("IMPORTRANGE(""https://docs.google.com/spreadsheets/d/1XL5vhW3sbDhbH9Cz0tuDiY8C3ctxq1tqvaCgkFb8cCA/edit?usp=sharing"",""นครพนม!J138"")"),0.0)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IFERROR(__xludf.DUMMYFUNCTION("IMPORTRANGE(""https://docs.google.com/spreadsheets/d/1XL5vhW3sbDhbH9Cz0tuDiY8C3ctxq1tqvaCgkFb8cCA/edit?usp=sharing"",""นครพนม!I140"")"),0.0)</f>
        <v>0</v>
      </c>
      <c r="J215" s="238">
        <f>IFERROR(__xludf.DUMMYFUNCTION("IMPORTRANGE(""https://docs.google.com/spreadsheets/d/1XL5vhW3sbDhbH9Cz0tuDiY8C3ctxq1tqvaCgkFb8cCA/edit?usp=sharing"",""นครพนม!J140"")"),0.0)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IFERROR(__xludf.DUMMYFUNCTION("IMPORTRANGE(""https://docs.google.com/spreadsheets/d/1XL5vhW3sbDhbH9Cz0tuDiY8C3ctxq1tqvaCgkFb8cCA/edit?usp=sharing"",""นครพนม!I141"")"),0.0)</f>
        <v>0</v>
      </c>
      <c r="J216" s="238">
        <f>IFERROR(__xludf.DUMMYFUNCTION("IMPORTRANGE(""https://docs.google.com/spreadsheets/d/1XL5vhW3sbDhbH9Cz0tuDiY8C3ctxq1tqvaCgkFb8cCA/edit?usp=sharing"",""นครพนม!J141"")"),0.0)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IFERROR(__xludf.DUMMYFUNCTION("IMPORTRANGE(""https://docs.google.com/spreadsheets/d/1XL5vhW3sbDhbH9Cz0tuDiY8C3ctxq1tqvaCgkFb8cCA/edit?usp=sharing"",""นครพนม!J142"")"),0.0)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IFERROR(__xludf.DUMMYFUNCTION("IMPORTRANGE(""https://docs.google.com/spreadsheets/d/1XL5vhW3sbDhbH9Cz0tuDiY8C3ctxq1tqvaCgkFb8cCA/edit?usp=sharing"",""นครพนม!J143"")"),0.0)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IFERROR(__xludf.DUMMYFUNCTION("IMPORTRANGE(""https://docs.google.com/spreadsheets/d/1XL5vhW3sbDhbH9Cz0tuDiY8C3ctxq1tqvaCgkFb8cCA/edit?usp=sharing"",""นครพนม!I144"")"),15.0)</f>
        <v>15</v>
      </c>
      <c r="J219" s="301">
        <f>IFERROR(__xludf.DUMMYFUNCTION("IMPORTRANGE(""https://docs.google.com/spreadsheets/d/1XL5vhW3sbDhbH9Cz0tuDiY8C3ctxq1tqvaCgkFb8cCA/edit?usp=sharing"",""นครพนม!J144"")"),15.0)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IFERROR(__xludf.DUMMYFUNCTION("IMPORTRANGE(""https://docs.google.com/spreadsheets/d/1Yj_ptqi66GCucihVvJfMjLAmec39IyEx_6qawtMGysU/edit?usp=sharing"",""สบก!BS41"")"),21125.0)</f>
        <v>21125</v>
      </c>
      <c r="N224" s="202">
        <f>IFERROR(__xludf.DUMMYFUNCTION("IMPORTRANGE(""https://docs.google.com/spreadsheets/d/1Yj_ptqi66GCucihVvJfMjLAmec39IyEx_6qawtMGysU/edit?usp=sharing"",""สบก!BT41"")"),21125.0)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IFERROR(__xludf.DUMMYFUNCTION("IMPORTRANGE(""https://docs.google.com/spreadsheets/d/1Yj_ptqi66GCucihVvJfMjLAmec39IyEx_6qawtMGysU/edit?usp=sharing"",""สบก!BO41"")"),0.0)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IFERROR(__xludf.DUMMYFUNCTION("IMPORTRANGE(""https://docs.google.com/spreadsheets/d/1Yj_ptqi66GCucihVvJfMjLAmec39IyEx_6qawtMGysU/edit?usp=sharing"",""สบก!BP41"")"),21125.0)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IFERROR(__xludf.DUMMYFUNCTION("IMPORTRANGE(""https://docs.google.com/spreadsheets/d/1Yj_ptqi66GCucihVvJfMjLAmec39IyEx_6qawtMGysU/edit?usp=sharing"",""สบก!BQ41"")"),0.0)</f>
        <v>0</v>
      </c>
      <c r="M228" s="125"/>
      <c r="N228" s="115">
        <f>IFERROR(__xludf.DUMMYFUNCTION("IMPORTRANGE(""https://docs.google.com/spreadsheets/d/1Yj_ptqi66GCucihVvJfMjLAmec39IyEx_6qawtMGysU/edit?usp=sharing"",""สบก!BU41"")"),0.0)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IFERROR(__xludf.DUMMYFUNCTION("IMPORTRANGE(""https://docs.google.com/spreadsheets/d/1XL5vhW3sbDhbH9Cz0tuDiY8C3ctxq1tqvaCgkFb8cCA/edit?usp=sharing"",""นครพนม!I149"")"),15.0)</f>
        <v>15</v>
      </c>
      <c r="J229" s="301">
        <f>IFERROR(__xludf.DUMMYFUNCTION("IMPORTRANGE(""https://docs.google.com/spreadsheets/d/1XL5vhW3sbDhbH9Cz0tuDiY8C3ctxq1tqvaCgkFb8cCA/edit?usp=sharing"",""นครพนม!J149"")"),15.0)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IFERROR(__xludf.DUMMYFUNCTION("IMPORTRANGE(""https://docs.google.com/spreadsheets/d/1XL5vhW3sbDhbH9Cz0tuDiY8C3ctxq1tqvaCgkFb8cCA/edit?usp=sharing"",""นครพนม!J151"")"),0.0)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 t="str">
        <f>IFERROR(__xludf.DUMMYFUNCTION("IMPORTRANGE(""https://docs.google.com/spreadsheets/d/1XL5vhW3sbDhbH9Cz0tuDiY8C3ctxq1tqvaCgkFb8cCA/edit?usp=sharing"",""นครพนม!J152"")"),"")</f>
        <v/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IFERROR(__xludf.DUMMYFUNCTION("IMPORTRANGE(""https://docs.google.com/spreadsheets/d/1XL5vhW3sbDhbH9Cz0tuDiY8C3ctxq1tqvaCgkFb8cCA/edit?usp=sharing"",""นครพนม!J153"")"),1.0)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IFERROR(__xludf.DUMMYFUNCTION("IMPORTRANGE(""https://docs.google.com/spreadsheets/d/1XL5vhW3sbDhbH9Cz0tuDiY8C3ctxq1tqvaCgkFb8cCA/edit?usp=sharing"",""นครพนม!J154"")"),1.0)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IFERROR(__xludf.DUMMYFUNCTION("IMPORTRANGE(""https://docs.google.com/spreadsheets/d/1XL5vhW3sbDhbH9Cz0tuDiY8C3ctxq1tqvaCgkFb8cCA/edit?usp=sharing"",""นครพนม!I155"")"),15.0)</f>
        <v>15</v>
      </c>
      <c r="J235" s="223">
        <f>IFERROR(__xludf.DUMMYFUNCTION("IMPORTRANGE(""https://docs.google.com/spreadsheets/d/1XL5vhW3sbDhbH9Cz0tuDiY8C3ctxq1tqvaCgkFb8cCA/edit?usp=sharing"",""นครพนม!J155"")"),15.0)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IFERROR(__xludf.DUMMYFUNCTION("IMPORTRANGE(""https://docs.google.com/spreadsheets/d/1XL5vhW3sbDhbH9Cz0tuDiY8C3ctxq1tqvaCgkFb8cCA/edit?usp=sharing"",""นครพนม!J156"")"),0.0)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IFERROR(__xludf.DUMMYFUNCTION("IMPORTRANGE(""https://docs.google.com/spreadsheets/d/1XL5vhW3sbDhbH9Cz0tuDiY8C3ctxq1tqvaCgkFb8cCA/edit?usp=sharing"",""นครพนม!J157"")"),0.0)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IFERROR(__xludf.DUMMYFUNCTION("IMPORTRANGE(""https://docs.google.com/spreadsheets/d/1XL5vhW3sbDhbH9Cz0tuDiY8C3ctxq1tqvaCgkFb8cCA/edit?usp=sharing"",""นครพนม!I158"")"),0.0)</f>
        <v>0</v>
      </c>
      <c r="J238" s="301">
        <f>IFERROR(__xludf.DUMMYFUNCTION("IMPORTRANGE(""https://docs.google.com/spreadsheets/d/1XL5vhW3sbDhbH9Cz0tuDiY8C3ctxq1tqvaCgkFb8cCA/edit?usp=sharing"",""นครพนม!J158"")"),0.0)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IFERROR(__xludf.DUMMYFUNCTION("IMPORTRANGE(""https://docs.google.com/spreadsheets/d/1XL5vhW3sbDhbH9Cz0tuDiY8C3ctxq1tqvaCgkFb8cCA/edit?usp=sharing"",""นครพนม!J159"")"),"")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IFERROR(__xludf.DUMMYFUNCTION("IMPORTRANGE(""https://docs.google.com/spreadsheets/d/1XL5vhW3sbDhbH9Cz0tuDiY8C3ctxq1tqvaCgkFb8cCA/edit?usp=sharing"",""นครพนม!J161"")"),0.0)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IFERROR(__xludf.DUMMYFUNCTION("IMPORTRANGE(""https://docs.google.com/spreadsheets/d/1XL5vhW3sbDhbH9Cz0tuDiY8C3ctxq1tqvaCgkFb8cCA/edit?usp=sharing"",""นครพนม!J162"")"),0.0)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IFERROR(__xludf.DUMMYFUNCTION("IMPORTRANGE(""https://docs.google.com/spreadsheets/d/1XL5vhW3sbDhbH9Cz0tuDiY8C3ctxq1tqvaCgkFb8cCA/edit?usp=sharing"",""นครพนม!J163"")"),0.0)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IFERROR(__xludf.DUMMYFUNCTION("IMPORTRANGE(""https://docs.google.com/spreadsheets/d/1XL5vhW3sbDhbH9Cz0tuDiY8C3ctxq1tqvaCgkFb8cCA/edit?usp=sharing"",""นครพนม!I164"")"),0.0)</f>
        <v>0</v>
      </c>
      <c r="J244" s="222">
        <f>IFERROR(__xludf.DUMMYFUNCTION("IMPORTRANGE(""https://docs.google.com/spreadsheets/d/1XL5vhW3sbDhbH9Cz0tuDiY8C3ctxq1tqvaCgkFb8cCA/edit?usp=sharing"",""นครพนม!J164"")"),0.0)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IFERROR(__xludf.DUMMYFUNCTION("IMPORTRANGE(""https://docs.google.com/spreadsheets/d/1XL5vhW3sbDhbH9Cz0tuDiY8C3ctxq1tqvaCgkFb8cCA/edit?usp=sharing"",""นครพนม!J165"")"),0.0)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IFERROR(__xludf.DUMMYFUNCTION("IMPORTRANGE(""https://docs.google.com/spreadsheets/d/1XL5vhW3sbDhbH9Cz0tuDiY8C3ctxq1tqvaCgkFb8cCA/edit?usp=sharing"",""นครพนม!J166"")"),0.0)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IFERROR(__xludf.DUMMYFUNCTION("IMPORTRANGE(""https://docs.google.com/spreadsheets/d/1XL5vhW3sbDhbH9Cz0tuDiY8C3ctxq1tqvaCgkFb8cCA/edit?usp=sharing"",""นครพนม!I169"")"),25.0)</f>
        <v>25</v>
      </c>
      <c r="J249" s="349">
        <f>IFERROR(__xludf.DUMMYFUNCTION("IMPORTRANGE(""https://docs.google.com/spreadsheets/d/1XL5vhW3sbDhbH9Cz0tuDiY8C3ctxq1tqvaCgkFb8cCA/edit?usp=sharing"",""นครพนม!J169"")"),0.0)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221000</v>
      </c>
      <c r="M250" s="183">
        <f t="shared" si="78"/>
        <v>108500</v>
      </c>
      <c r="N250" s="183">
        <f t="shared" si="78"/>
        <v>35700</v>
      </c>
      <c r="O250" s="182">
        <f t="shared" ref="O250:O252" si="80">IF(L250&gt;0,N250*100/L250,0)</f>
        <v>16.15384615</v>
      </c>
      <c r="P250" s="182">
        <f t="shared" ref="P250:P252" si="81">IF(M250&gt;0,N250*100/M250,0)</f>
        <v>32.90322581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221000</v>
      </c>
      <c r="M252" s="188">
        <f t="shared" si="82"/>
        <v>108500</v>
      </c>
      <c r="N252" s="188">
        <f t="shared" si="82"/>
        <v>35700</v>
      </c>
      <c r="O252" s="187">
        <f t="shared" si="80"/>
        <v>16.15384615</v>
      </c>
      <c r="P252" s="187">
        <f t="shared" si="81"/>
        <v>32.90322581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221000</v>
      </c>
      <c r="M254" s="201">
        <f>IFERROR(__xludf.DUMMYFUNCTION("IMPORTRANGE(""https://docs.google.com/spreadsheets/d/1Yj_ptqi66GCucihVvJfMjLAmec39IyEx_6qawtMGysU/edit?usp=sharing"",""สบก!CB41"")"),108500.0)</f>
        <v>108500</v>
      </c>
      <c r="N254" s="202">
        <f>IFERROR(__xludf.DUMMYFUNCTION("IMPORTRANGE(""https://docs.google.com/spreadsheets/d/1Yj_ptqi66GCucihVvJfMjLAmec39IyEx_6qawtMGysU/edit?usp=sharing"",""สบก!CC41"")"),35700.0)</f>
        <v>35700</v>
      </c>
      <c r="O254" s="203">
        <f>IF(L254&gt;0,N254*100/L254,0)</f>
        <v>16.15384615</v>
      </c>
      <c r="P254" s="203">
        <f>IF(M254&gt;0,N254*100/M254,0)</f>
        <v>32.90322581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IFERROR(__xludf.DUMMYFUNCTION("IMPORTRANGE(""https://docs.google.com/spreadsheets/d/1Yj_ptqi66GCucihVvJfMjLAmec39IyEx_6qawtMGysU/edit?usp=sharing"",""สบก!BX41"")"),132000.0)</f>
        <v>132000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IFERROR(__xludf.DUMMYFUNCTION("IMPORTRANGE(""https://docs.google.com/spreadsheets/d/1Yj_ptqi66GCucihVvJfMjLAmec39IyEx_6qawtMGysU/edit?usp=sharing"",""สบก!BY41"")"),89000.0)</f>
        <v>89000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IFERROR(__xludf.DUMMYFUNCTION("IMPORTRANGE(""https://docs.google.com/spreadsheets/d/1Yj_ptqi66GCucihVvJfMjLAmec39IyEx_6qawtMGysU/edit?usp=sharing"",""สบก!BZ41"")"),0.0)</f>
        <v>0</v>
      </c>
      <c r="M258" s="125"/>
      <c r="N258" s="115">
        <f>IFERROR(__xludf.DUMMYFUNCTION("IMPORTRANGE(""https://docs.google.com/spreadsheets/d/1Yj_ptqi66GCucihVvJfMjLAmec39IyEx_6qawtMGysU/edit?usp=sharing"",""สบก!CD41"")"),0.0)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IFERROR(__xludf.DUMMYFUNCTION("IMPORTRANGE(""https://docs.google.com/spreadsheets/d/1XL5vhW3sbDhbH9Cz0tuDiY8C3ctxq1tqvaCgkFb8cCA/edit?usp=sharing"",""นครพนม!J175"")"),0.0)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IFERROR(__xludf.DUMMYFUNCTION("IMPORTRANGE(""https://docs.google.com/spreadsheets/d/1XL5vhW3sbDhbH9Cz0tuDiY8C3ctxq1tqvaCgkFb8cCA/edit?usp=sharing"",""นครพนม!J176"")"),1.0)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IFERROR(__xludf.DUMMYFUNCTION("IMPORTRANGE(""https://docs.google.com/spreadsheets/d/1XL5vhW3sbDhbH9Cz0tuDiY8C3ctxq1tqvaCgkFb8cCA/edit?usp=sharing"",""นครพนม!J177"")"),1.0)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IFERROR(__xludf.DUMMYFUNCTION("IMPORTRANGE(""https://docs.google.com/spreadsheets/d/1XL5vhW3sbDhbH9Cz0tuDiY8C3ctxq1tqvaCgkFb8cCA/edit?usp=sharing"",""นครพนม!J178"")"),1.0)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IFERROR(__xludf.DUMMYFUNCTION("IMPORTRANGE(""https://docs.google.com/spreadsheets/d/1XL5vhW3sbDhbH9Cz0tuDiY8C3ctxq1tqvaCgkFb8cCA/edit?usp=sharing"",""นครพนม!I179"")"),1.0)</f>
        <v>1</v>
      </c>
      <c r="J264" s="223">
        <f>IFERROR(__xludf.DUMMYFUNCTION("IMPORTRANGE(""https://docs.google.com/spreadsheets/d/1XL5vhW3sbDhbH9Cz0tuDiY8C3ctxq1tqvaCgkFb8cCA/edit?usp=sharing"",""นครพนม!J179"")"),0.0)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IFERROR(__xludf.DUMMYFUNCTION("IMPORTRANGE(""https://docs.google.com/spreadsheets/d/1XL5vhW3sbDhbH9Cz0tuDiY8C3ctxq1tqvaCgkFb8cCA/edit?usp=sharing"",""นครพนม!I180"")"),25.0)</f>
        <v>25</v>
      </c>
      <c r="J265" s="223">
        <f>IFERROR(__xludf.DUMMYFUNCTION("IMPORTRANGE(""https://docs.google.com/spreadsheets/d/1XL5vhW3sbDhbH9Cz0tuDiY8C3ctxq1tqvaCgkFb8cCA/edit?usp=sharing"",""นครพนม!J180"")"),0.0)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IFERROR(__xludf.DUMMYFUNCTION("IMPORTRANGE(""https://docs.google.com/spreadsheets/d/1XL5vhW3sbDhbH9Cz0tuDiY8C3ctxq1tqvaCgkFb8cCA/edit?usp=sharing"",""นครพนม!I181"")"),25.0)</f>
        <v>25</v>
      </c>
      <c r="J266" s="223">
        <f>IFERROR(__xludf.DUMMYFUNCTION("IMPORTRANGE(""https://docs.google.com/spreadsheets/d/1XL5vhW3sbDhbH9Cz0tuDiY8C3ctxq1tqvaCgkFb8cCA/edit?usp=sharing"",""นครพนม!J181"")"),0.0)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IFERROR(__xludf.DUMMYFUNCTION("IMPORTRANGE(""https://docs.google.com/spreadsheets/d/1XL5vhW3sbDhbH9Cz0tuDiY8C3ctxq1tqvaCgkFb8cCA/edit?usp=sharing"",""นครพนม!I182"")"),1.0)</f>
        <v>1</v>
      </c>
      <c r="J267" s="223">
        <f>IFERROR(__xludf.DUMMYFUNCTION("IMPORTRANGE(""https://docs.google.com/spreadsheets/d/1XL5vhW3sbDhbH9Cz0tuDiY8C3ctxq1tqvaCgkFb8cCA/edit?usp=sharing"",""นครพนม!J182"")"),0.0)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IFERROR(__xludf.DUMMYFUNCTION("IMPORTRANGE(""https://docs.google.com/spreadsheets/d/1XL5vhW3sbDhbH9Cz0tuDiY8C3ctxq1tqvaCgkFb8cCA/edit?usp=sharing"",""นครพนม!J183"")"),0.0)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IFERROR(__xludf.DUMMYFUNCTION("IMPORTRANGE(""https://docs.google.com/spreadsheets/d/1XL5vhW3sbDhbH9Cz0tuDiY8C3ctxq1tqvaCgkFb8cCA/edit?usp=sharing"",""นครพนม!J184"")"),0.0)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IFERROR(__xludf.DUMMYFUNCTION("IMPORTRANGE(""https://docs.google.com/spreadsheets/d/1XL5vhW3sbDhbH9Cz0tuDiY8C3ctxq1tqvaCgkFb8cCA/edit?usp=sharing"",""นครพนม!I185"")"),0.0)</f>
        <v>0</v>
      </c>
      <c r="J270" s="349">
        <f>IFERROR(__xludf.DUMMYFUNCTION("IMPORTRANGE(""https://docs.google.com/spreadsheets/d/1XL5vhW3sbDhbH9Cz0tuDiY8C3ctxq1tqvaCgkFb8cCA/edit?usp=sharing"",""นครพนม!J185"")"),0.0)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IFERROR(__xludf.DUMMYFUNCTION("IMPORTRANGE(""https://docs.google.com/spreadsheets/d/1Yj_ptqi66GCucihVvJfMjLAmec39IyEx_6qawtMGysU/edit?usp=sharing"",""สบก!CK41"")"),0.0)</f>
        <v>0</v>
      </c>
      <c r="N275" s="202">
        <f>IFERROR(__xludf.DUMMYFUNCTION("IMPORTRANGE(""https://docs.google.com/spreadsheets/d/1Yj_ptqi66GCucihVvJfMjLAmec39IyEx_6qawtMGysU/edit?usp=sharing"",""สบก!CL41"")"),0.0)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IFERROR(__xludf.DUMMYFUNCTION("IMPORTRANGE(""https://docs.google.com/spreadsheets/d/1Yj_ptqi66GCucihVvJfMjLAmec39IyEx_6qawtMGysU/edit?usp=sharing"",""สบก!CG41"")"),0.0)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IFERROR(__xludf.DUMMYFUNCTION("IMPORTRANGE(""https://docs.google.com/spreadsheets/d/1Yj_ptqi66GCucihVvJfMjLAmec39IyEx_6qawtMGysU/edit?usp=sharing"",""สบก!CH41"")"),0.0)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IFERROR(__xludf.DUMMYFUNCTION("IMPORTRANGE(""https://docs.google.com/spreadsheets/d/1Yj_ptqi66GCucihVvJfMjLAmec39IyEx_6qawtMGysU/edit?usp=sharing"",""สบก!CI41"")"),0.0)</f>
        <v>0</v>
      </c>
      <c r="M279" s="125"/>
      <c r="N279" s="115">
        <f>IFERROR(__xludf.DUMMYFUNCTION("IMPORTRANGE(""https://docs.google.com/spreadsheets/d/1Yj_ptqi66GCucihVvJfMjLAmec39IyEx_6qawtMGysU/edit?usp=sharing"",""สบก!CM41"")"),0.0)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IFERROR(__xludf.DUMMYFUNCTION("IMPORTRANGE(""https://docs.google.com/spreadsheets/d/1XL5vhW3sbDhbH9Cz0tuDiY8C3ctxq1tqvaCgkFb8cCA/edit?usp=sharing"",""นครพนม!J191"")"),0.0)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IFERROR(__xludf.DUMMYFUNCTION("IMPORTRANGE(""https://docs.google.com/spreadsheets/d/1XL5vhW3sbDhbH9Cz0tuDiY8C3ctxq1tqvaCgkFb8cCA/edit?usp=sharing"",""นครพนม!J192"")"),0.0)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IFERROR(__xludf.DUMMYFUNCTION("IMPORTRANGE(""https://docs.google.com/spreadsheets/d/1XL5vhW3sbDhbH9Cz0tuDiY8C3ctxq1tqvaCgkFb8cCA/edit?usp=sharing"",""นครพนม!J193"")"),0.0)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IFERROR(__xludf.DUMMYFUNCTION("IMPORTRANGE(""https://docs.google.com/spreadsheets/d/1XL5vhW3sbDhbH9Cz0tuDiY8C3ctxq1tqvaCgkFb8cCA/edit?usp=sharing"",""นครพนม!J194"")"),0.0)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IFERROR(__xludf.DUMMYFUNCTION("IMPORTRANGE(""https://docs.google.com/spreadsheets/d/1XL5vhW3sbDhbH9Cz0tuDiY8C3ctxq1tqvaCgkFb8cCA/edit?usp=sharing"",""นครพนม!I195"")"),0.0)</f>
        <v>0</v>
      </c>
      <c r="J285" s="223">
        <f>IFERROR(__xludf.DUMMYFUNCTION("IMPORTRANGE(""https://docs.google.com/spreadsheets/d/1XL5vhW3sbDhbH9Cz0tuDiY8C3ctxq1tqvaCgkFb8cCA/edit?usp=sharing"",""นครพนม!J195"")"),0.0)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IFERROR(__xludf.DUMMYFUNCTION("IMPORTRANGE(""https://docs.google.com/spreadsheets/d/1XL5vhW3sbDhbH9Cz0tuDiY8C3ctxq1tqvaCgkFb8cCA/edit?usp=sharing"",""นครพนม!J196"")"),0.0)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IFERROR(__xludf.DUMMYFUNCTION("IMPORTRANGE(""https://docs.google.com/spreadsheets/d/1XL5vhW3sbDhbH9Cz0tuDiY8C3ctxq1tqvaCgkFb8cCA/edit?usp=sharing"",""นครพนม!J197"")"),0.0)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IFERROR(__xludf.DUMMYFUNCTION("IMPORTRANGE(""https://docs.google.com/spreadsheets/d/1XL5vhW3sbDhbH9Cz0tuDiY8C3ctxq1tqvaCgkFb8cCA/edit?usp=sharing"",""นครพนม!I199"")"),0.0)</f>
        <v>0</v>
      </c>
      <c r="J289" s="349">
        <f>IFERROR(__xludf.DUMMYFUNCTION("IMPORTRANGE(""https://docs.google.com/spreadsheets/d/1XL5vhW3sbDhbH9Cz0tuDiY8C3ctxq1tqvaCgkFb8cCA/edit?usp=sharing"",""นครพนม!J199"")"),0.0)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IFERROR(__xludf.DUMMYFUNCTION("IMPORTRANGE(""https://docs.google.com/spreadsheets/d/1Yj_ptqi66GCucihVvJfMjLAmec39IyEx_6qawtMGysU/edit?usp=sharing"",""สบก!CT41"")"),0.0)</f>
        <v>0</v>
      </c>
      <c r="N294" s="202">
        <f>IFERROR(__xludf.DUMMYFUNCTION("IMPORTRANGE(""https://docs.google.com/spreadsheets/d/1Yj_ptqi66GCucihVvJfMjLAmec39IyEx_6qawtMGysU/edit?usp=sharing"",""สบก!CU41"")"),0.0)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IFERROR(__xludf.DUMMYFUNCTION("IMPORTRANGE(""https://docs.google.com/spreadsheets/d/1Yj_ptqi66GCucihVvJfMjLAmec39IyEx_6qawtMGysU/edit?usp=sharing"",""สบก!CP41"")"),0.0)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IFERROR(__xludf.DUMMYFUNCTION("IMPORTRANGE(""https://docs.google.com/spreadsheets/d/1Yj_ptqi66GCucihVvJfMjLAmec39IyEx_6qawtMGysU/edit?usp=sharing"",""สบก!CQ41"")"),0.0)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IFERROR(__xludf.DUMMYFUNCTION("IMPORTRANGE(""https://docs.google.com/spreadsheets/d/1Yj_ptqi66GCucihVvJfMjLAmec39IyEx_6qawtMGysU/edit?usp=sharing"",""สบก!CR41"")"),0.0)</f>
        <v>0</v>
      </c>
      <c r="M298" s="125"/>
      <c r="N298" s="115">
        <f>IFERROR(__xludf.DUMMYFUNCTION("IMPORTRANGE(""https://docs.google.com/spreadsheets/d/1Yj_ptqi66GCucihVvJfMjLAmec39IyEx_6qawtMGysU/edit?usp=sharing"",""สบก!CV41"")"),0.0)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IFERROR(__xludf.DUMMYFUNCTION("IMPORTRANGE(""https://docs.google.com/spreadsheets/d/1XL5vhW3sbDhbH9Cz0tuDiY8C3ctxq1tqvaCgkFb8cCA/edit?usp=sharing"",""นครพนม!J205"")"),0.0)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IFERROR(__xludf.DUMMYFUNCTION("IMPORTRANGE(""https://docs.google.com/spreadsheets/d/1XL5vhW3sbDhbH9Cz0tuDiY8C3ctxq1tqvaCgkFb8cCA/edit?usp=sharing"",""นครพนม!J206"")"),0.0)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IFERROR(__xludf.DUMMYFUNCTION("IMPORTRANGE(""https://docs.google.com/spreadsheets/d/1XL5vhW3sbDhbH9Cz0tuDiY8C3ctxq1tqvaCgkFb8cCA/edit?usp=sharing"",""นครพนม!J207"")"),0.0)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IFERROR(__xludf.DUMMYFUNCTION("IMPORTRANGE(""https://docs.google.com/spreadsheets/d/1XL5vhW3sbDhbH9Cz0tuDiY8C3ctxq1tqvaCgkFb8cCA/edit?usp=sharing"",""นครพนม!J208"")"),0.0)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IFERROR(__xludf.DUMMYFUNCTION("IMPORTRANGE(""https://docs.google.com/spreadsheets/d/1XL5vhW3sbDhbH9Cz0tuDiY8C3ctxq1tqvaCgkFb8cCA/edit?usp=sharing"",""นครพนม!I209"")"),0.0)</f>
        <v>0</v>
      </c>
      <c r="J304" s="238">
        <f>IFERROR(__xludf.DUMMYFUNCTION("IMPORTRANGE(""https://docs.google.com/spreadsheets/d/1XL5vhW3sbDhbH9Cz0tuDiY8C3ctxq1tqvaCgkFb8cCA/edit?usp=sharing"",""นครพนม!J209"")"),0.0)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IFERROR(__xludf.DUMMYFUNCTION("IMPORTRANGE(""https://docs.google.com/spreadsheets/d/1XL5vhW3sbDhbH9Cz0tuDiY8C3ctxq1tqvaCgkFb8cCA/edit?usp=sharing"",""นครพนม!I211"")"),0.0)</f>
        <v>0</v>
      </c>
      <c r="J306" s="238">
        <f>IFERROR(__xludf.DUMMYFUNCTION("IMPORTRANGE(""https://docs.google.com/spreadsheets/d/1XL5vhW3sbDhbH9Cz0tuDiY8C3ctxq1tqvaCgkFb8cCA/edit?usp=sharing"",""นครพนม!J211"")"),0.0)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IFERROR(__xludf.DUMMYFUNCTION("IMPORTRANGE(""https://docs.google.com/spreadsheets/d/1XL5vhW3sbDhbH9Cz0tuDiY8C3ctxq1tqvaCgkFb8cCA/edit?usp=sharing"",""นครพนม!J212"")"),0.0)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IFERROR(__xludf.DUMMYFUNCTION("IMPORTRANGE(""https://docs.google.com/spreadsheets/d/1XL5vhW3sbDhbH9Cz0tuDiY8C3ctxq1tqvaCgkFb8cCA/edit?usp=sharing"",""นครพนม!J213"")"),0.0)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IFERROR(__xludf.DUMMYFUNCTION("IMPORTRANGE(""https://docs.google.com/spreadsheets/d/1XL5vhW3sbDhbH9Cz0tuDiY8C3ctxq1tqvaCgkFb8cCA/edit?usp=sharing"",""นครพนม!I214"")"),0.0)</f>
        <v>0</v>
      </c>
      <c r="J309" s="366">
        <f>IFERROR(__xludf.DUMMYFUNCTION("IMPORTRANGE(""https://docs.google.com/spreadsheets/d/1XL5vhW3sbDhbH9Cz0tuDiY8C3ctxq1tqvaCgkFb8cCA/edit?usp=sharing"",""นครพนม!J214"")"),0.0)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IFERROR(__xludf.DUMMYFUNCTION("IMPORTRANGE(""https://docs.google.com/spreadsheets/d/1Yj_ptqi66GCucihVvJfMjLAmec39IyEx_6qawtMGysU/edit?usp=sharing"",""สบก!DC41"")"),0.0)</f>
        <v>0</v>
      </c>
      <c r="N314" s="202">
        <f>IFERROR(__xludf.DUMMYFUNCTION("IMPORTRANGE(""https://docs.google.com/spreadsheets/d/1Yj_ptqi66GCucihVvJfMjLAmec39IyEx_6qawtMGysU/edit?usp=sharing"",""สบก!DD41"")"),0.0)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IFERROR(__xludf.DUMMYFUNCTION("IMPORTRANGE(""https://docs.google.com/spreadsheets/d/1Yj_ptqi66GCucihVvJfMjLAmec39IyEx_6qawtMGysU/edit?usp=sharing"",""สบก!CY41"")"),0.0)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IFERROR(__xludf.DUMMYFUNCTION("IMPORTRANGE(""https://docs.google.com/spreadsheets/d/1Yj_ptqi66GCucihVvJfMjLAmec39IyEx_6qawtMGysU/edit?usp=sharing"",""สบก!CZ41"")"),0.0)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IFERROR(__xludf.DUMMYFUNCTION("IMPORTRANGE(""https://docs.google.com/spreadsheets/d/1Yj_ptqi66GCucihVvJfMjLAmec39IyEx_6qawtMGysU/edit?usp=sharing"",""สบก!DA41"")"),0.0)</f>
        <v>0</v>
      </c>
      <c r="M318" s="125"/>
      <c r="N318" s="115">
        <f>IFERROR(__xludf.DUMMYFUNCTION("IMPORTRANGE(""https://docs.google.com/spreadsheets/d/1Yj_ptqi66GCucihVvJfMjLAmec39IyEx_6qawtMGysU/edit?usp=sharing"",""สบก!DE41"")"),0.0)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IFERROR(__xludf.DUMMYFUNCTION("IMPORTRANGE(""https://docs.google.com/spreadsheets/d/1XL5vhW3sbDhbH9Cz0tuDiY8C3ctxq1tqvaCgkFb8cCA/edit?usp=sharing"",""นครพนม!J220"")"),0.0)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IFERROR(__xludf.DUMMYFUNCTION("IMPORTRANGE(""https://docs.google.com/spreadsheets/d/1XL5vhW3sbDhbH9Cz0tuDiY8C3ctxq1tqvaCgkFb8cCA/edit?usp=sharing"",""นครพนม!J221"")"),0.0)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IFERROR(__xludf.DUMMYFUNCTION("IMPORTRANGE(""https://docs.google.com/spreadsheets/d/1XL5vhW3sbDhbH9Cz0tuDiY8C3ctxq1tqvaCgkFb8cCA/edit?usp=sharing"",""นครพนม!J222"")"),0.0)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IFERROR(__xludf.DUMMYFUNCTION("IMPORTRANGE(""https://docs.google.com/spreadsheets/d/1XL5vhW3sbDhbH9Cz0tuDiY8C3ctxq1tqvaCgkFb8cCA/edit?usp=sharing"",""นครพนม!J223"")"),0.0)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IFERROR(__xludf.DUMMYFUNCTION("IMPORTRANGE(""https://docs.google.com/spreadsheets/d/1XL5vhW3sbDhbH9Cz0tuDiY8C3ctxq1tqvaCgkFb8cCA/edit?usp=sharing"",""นครพนม!I224"")"),0.0)</f>
        <v>0</v>
      </c>
      <c r="J324" s="238">
        <f>IFERROR(__xludf.DUMMYFUNCTION("IMPORTRANGE(""https://docs.google.com/spreadsheets/d/1XL5vhW3sbDhbH9Cz0tuDiY8C3ctxq1tqvaCgkFb8cCA/edit?usp=sharing"",""นครพนม!J224"")"),0.0)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IFERROR(__xludf.DUMMYFUNCTION("IMPORTRANGE(""https://docs.google.com/spreadsheets/d/1XL5vhW3sbDhbH9Cz0tuDiY8C3ctxq1tqvaCgkFb8cCA/edit?usp=sharing"",""นครพนม!J225"")"),0.0)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IFERROR(__xludf.DUMMYFUNCTION("IMPORTRANGE(""https://docs.google.com/spreadsheets/d/1XL5vhW3sbDhbH9Cz0tuDiY8C3ctxq1tqvaCgkFb8cCA/edit?usp=sharing"",""นครพนม!J226"")"),0.0)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IFERROR(__xludf.DUMMYFUNCTION("IMPORTRANGE(""https://docs.google.com/spreadsheets/d/1XL5vhW3sbDhbH9Cz0tuDiY8C3ctxq1tqvaCgkFb8cCA/edit?usp=sharing"",""นครพนม!I228"")"),205.0)</f>
        <v>205</v>
      </c>
      <c r="J328" s="372">
        <f>IFERROR(__xludf.DUMMYFUNCTION("IMPORTRANGE(""https://docs.google.com/spreadsheets/d/1XL5vhW3sbDhbH9Cz0tuDiY8C3ctxq1tqvaCgkFb8cCA/edit?usp=sharing"",""นครพนม!J228"")"),5.0)</f>
        <v>5</v>
      </c>
      <c r="K328" s="350">
        <f>IF(I328&gt;0,J328*100/I328,0)</f>
        <v>2.43902439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901870</v>
      </c>
      <c r="M329" s="183">
        <f t="shared" si="99"/>
        <v>433500</v>
      </c>
      <c r="N329" s="183">
        <f t="shared" si="99"/>
        <v>323448</v>
      </c>
      <c r="O329" s="182">
        <f t="shared" ref="O329:O331" si="101">IF(L329&gt;0,N329*100/L329,0)</f>
        <v>35.86414893</v>
      </c>
      <c r="P329" s="182">
        <f t="shared" ref="P329:P331" si="102">IF(M329&gt;0,N329*100/M329,0)</f>
        <v>74.61314879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901870</v>
      </c>
      <c r="M331" s="188">
        <f t="shared" si="103"/>
        <v>433500</v>
      </c>
      <c r="N331" s="188">
        <f t="shared" si="103"/>
        <v>323448</v>
      </c>
      <c r="O331" s="187">
        <f t="shared" si="101"/>
        <v>35.86414893</v>
      </c>
      <c r="P331" s="187">
        <f t="shared" si="102"/>
        <v>74.61314879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793270</v>
      </c>
      <c r="M333" s="201">
        <f>IFERROR(__xludf.DUMMYFUNCTION("IMPORTRANGE(""https://docs.google.com/spreadsheets/d/1Yj_ptqi66GCucihVvJfMjLAmec39IyEx_6qawtMGysU/edit?usp=sharing"",""สบก!DL41"")"),433500.0)</f>
        <v>433500</v>
      </c>
      <c r="N333" s="202">
        <f>IFERROR(__xludf.DUMMYFUNCTION("IMPORTRANGE(""https://docs.google.com/spreadsheets/d/1Yj_ptqi66GCucihVvJfMjLAmec39IyEx_6qawtMGysU/edit?usp=sharing"",""สบก!DM41"")"),224148.0)</f>
        <v>224148</v>
      </c>
      <c r="O333" s="203">
        <f>IF(L333&gt;0,N333*100/L333,0)</f>
        <v>28.25620533</v>
      </c>
      <c r="P333" s="203">
        <f>IF(M333&gt;0,N333*100/M333,0)</f>
        <v>51.70657439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IFERROR(__xludf.DUMMYFUNCTION("IMPORTRANGE(""https://docs.google.com/spreadsheets/d/1Yj_ptqi66GCucihVvJfMjLAmec39IyEx_6qawtMGysU/edit?usp=sharing"",""สบก!DH41"")"),388800.0)</f>
        <v>388800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IFERROR(__xludf.DUMMYFUNCTION("IMPORTRANGE(""https://docs.google.com/spreadsheets/d/1Yj_ptqi66GCucihVvJfMjLAmec39IyEx_6qawtMGysU/edit?usp=sharing"",""สบก!DI41"")"),404470.0)</f>
        <v>404470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IFERROR(__xludf.DUMMYFUNCTION("IMPORTRANGE(""https://docs.google.com/spreadsheets/d/1Yj_ptqi66GCucihVvJfMjLAmec39IyEx_6qawtMGysU/edit?usp=sharing"",""สบก!DJ41"")"),108600.0)</f>
        <v>108600</v>
      </c>
      <c r="M337" s="125"/>
      <c r="N337" s="115">
        <f>IFERROR(__xludf.DUMMYFUNCTION("IMPORTRANGE(""https://docs.google.com/spreadsheets/d/1Yj_ptqi66GCucihVvJfMjLAmec39IyEx_6qawtMGysU/edit?usp=sharing"",""สบก!DN41"")"),99300.0)</f>
        <v>99300</v>
      </c>
      <c r="O337" s="125">
        <f>IF(L337&gt;0,N337*100/L337,0)</f>
        <v>91.43646409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IFERROR(__xludf.DUMMYFUNCTION("IMPORTRANGE(""https://docs.google.com/spreadsheets/d/1XL5vhW3sbDhbH9Cz0tuDiY8C3ctxq1tqvaCgkFb8cCA/edit?usp=sharing"",""นครพนม!I234"")"),0.0)</f>
        <v>0</v>
      </c>
      <c r="J339" s="222">
        <f>IFERROR(__xludf.DUMMYFUNCTION("IMPORTRANGE(""https://docs.google.com/spreadsheets/d/1XL5vhW3sbDhbH9Cz0tuDiY8C3ctxq1tqvaCgkFb8cCA/edit?usp=sharing"",""นครพนม!J234"")"),18.0)</f>
        <v>18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IFERROR(__xludf.DUMMYFUNCTION("IMPORTRANGE(""https://docs.google.com/spreadsheets/d/1XL5vhW3sbDhbH9Cz0tuDiY8C3ctxq1tqvaCgkFb8cCA/edit?usp=sharing"",""นครพนม!I235"")"),2340.0)</f>
        <v>2340</v>
      </c>
      <c r="J340" s="222">
        <f>IFERROR(__xludf.DUMMYFUNCTION("IMPORTRANGE(""https://docs.google.com/spreadsheets/d/1XL5vhW3sbDhbH9Cz0tuDiY8C3ctxq1tqvaCgkFb8cCA/edit?usp=sharing"",""นครพนม!J235"")"),181.13000000000002)</f>
        <v>181.13</v>
      </c>
      <c r="K340" s="375">
        <f t="shared" si="104"/>
        <v>7.740598291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IFERROR(__xludf.DUMMYFUNCTION("IMPORTRANGE(""https://docs.google.com/spreadsheets/d/1XL5vhW3sbDhbH9Cz0tuDiY8C3ctxq1tqvaCgkFb8cCA/edit?usp=sharing"",""นครพนม!I236"")"),205.0)</f>
        <v>205</v>
      </c>
      <c r="J341" s="222">
        <f>IFERROR(__xludf.DUMMYFUNCTION("IMPORTRANGE(""https://docs.google.com/spreadsheets/d/1XL5vhW3sbDhbH9Cz0tuDiY8C3ctxq1tqvaCgkFb8cCA/edit?usp=sharing"",""นครพนม!J236"")"),22.0)</f>
        <v>22</v>
      </c>
      <c r="K341" s="375">
        <f t="shared" si="104"/>
        <v>10.73170732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IFERROR(__xludf.DUMMYFUNCTION("IMPORTRANGE(""https://docs.google.com/spreadsheets/d/1XL5vhW3sbDhbH9Cz0tuDiY8C3ctxq1tqvaCgkFb8cCA/edit?usp=sharing"",""นครพนม!I237"")"),0.0)</f>
        <v>0</v>
      </c>
      <c r="J342" s="222">
        <f>IFERROR(__xludf.DUMMYFUNCTION("IMPORTRANGE(""https://docs.google.com/spreadsheets/d/1XL5vhW3sbDhbH9Cz0tuDiY8C3ctxq1tqvaCgkFb8cCA/edit?usp=sharing"",""นครพนม!J237"")"),264.93)</f>
        <v>264.93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IFERROR(__xludf.DUMMYFUNCTION("IMPORTRANGE(""https://docs.google.com/spreadsheets/d/1XL5vhW3sbDhbH9Cz0tuDiY8C3ctxq1tqvaCgkFb8cCA/edit?usp=sharing"",""นครพนม!I238"")"),205.0)</f>
        <v>205</v>
      </c>
      <c r="J343" s="222">
        <f>IFERROR(__xludf.DUMMYFUNCTION("IMPORTRANGE(""https://docs.google.com/spreadsheets/d/1XL5vhW3sbDhbH9Cz0tuDiY8C3ctxq1tqvaCgkFb8cCA/edit?usp=sharing"",""นครพนม!J238"")"),0.0)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IFERROR(__xludf.DUMMYFUNCTION("IMPORTRANGE(""https://docs.google.com/spreadsheets/d/1XL5vhW3sbDhbH9Cz0tuDiY8C3ctxq1tqvaCgkFb8cCA/edit?usp=sharing"",""นครพนม!I239"")"),0.0)</f>
        <v>0</v>
      </c>
      <c r="J344" s="222">
        <f>IFERROR(__xludf.DUMMYFUNCTION("IMPORTRANGE(""https://docs.google.com/spreadsheets/d/1XL5vhW3sbDhbH9Cz0tuDiY8C3ctxq1tqvaCgkFb8cCA/edit?usp=sharing"",""นครพนม!J239"")"),0.0)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IFERROR(__xludf.DUMMYFUNCTION("IMPORTRANGE(""https://docs.google.com/spreadsheets/d/1XL5vhW3sbDhbH9Cz0tuDiY8C3ctxq1tqvaCgkFb8cCA/edit?usp=sharing"",""นครพนม!I240"")"),205.0)</f>
        <v>205</v>
      </c>
      <c r="J345" s="222">
        <f>IFERROR(__xludf.DUMMYFUNCTION("IMPORTRANGE(""https://docs.google.com/spreadsheets/d/1XL5vhW3sbDhbH9Cz0tuDiY8C3ctxq1tqvaCgkFb8cCA/edit?usp=sharing"",""นครพนม!J240"")"),5.0)</f>
        <v>5</v>
      </c>
      <c r="K345" s="375">
        <f t="shared" si="104"/>
        <v>2.43902439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IFERROR(__xludf.DUMMYFUNCTION("IMPORTRANGE(""https://docs.google.com/spreadsheets/d/1XL5vhW3sbDhbH9Cz0tuDiY8C3ctxq1tqvaCgkFb8cCA/edit?usp=sharing"",""นครพนม!I241"")"),0.0)</f>
        <v>0</v>
      </c>
      <c r="J346" s="222">
        <f>IFERROR(__xludf.DUMMYFUNCTION("IMPORTRANGE(""https://docs.google.com/spreadsheets/d/1XL5vhW3sbDhbH9Cz0tuDiY8C3ctxq1tqvaCgkFb8cCA/edit?usp=sharing"",""นครพนม!J241"")"),42.81)</f>
        <v>42.81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IFERROR(__xludf.DUMMYFUNCTION("IMPORTRANGE(""https://docs.google.com/spreadsheets/d/1XL5vhW3sbDhbH9Cz0tuDiY8C3ctxq1tqvaCgkFb8cCA/edit?usp=sharing"",""นครพนม!L242"")"),2031359.0)</f>
        <v>2031359</v>
      </c>
      <c r="M347" s="391"/>
      <c r="N347" s="391">
        <f>IFERROR(__xludf.DUMMYFUNCTION("IMPORTRANGE(""https://docs.google.com/spreadsheets/d/1XL5vhW3sbDhbH9Cz0tuDiY8C3ctxq1tqvaCgkFb8cCA/edit?usp=sharing"",""นครพนม!M242"")"),225723.81000000003)</f>
        <v>225723.81</v>
      </c>
      <c r="O347" s="391">
        <f>+IF(L347&gt;0,N347*100/L347,0)</f>
        <v>11.11196052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IFERROR(__xludf.DUMMYFUNCTION("IMPORTRANGE(""https://docs.google.com/spreadsheets/d/1XL5vhW3sbDhbH9Cz0tuDiY8C3ctxq1tqvaCgkFb8cCA/edit?usp=sharing"",""นครพนม!I244"")"),80.0)</f>
        <v>80</v>
      </c>
      <c r="J349" s="404">
        <f>IFERROR(__xludf.DUMMYFUNCTION("IMPORTRANGE(""https://docs.google.com/spreadsheets/d/1XL5vhW3sbDhbH9Cz0tuDiY8C3ctxq1tqvaCgkFb8cCA/edit?usp=sharing"",""นครพนม!J244"")"),0.0)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IFERROR(__xludf.DUMMYFUNCTION("IMPORTRANGE(""https://docs.google.com/spreadsheets/d/1XL5vhW3sbDhbH9Cz0tuDiY8C3ctxq1tqvaCgkFb8cCA/edit?usp=sharing"",""นครพนม!L244"")"),300160.0)</f>
        <v>300160</v>
      </c>
      <c r="M349" s="406"/>
      <c r="N349" s="406">
        <f>IFERROR(__xludf.DUMMYFUNCTION("IMPORTRANGE(""https://docs.google.com/spreadsheets/d/1XL5vhW3sbDhbH9Cz0tuDiY8C3ctxq1tqvaCgkFb8cCA/edit?usp=sharing"",""นครพนม!M244"")"),53913.0)</f>
        <v>53913</v>
      </c>
      <c r="O349" s="406">
        <f>+IF(L349&gt;0,N349*100/L349,0)</f>
        <v>17.96142058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IFERROR(__xludf.DUMMYFUNCTION("IMPORTRANGE(""https://docs.google.com/spreadsheets/d/1XL5vhW3sbDhbH9Cz0tuDiY8C3ctxq1tqvaCgkFb8cCA/edit?usp=sharing"",""นครพนม!I245"")"),40.0)</f>
        <v>40</v>
      </c>
      <c r="J350" s="404">
        <f>IFERROR(__xludf.DUMMYFUNCTION("IMPORTRANGE(""https://docs.google.com/spreadsheets/d/1XL5vhW3sbDhbH9Cz0tuDiY8C3ctxq1tqvaCgkFb8cCA/edit?usp=sharing"",""นครพนม!J245"")"),0.0)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IFERROR(__xludf.DUMMYFUNCTION("IMPORTRANGE(""https://docs.google.com/spreadsheets/d/1XL5vhW3sbDhbH9Cz0tuDiY8C3ctxq1tqvaCgkFb8cCA/edit?usp=sharing"",""นครพนม!L246"")"),0.0)</f>
        <v>0</v>
      </c>
      <c r="M351" s="197"/>
      <c r="N351" s="197">
        <f>IFERROR(__xludf.DUMMYFUNCTION("IMPORTRANGE(""https://docs.google.com/spreadsheets/d/1XL5vhW3sbDhbH9Cz0tuDiY8C3ctxq1tqvaCgkFb8cCA/edit?usp=sharing"",""นครพนม!M246"")"),0.0)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IFERROR(__xludf.DUMMYFUNCTION("IMPORTRANGE(""https://docs.google.com/spreadsheets/d/1XL5vhW3sbDhbH9Cz0tuDiY8C3ctxq1tqvaCgkFb8cCA/edit?usp=sharing"",""นครพนม!L247"")"),300160.0)</f>
        <v>300160</v>
      </c>
      <c r="M352" s="198"/>
      <c r="N352" s="197">
        <f>IFERROR(__xludf.DUMMYFUNCTION("IMPORTRANGE(""https://docs.google.com/spreadsheets/d/1XL5vhW3sbDhbH9Cz0tuDiY8C3ctxq1tqvaCgkFb8cCA/edit?usp=sharing"",""นครพนม!M247"")"),53913.0)</f>
        <v>53913</v>
      </c>
      <c r="O352" s="198">
        <f t="shared" si="106"/>
        <v>17.96142058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IFERROR(__xludf.DUMMYFUNCTION("IMPORTRANGE(""https://docs.google.com/spreadsheets/d/1XL5vhW3sbDhbH9Cz0tuDiY8C3ctxq1tqvaCgkFb8cCA/edit?usp=sharing"",""นครพนม!L248"")"),0.0)</f>
        <v>0</v>
      </c>
      <c r="M353" s="203"/>
      <c r="N353" s="203">
        <f>IFERROR(__xludf.DUMMYFUNCTION("IMPORTRANGE(""https://docs.google.com/spreadsheets/d/1XL5vhW3sbDhbH9Cz0tuDiY8C3ctxq1tqvaCgkFb8cCA/edit?usp=sharing"",""นครพนม!M248"")"),0.0)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IFERROR(__xludf.DUMMYFUNCTION("IMPORTRANGE(""https://docs.google.com/spreadsheets/d/1XL5vhW3sbDhbH9Cz0tuDiY8C3ctxq1tqvaCgkFb8cCA/edit?usp=sharing"",""นครพนม!L249"")"),300160.0)</f>
        <v>300160</v>
      </c>
      <c r="M354" s="203"/>
      <c r="N354" s="200">
        <f>IFERROR(__xludf.DUMMYFUNCTION("IMPORTRANGE(""https://docs.google.com/spreadsheets/d/1XL5vhW3sbDhbH9Cz0tuDiY8C3ctxq1tqvaCgkFb8cCA/edit?usp=sharing"",""นครพนม!M249"")"),53913.0)</f>
        <v>53913</v>
      </c>
      <c r="O354" s="203">
        <f t="shared" si="106"/>
        <v>17.96142058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IFERROR(__xludf.DUMMYFUNCTION("IMPORTRANGE(""https://docs.google.com/spreadsheets/d/1XL5vhW3sbDhbH9Cz0tuDiY8C3ctxq1tqvaCgkFb8cCA/edit?usp=sharing"",""นครพนม!M250"")"),12042.0)</f>
        <v>12042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 t="str">
        <f>IFERROR(__xludf.DUMMYFUNCTION("IMPORTRANGE(""https://docs.google.com/spreadsheets/d/1XL5vhW3sbDhbH9Cz0tuDiY8C3ctxq1tqvaCgkFb8cCA/edit?usp=sharing"",""นครพนม!M251"")"),"")</f>
        <v/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IFERROR(__xludf.DUMMYFUNCTION("IMPORTRANGE(""https://docs.google.com/spreadsheets/d/1XL5vhW3sbDhbH9Cz0tuDiY8C3ctxq1tqvaCgkFb8cCA/edit?usp=sharing"",""นครพนม!M252"")"),41871.0)</f>
        <v>41871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IFERROR(__xludf.DUMMYFUNCTION("IMPORTRANGE(""https://docs.google.com/spreadsheets/d/1XL5vhW3sbDhbH9Cz0tuDiY8C3ctxq1tqvaCgkFb8cCA/edit?usp=sharing"",""นครพนม!M253"")"),0.0)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IFERROR(__xludf.DUMMYFUNCTION("IMPORTRANGE(""https://docs.google.com/spreadsheets/d/1XL5vhW3sbDhbH9Cz0tuDiY8C3ctxq1tqvaCgkFb8cCA/edit?usp=sharing"",""นครพนม!J255"")"),0.0)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IFERROR(__xludf.DUMMYFUNCTION("IMPORTRANGE(""https://docs.google.com/spreadsheets/d/1XL5vhW3sbDhbH9Cz0tuDiY8C3ctxq1tqvaCgkFb8cCA/edit?usp=sharing"",""นครพนม!J256"")"),1.0)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IFERROR(__xludf.DUMMYFUNCTION("IMPORTRANGE(""https://docs.google.com/spreadsheets/d/1XL5vhW3sbDhbH9Cz0tuDiY8C3ctxq1tqvaCgkFb8cCA/edit?usp=sharing"",""นครพนม!J257"")"),1.0)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IFERROR(__xludf.DUMMYFUNCTION("IMPORTRANGE(""https://docs.google.com/spreadsheets/d/1XL5vhW3sbDhbH9Cz0tuDiY8C3ctxq1tqvaCgkFb8cCA/edit?usp=sharing"",""นครพนม!J258"")"),1.0)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IFERROR(__xludf.DUMMYFUNCTION("IMPORTRANGE(""https://docs.google.com/spreadsheets/d/1XL5vhW3sbDhbH9Cz0tuDiY8C3ctxq1tqvaCgkFb8cCA/edit?usp=sharing"",""นครพนม!J166"")"),0.0)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IFERROR(__xludf.DUMMYFUNCTION("IMPORTRANGE(""https://docs.google.com/spreadsheets/d/1XL5vhW3sbDhbH9Cz0tuDiY8C3ctxq1tqvaCgkFb8cCA/edit?usp=sharing"",""นครพนม!J166"")"),0.0)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IFERROR(__xludf.DUMMYFUNCTION("IMPORTRANGE(""https://docs.google.com/spreadsheets/d/1XL5vhW3sbDhbH9Cz0tuDiY8C3ctxq1tqvaCgkFb8cCA/edit?usp=sharing"",""นครพนม!J166"")"),0.0)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IFERROR(__xludf.DUMMYFUNCTION("IMPORTRANGE(""https://docs.google.com/spreadsheets/d/1XL5vhW3sbDhbH9Cz0tuDiY8C3ctxq1tqvaCgkFb8cCA/edit?usp=sharing"",""นครพนม!J166"")"),0.0)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IFERROR(__xludf.DUMMYFUNCTION("IMPORTRANGE(""https://docs.google.com/spreadsheets/d/1XL5vhW3sbDhbH9Cz0tuDiY8C3ctxq1tqvaCgkFb8cCA/edit?usp=sharing"",""นครพนม!I263"")"),40.0)</f>
        <v>40</v>
      </c>
      <c r="J368" s="222">
        <f>IFERROR(__xludf.DUMMYFUNCTION("IMPORTRANGE(""https://docs.google.com/spreadsheets/d/1XL5vhW3sbDhbH9Cz0tuDiY8C3ctxq1tqvaCgkFb8cCA/edit?usp=sharing"",""นครพนม!J263"")"),0.0)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IFERROR(__xludf.DUMMYFUNCTION("IMPORTRANGE(""https://docs.google.com/spreadsheets/d/1XL5vhW3sbDhbH9Cz0tuDiY8C3ctxq1tqvaCgkFb8cCA/edit?usp=sharing"",""นครพนม!I164"")"),0.0)</f>
        <v>0</v>
      </c>
      <c r="J369" s="238">
        <f>IFERROR(__xludf.DUMMYFUNCTION("IMPORTRANGE(""https://docs.google.com/spreadsheets/d/1XL5vhW3sbDhbH9Cz0tuDiY8C3ctxq1tqvaCgkFb8cCA/edit?usp=sharing"",""นครพนม!J164"")"),0.0)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IFERROR(__xludf.DUMMYFUNCTION("IMPORTRANGE(""https://docs.google.com/spreadsheets/d/1XL5vhW3sbDhbH9Cz0tuDiY8C3ctxq1tqvaCgkFb8cCA/edit?usp=sharing"",""นครพนม!I265"")"),40.0)</f>
        <v>40</v>
      </c>
      <c r="J370" s="238">
        <f>IFERROR(__xludf.DUMMYFUNCTION("IMPORTRANGE(""https://docs.google.com/spreadsheets/d/1XL5vhW3sbDhbH9Cz0tuDiY8C3ctxq1tqvaCgkFb8cCA/edit?usp=sharing"",""นครพนม!J265"")"),0.0)</f>
        <v>0</v>
      </c>
      <c r="K370" s="196">
        <f t="shared" si="107"/>
        <v>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IFERROR(__xludf.DUMMYFUNCTION("IMPORTRANGE(""https://docs.google.com/spreadsheets/d/1XL5vhW3sbDhbH9Cz0tuDiY8C3ctxq1tqvaCgkFb8cCA/edit?usp=sharing"",""นครพนม!I164"")"),0.0)</f>
        <v>0</v>
      </c>
      <c r="J371" s="223">
        <f>IFERROR(__xludf.DUMMYFUNCTION("IMPORTRANGE(""https://docs.google.com/spreadsheets/d/1XL5vhW3sbDhbH9Cz0tuDiY8C3ctxq1tqvaCgkFb8cCA/edit?usp=sharing"",""นครพนม!J164"")"),0.0)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IFERROR(__xludf.DUMMYFUNCTION("IMPORTRANGE(""https://docs.google.com/spreadsheets/d/1XL5vhW3sbDhbH9Cz0tuDiY8C3ctxq1tqvaCgkFb8cCA/edit?usp=sharing"",""นครพนม!I267"")"),40.0)</f>
        <v>40</v>
      </c>
      <c r="J372" s="223">
        <f>IFERROR(__xludf.DUMMYFUNCTION("IMPORTRANGE(""https://docs.google.com/spreadsheets/d/1XL5vhW3sbDhbH9Cz0tuDiY8C3ctxq1tqvaCgkFb8cCA/edit?usp=sharing"",""นครพนม!J267"")"),0.0)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IFERROR(__xludf.DUMMYFUNCTION("IMPORTRANGE(""https://docs.google.com/spreadsheets/d/1XL5vhW3sbDhbH9Cz0tuDiY8C3ctxq1tqvaCgkFb8cCA/edit?usp=sharing"",""นครพนม!I164"")"),0.0)</f>
        <v>0</v>
      </c>
      <c r="J373" s="238">
        <f>IFERROR(__xludf.DUMMYFUNCTION("IMPORTRANGE(""https://docs.google.com/spreadsheets/d/1XL5vhW3sbDhbH9Cz0tuDiY8C3ctxq1tqvaCgkFb8cCA/edit?usp=sharing"",""นครพนม!J164"")"),0.0)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IFERROR(__xludf.DUMMYFUNCTION("IMPORTRANGE(""https://docs.google.com/spreadsheets/d/1XL5vhW3sbDhbH9Cz0tuDiY8C3ctxq1tqvaCgkFb8cCA/edit?usp=sharing"",""นครพนม!I164"")"),0.0)</f>
        <v>0</v>
      </c>
      <c r="J374" s="222">
        <f>IFERROR(__xludf.DUMMYFUNCTION("IMPORTRANGE(""https://docs.google.com/spreadsheets/d/1XL5vhW3sbDhbH9Cz0tuDiY8C3ctxq1tqvaCgkFb8cCA/edit?usp=sharing"",""นครพนม!J164"")"),0.0)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IFERROR(__xludf.DUMMYFUNCTION("IMPORTRANGE(""https://docs.google.com/spreadsheets/d/1XL5vhW3sbDhbH9Cz0tuDiY8C3ctxq1tqvaCgkFb8cCA/edit?usp=sharing"",""นครพนม!I270"")"),80.0)</f>
        <v>80</v>
      </c>
      <c r="J375" s="222">
        <f>IFERROR(__xludf.DUMMYFUNCTION("IMPORTRANGE(""https://docs.google.com/spreadsheets/d/1XL5vhW3sbDhbH9Cz0tuDiY8C3ctxq1tqvaCgkFb8cCA/edit?usp=sharing"",""นครพนม!J270"")"),0.0)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IFERROR(__xludf.DUMMYFUNCTION("IMPORTRANGE(""https://docs.google.com/spreadsheets/d/1XL5vhW3sbDhbH9Cz0tuDiY8C3ctxq1tqvaCgkFb8cCA/edit?usp=sharing"",""นครพนม!I271"")"),20.0)</f>
        <v>20</v>
      </c>
      <c r="J376" s="223">
        <f>IFERROR(__xludf.DUMMYFUNCTION("IMPORTRANGE(""https://docs.google.com/spreadsheets/d/1XL5vhW3sbDhbH9Cz0tuDiY8C3ctxq1tqvaCgkFb8cCA/edit?usp=sharing"",""นครพนม!J271"")"),0.0)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IFERROR(__xludf.DUMMYFUNCTION("IMPORTRANGE(""https://docs.google.com/spreadsheets/d/1XL5vhW3sbDhbH9Cz0tuDiY8C3ctxq1tqvaCgkFb8cCA/edit?usp=sharing"",""นครพนม!I272"")"),60.0)</f>
        <v>60</v>
      </c>
      <c r="J377" s="238">
        <f>IFERROR(__xludf.DUMMYFUNCTION("IMPORTRANGE(""https://docs.google.com/spreadsheets/d/1XL5vhW3sbDhbH9Cz0tuDiY8C3ctxq1tqvaCgkFb8cCA/edit?usp=sharing"",""นครพนม!J272"")"),0.0)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IFERROR(__xludf.DUMMYFUNCTION("IMPORTRANGE(""https://docs.google.com/spreadsheets/d/1XL5vhW3sbDhbH9Cz0tuDiY8C3ctxq1tqvaCgkFb8cCA/edit?usp=sharing"",""นครพนม!J273"")"),0.0)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IFERROR(__xludf.DUMMYFUNCTION("IMPORTRANGE(""https://docs.google.com/spreadsheets/d/1XL5vhW3sbDhbH9Cz0tuDiY8C3ctxq1tqvaCgkFb8cCA/edit?usp=sharing"",""นครพนม!J274"")"),0.0)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IFERROR(__xludf.DUMMYFUNCTION("IMPORTRANGE(""https://docs.google.com/spreadsheets/d/1XL5vhW3sbDhbH9Cz0tuDiY8C3ctxq1tqvaCgkFb8cCA/edit?usp=sharing"",""นครพนม!I275"")"),1000.0)</f>
        <v>1000</v>
      </c>
      <c r="J380" s="404">
        <f>IFERROR(__xludf.DUMMYFUNCTION("IMPORTRANGE(""https://docs.google.com/spreadsheets/d/1XL5vhW3sbDhbH9Cz0tuDiY8C3ctxq1tqvaCgkFb8cCA/edit?usp=sharing"",""นครพนม!J275"")"),0.0)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IFERROR(__xludf.DUMMYFUNCTION("IMPORTRANGE(""https://docs.google.com/spreadsheets/d/1XL5vhW3sbDhbH9Cz0tuDiY8C3ctxq1tqvaCgkFb8cCA/edit?usp=sharing"",""นครพนม!L275"")"),1028520.0)</f>
        <v>1028520</v>
      </c>
      <c r="M380" s="406"/>
      <c r="N380" s="406">
        <f>IFERROR(__xludf.DUMMYFUNCTION("IMPORTRANGE(""https://docs.google.com/spreadsheets/d/1XL5vhW3sbDhbH9Cz0tuDiY8C3ctxq1tqvaCgkFb8cCA/edit?usp=sharing"",""นครพนม!M275"")"),58588.65)</f>
        <v>58588.65</v>
      </c>
      <c r="O380" s="406">
        <f>+IF(L380&gt;0,N380*100/L380,0)</f>
        <v>5.69640357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IFERROR(__xludf.DUMMYFUNCTION("IMPORTRANGE(""https://docs.google.com/spreadsheets/d/1XL5vhW3sbDhbH9Cz0tuDiY8C3ctxq1tqvaCgkFb8cCA/edit?usp=sharing"",""นครพนม!I276"")"),100.0)</f>
        <v>100</v>
      </c>
      <c r="J381" s="404">
        <f>IFERROR(__xludf.DUMMYFUNCTION("IMPORTRANGE(""https://docs.google.com/spreadsheets/d/1XL5vhW3sbDhbH9Cz0tuDiY8C3ctxq1tqvaCgkFb8cCA/edit?usp=sharing"",""นครพนม!J276"")"),0.0)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IFERROR(__xludf.DUMMYFUNCTION("IMPORTRANGE(""https://docs.google.com/spreadsheets/d/1XL5vhW3sbDhbH9Cz0tuDiY8C3ctxq1tqvaCgkFb8cCA/edit?usp=sharing"",""นครพนม!L277"")"),0.0)</f>
        <v>0</v>
      </c>
      <c r="M382" s="197"/>
      <c r="N382" s="197">
        <f>IFERROR(__xludf.DUMMYFUNCTION("IMPORTRANGE(""https://docs.google.com/spreadsheets/d/1XL5vhW3sbDhbH9Cz0tuDiY8C3ctxq1tqvaCgkFb8cCA/edit?usp=sharing"",""นครพนม!M277"")"),0.0)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IFERROR(__xludf.DUMMYFUNCTION("IMPORTRANGE(""https://docs.google.com/spreadsheets/d/1XL5vhW3sbDhbH9Cz0tuDiY8C3ctxq1tqvaCgkFb8cCA/edit?usp=sharing"",""นครพนม!L278"")"),1028520.0)</f>
        <v>1028520</v>
      </c>
      <c r="M383" s="198"/>
      <c r="N383" s="198">
        <f>IFERROR(__xludf.DUMMYFUNCTION("IMPORTRANGE(""https://docs.google.com/spreadsheets/d/1XL5vhW3sbDhbH9Cz0tuDiY8C3ctxq1tqvaCgkFb8cCA/edit?usp=sharing"",""นครพนม!M278"")"),58588.65)</f>
        <v>58588.65</v>
      </c>
      <c r="O383" s="198">
        <f t="shared" si="110"/>
        <v>5.69640357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IFERROR(__xludf.DUMMYFUNCTION("IMPORTRANGE(""https://docs.google.com/spreadsheets/d/1XL5vhW3sbDhbH9Cz0tuDiY8C3ctxq1tqvaCgkFb8cCA/edit?usp=sharing"",""นครพนม!L279"")"),0.0)</f>
        <v>0</v>
      </c>
      <c r="M384" s="203"/>
      <c r="N384" s="203">
        <f>IFERROR(__xludf.DUMMYFUNCTION("IMPORTRANGE(""https://docs.google.com/spreadsheets/d/1XL5vhW3sbDhbH9Cz0tuDiY8C3ctxq1tqvaCgkFb8cCA/edit?usp=sharing"",""นครพนม!M279"")"),0.0)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IFERROR(__xludf.DUMMYFUNCTION("IMPORTRANGE(""https://docs.google.com/spreadsheets/d/1XL5vhW3sbDhbH9Cz0tuDiY8C3ctxq1tqvaCgkFb8cCA/edit?usp=sharing"",""นครพนม!L280"")"),1028520.0)</f>
        <v>1028520</v>
      </c>
      <c r="M385" s="203"/>
      <c r="N385" s="200">
        <f>IFERROR(__xludf.DUMMYFUNCTION("IMPORTRANGE(""https://docs.google.com/spreadsheets/d/1XL5vhW3sbDhbH9Cz0tuDiY8C3ctxq1tqvaCgkFb8cCA/edit?usp=sharing"",""นครพนม!M280"")"),58588.65)</f>
        <v>58588.65</v>
      </c>
      <c r="O385" s="203">
        <f t="shared" si="110"/>
        <v>5.69640357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IFERROR(__xludf.DUMMYFUNCTION("IMPORTRANGE(""https://docs.google.com/spreadsheets/d/1XL5vhW3sbDhbH9Cz0tuDiY8C3ctxq1tqvaCgkFb8cCA/edit?usp=sharing"",""นครพนม!M281"")"),23222.13)</f>
        <v>23222.13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IFERROR(__xludf.DUMMYFUNCTION("IMPORTRANGE(""https://docs.google.com/spreadsheets/d/1XL5vhW3sbDhbH9Cz0tuDiY8C3ctxq1tqvaCgkFb8cCA/edit?usp=sharing"",""นครพนม!M282"")"),0.0)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IFERROR(__xludf.DUMMYFUNCTION("IMPORTRANGE(""https://docs.google.com/spreadsheets/d/1XL5vhW3sbDhbH9Cz0tuDiY8C3ctxq1tqvaCgkFb8cCA/edit?usp=sharing"",""นครพนม!M283"")"),29806.52)</f>
        <v>29806.52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IFERROR(__xludf.DUMMYFUNCTION("IMPORTRANGE(""https://docs.google.com/spreadsheets/d/1XL5vhW3sbDhbH9Cz0tuDiY8C3ctxq1tqvaCgkFb8cCA/edit?usp=sharing"",""นครพนม!M284"")"),5560.0)</f>
        <v>5560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IFERROR(__xludf.DUMMYFUNCTION("IMPORTRANGE(""https://docs.google.com/spreadsheets/d/1XL5vhW3sbDhbH9Cz0tuDiY8C3ctxq1tqvaCgkFb8cCA/edit?usp=sharing"",""นครพนม!J286"")"),0.0)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IFERROR(__xludf.DUMMYFUNCTION("IMPORTRANGE(""https://docs.google.com/spreadsheets/d/1XL5vhW3sbDhbH9Cz0tuDiY8C3ctxq1tqvaCgkFb8cCA/edit?usp=sharing"",""นครพนม!J287"")"),1.0)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IFERROR(__xludf.DUMMYFUNCTION("IMPORTRANGE(""https://docs.google.com/spreadsheets/d/1XL5vhW3sbDhbH9Cz0tuDiY8C3ctxq1tqvaCgkFb8cCA/edit?usp=sharing"",""นครพนม!J288"")"),1.0)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IFERROR(__xludf.DUMMYFUNCTION("IMPORTRANGE(""https://docs.google.com/spreadsheets/d/1XL5vhW3sbDhbH9Cz0tuDiY8C3ctxq1tqvaCgkFb8cCA/edit?usp=sharing"",""นครพนม!J289"")"),1.0)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IFERROR(__xludf.DUMMYFUNCTION("IMPORTRANGE(""https://docs.google.com/spreadsheets/d/1XL5vhW3sbDhbH9Cz0tuDiY8C3ctxq1tqvaCgkFb8cCA/edit?usp=sharing"",""นครพนม!I291"")"),100.0)</f>
        <v>100</v>
      </c>
      <c r="J396" s="232">
        <f>IFERROR(__xludf.DUMMYFUNCTION("IMPORTRANGE(""https://docs.google.com/spreadsheets/d/1XL5vhW3sbDhbH9Cz0tuDiY8C3ctxq1tqvaCgkFb8cCA/edit?usp=sharing"",""นครพนม!J291"")"),0.0)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IFERROR(__xludf.DUMMYFUNCTION("IMPORTRANGE(""https://docs.google.com/spreadsheets/d/1XL5vhW3sbDhbH9Cz0tuDiY8C3ctxq1tqvaCgkFb8cCA/edit?usp=sharing"",""นครพนม!I292"")"),1000.0)</f>
        <v>1000</v>
      </c>
      <c r="J397" s="232">
        <f>IFERROR(__xludf.DUMMYFUNCTION("IMPORTRANGE(""https://docs.google.com/spreadsheets/d/1XL5vhW3sbDhbH9Cz0tuDiY8C3ctxq1tqvaCgkFb8cCA/edit?usp=sharing"",""นครพนม!J292"")"),0.0)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IFERROR(__xludf.DUMMYFUNCTION("IMPORTRANGE(""https://docs.google.com/spreadsheets/d/1XL5vhW3sbDhbH9Cz0tuDiY8C3ctxq1tqvaCgkFb8cCA/edit?usp=sharing"",""นครพนม!I293"")"),100.0)</f>
        <v>100</v>
      </c>
      <c r="J398" s="232">
        <f>IFERROR(__xludf.DUMMYFUNCTION("IMPORTRANGE(""https://docs.google.com/spreadsheets/d/1XL5vhW3sbDhbH9Cz0tuDiY8C3ctxq1tqvaCgkFb8cCA/edit?usp=sharing"",""นครพนม!J293"")"),0.0)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IFERROR(__xludf.DUMMYFUNCTION("IMPORTRANGE(""https://docs.google.com/spreadsheets/d/1XL5vhW3sbDhbH9Cz0tuDiY8C3ctxq1tqvaCgkFb8cCA/edit?usp=sharing"",""นครพนม!J294"")"),0.0)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IFERROR(__xludf.DUMMYFUNCTION("IMPORTRANGE(""https://docs.google.com/spreadsheets/d/1XL5vhW3sbDhbH9Cz0tuDiY8C3ctxq1tqvaCgkFb8cCA/edit?usp=sharing"",""นครพนม!J295"")"),0.0)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IFERROR(__xludf.DUMMYFUNCTION("IMPORTRANGE(""https://docs.google.com/spreadsheets/d/1XL5vhW3sbDhbH9Cz0tuDiY8C3ctxq1tqvaCgkFb8cCA/edit?usp=sharing"",""นครพนม!I296"")"),120.0)</f>
        <v>120</v>
      </c>
      <c r="J401" s="404">
        <f>IFERROR(__xludf.DUMMYFUNCTION("IMPORTRANGE(""https://docs.google.com/spreadsheets/d/1XL5vhW3sbDhbH9Cz0tuDiY8C3ctxq1tqvaCgkFb8cCA/edit?usp=sharing"",""นครพนม!J296"")"),0.0)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IFERROR(__xludf.DUMMYFUNCTION("IMPORTRANGE(""https://docs.google.com/spreadsheets/d/1XL5vhW3sbDhbH9Cz0tuDiY8C3ctxq1tqvaCgkFb8cCA/edit?usp=sharing"",""นครพนม!L296"")"),144560.0)</f>
        <v>144560</v>
      </c>
      <c r="M401" s="406"/>
      <c r="N401" s="406">
        <f>IFERROR(__xludf.DUMMYFUNCTION("IMPORTRANGE(""https://docs.google.com/spreadsheets/d/1XL5vhW3sbDhbH9Cz0tuDiY8C3ctxq1tqvaCgkFb8cCA/edit?usp=sharing"",""นครพนม!M296"")"),15505.8)</f>
        <v>15505.8</v>
      </c>
      <c r="O401" s="406">
        <f>+IF(L401&gt;0,N401*100/L401,0)</f>
        <v>10.72620365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IFERROR(__xludf.DUMMYFUNCTION("IMPORTRANGE(""https://docs.google.com/spreadsheets/d/1XL5vhW3sbDhbH9Cz0tuDiY8C3ctxq1tqvaCgkFb8cCA/edit?usp=sharing"",""นครพนม!I297"")"),40.0)</f>
        <v>40</v>
      </c>
      <c r="J402" s="404">
        <f>IFERROR(__xludf.DUMMYFUNCTION("IMPORTRANGE(""https://docs.google.com/spreadsheets/d/1XL5vhW3sbDhbH9Cz0tuDiY8C3ctxq1tqvaCgkFb8cCA/edit?usp=sharing"",""นครพนม!J297"")"),0.0)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IFERROR(__xludf.DUMMYFUNCTION("IMPORTRANGE(""https://docs.google.com/spreadsheets/d/1XL5vhW3sbDhbH9Cz0tuDiY8C3ctxq1tqvaCgkFb8cCA/edit?usp=sharing"",""นครพนม!L298"")"),0.0)</f>
        <v>0</v>
      </c>
      <c r="M403" s="197"/>
      <c r="N403" s="203">
        <f>IFERROR(__xludf.DUMMYFUNCTION("IMPORTRANGE(""https://docs.google.com/spreadsheets/d/1XL5vhW3sbDhbH9Cz0tuDiY8C3ctxq1tqvaCgkFb8cCA/edit?usp=sharing"",""นครพนม!M298"")"),0.0)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IFERROR(__xludf.DUMMYFUNCTION("IMPORTRANGE(""https://docs.google.com/spreadsheets/d/1XL5vhW3sbDhbH9Cz0tuDiY8C3ctxq1tqvaCgkFb8cCA/edit?usp=sharing"",""นครพนม!L299"")"),144560.0)</f>
        <v>144560</v>
      </c>
      <c r="M404" s="198"/>
      <c r="N404" s="203">
        <f>IFERROR(__xludf.DUMMYFUNCTION("IMPORTRANGE(""https://docs.google.com/spreadsheets/d/1XL5vhW3sbDhbH9Cz0tuDiY8C3ctxq1tqvaCgkFb8cCA/edit?usp=sharing"",""นครพนม!M299"")"),15505.8)</f>
        <v>15505.8</v>
      </c>
      <c r="O404" s="203">
        <f t="shared" si="113"/>
        <v>10.72620365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IFERROR(__xludf.DUMMYFUNCTION("IMPORTRANGE(""https://docs.google.com/spreadsheets/d/1XL5vhW3sbDhbH9Cz0tuDiY8C3ctxq1tqvaCgkFb8cCA/edit?usp=sharing"",""นครพนม!L300"")"),0.0)</f>
        <v>0</v>
      </c>
      <c r="M405" s="203"/>
      <c r="N405" s="203">
        <f>IFERROR(__xludf.DUMMYFUNCTION("IMPORTRANGE(""https://docs.google.com/spreadsheets/d/1XL5vhW3sbDhbH9Cz0tuDiY8C3ctxq1tqvaCgkFb8cCA/edit?usp=sharing"",""นครพนม!M300"")"),0.0)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IFERROR(__xludf.DUMMYFUNCTION("IMPORTRANGE(""https://docs.google.com/spreadsheets/d/1XL5vhW3sbDhbH9Cz0tuDiY8C3ctxq1tqvaCgkFb8cCA/edit?usp=sharing"",""นครพนม!L301"")"),144560.0)</f>
        <v>144560</v>
      </c>
      <c r="M406" s="203"/>
      <c r="N406" s="203">
        <f>IFERROR(__xludf.DUMMYFUNCTION("IMPORTRANGE(""https://docs.google.com/spreadsheets/d/1XL5vhW3sbDhbH9Cz0tuDiY8C3ctxq1tqvaCgkFb8cCA/edit?usp=sharing"",""นครพนม!M301"")"),15505.8)</f>
        <v>15505.8</v>
      </c>
      <c r="O406" s="203">
        <f t="shared" si="113"/>
        <v>10.72620365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IFERROR(__xludf.DUMMYFUNCTION("IMPORTRANGE(""https://docs.google.com/spreadsheets/d/1XL5vhW3sbDhbH9Cz0tuDiY8C3ctxq1tqvaCgkFb8cCA/edit?usp=sharing"",""นครพนม!M302"")"),10705.8)</f>
        <v>10705.8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IFERROR(__xludf.DUMMYFUNCTION("IMPORTRANGE(""https://docs.google.com/spreadsheets/d/1XL5vhW3sbDhbH9Cz0tuDiY8C3ctxq1tqvaCgkFb8cCA/edit?usp=sharing"",""นครพนม!M303"")"),0.0)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IFERROR(__xludf.DUMMYFUNCTION("IMPORTRANGE(""https://docs.google.com/spreadsheets/d/1XL5vhW3sbDhbH9Cz0tuDiY8C3ctxq1tqvaCgkFb8cCA/edit?usp=sharing"",""นครพนม!M304"")"),0.0)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IFERROR(__xludf.DUMMYFUNCTION("IMPORTRANGE(""https://docs.google.com/spreadsheets/d/1XL5vhW3sbDhbH9Cz0tuDiY8C3ctxq1tqvaCgkFb8cCA/edit?usp=sharing"",""นครพนม!M305"")"),4800.0)</f>
        <v>4800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IFERROR(__xludf.DUMMYFUNCTION("IMPORTRANGE(""https://docs.google.com/spreadsheets/d/1XL5vhW3sbDhbH9Cz0tuDiY8C3ctxq1tqvaCgkFb8cCA/edit?usp=sharing"",""นครพนม!J307"")"),0.0)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IFERROR(__xludf.DUMMYFUNCTION("IMPORTRANGE(""https://docs.google.com/spreadsheets/d/1XL5vhW3sbDhbH9Cz0tuDiY8C3ctxq1tqvaCgkFb8cCA/edit?usp=sharing"",""นครพนม!J308"")"),1.0)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IFERROR(__xludf.DUMMYFUNCTION("IMPORTRANGE(""https://docs.google.com/spreadsheets/d/1XL5vhW3sbDhbH9Cz0tuDiY8C3ctxq1tqvaCgkFb8cCA/edit?usp=sharing"",""นครพนม!J309"")"),1.0)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IFERROR(__xludf.DUMMYFUNCTION("IMPORTRANGE(""https://docs.google.com/spreadsheets/d/1XL5vhW3sbDhbH9Cz0tuDiY8C3ctxq1tqvaCgkFb8cCA/edit?usp=sharing"",""นครพนม!J310"")"),1.0)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IFERROR(__xludf.DUMMYFUNCTION("IMPORTRANGE(""https://docs.google.com/spreadsheets/d/1XL5vhW3sbDhbH9Cz0tuDiY8C3ctxq1tqvaCgkFb8cCA/edit?usp=sharing"",""นครพนม!I311"")"),40.0)</f>
        <v>40</v>
      </c>
      <c r="J416" s="235">
        <f>IFERROR(__xludf.DUMMYFUNCTION("IMPORTRANGE(""https://docs.google.com/spreadsheets/d/1XL5vhW3sbDhbH9Cz0tuDiY8C3ctxq1tqvaCgkFb8cCA/edit?usp=sharing"",""นครพนม!J311"")"),0.0)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IFERROR(__xludf.DUMMYFUNCTION("IMPORTRANGE(""https://docs.google.com/spreadsheets/d/1XL5vhW3sbDhbH9Cz0tuDiY8C3ctxq1tqvaCgkFb8cCA/edit?usp=sharing"",""นครพนม!I312"")"),10.0)</f>
        <v>10</v>
      </c>
      <c r="J417" s="425">
        <f>IFERROR(__xludf.DUMMYFUNCTION("IMPORTRANGE(""https://docs.google.com/spreadsheets/d/1XL5vhW3sbDhbH9Cz0tuDiY8C3ctxq1tqvaCgkFb8cCA/edit?usp=sharing"",""นครพนม!J312"")"),0.0)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IFERROR(__xludf.DUMMYFUNCTION("IMPORTRANGE(""https://docs.google.com/spreadsheets/d/1XL5vhW3sbDhbH9Cz0tuDiY8C3ctxq1tqvaCgkFb8cCA/edit?usp=sharing"",""นครพนม!I313"")"),30.0)</f>
        <v>30</v>
      </c>
      <c r="J418" s="426">
        <f>IFERROR(__xludf.DUMMYFUNCTION("IMPORTRANGE(""https://docs.google.com/spreadsheets/d/1XL5vhW3sbDhbH9Cz0tuDiY8C3ctxq1tqvaCgkFb8cCA/edit?usp=sharing"",""นครพนม!J313"")"),0.0)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IFERROR(__xludf.DUMMYFUNCTION("IMPORTRANGE(""https://docs.google.com/spreadsheets/d/1XL5vhW3sbDhbH9Cz0tuDiY8C3ctxq1tqvaCgkFb8cCA/edit?usp=sharing"",""นครพนม!I314"")"),10.0)</f>
        <v>10</v>
      </c>
      <c r="J419" s="427">
        <f>IFERROR(__xludf.DUMMYFUNCTION("IMPORTRANGE(""https://docs.google.com/spreadsheets/d/1XL5vhW3sbDhbH9Cz0tuDiY8C3ctxq1tqvaCgkFb8cCA/edit?usp=sharing"",""นครพนม!J314"")"),0.0)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IFERROR(__xludf.DUMMYFUNCTION("IMPORTRANGE(""https://docs.google.com/spreadsheets/d/1XL5vhW3sbDhbH9Cz0tuDiY8C3ctxq1tqvaCgkFb8cCA/edit?usp=sharing"",""นครพนม!I315"")"),10.0)</f>
        <v>10</v>
      </c>
      <c r="J420" s="427">
        <f>IFERROR(__xludf.DUMMYFUNCTION("IMPORTRANGE(""https://docs.google.com/spreadsheets/d/1XL5vhW3sbDhbH9Cz0tuDiY8C3ctxq1tqvaCgkFb8cCA/edit?usp=sharing"",""นครพนม!J315"")"),10.0)</f>
        <v>10</v>
      </c>
      <c r="K420" s="321">
        <f t="shared" si="114"/>
        <v>100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IFERROR(__xludf.DUMMYFUNCTION("IMPORTRANGE(""https://docs.google.com/spreadsheets/d/1XL5vhW3sbDhbH9Cz0tuDiY8C3ctxq1tqvaCgkFb8cCA/edit?usp=sharing"",""นครพนม!I316"")"),20.0)</f>
        <v>20</v>
      </c>
      <c r="J421" s="425">
        <f>IFERROR(__xludf.DUMMYFUNCTION("IMPORTRANGE(""https://docs.google.com/spreadsheets/d/1XL5vhW3sbDhbH9Cz0tuDiY8C3ctxq1tqvaCgkFb8cCA/edit?usp=sharing"",""นครพนม!J316"")"),0.0)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IFERROR(__xludf.DUMMYFUNCTION("IMPORTRANGE(""https://docs.google.com/spreadsheets/d/1XL5vhW3sbDhbH9Cz0tuDiY8C3ctxq1tqvaCgkFb8cCA/edit?usp=sharing"",""นครพนม!I317"")"),60.0)</f>
        <v>60</v>
      </c>
      <c r="J422" s="426">
        <f>IFERROR(__xludf.DUMMYFUNCTION("IMPORTRANGE(""https://docs.google.com/spreadsheets/d/1XL5vhW3sbDhbH9Cz0tuDiY8C3ctxq1tqvaCgkFb8cCA/edit?usp=sharing"",""นครพนม!J317"")"),0.0)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IFERROR(__xludf.DUMMYFUNCTION("IMPORTRANGE(""https://docs.google.com/spreadsheets/d/1XL5vhW3sbDhbH9Cz0tuDiY8C3ctxq1tqvaCgkFb8cCA/edit?usp=sharing"",""นครพนม!I318"")"),20.0)</f>
        <v>20</v>
      </c>
      <c r="J423" s="427">
        <f>IFERROR(__xludf.DUMMYFUNCTION("IMPORTRANGE(""https://docs.google.com/spreadsheets/d/1XL5vhW3sbDhbH9Cz0tuDiY8C3ctxq1tqvaCgkFb8cCA/edit?usp=sharing"",""นครพนม!J318"")"),0.0)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IFERROR(__xludf.DUMMYFUNCTION("IMPORTRANGE(""https://docs.google.com/spreadsheets/d/1XL5vhW3sbDhbH9Cz0tuDiY8C3ctxq1tqvaCgkFb8cCA/edit?usp=sharing"",""นครพนม!I319"")"),20.0)</f>
        <v>20</v>
      </c>
      <c r="J424" s="427">
        <f>IFERROR(__xludf.DUMMYFUNCTION("IMPORTRANGE(""https://docs.google.com/spreadsheets/d/1XL5vhW3sbDhbH9Cz0tuDiY8C3ctxq1tqvaCgkFb8cCA/edit?usp=sharing"",""นครพนม!J319"")"),0.0)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IFERROR(__xludf.DUMMYFUNCTION("IMPORTRANGE(""https://docs.google.com/spreadsheets/d/1XL5vhW3sbDhbH9Cz0tuDiY8C3ctxq1tqvaCgkFb8cCA/edit?usp=sharing"",""นครพนม!I320"")"),20.0)</f>
        <v>20</v>
      </c>
      <c r="J425" s="427">
        <f>IFERROR(__xludf.DUMMYFUNCTION("IMPORTRANGE(""https://docs.google.com/spreadsheets/d/1XL5vhW3sbDhbH9Cz0tuDiY8C3ctxq1tqvaCgkFb8cCA/edit?usp=sharing"",""นครพนม!J320"")"),0.0)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IFERROR(__xludf.DUMMYFUNCTION("IMPORTRANGE(""https://docs.google.com/spreadsheets/d/1XL5vhW3sbDhbH9Cz0tuDiY8C3ctxq1tqvaCgkFb8cCA/edit?usp=sharing"",""นครพนม!I321"")"),10.0)</f>
        <v>10</v>
      </c>
      <c r="J426" s="425">
        <f>IFERROR(__xludf.DUMMYFUNCTION("IMPORTRANGE(""https://docs.google.com/spreadsheets/d/1XL5vhW3sbDhbH9Cz0tuDiY8C3ctxq1tqvaCgkFb8cCA/edit?usp=sharing"",""นครพนม!J321"")"),0.0)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IFERROR(__xludf.DUMMYFUNCTION("IMPORTRANGE(""https://docs.google.com/spreadsheets/d/1XL5vhW3sbDhbH9Cz0tuDiY8C3ctxq1tqvaCgkFb8cCA/edit?usp=sharing"",""นครพนม!I322"")"),30.0)</f>
        <v>30</v>
      </c>
      <c r="J427" s="426">
        <f>IFERROR(__xludf.DUMMYFUNCTION("IMPORTRANGE(""https://docs.google.com/spreadsheets/d/1XL5vhW3sbDhbH9Cz0tuDiY8C3ctxq1tqvaCgkFb8cCA/edit?usp=sharing"",""นครพนม!J322"")"),0.0)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IFERROR(__xludf.DUMMYFUNCTION("IMPORTRANGE(""https://docs.google.com/spreadsheets/d/1XL5vhW3sbDhbH9Cz0tuDiY8C3ctxq1tqvaCgkFb8cCA/edit?usp=sharing"",""นครพนม!I323"")"),10.0)</f>
        <v>10</v>
      </c>
      <c r="J428" s="427">
        <f>IFERROR(__xludf.DUMMYFUNCTION("IMPORTRANGE(""https://docs.google.com/spreadsheets/d/1XL5vhW3sbDhbH9Cz0tuDiY8C3ctxq1tqvaCgkFb8cCA/edit?usp=sharing"",""นครพนม!J323"")"),0.0)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IFERROR(__xludf.DUMMYFUNCTION("IMPORTRANGE(""https://docs.google.com/spreadsheets/d/1XL5vhW3sbDhbH9Cz0tuDiY8C3ctxq1tqvaCgkFb8cCA/edit?usp=sharing"",""นครพนม!I324"")"),10.0)</f>
        <v>10</v>
      </c>
      <c r="J429" s="427">
        <f>IFERROR(__xludf.DUMMYFUNCTION("IMPORTRANGE(""https://docs.google.com/spreadsheets/d/1XL5vhW3sbDhbH9Cz0tuDiY8C3ctxq1tqvaCgkFb8cCA/edit?usp=sharing"",""นครพนม!J324"")"),0.0)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IFERROR(__xludf.DUMMYFUNCTION("IMPORTRANGE(""https://docs.google.com/spreadsheets/d/1XL5vhW3sbDhbH9Cz0tuDiY8C3ctxq1tqvaCgkFb8cCA/edit?usp=sharing"",""นครพนม!I325"")"),30.0)</f>
        <v>30</v>
      </c>
      <c r="J430" s="425">
        <f>IFERROR(__xludf.DUMMYFUNCTION("IMPORTRANGE(""https://docs.google.com/spreadsheets/d/1XL5vhW3sbDhbH9Cz0tuDiY8C3ctxq1tqvaCgkFb8cCA/edit?usp=sharing"",""นครพนม!J325"")"),0.0)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IFERROR(__xludf.DUMMYFUNCTION("IMPORTRANGE(""https://docs.google.com/spreadsheets/d/1XL5vhW3sbDhbH9Cz0tuDiY8C3ctxq1tqvaCgkFb8cCA/edit?usp=sharing"",""นครพนม!I326"")"),10.0)</f>
        <v>10</v>
      </c>
      <c r="J431" s="427">
        <f>IFERROR(__xludf.DUMMYFUNCTION("IMPORTRANGE(""https://docs.google.com/spreadsheets/d/1XL5vhW3sbDhbH9Cz0tuDiY8C3ctxq1tqvaCgkFb8cCA/edit?usp=sharing"",""นครพนม!J326"")"),0.0)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IFERROR(__xludf.DUMMYFUNCTION("IMPORTRANGE(""https://docs.google.com/spreadsheets/d/1XL5vhW3sbDhbH9Cz0tuDiY8C3ctxq1tqvaCgkFb8cCA/edit?usp=sharing"",""นครพนม!I327"")"),20.0)</f>
        <v>20</v>
      </c>
      <c r="J432" s="427">
        <f>IFERROR(__xludf.DUMMYFUNCTION("IMPORTRANGE(""https://docs.google.com/spreadsheets/d/1XL5vhW3sbDhbH9Cz0tuDiY8C3ctxq1tqvaCgkFb8cCA/edit?usp=sharing"",""นครพนม!J327"")"),0.0)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IFERROR(__xludf.DUMMYFUNCTION("IMPORTRANGE(""https://docs.google.com/spreadsheets/d/1XL5vhW3sbDhbH9Cz0tuDiY8C3ctxq1tqvaCgkFb8cCA/edit?usp=sharing"",""นครพนม!J328"")"),0.0)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IFERROR(__xludf.DUMMYFUNCTION("IMPORTRANGE(""https://docs.google.com/spreadsheets/d/1XL5vhW3sbDhbH9Cz0tuDiY8C3ctxq1tqvaCgkFb8cCA/edit?usp=sharing"",""นครพนม!J329"")"),0.0)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IFERROR(__xludf.DUMMYFUNCTION("IMPORTRANGE(""https://docs.google.com/spreadsheets/d/1XL5vhW3sbDhbH9Cz0tuDiY8C3ctxq1tqvaCgkFb8cCA/edit?usp=sharing"",""นครพนม!I330"")"),25.0)</f>
        <v>25</v>
      </c>
      <c r="J435" s="443">
        <f>IFERROR(__xludf.DUMMYFUNCTION("IMPORTRANGE(""https://docs.google.com/spreadsheets/d/1XL5vhW3sbDhbH9Cz0tuDiY8C3ctxq1tqvaCgkFb8cCA/edit?usp=sharing"",""นครพนม!J330"")"),0.0)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IFERROR(__xludf.DUMMYFUNCTION("IMPORTRANGE(""https://docs.google.com/spreadsheets/d/1XL5vhW3sbDhbH9Cz0tuDiY8C3ctxq1tqvaCgkFb8cCA/edit?usp=sharing"",""นครพนม!L330"")"),105500.0)</f>
        <v>105500</v>
      </c>
      <c r="M435" s="445"/>
      <c r="N435" s="445">
        <f>IFERROR(__xludf.DUMMYFUNCTION("IMPORTRANGE(""https://docs.google.com/spreadsheets/d/1XL5vhW3sbDhbH9Cz0tuDiY8C3ctxq1tqvaCgkFb8cCA/edit?usp=sharing"",""นครพนม!M330"")"),0.0)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IFERROR(__xludf.DUMMYFUNCTION("IMPORTRANGE(""https://docs.google.com/spreadsheets/d/1XL5vhW3sbDhbH9Cz0tuDiY8C3ctxq1tqvaCgkFb8cCA/edit?usp=sharing"",""นครพนม!L331"")"),0.0)</f>
        <v>0</v>
      </c>
      <c r="M436" s="197"/>
      <c r="N436" s="203">
        <f>IFERROR(__xludf.DUMMYFUNCTION("IMPORTRANGE(""https://docs.google.com/spreadsheets/d/1XL5vhW3sbDhbH9Cz0tuDiY8C3ctxq1tqvaCgkFb8cCA/edit?usp=sharing"",""นครพนม!M331"")"),0.0)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IFERROR(__xludf.DUMMYFUNCTION("IMPORTRANGE(""https://docs.google.com/spreadsheets/d/1XL5vhW3sbDhbH9Cz0tuDiY8C3ctxq1tqvaCgkFb8cCA/edit?usp=sharing"",""นครพนม!L332"")"),105500.0)</f>
        <v>105500</v>
      </c>
      <c r="M437" s="198"/>
      <c r="N437" s="203">
        <f>IFERROR(__xludf.DUMMYFUNCTION("IMPORTRANGE(""https://docs.google.com/spreadsheets/d/1XL5vhW3sbDhbH9Cz0tuDiY8C3ctxq1tqvaCgkFb8cCA/edit?usp=sharing"",""นครพนม!M332"")"),0.0)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IFERROR(__xludf.DUMMYFUNCTION("IMPORTRANGE(""https://docs.google.com/spreadsheets/d/1XL5vhW3sbDhbH9Cz0tuDiY8C3ctxq1tqvaCgkFb8cCA/edit?usp=sharing"",""นครพนม!L333"")"),0.0)</f>
        <v>0</v>
      </c>
      <c r="M438" s="203"/>
      <c r="N438" s="203">
        <f>IFERROR(__xludf.DUMMYFUNCTION("IMPORTRANGE(""https://docs.google.com/spreadsheets/d/1XL5vhW3sbDhbH9Cz0tuDiY8C3ctxq1tqvaCgkFb8cCA/edit?usp=sharing"",""นครพนม!M333"")"),0.0)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IFERROR(__xludf.DUMMYFUNCTION("IMPORTRANGE(""https://docs.google.com/spreadsheets/d/1XL5vhW3sbDhbH9Cz0tuDiY8C3ctxq1tqvaCgkFb8cCA/edit?usp=sharing"",""นครพนม!L334"")"),105500.0)</f>
        <v>105500</v>
      </c>
      <c r="M439" s="203"/>
      <c r="N439" s="203">
        <f>IFERROR(__xludf.DUMMYFUNCTION("IMPORTRANGE(""https://docs.google.com/spreadsheets/d/1XL5vhW3sbDhbH9Cz0tuDiY8C3ctxq1tqvaCgkFb8cCA/edit?usp=sharing"",""นครพนม!M334"")"),0.0)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IFERROR(__xludf.DUMMYFUNCTION("IMPORTRANGE(""https://docs.google.com/spreadsheets/d/1XL5vhW3sbDhbH9Cz0tuDiY8C3ctxq1tqvaCgkFb8cCA/edit?usp=sharing"",""นครพนม!M335"")"),0.0)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IFERROR(__xludf.DUMMYFUNCTION("IMPORTRANGE(""https://docs.google.com/spreadsheets/d/1XL5vhW3sbDhbH9Cz0tuDiY8C3ctxq1tqvaCgkFb8cCA/edit?usp=sharing"",""นครพนม!M336"")"),0.0)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IFERROR(__xludf.DUMMYFUNCTION("IMPORTRANGE(""https://docs.google.com/spreadsheets/d/1XL5vhW3sbDhbH9Cz0tuDiY8C3ctxq1tqvaCgkFb8cCA/edit?usp=sharing"",""นครพนม!M337"")"),0.0)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IFERROR(__xludf.DUMMYFUNCTION("IMPORTRANGE(""https://docs.google.com/spreadsheets/d/1XL5vhW3sbDhbH9Cz0tuDiY8C3ctxq1tqvaCgkFb8cCA/edit?usp=sharing"",""นครพนม!M338"")"),0.0)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IFERROR(__xludf.DUMMYFUNCTION("IMPORTRANGE(""https://docs.google.com/spreadsheets/d/1XL5vhW3sbDhbH9Cz0tuDiY8C3ctxq1tqvaCgkFb8cCA/edit?usp=sharing"",""นครพนม!J340"")"),0.0)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IFERROR(__xludf.DUMMYFUNCTION("IMPORTRANGE(""https://docs.google.com/spreadsheets/d/1XL5vhW3sbDhbH9Cz0tuDiY8C3ctxq1tqvaCgkFb8cCA/edit?usp=sharing"",""นครพนม!J341"")"),1.0)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IFERROR(__xludf.DUMMYFUNCTION("IMPORTRANGE(""https://docs.google.com/spreadsheets/d/1XL5vhW3sbDhbH9Cz0tuDiY8C3ctxq1tqvaCgkFb8cCA/edit?usp=sharing"",""นครพนม!J342"")"),0.0)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IFERROR(__xludf.DUMMYFUNCTION("IMPORTRANGE(""https://docs.google.com/spreadsheets/d/1XL5vhW3sbDhbH9Cz0tuDiY8C3ctxq1tqvaCgkFb8cCA/edit?usp=sharing"",""นครพนม!J343"")"),0.0)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IFERROR(__xludf.DUMMYFUNCTION("IMPORTRANGE(""https://docs.google.com/spreadsheets/d/1XL5vhW3sbDhbH9Cz0tuDiY8C3ctxq1tqvaCgkFb8cCA/edit?usp=sharing"",""นครพนม!I344"")"),25.0)</f>
        <v>25</v>
      </c>
      <c r="J449" s="235">
        <f>IFERROR(__xludf.DUMMYFUNCTION("IMPORTRANGE(""https://docs.google.com/spreadsheets/d/1XL5vhW3sbDhbH9Cz0tuDiY8C3ctxq1tqvaCgkFb8cCA/edit?usp=sharing"",""นครพนม!J344"")"),0.0)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IFERROR(__xludf.DUMMYFUNCTION("IMPORTRANGE(""https://docs.google.com/spreadsheets/d/1XL5vhW3sbDhbH9Cz0tuDiY8C3ctxq1tqvaCgkFb8cCA/edit?usp=sharing"",""นครพนม!I345"")"),25.0)</f>
        <v>25</v>
      </c>
      <c r="J450" s="223">
        <f>IFERROR(__xludf.DUMMYFUNCTION("IMPORTRANGE(""https://docs.google.com/spreadsheets/d/1XL5vhW3sbDhbH9Cz0tuDiY8C3ctxq1tqvaCgkFb8cCA/edit?usp=sharing"",""นครพนม!J345"")"),0.0)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IFERROR(__xludf.DUMMYFUNCTION("IMPORTRANGE(""https://docs.google.com/spreadsheets/d/1XL5vhW3sbDhbH9Cz0tuDiY8C3ctxq1tqvaCgkFb8cCA/edit?usp=sharing"",""นครพนม!I346"")"),0.0)</f>
        <v>0</v>
      </c>
      <c r="J451" s="222">
        <f>IFERROR(__xludf.DUMMYFUNCTION("IMPORTRANGE(""https://docs.google.com/spreadsheets/d/1XL5vhW3sbDhbH9Cz0tuDiY8C3ctxq1tqvaCgkFb8cCA/edit?usp=sharing"",""นครพนม!J346"")"),0.0)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IFERROR(__xludf.DUMMYFUNCTION("IMPORTRANGE(""https://docs.google.com/spreadsheets/d/1XL5vhW3sbDhbH9Cz0tuDiY8C3ctxq1tqvaCgkFb8cCA/edit?usp=sharing"",""นครพนม!I347"")"),0.0)</f>
        <v>0</v>
      </c>
      <c r="J452" s="222">
        <f>IFERROR(__xludf.DUMMYFUNCTION("IMPORTRANGE(""https://docs.google.com/spreadsheets/d/1XL5vhW3sbDhbH9Cz0tuDiY8C3ctxq1tqvaCgkFb8cCA/edit?usp=sharing"",""นครพนม!J347"")"),0.0)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IFERROR(__xludf.DUMMYFUNCTION("IMPORTRANGE(""https://docs.google.com/spreadsheets/d/1XL5vhW3sbDhbH9Cz0tuDiY8C3ctxq1tqvaCgkFb8cCA/edit?usp=sharing"",""นครพนม!J348"")"),0.0)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IFERROR(__xludf.DUMMYFUNCTION("IMPORTRANGE(""https://docs.google.com/spreadsheets/d/1XL5vhW3sbDhbH9Cz0tuDiY8C3ctxq1tqvaCgkFb8cCA/edit?usp=sharing"",""นครพนม!J349"")"),0.0)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IFERROR(__xludf.DUMMYFUNCTION("IMPORTRANGE(""https://docs.google.com/spreadsheets/d/1XL5vhW3sbDhbH9Cz0tuDiY8C3ctxq1tqvaCgkFb8cCA/edit?usp=sharing"",""นครพนม!I350"")"),28610.0)</f>
        <v>28610</v>
      </c>
      <c r="J455" s="404">
        <f>IFERROR(__xludf.DUMMYFUNCTION("IMPORTRANGE(""https://docs.google.com/spreadsheets/d/1XL5vhW3sbDhbH9Cz0tuDiY8C3ctxq1tqvaCgkFb8cCA/edit?usp=sharing"",""นครพนม!J350"")"),0.0)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IFERROR(__xludf.DUMMYFUNCTION("IMPORTRANGE(""https://docs.google.com/spreadsheets/d/1XL5vhW3sbDhbH9Cz0tuDiY8C3ctxq1tqvaCgkFb8cCA/edit?usp=sharing"",""นครพนม!L350"")"),273699.0)</f>
        <v>273699</v>
      </c>
      <c r="M455" s="406"/>
      <c r="N455" s="406">
        <f>IFERROR(__xludf.DUMMYFUNCTION("IMPORTRANGE(""https://docs.google.com/spreadsheets/d/1XL5vhW3sbDhbH9Cz0tuDiY8C3ctxq1tqvaCgkFb8cCA/edit?usp=sharing"",""นครพนม!M350"")"),22660.0)</f>
        <v>22660</v>
      </c>
      <c r="O455" s="406">
        <f t="shared" ref="O455:O459" si="117">+IF(L455&gt;0,N455*100/L455,0)</f>
        <v>8.279167991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IFERROR(__xludf.DUMMYFUNCTION("IMPORTRANGE(""https://docs.google.com/spreadsheets/d/1XL5vhW3sbDhbH9Cz0tuDiY8C3ctxq1tqvaCgkFb8cCA/edit?usp=sharing"",""นครพนม!L351"")"),0.0)</f>
        <v>0</v>
      </c>
      <c r="M456" s="197"/>
      <c r="N456" s="203">
        <f>IFERROR(__xludf.DUMMYFUNCTION("IMPORTRANGE(""https://docs.google.com/spreadsheets/d/1XL5vhW3sbDhbH9Cz0tuDiY8C3ctxq1tqvaCgkFb8cCA/edit?usp=sharing"",""นครพนม!M351"")"),0.0)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IFERROR(__xludf.DUMMYFUNCTION("IMPORTRANGE(""https://docs.google.com/spreadsheets/d/1XL5vhW3sbDhbH9Cz0tuDiY8C3ctxq1tqvaCgkFb8cCA/edit?usp=sharing"",""นครพนม!L352"")"),273699.0)</f>
        <v>273699</v>
      </c>
      <c r="M457" s="198"/>
      <c r="N457" s="203">
        <f>IFERROR(__xludf.DUMMYFUNCTION("IMPORTRANGE(""https://docs.google.com/spreadsheets/d/1XL5vhW3sbDhbH9Cz0tuDiY8C3ctxq1tqvaCgkFb8cCA/edit?usp=sharing"",""นครพนม!M352"")"),22660.0)</f>
        <v>22660</v>
      </c>
      <c r="O457" s="203">
        <f t="shared" si="117"/>
        <v>8.279167991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IFERROR(__xludf.DUMMYFUNCTION("IMPORTRANGE(""https://docs.google.com/spreadsheets/d/1XL5vhW3sbDhbH9Cz0tuDiY8C3ctxq1tqvaCgkFb8cCA/edit?usp=sharing"",""นครพนม!L353"")"),0.0)</f>
        <v>0</v>
      </c>
      <c r="M458" s="203"/>
      <c r="N458" s="203">
        <f>IFERROR(__xludf.DUMMYFUNCTION("IMPORTRANGE(""https://docs.google.com/spreadsheets/d/1XL5vhW3sbDhbH9Cz0tuDiY8C3ctxq1tqvaCgkFb8cCA/edit?usp=sharing"",""นครพนม!M353"")"),0.0)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IFERROR(__xludf.DUMMYFUNCTION("IMPORTRANGE(""https://docs.google.com/spreadsheets/d/1XL5vhW3sbDhbH9Cz0tuDiY8C3ctxq1tqvaCgkFb8cCA/edit?usp=sharing"",""นครพนม!L354"")"),273699.0)</f>
        <v>273699</v>
      </c>
      <c r="M459" s="203"/>
      <c r="N459" s="203">
        <f>IFERROR(__xludf.DUMMYFUNCTION("IMPORTRANGE(""https://docs.google.com/spreadsheets/d/1XL5vhW3sbDhbH9Cz0tuDiY8C3ctxq1tqvaCgkFb8cCA/edit?usp=sharing"",""นครพนม!M354"")"),22660.0)</f>
        <v>22660</v>
      </c>
      <c r="O459" s="203">
        <f t="shared" si="117"/>
        <v>8.279167991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IFERROR(__xludf.DUMMYFUNCTION("IMPORTRANGE(""https://docs.google.com/spreadsheets/d/1XL5vhW3sbDhbH9Cz0tuDiY8C3ctxq1tqvaCgkFb8cCA/edit?usp=sharing"",""นครพนม!M355"")"),0.0)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IFERROR(__xludf.DUMMYFUNCTION("IMPORTRANGE(""https://docs.google.com/spreadsheets/d/1XL5vhW3sbDhbH9Cz0tuDiY8C3ctxq1tqvaCgkFb8cCA/edit?usp=sharing"",""นครพนม!M356"")"),0.0)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IFERROR(__xludf.DUMMYFUNCTION("IMPORTRANGE(""https://docs.google.com/spreadsheets/d/1XL5vhW3sbDhbH9Cz0tuDiY8C3ctxq1tqvaCgkFb8cCA/edit?usp=sharing"",""นครพนม!M357"")"),0.0)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IFERROR(__xludf.DUMMYFUNCTION("IMPORTRANGE(""https://docs.google.com/spreadsheets/d/1XL5vhW3sbDhbH9Cz0tuDiY8C3ctxq1tqvaCgkFb8cCA/edit?usp=sharing"",""นครพนม!M358"")"),22660.0)</f>
        <v>22660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IFERROR(__xludf.DUMMYFUNCTION("IMPORTRANGE(""https://docs.google.com/spreadsheets/d/1XL5vhW3sbDhbH9Cz0tuDiY8C3ctxq1tqvaCgkFb8cCA/edit?usp=sharing"",""นครพนม!I359"")"),28610.0)</f>
        <v>28610</v>
      </c>
      <c r="J464" s="301">
        <f>IFERROR(__xludf.DUMMYFUNCTION("IMPORTRANGE(""https://docs.google.com/spreadsheets/d/1XL5vhW3sbDhbH9Cz0tuDiY8C3ctxq1tqvaCgkFb8cCA/edit?usp=sharing"",""นครพนม!J359"")"),0.0)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IFERROR(__xludf.DUMMYFUNCTION("IMPORTRANGE(""https://docs.google.com/spreadsheets/d/1XL5vhW3sbDhbH9Cz0tuDiY8C3ctxq1tqvaCgkFb8cCA/edit?usp=sharing"",""นครพนม!I360"")"),28610.0)</f>
        <v>28610</v>
      </c>
      <c r="J465" s="453">
        <f>IFERROR(__xludf.DUMMYFUNCTION("IMPORTRANGE(""https://docs.google.com/spreadsheets/d/1XL5vhW3sbDhbH9Cz0tuDiY8C3ctxq1tqvaCgkFb8cCA/edit?usp=sharing"",""นครพนม!J360"")"),0.0)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IFERROR(__xludf.DUMMYFUNCTION("IMPORTRANGE(""https://docs.google.com/spreadsheets/d/1XL5vhW3sbDhbH9Cz0tuDiY8C3ctxq1tqvaCgkFb8cCA/edit?usp=sharing"",""นครพนม!I361"")"),2630.0)</f>
        <v>2630</v>
      </c>
      <c r="J466" s="453">
        <f>IFERROR(__xludf.DUMMYFUNCTION("IMPORTRANGE(""https://docs.google.com/spreadsheets/d/1XL5vhW3sbDhbH9Cz0tuDiY8C3ctxq1tqvaCgkFb8cCA/edit?usp=sharing"",""นครพนม!J361"")"),0.0)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IFERROR(__xludf.DUMMYFUNCTION("IMPORTRANGE(""https://docs.google.com/spreadsheets/d/1XL5vhW3sbDhbH9Cz0tuDiY8C3ctxq1tqvaCgkFb8cCA/edit?usp=sharing"",""นครพนม!I362"")"),0.0)</f>
        <v>0</v>
      </c>
      <c r="J467" s="223">
        <f>IFERROR(__xludf.DUMMYFUNCTION("IMPORTRANGE(""https://docs.google.com/spreadsheets/d/1XL5vhW3sbDhbH9Cz0tuDiY8C3ctxq1tqvaCgkFb8cCA/edit?usp=sharing"",""นครพนม!J362"")"),0.0)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IFERROR(__xludf.DUMMYFUNCTION("IMPORTRANGE(""https://docs.google.com/spreadsheets/d/1XL5vhW3sbDhbH9Cz0tuDiY8C3ctxq1tqvaCgkFb8cCA/edit?usp=sharing"",""นครพนม!I363"")"),0.0)</f>
        <v>0</v>
      </c>
      <c r="J468" s="223">
        <f>IFERROR(__xludf.DUMMYFUNCTION("IMPORTRANGE(""https://docs.google.com/spreadsheets/d/1XL5vhW3sbDhbH9Cz0tuDiY8C3ctxq1tqvaCgkFb8cCA/edit?usp=sharing"",""นครพนม!J363"")"),0.0)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IFERROR(__xludf.DUMMYFUNCTION("IMPORTRANGE(""https://docs.google.com/spreadsheets/d/1XL5vhW3sbDhbH9Cz0tuDiY8C3ctxq1tqvaCgkFb8cCA/edit?usp=sharing"",""นครพนม!I364"")"),0.0)</f>
        <v>0</v>
      </c>
      <c r="J469" s="223">
        <f>IFERROR(__xludf.DUMMYFUNCTION("IMPORTRANGE(""https://docs.google.com/spreadsheets/d/1XL5vhW3sbDhbH9Cz0tuDiY8C3ctxq1tqvaCgkFb8cCA/edit?usp=sharing"",""นครพนม!J364"")"),0.0)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IFERROR(__xludf.DUMMYFUNCTION("IMPORTRANGE(""https://docs.google.com/spreadsheets/d/1XL5vhW3sbDhbH9Cz0tuDiY8C3ctxq1tqvaCgkFb8cCA/edit?usp=sharing"",""นครพนม!I365"")"),0.0)</f>
        <v>0</v>
      </c>
      <c r="J470" s="223">
        <f>IFERROR(__xludf.DUMMYFUNCTION("IMPORTRANGE(""https://docs.google.com/spreadsheets/d/1XL5vhW3sbDhbH9Cz0tuDiY8C3ctxq1tqvaCgkFb8cCA/edit?usp=sharing"",""นครพนม!J365"")"),0.0)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IFERROR(__xludf.DUMMYFUNCTION("IMPORTRANGE(""https://docs.google.com/spreadsheets/d/1XL5vhW3sbDhbH9Cz0tuDiY8C3ctxq1tqvaCgkFb8cCA/edit?usp=sharing"",""นครพนม!I366"")"),0.0)</f>
        <v>0</v>
      </c>
      <c r="J471" s="223">
        <f>IFERROR(__xludf.DUMMYFUNCTION("IMPORTRANGE(""https://docs.google.com/spreadsheets/d/1XL5vhW3sbDhbH9Cz0tuDiY8C3ctxq1tqvaCgkFb8cCA/edit?usp=sharing"",""นครพนม!J366"")"),0.0)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IFERROR(__xludf.DUMMYFUNCTION("IMPORTRANGE(""https://docs.google.com/spreadsheets/d/1XL5vhW3sbDhbH9Cz0tuDiY8C3ctxq1tqvaCgkFb8cCA/edit?usp=sharing"",""นครพนม!I367"")"),0.0)</f>
        <v>0</v>
      </c>
      <c r="J472" s="223">
        <f>IFERROR(__xludf.DUMMYFUNCTION("IMPORTRANGE(""https://docs.google.com/spreadsheets/d/1XL5vhW3sbDhbH9Cz0tuDiY8C3ctxq1tqvaCgkFb8cCA/edit?usp=sharing"",""นครพนม!J367"")"),0.0)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IFERROR(__xludf.DUMMYFUNCTION("IMPORTRANGE(""https://docs.google.com/spreadsheets/d/1XL5vhW3sbDhbH9Cz0tuDiY8C3ctxq1tqvaCgkFb8cCA/edit?usp=sharing"",""นครพนม!I368"")"),28610.0)</f>
        <v>28610</v>
      </c>
      <c r="J473" s="453">
        <f>IFERROR(__xludf.DUMMYFUNCTION("IMPORTRANGE(""https://docs.google.com/spreadsheets/d/1XL5vhW3sbDhbH9Cz0tuDiY8C3ctxq1tqvaCgkFb8cCA/edit?usp=sharing"",""นครพนม!J368"")"),0.0)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IFERROR(__xludf.DUMMYFUNCTION("IMPORTRANGE(""https://docs.google.com/spreadsheets/d/1XL5vhW3sbDhbH9Cz0tuDiY8C3ctxq1tqvaCgkFb8cCA/edit?usp=sharing"",""นครพนม!I369"")"),2630.0)</f>
        <v>2630</v>
      </c>
      <c r="J474" s="453">
        <f>IFERROR(__xludf.DUMMYFUNCTION("IMPORTRANGE(""https://docs.google.com/spreadsheets/d/1XL5vhW3sbDhbH9Cz0tuDiY8C3ctxq1tqvaCgkFb8cCA/edit?usp=sharing"",""นครพนม!J369"")"),0.0)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IFERROR(__xludf.DUMMYFUNCTION("IMPORTRANGE(""https://docs.google.com/spreadsheets/d/1XL5vhW3sbDhbH9Cz0tuDiY8C3ctxq1tqvaCgkFb8cCA/edit?usp=sharing"",""นครพนม!I370"")"),0.0)</f>
        <v>0</v>
      </c>
      <c r="J475" s="223">
        <f>IFERROR(__xludf.DUMMYFUNCTION("IMPORTRANGE(""https://docs.google.com/spreadsheets/d/1XL5vhW3sbDhbH9Cz0tuDiY8C3ctxq1tqvaCgkFb8cCA/edit?usp=sharing"",""นครพนม!J370"")"),0.0)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IFERROR(__xludf.DUMMYFUNCTION("IMPORTRANGE(""https://docs.google.com/spreadsheets/d/1XL5vhW3sbDhbH9Cz0tuDiY8C3ctxq1tqvaCgkFb8cCA/edit?usp=sharing"",""นครพนม!I371"")"),0.0)</f>
        <v>0</v>
      </c>
      <c r="J476" s="223">
        <f>IFERROR(__xludf.DUMMYFUNCTION("IMPORTRANGE(""https://docs.google.com/spreadsheets/d/1XL5vhW3sbDhbH9Cz0tuDiY8C3ctxq1tqvaCgkFb8cCA/edit?usp=sharing"",""นครพนม!J371"")"),0.0)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IFERROR(__xludf.DUMMYFUNCTION("IMPORTRANGE(""https://docs.google.com/spreadsheets/d/1XL5vhW3sbDhbH9Cz0tuDiY8C3ctxq1tqvaCgkFb8cCA/edit?usp=sharing"",""นครพนม!I372"")"),0.0)</f>
        <v>0</v>
      </c>
      <c r="J477" s="223">
        <f>IFERROR(__xludf.DUMMYFUNCTION("IMPORTRANGE(""https://docs.google.com/spreadsheets/d/1XL5vhW3sbDhbH9Cz0tuDiY8C3ctxq1tqvaCgkFb8cCA/edit?usp=sharing"",""นครพนม!J372"")"),0.0)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IFERROR(__xludf.DUMMYFUNCTION("IMPORTRANGE(""https://docs.google.com/spreadsheets/d/1XL5vhW3sbDhbH9Cz0tuDiY8C3ctxq1tqvaCgkFb8cCA/edit?usp=sharing"",""นครพนม!I373"")"),0.0)</f>
        <v>0</v>
      </c>
      <c r="J478" s="223">
        <f>IFERROR(__xludf.DUMMYFUNCTION("IMPORTRANGE(""https://docs.google.com/spreadsheets/d/1XL5vhW3sbDhbH9Cz0tuDiY8C3ctxq1tqvaCgkFb8cCA/edit?usp=sharing"",""นครพนม!J373"")"),0.0)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IFERROR(__xludf.DUMMYFUNCTION("IMPORTRANGE(""https://docs.google.com/spreadsheets/d/1XL5vhW3sbDhbH9Cz0tuDiY8C3ctxq1tqvaCgkFb8cCA/edit?usp=sharing"",""นครพนม!I374"")"),0.0)</f>
        <v>0</v>
      </c>
      <c r="J479" s="223">
        <f>IFERROR(__xludf.DUMMYFUNCTION("IMPORTRANGE(""https://docs.google.com/spreadsheets/d/1XL5vhW3sbDhbH9Cz0tuDiY8C3ctxq1tqvaCgkFb8cCA/edit?usp=sharing"",""นครพนม!J374"")"),0.0)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IFERROR(__xludf.DUMMYFUNCTION("IMPORTRANGE(""https://docs.google.com/spreadsheets/d/1XL5vhW3sbDhbH9Cz0tuDiY8C3ctxq1tqvaCgkFb8cCA/edit?usp=sharing"",""นครพนม!I375"")"),0.0)</f>
        <v>0</v>
      </c>
      <c r="J480" s="223">
        <f>IFERROR(__xludf.DUMMYFUNCTION("IMPORTRANGE(""https://docs.google.com/spreadsheets/d/1XL5vhW3sbDhbH9Cz0tuDiY8C3ctxq1tqvaCgkFb8cCA/edit?usp=sharing"",""นครพนม!J375"")"),0.0)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IFERROR(__xludf.DUMMYFUNCTION("IMPORTRANGE(""https://docs.google.com/spreadsheets/d/1XL5vhW3sbDhbH9Cz0tuDiY8C3ctxq1tqvaCgkFb8cCA/edit?usp=sharing"",""นครพนม!I376"")"),28610.0)</f>
        <v>28610</v>
      </c>
      <c r="J481" s="453">
        <f>IFERROR(__xludf.DUMMYFUNCTION("IMPORTRANGE(""https://docs.google.com/spreadsheets/d/1XL5vhW3sbDhbH9Cz0tuDiY8C3ctxq1tqvaCgkFb8cCA/edit?usp=sharing"",""นครพนม!J376"")"),0.0)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IFERROR(__xludf.DUMMYFUNCTION("IMPORTRANGE(""https://docs.google.com/spreadsheets/d/1XL5vhW3sbDhbH9Cz0tuDiY8C3ctxq1tqvaCgkFb8cCA/edit?usp=sharing"",""นครพนม!I377"")"),2630.0)</f>
        <v>2630</v>
      </c>
      <c r="J482" s="453">
        <f>IFERROR(__xludf.DUMMYFUNCTION("IMPORTRANGE(""https://docs.google.com/spreadsheets/d/1XL5vhW3sbDhbH9Cz0tuDiY8C3ctxq1tqvaCgkFb8cCA/edit?usp=sharing"",""นครพนม!J377"")"),0.0)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IFERROR(__xludf.DUMMYFUNCTION("IMPORTRANGE(""https://docs.google.com/spreadsheets/d/1XL5vhW3sbDhbH9Cz0tuDiY8C3ctxq1tqvaCgkFb8cCA/edit?usp=sharing"",""นครพนม!I378"")"),0.0)</f>
        <v>0</v>
      </c>
      <c r="J483" s="223">
        <f>IFERROR(__xludf.DUMMYFUNCTION("IMPORTRANGE(""https://docs.google.com/spreadsheets/d/1XL5vhW3sbDhbH9Cz0tuDiY8C3ctxq1tqvaCgkFb8cCA/edit?usp=sharing"",""นครพนม!J378"")"),0.0)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IFERROR(__xludf.DUMMYFUNCTION("IMPORTRANGE(""https://docs.google.com/spreadsheets/d/1XL5vhW3sbDhbH9Cz0tuDiY8C3ctxq1tqvaCgkFb8cCA/edit?usp=sharing"",""นครพนม!I379"")"),0.0)</f>
        <v>0</v>
      </c>
      <c r="J484" s="223">
        <f>IFERROR(__xludf.DUMMYFUNCTION("IMPORTRANGE(""https://docs.google.com/spreadsheets/d/1XL5vhW3sbDhbH9Cz0tuDiY8C3ctxq1tqvaCgkFb8cCA/edit?usp=sharing"",""นครพนม!J379"")"),0.0)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IFERROR(__xludf.DUMMYFUNCTION("IMPORTRANGE(""https://docs.google.com/spreadsheets/d/1XL5vhW3sbDhbH9Cz0tuDiY8C3ctxq1tqvaCgkFb8cCA/edit?usp=sharing"",""นครพนม!I380"")"),0.0)</f>
        <v>0</v>
      </c>
      <c r="J485" s="223">
        <f>IFERROR(__xludf.DUMMYFUNCTION("IMPORTRANGE(""https://docs.google.com/spreadsheets/d/1XL5vhW3sbDhbH9Cz0tuDiY8C3ctxq1tqvaCgkFb8cCA/edit?usp=sharing"",""นครพนม!J380"")"),0.0)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IFERROR(__xludf.DUMMYFUNCTION("IMPORTRANGE(""https://docs.google.com/spreadsheets/d/1XL5vhW3sbDhbH9Cz0tuDiY8C3ctxq1tqvaCgkFb8cCA/edit?usp=sharing"",""นครพนม!I381"")"),0.0)</f>
        <v>0</v>
      </c>
      <c r="J486" s="223">
        <f>IFERROR(__xludf.DUMMYFUNCTION("IMPORTRANGE(""https://docs.google.com/spreadsheets/d/1XL5vhW3sbDhbH9Cz0tuDiY8C3ctxq1tqvaCgkFb8cCA/edit?usp=sharing"",""นครพนม!J381"")"),0.0)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IFERROR(__xludf.DUMMYFUNCTION("IMPORTRANGE(""https://docs.google.com/spreadsheets/d/1XL5vhW3sbDhbH9Cz0tuDiY8C3ctxq1tqvaCgkFb8cCA/edit?usp=sharing"",""นครพนม!I382"")"),0.0)</f>
        <v>0</v>
      </c>
      <c r="J487" s="453">
        <f>IFERROR(__xludf.DUMMYFUNCTION("IMPORTRANGE(""https://docs.google.com/spreadsheets/d/1XL5vhW3sbDhbH9Cz0tuDiY8C3ctxq1tqvaCgkFb8cCA/edit?usp=sharing"",""นครพนม!J382"")"),0.0)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IFERROR(__xludf.DUMMYFUNCTION("IMPORTRANGE(""https://docs.google.com/spreadsheets/d/1XL5vhW3sbDhbH9Cz0tuDiY8C3ctxq1tqvaCgkFb8cCA/edit?usp=sharing"",""นครพนม!I383"")"),0.0)</f>
        <v>0</v>
      </c>
      <c r="J488" s="453">
        <f>IFERROR(__xludf.DUMMYFUNCTION("IMPORTRANGE(""https://docs.google.com/spreadsheets/d/1XL5vhW3sbDhbH9Cz0tuDiY8C3ctxq1tqvaCgkFb8cCA/edit?usp=sharing"",""นครพนม!J383"")"),0.0)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IFERROR(__xludf.DUMMYFUNCTION("IMPORTRANGE(""https://docs.google.com/spreadsheets/d/1XL5vhW3sbDhbH9Cz0tuDiY8C3ctxq1tqvaCgkFb8cCA/edit?usp=sharing"",""นครพนม!I384"")"),0.0)</f>
        <v>0</v>
      </c>
      <c r="J489" s="223">
        <f>IFERROR(__xludf.DUMMYFUNCTION("IMPORTRANGE(""https://docs.google.com/spreadsheets/d/1XL5vhW3sbDhbH9Cz0tuDiY8C3ctxq1tqvaCgkFb8cCA/edit?usp=sharing"",""นครพนม!J384"")"),0.0)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IFERROR(__xludf.DUMMYFUNCTION("IMPORTRANGE(""https://docs.google.com/spreadsheets/d/1XL5vhW3sbDhbH9Cz0tuDiY8C3ctxq1tqvaCgkFb8cCA/edit?usp=sharing"",""นครพนม!I385"")"),0.0)</f>
        <v>0</v>
      </c>
      <c r="J490" s="223">
        <f>IFERROR(__xludf.DUMMYFUNCTION("IMPORTRANGE(""https://docs.google.com/spreadsheets/d/1XL5vhW3sbDhbH9Cz0tuDiY8C3ctxq1tqvaCgkFb8cCA/edit?usp=sharing"",""นครพนม!J385"")"),0.0)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IFERROR(__xludf.DUMMYFUNCTION("IMPORTRANGE(""https://docs.google.com/spreadsheets/d/1XL5vhW3sbDhbH9Cz0tuDiY8C3ctxq1tqvaCgkFb8cCA/edit?usp=sharing"",""นครพนม!I386"")"),0.0)</f>
        <v>0</v>
      </c>
      <c r="J491" s="223">
        <f>IFERROR(__xludf.DUMMYFUNCTION("IMPORTRANGE(""https://docs.google.com/spreadsheets/d/1XL5vhW3sbDhbH9Cz0tuDiY8C3ctxq1tqvaCgkFb8cCA/edit?usp=sharing"",""นครพนม!J386"")"),0.0)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IFERROR(__xludf.DUMMYFUNCTION("IMPORTRANGE(""https://docs.google.com/spreadsheets/d/1XL5vhW3sbDhbH9Cz0tuDiY8C3ctxq1tqvaCgkFb8cCA/edit?usp=sharing"",""นครพนม!I387"")"),0.0)</f>
        <v>0</v>
      </c>
      <c r="J492" s="223">
        <f>IFERROR(__xludf.DUMMYFUNCTION("IMPORTRANGE(""https://docs.google.com/spreadsheets/d/1XL5vhW3sbDhbH9Cz0tuDiY8C3ctxq1tqvaCgkFb8cCA/edit?usp=sharing"",""นครพนม!J387"")"),0.0)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IFERROR(__xludf.DUMMYFUNCTION("IMPORTRANGE(""https://docs.google.com/spreadsheets/d/1XL5vhW3sbDhbH9Cz0tuDiY8C3ctxq1tqvaCgkFb8cCA/edit?usp=sharing"",""นครพนม!I388"")"),0.0)</f>
        <v>0</v>
      </c>
      <c r="J493" s="223">
        <f>IFERROR(__xludf.DUMMYFUNCTION("IMPORTRANGE(""https://docs.google.com/spreadsheets/d/1XL5vhW3sbDhbH9Cz0tuDiY8C3ctxq1tqvaCgkFb8cCA/edit?usp=sharing"",""นครพนม!J388"")"),0.0)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IFERROR(__xludf.DUMMYFUNCTION("IMPORTRANGE(""https://docs.google.com/spreadsheets/d/1XL5vhW3sbDhbH9Cz0tuDiY8C3ctxq1tqvaCgkFb8cCA/edit?usp=sharing"",""นครพนม!I389"")"),0.0)</f>
        <v>0</v>
      </c>
      <c r="J494" s="469">
        <f>IFERROR(__xludf.DUMMYFUNCTION("IMPORTRANGE(""https://docs.google.com/spreadsheets/d/1XL5vhW3sbDhbH9Cz0tuDiY8C3ctxq1tqvaCgkFb8cCA/edit?usp=sharing"",""นครพนม!J389"")"),0.0)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IFERROR(__xludf.DUMMYFUNCTION("IMPORTRANGE(""https://docs.google.com/spreadsheets/d/1XL5vhW3sbDhbH9Cz0tuDiY8C3ctxq1tqvaCgkFb8cCA/edit?usp=sharing"",""นครพนม!I390"")"),0.0)</f>
        <v>0</v>
      </c>
      <c r="J495" s="469">
        <f>IFERROR(__xludf.DUMMYFUNCTION("IMPORTRANGE(""https://docs.google.com/spreadsheets/d/1XL5vhW3sbDhbH9Cz0tuDiY8C3ctxq1tqvaCgkFb8cCA/edit?usp=sharing"",""นครพนม!J390"")"),0.0)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IFERROR(__xludf.DUMMYFUNCTION("IMPORTRANGE(""https://docs.google.com/spreadsheets/d/1XL5vhW3sbDhbH9Cz0tuDiY8C3ctxq1tqvaCgkFb8cCA/edit?usp=sharing"",""นครพนม!I391"")"),0.0)</f>
        <v>0</v>
      </c>
      <c r="J496" s="469">
        <f>IFERROR(__xludf.DUMMYFUNCTION("IMPORTRANGE(""https://docs.google.com/spreadsheets/d/1XL5vhW3sbDhbH9Cz0tuDiY8C3ctxq1tqvaCgkFb8cCA/edit?usp=sharing"",""นครพนม!J391"")"),0.0)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IFERROR(__xludf.DUMMYFUNCTION("IMPORTRANGE(""https://docs.google.com/spreadsheets/d/1XL5vhW3sbDhbH9Cz0tuDiY8C3ctxq1tqvaCgkFb8cCA/edit?usp=sharing"",""นครพนม!I392"")"),2079.0)</f>
        <v>2079</v>
      </c>
      <c r="J497" s="476">
        <f>IFERROR(__xludf.DUMMYFUNCTION("IMPORTRANGE(""https://docs.google.com/spreadsheets/d/1XL5vhW3sbDhbH9Cz0tuDiY8C3ctxq1tqvaCgkFb8cCA/edit?usp=sharing"",""นครพนม!J392"")"),0.0)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IFERROR(__xludf.DUMMYFUNCTION("IMPORTRANGE(""https://docs.google.com/spreadsheets/d/1XL5vhW3sbDhbH9Cz0tuDiY8C3ctxq1tqvaCgkFb8cCA/edit?usp=sharing"",""นครพนม!I393"")"),2079.0)</f>
        <v>2079</v>
      </c>
      <c r="J498" s="453">
        <f>IFERROR(__xludf.DUMMYFUNCTION("IMPORTRANGE(""https://docs.google.com/spreadsheets/d/1XL5vhW3sbDhbH9Cz0tuDiY8C3ctxq1tqvaCgkFb8cCA/edit?usp=sharing"",""นครพนม!J393"")"),0.0)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IFERROR(__xludf.DUMMYFUNCTION("IMPORTRANGE(""https://docs.google.com/spreadsheets/d/1XL5vhW3sbDhbH9Cz0tuDiY8C3ctxq1tqvaCgkFb8cCA/edit?usp=sharing"",""นครพนม!I394"")"),268.0)</f>
        <v>268</v>
      </c>
      <c r="J499" s="453">
        <f>IFERROR(__xludf.DUMMYFUNCTION("IMPORTRANGE(""https://docs.google.com/spreadsheets/d/1XL5vhW3sbDhbH9Cz0tuDiY8C3ctxq1tqvaCgkFb8cCA/edit?usp=sharing"",""นครพนม!J394"")"),0.0)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IFERROR(__xludf.DUMMYFUNCTION("IMPORTRANGE(""https://docs.google.com/spreadsheets/d/1XL5vhW3sbDhbH9Cz0tuDiY8C3ctxq1tqvaCgkFb8cCA/edit?usp=sharing"",""นครพนม!I395"")"),0.0)</f>
        <v>0</v>
      </c>
      <c r="J500" s="195">
        <f>IFERROR(__xludf.DUMMYFUNCTION("IMPORTRANGE(""https://docs.google.com/spreadsheets/d/1XL5vhW3sbDhbH9Cz0tuDiY8C3ctxq1tqvaCgkFb8cCA/edit?usp=sharing"",""นครพนม!J395"")"),0.0)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IFERROR(__xludf.DUMMYFUNCTION("IMPORTRANGE(""https://docs.google.com/spreadsheets/d/1XL5vhW3sbDhbH9Cz0tuDiY8C3ctxq1tqvaCgkFb8cCA/edit?usp=sharing"",""นครพนม!I396"")"),0.0)</f>
        <v>0</v>
      </c>
      <c r="J501" s="195">
        <f>IFERROR(__xludf.DUMMYFUNCTION("IMPORTRANGE(""https://docs.google.com/spreadsheets/d/1XL5vhW3sbDhbH9Cz0tuDiY8C3ctxq1tqvaCgkFb8cCA/edit?usp=sharing"",""นครพนม!J396"")"),0.0)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IFERROR(__xludf.DUMMYFUNCTION("IMPORTRANGE(""https://docs.google.com/spreadsheets/d/1XL5vhW3sbDhbH9Cz0tuDiY8C3ctxq1tqvaCgkFb8cCA/edit?usp=sharing"",""นครพนม!I397"")"),0.0)</f>
        <v>0</v>
      </c>
      <c r="J502" s="223">
        <f>IFERROR(__xludf.DUMMYFUNCTION("IMPORTRANGE(""https://docs.google.com/spreadsheets/d/1XL5vhW3sbDhbH9Cz0tuDiY8C3ctxq1tqvaCgkFb8cCA/edit?usp=sharing"",""นครพนม!J397"")"),0.0)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IFERROR(__xludf.DUMMYFUNCTION("IMPORTRANGE(""https://docs.google.com/spreadsheets/d/1XL5vhW3sbDhbH9Cz0tuDiY8C3ctxq1tqvaCgkFb8cCA/edit?usp=sharing"",""นครพนม!I398"")"),0.0)</f>
        <v>0</v>
      </c>
      <c r="J503" s="232">
        <f>IFERROR(__xludf.DUMMYFUNCTION("IMPORTRANGE(""https://docs.google.com/spreadsheets/d/1XL5vhW3sbDhbH9Cz0tuDiY8C3ctxq1tqvaCgkFb8cCA/edit?usp=sharing"",""นครพนม!J398"")"),0.0)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IFERROR(__xludf.DUMMYFUNCTION("IMPORTRANGE(""https://docs.google.com/spreadsheets/d/1XL5vhW3sbDhbH9Cz0tuDiY8C3ctxq1tqvaCgkFb8cCA/edit?usp=sharing"",""นครพนม!I399"")"),0.0)</f>
        <v>0</v>
      </c>
      <c r="J504" s="223">
        <f>IFERROR(__xludf.DUMMYFUNCTION("IMPORTRANGE(""https://docs.google.com/spreadsheets/d/1XL5vhW3sbDhbH9Cz0tuDiY8C3ctxq1tqvaCgkFb8cCA/edit?usp=sharing"",""นครพนม!J399"")"),0.0)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IFERROR(__xludf.DUMMYFUNCTION("IMPORTRANGE(""https://docs.google.com/spreadsheets/d/1XL5vhW3sbDhbH9Cz0tuDiY8C3ctxq1tqvaCgkFb8cCA/edit?usp=sharing"",""นครพนม!I400"")"),0.0)</f>
        <v>0</v>
      </c>
      <c r="J505" s="232">
        <f>IFERROR(__xludf.DUMMYFUNCTION("IMPORTRANGE(""https://docs.google.com/spreadsheets/d/1XL5vhW3sbDhbH9Cz0tuDiY8C3ctxq1tqvaCgkFb8cCA/edit?usp=sharing"",""นครพนม!J400"")"),0.0)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IFERROR(__xludf.DUMMYFUNCTION("IMPORTRANGE(""https://docs.google.com/spreadsheets/d/1XL5vhW3sbDhbH9Cz0tuDiY8C3ctxq1tqvaCgkFb8cCA/edit?usp=sharing"",""นครพนม!I401"")"),0.0)</f>
        <v>0</v>
      </c>
      <c r="J506" s="223">
        <f>IFERROR(__xludf.DUMMYFUNCTION("IMPORTRANGE(""https://docs.google.com/spreadsheets/d/1XL5vhW3sbDhbH9Cz0tuDiY8C3ctxq1tqvaCgkFb8cCA/edit?usp=sharing"",""นครพนม!J401"")"),0.0)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IFERROR(__xludf.DUMMYFUNCTION("IMPORTRANGE(""https://docs.google.com/spreadsheets/d/1XL5vhW3sbDhbH9Cz0tuDiY8C3ctxq1tqvaCgkFb8cCA/edit?usp=sharing"",""นครพนม!I402"")"),0.0)</f>
        <v>0</v>
      </c>
      <c r="J507" s="232">
        <f>IFERROR(__xludf.DUMMYFUNCTION("IMPORTRANGE(""https://docs.google.com/spreadsheets/d/1XL5vhW3sbDhbH9Cz0tuDiY8C3ctxq1tqvaCgkFb8cCA/edit?usp=sharing"",""นครพนม!J402"")"),0.0)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IFERROR(__xludf.DUMMYFUNCTION("IMPORTRANGE(""https://docs.google.com/spreadsheets/d/1XL5vhW3sbDhbH9Cz0tuDiY8C3ctxq1tqvaCgkFb8cCA/edit?usp=sharing"",""นครพนม!I403"")"),0.0)</f>
        <v>0</v>
      </c>
      <c r="J508" s="195">
        <f>IFERROR(__xludf.DUMMYFUNCTION("IMPORTRANGE(""https://docs.google.com/spreadsheets/d/1XL5vhW3sbDhbH9Cz0tuDiY8C3ctxq1tqvaCgkFb8cCA/edit?usp=sharing"",""นครพนม!J403"")"),0.0)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IFERROR(__xludf.DUMMYFUNCTION("IMPORTRANGE(""https://docs.google.com/spreadsheets/d/1XL5vhW3sbDhbH9Cz0tuDiY8C3ctxq1tqvaCgkFb8cCA/edit?usp=sharing"",""นครพนม!I404"")"),0.0)</f>
        <v>0</v>
      </c>
      <c r="J509" s="195">
        <f>IFERROR(__xludf.DUMMYFUNCTION("IMPORTRANGE(""https://docs.google.com/spreadsheets/d/1XL5vhW3sbDhbH9Cz0tuDiY8C3ctxq1tqvaCgkFb8cCA/edit?usp=sharing"",""นครพนม!J404"")"),0.0)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IFERROR(__xludf.DUMMYFUNCTION("IMPORTRANGE(""https://docs.google.com/spreadsheets/d/1XL5vhW3sbDhbH9Cz0tuDiY8C3ctxq1tqvaCgkFb8cCA/edit?usp=sharing"",""นครพนม!I405"")"),0.0)</f>
        <v>0</v>
      </c>
      <c r="J510" s="232">
        <f>IFERROR(__xludf.DUMMYFUNCTION("IMPORTRANGE(""https://docs.google.com/spreadsheets/d/1XL5vhW3sbDhbH9Cz0tuDiY8C3ctxq1tqvaCgkFb8cCA/edit?usp=sharing"",""นครพนม!J405"")"),0.0)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IFERROR(__xludf.DUMMYFUNCTION("IMPORTRANGE(""https://docs.google.com/spreadsheets/d/1XL5vhW3sbDhbH9Cz0tuDiY8C3ctxq1tqvaCgkFb8cCA/edit?usp=sharing"",""นครพนม!I406"")"),0.0)</f>
        <v>0</v>
      </c>
      <c r="J511" s="232">
        <f>IFERROR(__xludf.DUMMYFUNCTION("IMPORTRANGE(""https://docs.google.com/spreadsheets/d/1XL5vhW3sbDhbH9Cz0tuDiY8C3ctxq1tqvaCgkFb8cCA/edit?usp=sharing"",""นครพนม!J406"")"),0.0)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IFERROR(__xludf.DUMMYFUNCTION("IMPORTRANGE(""https://docs.google.com/spreadsheets/d/1XL5vhW3sbDhbH9Cz0tuDiY8C3ctxq1tqvaCgkFb8cCA/edit?usp=sharing"",""นครพนม!I407"")"),0.0)</f>
        <v>0</v>
      </c>
      <c r="J512" s="232">
        <f>IFERROR(__xludf.DUMMYFUNCTION("IMPORTRANGE(""https://docs.google.com/spreadsheets/d/1XL5vhW3sbDhbH9Cz0tuDiY8C3ctxq1tqvaCgkFb8cCA/edit?usp=sharing"",""นครพนม!J407"")"),0.0)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IFERROR(__xludf.DUMMYFUNCTION("IMPORTRANGE(""https://docs.google.com/spreadsheets/d/1XL5vhW3sbDhbH9Cz0tuDiY8C3ctxq1tqvaCgkFb8cCA/edit?usp=sharing"",""นครพนม!I408"")"),0.0)</f>
        <v>0</v>
      </c>
      <c r="J513" s="232">
        <f>IFERROR(__xludf.DUMMYFUNCTION("IMPORTRANGE(""https://docs.google.com/spreadsheets/d/1XL5vhW3sbDhbH9Cz0tuDiY8C3ctxq1tqvaCgkFb8cCA/edit?usp=sharing"",""นครพนม!J408"")"),0.0)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IFERROR(__xludf.DUMMYFUNCTION("IMPORTRANGE(""https://docs.google.com/spreadsheets/d/1XL5vhW3sbDhbH9Cz0tuDiY8C3ctxq1tqvaCgkFb8cCA/edit?usp=sharing"",""นครพนม!I409"")"),0.0)</f>
        <v>0</v>
      </c>
      <c r="J514" s="232">
        <f>IFERROR(__xludf.DUMMYFUNCTION("IMPORTRANGE(""https://docs.google.com/spreadsheets/d/1XL5vhW3sbDhbH9Cz0tuDiY8C3ctxq1tqvaCgkFb8cCA/edit?usp=sharing"",""นครพนม!J409"")"),0.0)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IFERROR(__xludf.DUMMYFUNCTION("IMPORTRANGE(""https://docs.google.com/spreadsheets/d/1XL5vhW3sbDhbH9Cz0tuDiY8C3ctxq1tqvaCgkFb8cCA/edit?usp=sharing"",""นครพนม!I410"")"),0.0)</f>
        <v>0</v>
      </c>
      <c r="J515" s="232">
        <f>IFERROR(__xludf.DUMMYFUNCTION("IMPORTRANGE(""https://docs.google.com/spreadsheets/d/1XL5vhW3sbDhbH9Cz0tuDiY8C3ctxq1tqvaCgkFb8cCA/edit?usp=sharing"",""นครพนม!J410"")"),0.0)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IFERROR(__xludf.DUMMYFUNCTION("IMPORTRANGE(""https://docs.google.com/spreadsheets/d/1XL5vhW3sbDhbH9Cz0tuDiY8C3ctxq1tqvaCgkFb8cCA/edit?usp=sharing"",""นครพนม!I411"")"),0.0)</f>
        <v>0</v>
      </c>
      <c r="J516" s="301">
        <f>IFERROR(__xludf.DUMMYFUNCTION("IMPORTRANGE(""https://docs.google.com/spreadsheets/d/1XL5vhW3sbDhbH9Cz0tuDiY8C3ctxq1tqvaCgkFb8cCA/edit?usp=sharing"",""นครพนม!J411"")"),0.0)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IFERROR(__xludf.DUMMYFUNCTION("IMPORTRANGE(""https://docs.google.com/spreadsheets/d/1XL5vhW3sbDhbH9Cz0tuDiY8C3ctxq1tqvaCgkFb8cCA/edit?usp=sharing"",""นครพนม!I412"")"),0.0)</f>
        <v>0</v>
      </c>
      <c r="J517" s="317">
        <f>IFERROR(__xludf.DUMMYFUNCTION("IMPORTRANGE(""https://docs.google.com/spreadsheets/d/1XL5vhW3sbDhbH9Cz0tuDiY8C3ctxq1tqvaCgkFb8cCA/edit?usp=sharing"",""นครพนม!J412"")"),0.0)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IFERROR(__xludf.DUMMYFUNCTION("IMPORTRANGE(""https://docs.google.com/spreadsheets/d/1XL5vhW3sbDhbH9Cz0tuDiY8C3ctxq1tqvaCgkFb8cCA/edit?usp=sharing"",""นครพนม!I413"")"),0.0)</f>
        <v>0</v>
      </c>
      <c r="J518" s="317">
        <f>IFERROR(__xludf.DUMMYFUNCTION("IMPORTRANGE(""https://docs.google.com/spreadsheets/d/1XL5vhW3sbDhbH9Cz0tuDiY8C3ctxq1tqvaCgkFb8cCA/edit?usp=sharing"",""นครพนม!J413"")"),0.0)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IFERROR(__xludf.DUMMYFUNCTION("IMPORTRANGE(""https://docs.google.com/spreadsheets/d/1XL5vhW3sbDhbH9Cz0tuDiY8C3ctxq1tqvaCgkFb8cCA/edit?usp=sharing"",""นครพนม!I414"")"),0.0)</f>
        <v>0</v>
      </c>
      <c r="J519" s="222">
        <f>IFERROR(__xludf.DUMMYFUNCTION("IMPORTRANGE(""https://docs.google.com/spreadsheets/d/1XL5vhW3sbDhbH9Cz0tuDiY8C3ctxq1tqvaCgkFb8cCA/edit?usp=sharing"",""นครพนม!J414"")"),0.0)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IFERROR(__xludf.DUMMYFUNCTION("IMPORTRANGE(""https://docs.google.com/spreadsheets/d/1XL5vhW3sbDhbH9Cz0tuDiY8C3ctxq1tqvaCgkFb8cCA/edit?usp=sharing"",""นครพนม!I415"")"),0.0)</f>
        <v>0</v>
      </c>
      <c r="J520" s="222">
        <f>IFERROR(__xludf.DUMMYFUNCTION("IMPORTRANGE(""https://docs.google.com/spreadsheets/d/1XL5vhW3sbDhbH9Cz0tuDiY8C3ctxq1tqvaCgkFb8cCA/edit?usp=sharing"",""นครพนม!J415"")"),0.0)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IFERROR(__xludf.DUMMYFUNCTION("IMPORTRANGE(""https://docs.google.com/spreadsheets/d/1XL5vhW3sbDhbH9Cz0tuDiY8C3ctxq1tqvaCgkFb8cCA/edit?usp=sharing"",""นครพนม!I416"")"),0.0)</f>
        <v>0</v>
      </c>
      <c r="J521" s="222">
        <f>IFERROR(__xludf.DUMMYFUNCTION("IMPORTRANGE(""https://docs.google.com/spreadsheets/d/1XL5vhW3sbDhbH9Cz0tuDiY8C3ctxq1tqvaCgkFb8cCA/edit?usp=sharing"",""นครพนม!J416"")"),0.0)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IFERROR(__xludf.DUMMYFUNCTION("IMPORTRANGE(""https://docs.google.com/spreadsheets/d/1XL5vhW3sbDhbH9Cz0tuDiY8C3ctxq1tqvaCgkFb8cCA/edit?usp=sharing"",""นครพนม!I417"")"),0.0)</f>
        <v>0</v>
      </c>
      <c r="J522" s="222">
        <f>IFERROR(__xludf.DUMMYFUNCTION("IMPORTRANGE(""https://docs.google.com/spreadsheets/d/1XL5vhW3sbDhbH9Cz0tuDiY8C3ctxq1tqvaCgkFb8cCA/edit?usp=sharing"",""นครพนม!J417"")"),0.0)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IFERROR(__xludf.DUMMYFUNCTION("IMPORTRANGE(""https://docs.google.com/spreadsheets/d/1XL5vhW3sbDhbH9Cz0tuDiY8C3ctxq1tqvaCgkFb8cCA/edit?usp=sharing"",""นครพนม!I418"")"),0.0)</f>
        <v>0</v>
      </c>
      <c r="J523" s="222">
        <f>IFERROR(__xludf.DUMMYFUNCTION("IMPORTRANGE(""https://docs.google.com/spreadsheets/d/1XL5vhW3sbDhbH9Cz0tuDiY8C3ctxq1tqvaCgkFb8cCA/edit?usp=sharing"",""นครพนม!J418"")"),0.0)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IFERROR(__xludf.DUMMYFUNCTION("IMPORTRANGE(""https://docs.google.com/spreadsheets/d/1XL5vhW3sbDhbH9Cz0tuDiY8C3ctxq1tqvaCgkFb8cCA/edit?usp=sharing"",""นครพนม!I419"")"),0.0)</f>
        <v>0</v>
      </c>
      <c r="J524" s="222">
        <f>IFERROR(__xludf.DUMMYFUNCTION("IMPORTRANGE(""https://docs.google.com/spreadsheets/d/1XL5vhW3sbDhbH9Cz0tuDiY8C3ctxq1tqvaCgkFb8cCA/edit?usp=sharing"",""นครพนม!J419"")"),0.0)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IFERROR(__xludf.DUMMYFUNCTION("IMPORTRANGE(""https://docs.google.com/spreadsheets/d/1XL5vhW3sbDhbH9Cz0tuDiY8C3ctxq1tqvaCgkFb8cCA/edit?usp=sharing"",""นครพนม!I420"")"),0.0)</f>
        <v>0</v>
      </c>
      <c r="J525" s="317">
        <f>IFERROR(__xludf.DUMMYFUNCTION("IMPORTRANGE(""https://docs.google.com/spreadsheets/d/1XL5vhW3sbDhbH9Cz0tuDiY8C3ctxq1tqvaCgkFb8cCA/edit?usp=sharing"",""นครพนม!J420"")"),0.0)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IFERROR(__xludf.DUMMYFUNCTION("IMPORTRANGE(""https://docs.google.com/spreadsheets/d/1XL5vhW3sbDhbH9Cz0tuDiY8C3ctxq1tqvaCgkFb8cCA/edit?usp=sharing"",""นครพนม!I421"")"),0.0)</f>
        <v>0</v>
      </c>
      <c r="J526" s="317">
        <f>IFERROR(__xludf.DUMMYFUNCTION("IMPORTRANGE(""https://docs.google.com/spreadsheets/d/1XL5vhW3sbDhbH9Cz0tuDiY8C3ctxq1tqvaCgkFb8cCA/edit?usp=sharing"",""นครพนม!J421"")"),0.0)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IFERROR(__xludf.DUMMYFUNCTION("IMPORTRANGE(""https://docs.google.com/spreadsheets/d/1XL5vhW3sbDhbH9Cz0tuDiY8C3ctxq1tqvaCgkFb8cCA/edit?usp=sharing"",""นครพนม!I422"")"),0.0)</f>
        <v>0</v>
      </c>
      <c r="J527" s="232">
        <f>IFERROR(__xludf.DUMMYFUNCTION("IMPORTRANGE(""https://docs.google.com/spreadsheets/d/1XL5vhW3sbDhbH9Cz0tuDiY8C3ctxq1tqvaCgkFb8cCA/edit?usp=sharing"",""นครพนม!J422"")"),0.0)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IFERROR(__xludf.DUMMYFUNCTION("IMPORTRANGE(""https://docs.google.com/spreadsheets/d/1XL5vhW3sbDhbH9Cz0tuDiY8C3ctxq1tqvaCgkFb8cCA/edit?usp=sharing"",""นครพนม!I423"")"),0.0)</f>
        <v>0</v>
      </c>
      <c r="J528" s="232">
        <f>IFERROR(__xludf.DUMMYFUNCTION("IMPORTRANGE(""https://docs.google.com/spreadsheets/d/1XL5vhW3sbDhbH9Cz0tuDiY8C3ctxq1tqvaCgkFb8cCA/edit?usp=sharing"",""นครพนม!J423"")"),0.0)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IFERROR(__xludf.DUMMYFUNCTION("IMPORTRANGE(""https://docs.google.com/spreadsheets/d/1XL5vhW3sbDhbH9Cz0tuDiY8C3ctxq1tqvaCgkFb8cCA/edit?usp=sharing"",""นครพนม!I424"")"),0.0)</f>
        <v>0</v>
      </c>
      <c r="J529" s="232">
        <f>IFERROR(__xludf.DUMMYFUNCTION("IMPORTRANGE(""https://docs.google.com/spreadsheets/d/1XL5vhW3sbDhbH9Cz0tuDiY8C3ctxq1tqvaCgkFb8cCA/edit?usp=sharing"",""นครพนม!J424"")"),0.0)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IFERROR(__xludf.DUMMYFUNCTION("IMPORTRANGE(""https://docs.google.com/spreadsheets/d/1XL5vhW3sbDhbH9Cz0tuDiY8C3ctxq1tqvaCgkFb8cCA/edit?usp=sharing"",""นครพนม!I425"")"),0.0)</f>
        <v>0</v>
      </c>
      <c r="J530" s="232">
        <f>IFERROR(__xludf.DUMMYFUNCTION("IMPORTRANGE(""https://docs.google.com/spreadsheets/d/1XL5vhW3sbDhbH9Cz0tuDiY8C3ctxq1tqvaCgkFb8cCA/edit?usp=sharing"",""นครพนม!J425"")"),0.0)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IFERROR(__xludf.DUMMYFUNCTION("IMPORTRANGE(""https://docs.google.com/spreadsheets/d/1XL5vhW3sbDhbH9Cz0tuDiY8C3ctxq1tqvaCgkFb8cCA/edit?usp=sharing"",""นครพนม!I426"")"),0.0)</f>
        <v>0</v>
      </c>
      <c r="J531" s="232">
        <f>IFERROR(__xludf.DUMMYFUNCTION("IMPORTRANGE(""https://docs.google.com/spreadsheets/d/1XL5vhW3sbDhbH9Cz0tuDiY8C3ctxq1tqvaCgkFb8cCA/edit?usp=sharing"",""นครพนม!J426"")"),0.0)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IFERROR(__xludf.DUMMYFUNCTION("IMPORTRANGE(""https://docs.google.com/spreadsheets/d/1XL5vhW3sbDhbH9Cz0tuDiY8C3ctxq1tqvaCgkFb8cCA/edit?usp=sharing"",""นครพนม!I427"")"),0.0)</f>
        <v>0</v>
      </c>
      <c r="J532" s="499">
        <f>IFERROR(__xludf.DUMMYFUNCTION("IMPORTRANGE(""https://docs.google.com/spreadsheets/d/1XL5vhW3sbDhbH9Cz0tuDiY8C3ctxq1tqvaCgkFb8cCA/edit?usp=sharing"",""นครพนม!J427"")"),0.0)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IFERROR(__xludf.DUMMYFUNCTION("IMPORTRANGE(""https://docs.google.com/spreadsheets/d/1XL5vhW3sbDhbH9Cz0tuDiY8C3ctxq1tqvaCgkFb8cCA/edit?usp=sharing"",""นครพนม!I428"")"),22.0)</f>
        <v>22</v>
      </c>
      <c r="J533" s="443">
        <f>IFERROR(__xludf.DUMMYFUNCTION("IMPORTRANGE(""https://docs.google.com/spreadsheets/d/1XL5vhW3sbDhbH9Cz0tuDiY8C3ctxq1tqvaCgkFb8cCA/edit?usp=sharing"",""นครพนม!J428"")"),22.0)</f>
        <v>22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IFERROR(__xludf.DUMMYFUNCTION("IMPORTRANGE(""https://docs.google.com/spreadsheets/d/1XL5vhW3sbDhbH9Cz0tuDiY8C3ctxq1tqvaCgkFb8cCA/edit?usp=sharing"",""นครพนม!L428"")"),34340.0)</f>
        <v>34340</v>
      </c>
      <c r="M533" s="445"/>
      <c r="N533" s="445">
        <f>IFERROR(__xludf.DUMMYFUNCTION("IMPORTRANGE(""https://docs.google.com/spreadsheets/d/1XL5vhW3sbDhbH9Cz0tuDiY8C3ctxq1tqvaCgkFb8cCA/edit?usp=sharing"",""นครพนม!M428"")"),32090.2)</f>
        <v>32090.2</v>
      </c>
      <c r="O533" s="445">
        <f t="shared" ref="O533:O537" si="119">+IF(L533&gt;0,N533*100/L533,0)</f>
        <v>93.44845661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IFERROR(__xludf.DUMMYFUNCTION("IMPORTRANGE(""https://docs.google.com/spreadsheets/d/1XL5vhW3sbDhbH9Cz0tuDiY8C3ctxq1tqvaCgkFb8cCA/edit?usp=sharing"",""นครพนม!L429"")"),0.0)</f>
        <v>0</v>
      </c>
      <c r="M534" s="197"/>
      <c r="N534" s="203">
        <f>IFERROR(__xludf.DUMMYFUNCTION("IMPORTRANGE(""https://docs.google.com/spreadsheets/d/1XL5vhW3sbDhbH9Cz0tuDiY8C3ctxq1tqvaCgkFb8cCA/edit?usp=sharing"",""นครพนม!M429"")"),0.0)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IFERROR(__xludf.DUMMYFUNCTION("IMPORTRANGE(""https://docs.google.com/spreadsheets/d/1XL5vhW3sbDhbH9Cz0tuDiY8C3ctxq1tqvaCgkFb8cCA/edit?usp=sharing"",""นครพนม!L430"")"),34340.0)</f>
        <v>34340</v>
      </c>
      <c r="M535" s="198"/>
      <c r="N535" s="203">
        <f>IFERROR(__xludf.DUMMYFUNCTION("IMPORTRANGE(""https://docs.google.com/spreadsheets/d/1XL5vhW3sbDhbH9Cz0tuDiY8C3ctxq1tqvaCgkFb8cCA/edit?usp=sharing"",""นครพนม!M430"")"),32090.2)</f>
        <v>32090.2</v>
      </c>
      <c r="O535" s="203">
        <f t="shared" si="119"/>
        <v>93.44845661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IFERROR(__xludf.DUMMYFUNCTION("IMPORTRANGE(""https://docs.google.com/spreadsheets/d/1XL5vhW3sbDhbH9Cz0tuDiY8C3ctxq1tqvaCgkFb8cCA/edit?usp=sharing"",""นครพนม!L431"")"),0.0)</f>
        <v>0</v>
      </c>
      <c r="M536" s="203"/>
      <c r="N536" s="203">
        <f>IFERROR(__xludf.DUMMYFUNCTION("IMPORTRANGE(""https://docs.google.com/spreadsheets/d/1XL5vhW3sbDhbH9Cz0tuDiY8C3ctxq1tqvaCgkFb8cCA/edit?usp=sharing"",""นครพนม!M431"")"),0.0)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IFERROR(__xludf.DUMMYFUNCTION("IMPORTRANGE(""https://docs.google.com/spreadsheets/d/1XL5vhW3sbDhbH9Cz0tuDiY8C3ctxq1tqvaCgkFb8cCA/edit?usp=sharing"",""นครพนม!L432"")"),34340.0)</f>
        <v>34340</v>
      </c>
      <c r="M537" s="203"/>
      <c r="N537" s="203">
        <f>IFERROR(__xludf.DUMMYFUNCTION("IMPORTRANGE(""https://docs.google.com/spreadsheets/d/1XL5vhW3sbDhbH9Cz0tuDiY8C3ctxq1tqvaCgkFb8cCA/edit?usp=sharing"",""นครพนม!M432"")"),32090.2)</f>
        <v>32090.2</v>
      </c>
      <c r="O537" s="203">
        <f t="shared" si="119"/>
        <v>93.44845661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IFERROR(__xludf.DUMMYFUNCTION("IMPORTRANGE(""https://docs.google.com/spreadsheets/d/1XL5vhW3sbDhbH9Cz0tuDiY8C3ctxq1tqvaCgkFb8cCA/edit?usp=sharing"",""นครพนม!M433"")"),18740.0)</f>
        <v>18740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IFERROR(__xludf.DUMMYFUNCTION("IMPORTRANGE(""https://docs.google.com/spreadsheets/d/1XL5vhW3sbDhbH9Cz0tuDiY8C3ctxq1tqvaCgkFb8cCA/edit?usp=sharing"",""นครพนม!M434"")"),0.0)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IFERROR(__xludf.DUMMYFUNCTION("IMPORTRANGE(""https://docs.google.com/spreadsheets/d/1XL5vhW3sbDhbH9Cz0tuDiY8C3ctxq1tqvaCgkFb8cCA/edit?usp=sharing"",""นครพนม!M435"")"),0.0)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IFERROR(__xludf.DUMMYFUNCTION("IMPORTRANGE(""https://docs.google.com/spreadsheets/d/1XL5vhW3sbDhbH9Cz0tuDiY8C3ctxq1tqvaCgkFb8cCA/edit?usp=sharing"",""นครพนม!M436"")"),13350.2)</f>
        <v>13350.2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IFERROR(__xludf.DUMMYFUNCTION("IMPORTRANGE(""https://docs.google.com/spreadsheets/d/1XL5vhW3sbDhbH9Cz0tuDiY8C3ctxq1tqvaCgkFb8cCA/edit?usp=sharing"",""นครพนม!J438"")"),0.0)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 t="str">
        <f>IFERROR(__xludf.DUMMYFUNCTION("IMPORTRANGE(""https://docs.google.com/spreadsheets/d/1XL5vhW3sbDhbH9Cz0tuDiY8C3ctxq1tqvaCgkFb8cCA/edit?usp=sharing"",""นครพนม!J439"")"),"")</f>
        <v/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IFERROR(__xludf.DUMMYFUNCTION("IMPORTRANGE(""https://docs.google.com/spreadsheets/d/1XL5vhW3sbDhbH9Cz0tuDiY8C3ctxq1tqvaCgkFb8cCA/edit?usp=sharing"",""นครพนม!J440"")"),1.0)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IFERROR(__xludf.DUMMYFUNCTION("IMPORTRANGE(""https://docs.google.com/spreadsheets/d/1XL5vhW3sbDhbH9Cz0tuDiY8C3ctxq1tqvaCgkFb8cCA/edit?usp=sharing"",""นครพนม!J441"")"),1.0)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IFERROR(__xludf.DUMMYFUNCTION("IMPORTRANGE(""https://docs.google.com/spreadsheets/d/1XL5vhW3sbDhbH9Cz0tuDiY8C3ctxq1tqvaCgkFb8cCA/edit?usp=sharing"",""นครพนม!I442"")"),22.0)</f>
        <v>22</v>
      </c>
      <c r="J547" s="223">
        <f>IFERROR(__xludf.DUMMYFUNCTION("IMPORTRANGE(""https://docs.google.com/spreadsheets/d/1XL5vhW3sbDhbH9Cz0tuDiY8C3ctxq1tqvaCgkFb8cCA/edit?usp=sharing"",""นครพนม!J442"")"),22.0)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IFERROR(__xludf.DUMMYFUNCTION("IMPORTRANGE(""https://docs.google.com/spreadsheets/d/1XL5vhW3sbDhbH9Cz0tuDiY8C3ctxq1tqvaCgkFb8cCA/edit?usp=sharing"",""นครพนม!J166"")"),0.0)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IFERROR(__xludf.DUMMYFUNCTION("IMPORTRANGE(""https://docs.google.com/spreadsheets/d/1XL5vhW3sbDhbH9Cz0tuDiY8C3ctxq1tqvaCgkFb8cCA/edit?usp=sharing"",""นครพนม!J444"")"),0.0)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IFERROR(__xludf.DUMMYFUNCTION("IMPORTRANGE(""https://docs.google.com/spreadsheets/d/1XL5vhW3sbDhbH9Cz0tuDiY8C3ctxq1tqvaCgkFb8cCA/edit?usp=sharing"",""นครพนม!J445"")"),0.0)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IFERROR(__xludf.DUMMYFUNCTION("IMPORTRANGE(""https://docs.google.com/spreadsheets/d/1XL5vhW3sbDhbH9Cz0tuDiY8C3ctxq1tqvaCgkFb8cCA/edit?usp=sharing"",""นครพนม!I446"")"),0.0)</f>
        <v>0</v>
      </c>
      <c r="J551" s="443">
        <f>IFERROR(__xludf.DUMMYFUNCTION("IMPORTRANGE(""https://docs.google.com/spreadsheets/d/1XL5vhW3sbDhbH9Cz0tuDiY8C3ctxq1tqvaCgkFb8cCA/edit?usp=sharing"",""นครพนม!J446"")"),0.0)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IFERROR(__xludf.DUMMYFUNCTION("IMPORTRANGE(""https://docs.google.com/spreadsheets/d/1XL5vhW3sbDhbH9Cz0tuDiY8C3ctxq1tqvaCgkFb8cCA/edit?usp=sharing"",""นครพนม!L446"")"),0.0)</f>
        <v>0</v>
      </c>
      <c r="M551" s="445"/>
      <c r="N551" s="445">
        <f>IFERROR(__xludf.DUMMYFUNCTION("IMPORTRANGE(""https://docs.google.com/spreadsheets/d/1XL5vhW3sbDhbH9Cz0tuDiY8C3ctxq1tqvaCgkFb8cCA/edit?usp=sharing"",""นครพนม!M446"")"),0.0)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IFERROR(__xludf.DUMMYFUNCTION("IMPORTRANGE(""https://docs.google.com/spreadsheets/d/1XL5vhW3sbDhbH9Cz0tuDiY8C3ctxq1tqvaCgkFb8cCA/edit?usp=sharing"",""นครพนม!L447"")"),0.0)</f>
        <v>0</v>
      </c>
      <c r="M552" s="197"/>
      <c r="N552" s="203">
        <f>IFERROR(__xludf.DUMMYFUNCTION("IMPORTRANGE(""https://docs.google.com/spreadsheets/d/1XL5vhW3sbDhbH9Cz0tuDiY8C3ctxq1tqvaCgkFb8cCA/edit?usp=sharing"",""นครพนม!M447"")"),0.0)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IFERROR(__xludf.DUMMYFUNCTION("IMPORTRANGE(""https://docs.google.com/spreadsheets/d/1XL5vhW3sbDhbH9Cz0tuDiY8C3ctxq1tqvaCgkFb8cCA/edit?usp=sharing"",""นครพนม!L448"")"),0.0)</f>
        <v>0</v>
      </c>
      <c r="M553" s="198"/>
      <c r="N553" s="203">
        <f>IFERROR(__xludf.DUMMYFUNCTION("IMPORTRANGE(""https://docs.google.com/spreadsheets/d/1XL5vhW3sbDhbH9Cz0tuDiY8C3ctxq1tqvaCgkFb8cCA/edit?usp=sharing"",""นครพนม!M448"")"),0.0)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IFERROR(__xludf.DUMMYFUNCTION("IMPORTRANGE(""https://docs.google.com/spreadsheets/d/1XL5vhW3sbDhbH9Cz0tuDiY8C3ctxq1tqvaCgkFb8cCA/edit?usp=sharing"",""นครพนม!L449"")"),0.0)</f>
        <v>0</v>
      </c>
      <c r="M554" s="203"/>
      <c r="N554" s="203">
        <f>IFERROR(__xludf.DUMMYFUNCTION("IMPORTRANGE(""https://docs.google.com/spreadsheets/d/1XL5vhW3sbDhbH9Cz0tuDiY8C3ctxq1tqvaCgkFb8cCA/edit?usp=sharing"",""นครพนม!M449"")"),0.0)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IFERROR(__xludf.DUMMYFUNCTION("IMPORTRANGE(""https://docs.google.com/spreadsheets/d/1XL5vhW3sbDhbH9Cz0tuDiY8C3ctxq1tqvaCgkFb8cCA/edit?usp=sharing"",""นครพนม!L450"")"),0.0)</f>
        <v>0</v>
      </c>
      <c r="M555" s="203"/>
      <c r="N555" s="203">
        <f>IFERROR(__xludf.DUMMYFUNCTION("IMPORTRANGE(""https://docs.google.com/spreadsheets/d/1XL5vhW3sbDhbH9Cz0tuDiY8C3ctxq1tqvaCgkFb8cCA/edit?usp=sharing"",""นครพนม!M450"")"),0.0)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IFERROR(__xludf.DUMMYFUNCTION("IMPORTRANGE(""https://docs.google.com/spreadsheets/d/1XL5vhW3sbDhbH9Cz0tuDiY8C3ctxq1tqvaCgkFb8cCA/edit?usp=sharing"",""นครพนม!M451"")"),0.0)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IFERROR(__xludf.DUMMYFUNCTION("IMPORTRANGE(""https://docs.google.com/spreadsheets/d/1XL5vhW3sbDhbH9Cz0tuDiY8C3ctxq1tqvaCgkFb8cCA/edit?usp=sharing"",""นครพนม!M452"")"),0.0)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IFERROR(__xludf.DUMMYFUNCTION("IMPORTRANGE(""https://docs.google.com/spreadsheets/d/1XL5vhW3sbDhbH9Cz0tuDiY8C3ctxq1tqvaCgkFb8cCA/edit?usp=sharing"",""นครพนม!M453"")"),0.0)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IFERROR(__xludf.DUMMYFUNCTION("IMPORTRANGE(""https://docs.google.com/spreadsheets/d/1XL5vhW3sbDhbH9Cz0tuDiY8C3ctxq1tqvaCgkFb8cCA/edit?usp=sharing"",""นครพนม!M454"")"),0.0)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IFERROR(__xludf.DUMMYFUNCTION("IMPORTRANGE(""https://docs.google.com/spreadsheets/d/1XL5vhW3sbDhbH9Cz0tuDiY8C3ctxq1tqvaCgkFb8cCA/edit?usp=sharing"",""นครพนม!I455"")"),0.0)</f>
        <v>0</v>
      </c>
      <c r="J560" s="195">
        <f>IFERROR(__xludf.DUMMYFUNCTION("IMPORTRANGE(""https://docs.google.com/spreadsheets/d/1XL5vhW3sbDhbH9Cz0tuDiY8C3ctxq1tqvaCgkFb8cCA/edit?usp=sharing"",""นครพนม!J455"")"),0.0)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IFERROR(__xludf.DUMMYFUNCTION("IMPORTRANGE(""https://docs.google.com/spreadsheets/d/1XL5vhW3sbDhbH9Cz0tuDiY8C3ctxq1tqvaCgkFb8cCA/edit?usp=sharing"",""นครพนม!I456"")"),0.0)</f>
        <v>0</v>
      </c>
      <c r="J561" s="238">
        <f>IFERROR(__xludf.DUMMYFUNCTION("IMPORTRANGE(""https://docs.google.com/spreadsheets/d/1XL5vhW3sbDhbH9Cz0tuDiY8C3ctxq1tqvaCgkFb8cCA/edit?usp=sharing"",""นครพนม!J456"")"),0.0)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IFERROR(__xludf.DUMMYFUNCTION("IMPORTRANGE(""https://docs.google.com/spreadsheets/d/1XL5vhW3sbDhbH9Cz0tuDiY8C3ctxq1tqvaCgkFb8cCA/edit?usp=sharing"",""นครพนม!I457"")"),"")</f>
        <v/>
      </c>
      <c r="J562" s="238" t="str">
        <f>IFERROR(__xludf.DUMMYFUNCTION("IMPORTRANGE(""https://docs.google.com/spreadsheets/d/1XL5vhW3sbDhbH9Cz0tuDiY8C3ctxq1tqvaCgkFb8cCA/edit?usp=sharing"",""นครพนม!J457"")"),"")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IFERROR(__xludf.DUMMYFUNCTION("IMPORTRANGE(""https://docs.google.com/spreadsheets/d/1XL5vhW3sbDhbH9Cz0tuDiY8C3ctxq1tqvaCgkFb8cCA/edit?usp=sharing"",""นครพนม!I458"")"),"")</f>
        <v/>
      </c>
      <c r="J563" s="222" t="str">
        <f>IFERROR(__xludf.DUMMYFUNCTION("IMPORTRANGE(""https://docs.google.com/spreadsheets/d/1XL5vhW3sbDhbH9Cz0tuDiY8C3ctxq1tqvaCgkFb8cCA/edit?usp=sharing"",""นครพนม!J458"")"),"")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IFERROR(__xludf.DUMMYFUNCTION("IMPORTRANGE(""https://docs.google.com/spreadsheets/d/1XL5vhW3sbDhbH9Cz0tuDiY8C3ctxq1tqvaCgkFb8cCA/edit?usp=sharing"",""นครพนม!I459"")"),1200.0)</f>
        <v>1200</v>
      </c>
      <c r="J564" s="404">
        <f>IFERROR(__xludf.DUMMYFUNCTION("IMPORTRANGE(""https://docs.google.com/spreadsheets/d/1XL5vhW3sbDhbH9Cz0tuDiY8C3ctxq1tqvaCgkFb8cCA/edit?usp=sharing"",""นครพนม!J459"")"),324.0)</f>
        <v>324</v>
      </c>
      <c r="K564" s="405">
        <f t="shared" si="122"/>
        <v>27</v>
      </c>
      <c r="L564" s="406">
        <f>IFERROR(__xludf.DUMMYFUNCTION("IMPORTRANGE(""https://docs.google.com/spreadsheets/d/1XL5vhW3sbDhbH9Cz0tuDiY8C3ctxq1tqvaCgkFb8cCA/edit?usp=sharing"",""นครพนม!L459"")"),128480.0)</f>
        <v>128480</v>
      </c>
      <c r="M564" s="406"/>
      <c r="N564" s="406">
        <f>IFERROR(__xludf.DUMMYFUNCTION("IMPORTRANGE(""https://docs.google.com/spreadsheets/d/1XL5vhW3sbDhbH9Cz0tuDiY8C3ctxq1tqvaCgkFb8cCA/edit?usp=sharing"",""นครพนม!M459"")"),42416.16)</f>
        <v>42416.16</v>
      </c>
      <c r="O564" s="406">
        <f t="shared" ref="O564:O568" si="123">+IF(L564&gt;0,N564*100/L564,0)</f>
        <v>33.01382316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IFERROR(__xludf.DUMMYFUNCTION("IMPORTRANGE(""https://docs.google.com/spreadsheets/d/1XL5vhW3sbDhbH9Cz0tuDiY8C3ctxq1tqvaCgkFb8cCA/edit?usp=sharing"",""นครพนม!L460"")"),0.0)</f>
        <v>0</v>
      </c>
      <c r="M565" s="197"/>
      <c r="N565" s="203">
        <f>IFERROR(__xludf.DUMMYFUNCTION("IMPORTRANGE(""https://docs.google.com/spreadsheets/d/1XL5vhW3sbDhbH9Cz0tuDiY8C3ctxq1tqvaCgkFb8cCA/edit?usp=sharing"",""นครพนม!M460"")"),0.0)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IFERROR(__xludf.DUMMYFUNCTION("IMPORTRANGE(""https://docs.google.com/spreadsheets/d/1XL5vhW3sbDhbH9Cz0tuDiY8C3ctxq1tqvaCgkFb8cCA/edit?usp=sharing"",""นครพนม!L461"")"),128480.0)</f>
        <v>128480</v>
      </c>
      <c r="M566" s="198"/>
      <c r="N566" s="203">
        <f>IFERROR(__xludf.DUMMYFUNCTION("IMPORTRANGE(""https://docs.google.com/spreadsheets/d/1XL5vhW3sbDhbH9Cz0tuDiY8C3ctxq1tqvaCgkFb8cCA/edit?usp=sharing"",""นครพนม!M461"")"),42416.16)</f>
        <v>42416.16</v>
      </c>
      <c r="O566" s="203">
        <f t="shared" si="123"/>
        <v>33.01382316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IFERROR(__xludf.DUMMYFUNCTION("IMPORTRANGE(""https://docs.google.com/spreadsheets/d/1XL5vhW3sbDhbH9Cz0tuDiY8C3ctxq1tqvaCgkFb8cCA/edit?usp=sharing"",""นครพนม!L462"")"),0.0)</f>
        <v>0</v>
      </c>
      <c r="M567" s="203"/>
      <c r="N567" s="203">
        <f>IFERROR(__xludf.DUMMYFUNCTION("IMPORTRANGE(""https://docs.google.com/spreadsheets/d/1XL5vhW3sbDhbH9Cz0tuDiY8C3ctxq1tqvaCgkFb8cCA/edit?usp=sharing"",""นครพนม!M462"")"),0.0)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IFERROR(__xludf.DUMMYFUNCTION("IMPORTRANGE(""https://docs.google.com/spreadsheets/d/1XL5vhW3sbDhbH9Cz0tuDiY8C3ctxq1tqvaCgkFb8cCA/edit?usp=sharing"",""นครพนม!L463"")"),128480.0)</f>
        <v>128480</v>
      </c>
      <c r="M568" s="203"/>
      <c r="N568" s="203">
        <f>IFERROR(__xludf.DUMMYFUNCTION("IMPORTRANGE(""https://docs.google.com/spreadsheets/d/1XL5vhW3sbDhbH9Cz0tuDiY8C3ctxq1tqvaCgkFb8cCA/edit?usp=sharing"",""นครพนม!M463"")"),42416.16)</f>
        <v>42416.16</v>
      </c>
      <c r="O568" s="203">
        <f t="shared" si="123"/>
        <v>33.01382316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IFERROR(__xludf.DUMMYFUNCTION("IMPORTRANGE(""https://docs.google.com/spreadsheets/d/1XL5vhW3sbDhbH9Cz0tuDiY8C3ctxq1tqvaCgkFb8cCA/edit?usp=sharing"",""นครพนม!M464"")"),0.0)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IFERROR(__xludf.DUMMYFUNCTION("IMPORTRANGE(""https://docs.google.com/spreadsheets/d/1XL5vhW3sbDhbH9Cz0tuDiY8C3ctxq1tqvaCgkFb8cCA/edit?usp=sharing"",""นครพนม!M465"")"),0.0)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IFERROR(__xludf.DUMMYFUNCTION("IMPORTRANGE(""https://docs.google.com/spreadsheets/d/1XL5vhW3sbDhbH9Cz0tuDiY8C3ctxq1tqvaCgkFb8cCA/edit?usp=sharing"",""นครพนม!M466"")"),41516.16)</f>
        <v>41516.16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IFERROR(__xludf.DUMMYFUNCTION("IMPORTRANGE(""https://docs.google.com/spreadsheets/d/1XL5vhW3sbDhbH9Cz0tuDiY8C3ctxq1tqvaCgkFb8cCA/edit?usp=sharing"",""นครพนม!M467"")"),900.0)</f>
        <v>900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IFERROR(__xludf.DUMMYFUNCTION("IMPORTRANGE(""https://docs.google.com/spreadsheets/d/1XL5vhW3sbDhbH9Cz0tuDiY8C3ctxq1tqvaCgkFb8cCA/edit?usp=sharing"",""นครพนม!I468"")"),1200.0)</f>
        <v>1200</v>
      </c>
      <c r="J573" s="453">
        <f>IFERROR(__xludf.DUMMYFUNCTION("IMPORTRANGE(""https://docs.google.com/spreadsheets/d/1XL5vhW3sbDhbH9Cz0tuDiY8C3ctxq1tqvaCgkFb8cCA/edit?usp=sharing"",""นครพนม!J468"")"),324.0)</f>
        <v>324</v>
      </c>
      <c r="K573" s="236">
        <f>IF(I573&gt;0,J573*100/I573,0)</f>
        <v>27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IFERROR(__xludf.DUMMYFUNCTION("IMPORTRANGE(""https://docs.google.com/spreadsheets/d/1XL5vhW3sbDhbH9Cz0tuDiY8C3ctxq1tqvaCgkFb8cCA/edit?usp=sharing"",""นครพนม!I470"")"),0.0)</f>
        <v>0</v>
      </c>
      <c r="J575" s="232">
        <f>IFERROR(__xludf.DUMMYFUNCTION("IMPORTRANGE(""https://docs.google.com/spreadsheets/d/1XL5vhW3sbDhbH9Cz0tuDiY8C3ctxq1tqvaCgkFb8cCA/edit?usp=sharing"",""นครพนม!J470"")"),1.0)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IFERROR(__xludf.DUMMYFUNCTION("IMPORTRANGE(""https://docs.google.com/spreadsheets/d/1XL5vhW3sbDhbH9Cz0tuDiY8C3ctxq1tqvaCgkFb8cCA/edit?usp=sharing"",""นครพนม!I471"")"),0.0)</f>
        <v>0</v>
      </c>
      <c r="J576" s="232">
        <f>IFERROR(__xludf.DUMMYFUNCTION("IMPORTRANGE(""https://docs.google.com/spreadsheets/d/1XL5vhW3sbDhbH9Cz0tuDiY8C3ctxq1tqvaCgkFb8cCA/edit?usp=sharing"",""นครพนม!J471"")"),138.0)</f>
        <v>138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IFERROR(__xludf.DUMMYFUNCTION("IMPORTRANGE(""https://docs.google.com/spreadsheets/d/1XL5vhW3sbDhbH9Cz0tuDiY8C3ctxq1tqvaCgkFb8cCA/edit?usp=sharing"",""นครพนม!I472"")"),0.0)</f>
        <v>0</v>
      </c>
      <c r="J577" s="223">
        <f>IFERROR(__xludf.DUMMYFUNCTION("IMPORTRANGE(""https://docs.google.com/spreadsheets/d/1XL5vhW3sbDhbH9Cz0tuDiY8C3ctxq1tqvaCgkFb8cCA/edit?usp=sharing"",""นครพนม!J472"")"),186.0)</f>
        <v>186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IFERROR(__xludf.DUMMYFUNCTION("IMPORTRANGE(""https://docs.google.com/spreadsheets/d/1XL5vhW3sbDhbH9Cz0tuDiY8C3ctxq1tqvaCgkFb8cCA/edit?usp=sharing"",""นครพนม!I473"")"),0.0)</f>
        <v>0</v>
      </c>
      <c r="J578" s="232">
        <f>IFERROR(__xludf.DUMMYFUNCTION("IMPORTRANGE(""https://docs.google.com/spreadsheets/d/1XL5vhW3sbDhbH9Cz0tuDiY8C3ctxq1tqvaCgkFb8cCA/edit?usp=sharing"",""นครพนม!J473"")"),0.0)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IFERROR(__xludf.DUMMYFUNCTION("IMPORTRANGE(""https://docs.google.com/spreadsheets/d/1XL5vhW3sbDhbH9Cz0tuDiY8C3ctxq1tqvaCgkFb8cCA/edit?usp=sharing"",""นครพนม!I474"")"),0.0)</f>
        <v>0</v>
      </c>
      <c r="J579" s="232">
        <f>IFERROR(__xludf.DUMMYFUNCTION("IMPORTRANGE(""https://docs.google.com/spreadsheets/d/1XL5vhW3sbDhbH9Cz0tuDiY8C3ctxq1tqvaCgkFb8cCA/edit?usp=sharing"",""นครพนม!J474"")"),0.0)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IFERROR(__xludf.DUMMYFUNCTION("IMPORTRANGE(""https://docs.google.com/spreadsheets/d/1XL5vhW3sbDhbH9Cz0tuDiY8C3ctxq1tqvaCgkFb8cCA/edit?usp=sharing"",""นครพนม!I475"")"),0.0)</f>
        <v>0</v>
      </c>
      <c r="J580" s="404">
        <f>IFERROR(__xludf.DUMMYFUNCTION("IMPORTRANGE(""https://docs.google.com/spreadsheets/d/1XL5vhW3sbDhbH9Cz0tuDiY8C3ctxq1tqvaCgkFb8cCA/edit?usp=sharing"",""นครพนม!J475"")"),0.0)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IFERROR(__xludf.DUMMYFUNCTION("IMPORTRANGE(""https://docs.google.com/spreadsheets/d/1XL5vhW3sbDhbH9Cz0tuDiY8C3ctxq1tqvaCgkFb8cCA/edit?usp=sharing"",""นครพนม!L475"")"),0.0)</f>
        <v>0</v>
      </c>
      <c r="M580" s="406"/>
      <c r="N580" s="406">
        <f>IFERROR(__xludf.DUMMYFUNCTION("IMPORTRANGE(""https://docs.google.com/spreadsheets/d/1XL5vhW3sbDhbH9Cz0tuDiY8C3ctxq1tqvaCgkFb8cCA/edit?usp=sharing"",""นครพนม!M475"")"),0.0)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IFERROR(__xludf.DUMMYFUNCTION("IMPORTRANGE(""https://docs.google.com/spreadsheets/d/1XL5vhW3sbDhbH9Cz0tuDiY8C3ctxq1tqvaCgkFb8cCA/edit?usp=sharing"",""นครพนม!L476"")"),0.0)</f>
        <v>0</v>
      </c>
      <c r="M581" s="197"/>
      <c r="N581" s="203">
        <f>IFERROR(__xludf.DUMMYFUNCTION("IMPORTRANGE(""https://docs.google.com/spreadsheets/d/1XL5vhW3sbDhbH9Cz0tuDiY8C3ctxq1tqvaCgkFb8cCA/edit?usp=sharing"",""นครพนม!M476"")"),0.0)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IFERROR(__xludf.DUMMYFUNCTION("IMPORTRANGE(""https://docs.google.com/spreadsheets/d/1XL5vhW3sbDhbH9Cz0tuDiY8C3ctxq1tqvaCgkFb8cCA/edit?usp=sharing"",""นครพนม!L477"")"),0.0)</f>
        <v>0</v>
      </c>
      <c r="M582" s="198"/>
      <c r="N582" s="203">
        <f>IFERROR(__xludf.DUMMYFUNCTION("IMPORTRANGE(""https://docs.google.com/spreadsheets/d/1XL5vhW3sbDhbH9Cz0tuDiY8C3ctxq1tqvaCgkFb8cCA/edit?usp=sharing"",""นครพนม!M477"")"),0.0)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IFERROR(__xludf.DUMMYFUNCTION("IMPORTRANGE(""https://docs.google.com/spreadsheets/d/1XL5vhW3sbDhbH9Cz0tuDiY8C3ctxq1tqvaCgkFb8cCA/edit?usp=sharing"",""นครพนม!L478"")"),0.0)</f>
        <v>0</v>
      </c>
      <c r="M583" s="203"/>
      <c r="N583" s="203">
        <f>IFERROR(__xludf.DUMMYFUNCTION("IMPORTRANGE(""https://docs.google.com/spreadsheets/d/1XL5vhW3sbDhbH9Cz0tuDiY8C3ctxq1tqvaCgkFb8cCA/edit?usp=sharing"",""นครพนม!M478"")"),0.0)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IFERROR(__xludf.DUMMYFUNCTION("IMPORTRANGE(""https://docs.google.com/spreadsheets/d/1XL5vhW3sbDhbH9Cz0tuDiY8C3ctxq1tqvaCgkFb8cCA/edit?usp=sharing"",""นครพนม!L479"")"),0.0)</f>
        <v>0</v>
      </c>
      <c r="M584" s="203"/>
      <c r="N584" s="203">
        <f>IFERROR(__xludf.DUMMYFUNCTION("IMPORTRANGE(""https://docs.google.com/spreadsheets/d/1XL5vhW3sbDhbH9Cz0tuDiY8C3ctxq1tqvaCgkFb8cCA/edit?usp=sharing"",""นครพนม!M479"")"),0.0)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IFERROR(__xludf.DUMMYFUNCTION("IMPORTRANGE(""https://docs.google.com/spreadsheets/d/1XL5vhW3sbDhbH9Cz0tuDiY8C3ctxq1tqvaCgkFb8cCA/edit?usp=sharing"",""นครพนม!M480"")"),0.0)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IFERROR(__xludf.DUMMYFUNCTION("IMPORTRANGE(""https://docs.google.com/spreadsheets/d/1XL5vhW3sbDhbH9Cz0tuDiY8C3ctxq1tqvaCgkFb8cCA/edit?usp=sharing"",""นครพนม!M481"")"),0.0)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IFERROR(__xludf.DUMMYFUNCTION("IMPORTRANGE(""https://docs.google.com/spreadsheets/d/1XL5vhW3sbDhbH9Cz0tuDiY8C3ctxq1tqvaCgkFb8cCA/edit?usp=sharing"",""นครพนม!M482"")"),0.0)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IFERROR(__xludf.DUMMYFUNCTION("IMPORTRANGE(""https://docs.google.com/spreadsheets/d/1XL5vhW3sbDhbH9Cz0tuDiY8C3ctxq1tqvaCgkFb8cCA/edit?usp=sharing"",""นครพนม!M483"")"),0.0)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IFERROR(__xludf.DUMMYFUNCTION("IMPORTRANGE(""https://docs.google.com/spreadsheets/d/1XL5vhW3sbDhbH9Cz0tuDiY8C3ctxq1tqvaCgkFb8cCA/edit?usp=sharing"",""นครพนม!I484"")"),0.0)</f>
        <v>0</v>
      </c>
      <c r="J589" s="222">
        <f>IFERROR(__xludf.DUMMYFUNCTION("IMPORTRANGE(""https://docs.google.com/spreadsheets/d/1XL5vhW3sbDhbH9Cz0tuDiY8C3ctxq1tqvaCgkFb8cCA/edit?usp=sharing"",""นครพนม!J484"")"),0.0)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IFERROR(__xludf.DUMMYFUNCTION("IMPORTRANGE(""https://docs.google.com/spreadsheets/d/1XL5vhW3sbDhbH9Cz0tuDiY8C3ctxq1tqvaCgkFb8cCA/edit?usp=sharing"",""นครพนม!I485"")"),0.0)</f>
        <v>0</v>
      </c>
      <c r="J590" s="222">
        <f>IFERROR(__xludf.DUMMYFUNCTION("IMPORTRANGE(""https://docs.google.com/spreadsheets/d/1XL5vhW3sbDhbH9Cz0tuDiY8C3ctxq1tqvaCgkFb8cCA/edit?usp=sharing"",""นครพนม!J485"")"),0.0)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IFERROR(__xludf.DUMMYFUNCTION("IMPORTRANGE(""https://docs.google.com/spreadsheets/d/1XL5vhW3sbDhbH9Cz0tuDiY8C3ctxq1tqvaCgkFb8cCA/edit?usp=sharing"",""นครพนม!I486"")"),0.0)</f>
        <v>0</v>
      </c>
      <c r="J591" s="222">
        <f>IFERROR(__xludf.DUMMYFUNCTION("IMPORTRANGE(""https://docs.google.com/spreadsheets/d/1XL5vhW3sbDhbH9Cz0tuDiY8C3ctxq1tqvaCgkFb8cCA/edit?usp=sharing"",""นครพนม!J486"")"),1.0)</f>
        <v>1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IFERROR(__xludf.DUMMYFUNCTION("IMPORTRANGE(""https://docs.google.com/spreadsheets/d/1XL5vhW3sbDhbH9Cz0tuDiY8C3ctxq1tqvaCgkFb8cCA/edit?usp=sharing"",""นครพนม!I487"")"),0.0)</f>
        <v>0</v>
      </c>
      <c r="J592" s="222">
        <f>IFERROR(__xludf.DUMMYFUNCTION("IMPORTRANGE(""https://docs.google.com/spreadsheets/d/1XL5vhW3sbDhbH9Cz0tuDiY8C3ctxq1tqvaCgkFb8cCA/edit?usp=sharing"",""นครพนม!J487"")"),0.15)</f>
        <v>0.15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IFERROR(__xludf.DUMMYFUNCTION("IMPORTRANGE(""https://docs.google.com/spreadsheets/d/1XL5vhW3sbDhbH9Cz0tuDiY8C3ctxq1tqvaCgkFb8cCA/edit?usp=sharing"",""นครพนม!I488"")"),0.0)</f>
        <v>0</v>
      </c>
      <c r="J593" s="222">
        <f>IFERROR(__xludf.DUMMYFUNCTION("IMPORTRANGE(""https://docs.google.com/spreadsheets/d/1XL5vhW3sbDhbH9Cz0tuDiY8C3ctxq1tqvaCgkFb8cCA/edit?usp=sharing"",""นครพนม!J488"")"),0.0)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IFERROR(__xludf.DUMMYFUNCTION("IMPORTRANGE(""https://docs.google.com/spreadsheets/d/1XL5vhW3sbDhbH9Cz0tuDiY8C3ctxq1tqvaCgkFb8cCA/edit?usp=sharing"",""นครพนม!I489"")"),0.0)</f>
        <v>0</v>
      </c>
      <c r="J594" s="222">
        <f>IFERROR(__xludf.DUMMYFUNCTION("IMPORTRANGE(""https://docs.google.com/spreadsheets/d/1XL5vhW3sbDhbH9Cz0tuDiY8C3ctxq1tqvaCgkFb8cCA/edit?usp=sharing"",""นครพนม!J489"")"),0.0)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IFERROR(__xludf.DUMMYFUNCTION("IMPORTRANGE(""https://docs.google.com/spreadsheets/d/1XL5vhW3sbDhbH9Cz0tuDiY8C3ctxq1tqvaCgkFb8cCA/edit?usp=sharing"",""นครพนม!I490"")"),0.0)</f>
        <v>0</v>
      </c>
      <c r="J595" s="222">
        <f>IFERROR(__xludf.DUMMYFUNCTION("IMPORTRANGE(""https://docs.google.com/spreadsheets/d/1XL5vhW3sbDhbH9Cz0tuDiY8C3ctxq1tqvaCgkFb8cCA/edit?usp=sharing"",""นครพนม!J490"")"),0.0)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IFERROR(__xludf.DUMMYFUNCTION("IMPORTRANGE(""https://docs.google.com/spreadsheets/d/1XL5vhW3sbDhbH9Cz0tuDiY8C3ctxq1tqvaCgkFb8cCA/edit?usp=sharing"",""นครพนม!I491"")"),0.0)</f>
        <v>0</v>
      </c>
      <c r="J596" s="275">
        <f>IFERROR(__xludf.DUMMYFUNCTION("IMPORTRANGE(""https://docs.google.com/spreadsheets/d/1XL5vhW3sbDhbH9Cz0tuDiY8C3ctxq1tqvaCgkFb8cCA/edit?usp=sharing"",""นครพนม!J491"")"),0.0)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IFERROR(__xludf.DUMMYFUNCTION("IMPORTRANGE(""https://docs.google.com/spreadsheets/d/1XL5vhW3sbDhbH9Cz0tuDiY8C3ctxq1tqvaCgkFb8cCA/edit?usp=sharing"",""นครพนม!I492"")"),100.0)</f>
        <v>100</v>
      </c>
      <c r="J597" s="520">
        <f>IFERROR(__xludf.DUMMYFUNCTION("IMPORTRANGE(""https://docs.google.com/spreadsheets/d/1XL5vhW3sbDhbH9Cz0tuDiY8C3ctxq1tqvaCgkFb8cCA/edit?usp=sharing"",""นครพนม!J492"")"),0.0)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IFERROR(__xludf.DUMMYFUNCTION("IMPORTRANGE(""https://docs.google.com/spreadsheets/d/1XL5vhW3sbDhbH9Cz0tuDiY8C3ctxq1tqvaCgkFb8cCA/edit?usp=sharing"",""นครพนม!L492"")"),16100.0)</f>
        <v>16100</v>
      </c>
      <c r="M597" s="445"/>
      <c r="N597" s="445">
        <f>IFERROR(__xludf.DUMMYFUNCTION("IMPORTRANGE(""https://docs.google.com/spreadsheets/d/1XL5vhW3sbDhbH9Cz0tuDiY8C3ctxq1tqvaCgkFb8cCA/edit?usp=sharing"",""นครพนม!M492"")"),550.0)</f>
        <v>550</v>
      </c>
      <c r="O597" s="445">
        <f t="shared" ref="O597:O601" si="127">+IF(L597&gt;0,N597*100/L597,0)</f>
        <v>3.416149068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IFERROR(__xludf.DUMMYFUNCTION("IMPORTRANGE(""https://docs.google.com/spreadsheets/d/1XL5vhW3sbDhbH9Cz0tuDiY8C3ctxq1tqvaCgkFb8cCA/edit?usp=sharing"",""นครพนม!L493"")"),0.0)</f>
        <v>0</v>
      </c>
      <c r="M598" s="197"/>
      <c r="N598" s="203">
        <f>IFERROR(__xludf.DUMMYFUNCTION("IMPORTRANGE(""https://docs.google.com/spreadsheets/d/1XL5vhW3sbDhbH9Cz0tuDiY8C3ctxq1tqvaCgkFb8cCA/edit?usp=sharing"",""นครพนม!M493"")"),0.0)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IFERROR(__xludf.DUMMYFUNCTION("IMPORTRANGE(""https://docs.google.com/spreadsheets/d/1XL5vhW3sbDhbH9Cz0tuDiY8C3ctxq1tqvaCgkFb8cCA/edit?usp=sharing"",""นครพนม!L494"")"),16100.0)</f>
        <v>16100</v>
      </c>
      <c r="M599" s="198"/>
      <c r="N599" s="203">
        <f>IFERROR(__xludf.DUMMYFUNCTION("IMPORTRANGE(""https://docs.google.com/spreadsheets/d/1XL5vhW3sbDhbH9Cz0tuDiY8C3ctxq1tqvaCgkFb8cCA/edit?usp=sharing"",""นครพนม!M494"")"),550.0)</f>
        <v>550</v>
      </c>
      <c r="O599" s="203">
        <f t="shared" si="127"/>
        <v>3.416149068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IFERROR(__xludf.DUMMYFUNCTION("IMPORTRANGE(""https://docs.google.com/spreadsheets/d/1XL5vhW3sbDhbH9Cz0tuDiY8C3ctxq1tqvaCgkFb8cCA/edit?usp=sharing"",""นครพนม!L495"")"),0.0)</f>
        <v>0</v>
      </c>
      <c r="M600" s="203"/>
      <c r="N600" s="203">
        <f>IFERROR(__xludf.DUMMYFUNCTION("IMPORTRANGE(""https://docs.google.com/spreadsheets/d/1XL5vhW3sbDhbH9Cz0tuDiY8C3ctxq1tqvaCgkFb8cCA/edit?usp=sharing"",""นครพนม!M495"")"),0.0)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IFERROR(__xludf.DUMMYFUNCTION("IMPORTRANGE(""https://docs.google.com/spreadsheets/d/1XL5vhW3sbDhbH9Cz0tuDiY8C3ctxq1tqvaCgkFb8cCA/edit?usp=sharing"",""นครพนม!L496"")"),16100.0)</f>
        <v>16100</v>
      </c>
      <c r="M601" s="203"/>
      <c r="N601" s="203">
        <f>IFERROR(__xludf.DUMMYFUNCTION("IMPORTRANGE(""https://docs.google.com/spreadsheets/d/1XL5vhW3sbDhbH9Cz0tuDiY8C3ctxq1tqvaCgkFb8cCA/edit?usp=sharing"",""นครพนม!M496"")"),550.0)</f>
        <v>550</v>
      </c>
      <c r="O601" s="203">
        <f t="shared" si="127"/>
        <v>3.416149068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IFERROR(__xludf.DUMMYFUNCTION("IMPORTRANGE(""https://docs.google.com/spreadsheets/d/1XL5vhW3sbDhbH9Cz0tuDiY8C3ctxq1tqvaCgkFb8cCA/edit?usp=sharing"",""นครพนม!M497"")"),0.0)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IFERROR(__xludf.DUMMYFUNCTION("IMPORTRANGE(""https://docs.google.com/spreadsheets/d/1XL5vhW3sbDhbH9Cz0tuDiY8C3ctxq1tqvaCgkFb8cCA/edit?usp=sharing"",""นครพนม!M498"")"),0.0)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IFERROR(__xludf.DUMMYFUNCTION("IMPORTRANGE(""https://docs.google.com/spreadsheets/d/1XL5vhW3sbDhbH9Cz0tuDiY8C3ctxq1tqvaCgkFb8cCA/edit?usp=sharing"",""นครพนม!M499"")"),0.0)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IFERROR(__xludf.DUMMYFUNCTION("IMPORTRANGE(""https://docs.google.com/spreadsheets/d/1XL5vhW3sbDhbH9Cz0tuDiY8C3ctxq1tqvaCgkFb8cCA/edit?usp=sharing"",""นครพนม!M500"")"),550.0)</f>
        <v>550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IFERROR(__xludf.DUMMYFUNCTION("IMPORTRANGE(""https://docs.google.com/spreadsheets/d/1XL5vhW3sbDhbH9Cz0tuDiY8C3ctxq1tqvaCgkFb8cCA/edit?usp=sharing"",""นครพนม!J502"")"),0.0)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IFERROR(__xludf.DUMMYFUNCTION("IMPORTRANGE(""https://docs.google.com/spreadsheets/d/1XL5vhW3sbDhbH9Cz0tuDiY8C3ctxq1tqvaCgkFb8cCA/edit?usp=sharing"",""นครพนม!J503"")"),1.0)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IFERROR(__xludf.DUMMYFUNCTION("IMPORTRANGE(""https://docs.google.com/spreadsheets/d/1XL5vhW3sbDhbH9Cz0tuDiY8C3ctxq1tqvaCgkFb8cCA/edit?usp=sharing"",""นครพนม!J166"")"),0.0)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IFERROR(__xludf.DUMMYFUNCTION("IMPORTRANGE(""https://docs.google.com/spreadsheets/d/1XL5vhW3sbDhbH9Cz0tuDiY8C3ctxq1tqvaCgkFb8cCA/edit?usp=sharing"",""นครพนม!J166"")"),0.0)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IFERROR(__xludf.DUMMYFUNCTION("IMPORTRANGE(""https://docs.google.com/spreadsheets/d/1XL5vhW3sbDhbH9Cz0tuDiY8C3ctxq1tqvaCgkFb8cCA/edit?usp=sharing"",""นครพนม!I506"")"),100.0)</f>
        <v>100</v>
      </c>
      <c r="J611" s="195">
        <f>IFERROR(__xludf.DUMMYFUNCTION("IMPORTRANGE(""https://docs.google.com/spreadsheets/d/1XL5vhW3sbDhbH9Cz0tuDiY8C3ctxq1tqvaCgkFb8cCA/edit?usp=sharing"",""นครพนม!J506"")"),0.0)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IFERROR(__xludf.DUMMYFUNCTION("IMPORTRANGE(""https://docs.google.com/spreadsheets/d/1XL5vhW3sbDhbH9Cz0tuDiY8C3ctxq1tqvaCgkFb8cCA/edit?usp=sharing"",""นครพนม!I507"")"),0.0)</f>
        <v>0</v>
      </c>
      <c r="J612" s="232">
        <f>IFERROR(__xludf.DUMMYFUNCTION("IMPORTRANGE(""https://docs.google.com/spreadsheets/d/1XL5vhW3sbDhbH9Cz0tuDiY8C3ctxq1tqvaCgkFb8cCA/edit?usp=sharing"",""นครพนม!J507"")"),0.0)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IFERROR(__xludf.DUMMYFUNCTION("IMPORTRANGE(""https://docs.google.com/spreadsheets/d/1XL5vhW3sbDhbH9Cz0tuDiY8C3ctxq1tqvaCgkFb8cCA/edit?usp=sharing"",""นครพนม!I508"")"),0.0)</f>
        <v>0</v>
      </c>
      <c r="J613" s="232">
        <f>IFERROR(__xludf.DUMMYFUNCTION("IMPORTRANGE(""https://docs.google.com/spreadsheets/d/1XL5vhW3sbDhbH9Cz0tuDiY8C3ctxq1tqvaCgkFb8cCA/edit?usp=sharing"",""นครพนม!J508"")"),0.0)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IFERROR(__xludf.DUMMYFUNCTION("IMPORTRANGE(""https://docs.google.com/spreadsheets/d/1XL5vhW3sbDhbH9Cz0tuDiY8C3ctxq1tqvaCgkFb8cCA/edit?usp=sharing"",""นครพนม!I509"")"),0.0)</f>
        <v>0</v>
      </c>
      <c r="J614" s="232">
        <f>IFERROR(__xludf.DUMMYFUNCTION("IMPORTRANGE(""https://docs.google.com/spreadsheets/d/1XL5vhW3sbDhbH9Cz0tuDiY8C3ctxq1tqvaCgkFb8cCA/edit?usp=sharing"",""นครพนม!J509"")"),0.0)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IFERROR(__xludf.DUMMYFUNCTION("IMPORTRANGE(""https://docs.google.com/spreadsheets/d/1XL5vhW3sbDhbH9Cz0tuDiY8C3ctxq1tqvaCgkFb8cCA/edit?usp=sharing"",""นครพนม!I510"")"),0.0)</f>
        <v>0</v>
      </c>
      <c r="J615" s="232">
        <f>IFERROR(__xludf.DUMMYFUNCTION("IMPORTRANGE(""https://docs.google.com/spreadsheets/d/1XL5vhW3sbDhbH9Cz0tuDiY8C3ctxq1tqvaCgkFb8cCA/edit?usp=sharing"",""นครพนม!J510"")"),0.0)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IFERROR(__xludf.DUMMYFUNCTION("IMPORTRANGE(""https://docs.google.com/spreadsheets/d/1XL5vhW3sbDhbH9Cz0tuDiY8C3ctxq1tqvaCgkFb8cCA/edit?usp=sharing"",""นครพนม!I511"")"),0.0)</f>
        <v>0</v>
      </c>
      <c r="J616" s="232">
        <f>IFERROR(__xludf.DUMMYFUNCTION("IMPORTRANGE(""https://docs.google.com/spreadsheets/d/1XL5vhW3sbDhbH9Cz0tuDiY8C3ctxq1tqvaCgkFb8cCA/edit?usp=sharing"",""นครพนม!J511"")"),0.0)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IFERROR(__xludf.DUMMYFUNCTION("IMPORTRANGE(""https://docs.google.com/spreadsheets/d/1XL5vhW3sbDhbH9Cz0tuDiY8C3ctxq1tqvaCgkFb8cCA/edit?usp=sharing"",""นครพนม!I512"")"),0.0)</f>
        <v>0</v>
      </c>
      <c r="J617" s="222">
        <f>IFERROR(__xludf.DUMMYFUNCTION("IMPORTRANGE(""https://docs.google.com/spreadsheets/d/1XL5vhW3sbDhbH9Cz0tuDiY8C3ctxq1tqvaCgkFb8cCA/edit?usp=sharing"",""นครพนม!J512"")"),0.0)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IFERROR(__xludf.DUMMYFUNCTION("IMPORTRANGE(""https://docs.google.com/spreadsheets/d/1XL5vhW3sbDhbH9Cz0tuDiY8C3ctxq1tqvaCgkFb8cCA/edit?usp=sharing"",""นครพนม!I513"")"),0.0)</f>
        <v>0</v>
      </c>
      <c r="J618" s="223">
        <f>IFERROR(__xludf.DUMMYFUNCTION("IMPORTRANGE(""https://docs.google.com/spreadsheets/d/1XL5vhW3sbDhbH9Cz0tuDiY8C3ctxq1tqvaCgkFb8cCA/edit?usp=sharing"",""นครพนม!J513"")"),0.0)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IFERROR(__xludf.DUMMYFUNCTION("IMPORTRANGE(""https://docs.google.com/spreadsheets/d/1XL5vhW3sbDhbH9Cz0tuDiY8C3ctxq1tqvaCgkFb8cCA/edit?usp=sharing"",""นครพนม!I514"")"),0.0)</f>
        <v>0</v>
      </c>
      <c r="J619" s="223">
        <f>IFERROR(__xludf.DUMMYFUNCTION("IMPORTRANGE(""https://docs.google.com/spreadsheets/d/1XL5vhW3sbDhbH9Cz0tuDiY8C3ctxq1tqvaCgkFb8cCA/edit?usp=sharing"",""นครพนม!J514"")"),0.0)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IFERROR(__xludf.DUMMYFUNCTION("IMPORTRANGE(""https://docs.google.com/spreadsheets/d/1XL5vhW3sbDhbH9Cz0tuDiY8C3ctxq1tqvaCgkFb8cCA/edit?usp=sharing"",""นครพนม!I515"")"),188.0)</f>
        <v>188</v>
      </c>
      <c r="J620" s="237">
        <f>IFERROR(__xludf.DUMMYFUNCTION("IMPORTRANGE(""https://docs.google.com/spreadsheets/d/1XL5vhW3sbDhbH9Cz0tuDiY8C3ctxq1tqvaCgkFb8cCA/edit?usp=sharing"",""นครพนม!J515"")"),0.0)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IFERROR(__xludf.DUMMYFUNCTION("IMPORTRANGE(""https://docs.google.com/spreadsheets/d/1XL5vhW3sbDhbH9Cz0tuDiY8C3ctxq1tqvaCgkFb8cCA/edit?usp=sharing"",""นครพนม!I516"")"),0.0)</f>
        <v>0</v>
      </c>
      <c r="J621" s="237">
        <f>IFERROR(__xludf.DUMMYFUNCTION("IMPORTRANGE(""https://docs.google.com/spreadsheets/d/1XL5vhW3sbDhbH9Cz0tuDiY8C3ctxq1tqvaCgkFb8cCA/edit?usp=sharing"",""นครพนม!J516"")"),0.0)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IFERROR(__xludf.DUMMYFUNCTION("IMPORTRANGE(""https://docs.google.com/spreadsheets/d/1XL5vhW3sbDhbH9Cz0tuDiY8C3ctxq1tqvaCgkFb8cCA/edit?usp=sharing"",""นครพนม!I517"")"),0.0)</f>
        <v>0</v>
      </c>
      <c r="J622" s="223">
        <f>IFERROR(__xludf.DUMMYFUNCTION("IMPORTRANGE(""https://docs.google.com/spreadsheets/d/1XL5vhW3sbDhbH9Cz0tuDiY8C3ctxq1tqvaCgkFb8cCA/edit?usp=sharing"",""นครพนม!J517"")"),0.0)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IFERROR(__xludf.DUMMYFUNCTION("IMPORTRANGE(""https://docs.google.com/spreadsheets/d/1XL5vhW3sbDhbH9Cz0tuDiY8C3ctxq1tqvaCgkFb8cCA/edit?usp=sharing"",""นครพนม!I518"")"),0.0)</f>
        <v>0</v>
      </c>
      <c r="J623" s="223">
        <f>IFERROR(__xludf.DUMMYFUNCTION("IMPORTRANGE(""https://docs.google.com/spreadsheets/d/1XL5vhW3sbDhbH9Cz0tuDiY8C3ctxq1tqvaCgkFb8cCA/edit?usp=sharing"",""นครพนม!J518"")"),0.0)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IFERROR(__xludf.DUMMYFUNCTION("IMPORTRANGE(""https://docs.google.com/spreadsheets/d/1XL5vhW3sbDhbH9Cz0tuDiY8C3ctxq1tqvaCgkFb8cCA/edit?usp=sharing"",""นครพนม!I519"")"),0.0)</f>
        <v>0</v>
      </c>
      <c r="J624" s="222">
        <f>IFERROR(__xludf.DUMMYFUNCTION("IMPORTRANGE(""https://docs.google.com/spreadsheets/d/1XL5vhW3sbDhbH9Cz0tuDiY8C3ctxq1tqvaCgkFb8cCA/edit?usp=sharing"",""นครพนม!J519"")"),0.0)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IFERROR(__xludf.DUMMYFUNCTION("IMPORTRANGE(""https://docs.google.com/spreadsheets/d/1XL5vhW3sbDhbH9Cz0tuDiY8C3ctxq1tqvaCgkFb8cCA/edit?usp=sharing"",""นครพนม!I520"")"),0.0)</f>
        <v>0</v>
      </c>
      <c r="J625" s="223">
        <f>IFERROR(__xludf.DUMMYFUNCTION("IMPORTRANGE(""https://docs.google.com/spreadsheets/d/1XL5vhW3sbDhbH9Cz0tuDiY8C3ctxq1tqvaCgkFb8cCA/edit?usp=sharing"",""นครพนม!J520"")"),0.0)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IFERROR(__xludf.DUMMYFUNCTION("IMPORTRANGE(""https://docs.google.com/spreadsheets/d/1XL5vhW3sbDhbH9Cz0tuDiY8C3ctxq1tqvaCgkFb8cCA/edit?usp=sharing"",""นครพนม!I521"")"),0.0)</f>
        <v>0</v>
      </c>
      <c r="J626" s="223">
        <f>IFERROR(__xludf.DUMMYFUNCTION("IMPORTRANGE(""https://docs.google.com/spreadsheets/d/1XL5vhW3sbDhbH9Cz0tuDiY8C3ctxq1tqvaCgkFb8cCA/edit?usp=sharing"",""นครพนม!J521"")"),0.0)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IFERROR(__xludf.DUMMYFUNCTION("IMPORTRANGE(""https://docs.google.com/spreadsheets/d/1XL5vhW3sbDhbH9Cz0tuDiY8C3ctxq1tqvaCgkFb8cCA/edit?usp=sharing"",""นครพนม!I523"")"),2194868.24)</f>
        <v>2194868.24</v>
      </c>
      <c r="J628" s="374">
        <f>IFERROR(__xludf.DUMMYFUNCTION("IMPORTRANGE(""https://docs.google.com/spreadsheets/d/1XL5vhW3sbDhbH9Cz0tuDiY8C3ctxq1tqvaCgkFb8cCA/edit?usp=sharing"",""นครพนม!J523"")"),250313.36)</f>
        <v>250313.36</v>
      </c>
      <c r="K628" s="375">
        <f t="shared" ref="K628:K635" si="130">IF(I628&gt;0,J628*100/I628,0)</f>
        <v>11.4044823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IFERROR(__xludf.DUMMYFUNCTION("IMPORTRANGE(""https://docs.google.com/spreadsheets/d/1XL5vhW3sbDhbH9Cz0tuDiY8C3ctxq1tqvaCgkFb8cCA/edit?usp=sharing"",""นครพนม!I524"")"),214.0)</f>
        <v>214</v>
      </c>
      <c r="J629" s="374">
        <f>IFERROR(__xludf.DUMMYFUNCTION("IMPORTRANGE(""https://docs.google.com/spreadsheets/d/1XL5vhW3sbDhbH9Cz0tuDiY8C3ctxq1tqvaCgkFb8cCA/edit?usp=sharing"",""นครพนม!J524"")"),24.0)</f>
        <v>24</v>
      </c>
      <c r="K629" s="375">
        <f t="shared" si="130"/>
        <v>11.21495327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IFERROR(__xludf.DUMMYFUNCTION("IMPORTRANGE(""https://docs.google.com/spreadsheets/d/1XL5vhW3sbDhbH9Cz0tuDiY8C3ctxq1tqvaCgkFb8cCA/edit?usp=sharing"",""นครพนม!I525"")"),3131499.4)</f>
        <v>3131499.4</v>
      </c>
      <c r="J630" s="374">
        <f>IFERROR(__xludf.DUMMYFUNCTION("IMPORTRANGE(""https://docs.google.com/spreadsheets/d/1XL5vhW3sbDhbH9Cz0tuDiY8C3ctxq1tqvaCgkFb8cCA/edit?usp=sharing"",""นครพนม!J525"")"),210983.28)</f>
        <v>210983.28</v>
      </c>
      <c r="K630" s="375">
        <f t="shared" si="130"/>
        <v>6.737452353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IFERROR(__xludf.DUMMYFUNCTION("IMPORTRANGE(""https://docs.google.com/spreadsheets/d/1XL5vhW3sbDhbH9Cz0tuDiY8C3ctxq1tqvaCgkFb8cCA/edit?usp=sharing"",""นครพนม!I526"")"),144.0)</f>
        <v>144</v>
      </c>
      <c r="J631" s="374">
        <f>IFERROR(__xludf.DUMMYFUNCTION("IMPORTRANGE(""https://docs.google.com/spreadsheets/d/1XL5vhW3sbDhbH9Cz0tuDiY8C3ctxq1tqvaCgkFb8cCA/edit?usp=sharing"",""นครพนม!J526"")"),25.0)</f>
        <v>25</v>
      </c>
      <c r="K631" s="375">
        <f t="shared" si="130"/>
        <v>17.36111111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IFERROR(__xludf.DUMMYFUNCTION("IMPORTRANGE(""https://docs.google.com/spreadsheets/d/1XL5vhW3sbDhbH9Cz0tuDiY8C3ctxq1tqvaCgkFb8cCA/edit?usp=sharing"",""นครพนม!I527"")"),203773.43)</f>
        <v>203773.43</v>
      </c>
      <c r="J632" s="374">
        <f>IFERROR(__xludf.DUMMYFUNCTION("IMPORTRANGE(""https://docs.google.com/spreadsheets/d/1XL5vhW3sbDhbH9Cz0tuDiY8C3ctxq1tqvaCgkFb8cCA/edit?usp=sharing"",""นครพนม!J527"")"),50432.11)</f>
        <v>50432.11</v>
      </c>
      <c r="K632" s="375">
        <f t="shared" si="130"/>
        <v>24.74910983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IFERROR(__xludf.DUMMYFUNCTION("IMPORTRANGE(""https://docs.google.com/spreadsheets/d/1XL5vhW3sbDhbH9Cz0tuDiY8C3ctxq1tqvaCgkFb8cCA/edit?usp=sharing"",""นครพนม!I528"")"),16.0)</f>
        <v>16</v>
      </c>
      <c r="J633" s="374">
        <f>IFERROR(__xludf.DUMMYFUNCTION("IMPORTRANGE(""https://docs.google.com/spreadsheets/d/1XL5vhW3sbDhbH9Cz0tuDiY8C3ctxq1tqvaCgkFb8cCA/edit?usp=sharing"",""นครพนม!J528"")"),2.0)</f>
        <v>2</v>
      </c>
      <c r="K633" s="375">
        <f t="shared" si="130"/>
        <v>12.5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IFERROR(__xludf.DUMMYFUNCTION("IMPORTRANGE(""https://docs.google.com/spreadsheets/d/1XL5vhW3sbDhbH9Cz0tuDiY8C3ctxq1tqvaCgkFb8cCA/edit?usp=sharing"",""นครพนม!I529"")"),2700000.0)</f>
        <v>2700000</v>
      </c>
      <c r="J634" s="374">
        <f>IFERROR(__xludf.DUMMYFUNCTION("IMPORTRANGE(""https://docs.google.com/spreadsheets/d/1XL5vhW3sbDhbH9Cz0tuDiY8C3ctxq1tqvaCgkFb8cCA/edit?usp=sharing"",""นครพนม!J529"")"),0.0)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IFERROR(__xludf.DUMMYFUNCTION("IMPORTRANGE(""https://docs.google.com/spreadsheets/d/1XL5vhW3sbDhbH9Cz0tuDiY8C3ctxq1tqvaCgkFb8cCA/edit?usp=sharing"",""นครพนม!I530"")"),90.0)</f>
        <v>90</v>
      </c>
      <c r="J635" s="544">
        <f>IFERROR(__xludf.DUMMYFUNCTION("IMPORTRANGE(""https://docs.google.com/spreadsheets/d/1XL5vhW3sbDhbH9Cz0tuDiY8C3ctxq1tqvaCgkFb8cCA/edit?usp=sharing"",""นครพนม!J530"")"),0.0)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247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10416806</v>
      </c>
      <c r="M8" s="41">
        <f t="shared" si="1"/>
        <v>3280155</v>
      </c>
      <c r="N8" s="41">
        <f t="shared" si="1"/>
        <v>3639278.11</v>
      </c>
      <c r="O8" s="40">
        <f t="shared" ref="O8:O16" si="3">IF(L8&gt;0,N8*100/L8,0)</f>
        <v>34.93660254</v>
      </c>
      <c r="P8" s="40">
        <f t="shared" ref="P8:P16" si="4">IF(M8&gt;0,N8*100/M8,0)</f>
        <v>110.9483579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10416806</v>
      </c>
      <c r="M10" s="48">
        <f t="shared" si="5"/>
        <v>3280155</v>
      </c>
      <c r="N10" s="48">
        <f t="shared" si="5"/>
        <v>3639278.11</v>
      </c>
      <c r="O10" s="47">
        <f t="shared" si="3"/>
        <v>34.93660254</v>
      </c>
      <c r="P10" s="47">
        <f t="shared" si="4"/>
        <v>110.9483579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10184006</v>
      </c>
      <c r="M12" s="58">
        <f t="shared" si="7"/>
        <v>3280155</v>
      </c>
      <c r="N12" s="58">
        <f t="shared" si="7"/>
        <v>3406478.11</v>
      </c>
      <c r="O12" s="58">
        <f t="shared" si="3"/>
        <v>33.44929402</v>
      </c>
      <c r="P12" s="58">
        <f t="shared" si="4"/>
        <v>103.8511323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2825300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7358706</v>
      </c>
      <c r="M14" s="58">
        <f t="shared" si="9"/>
        <v>0</v>
      </c>
      <c r="N14" s="58">
        <f t="shared" si="9"/>
        <v>1368009.11</v>
      </c>
      <c r="O14" s="61">
        <f t="shared" si="3"/>
        <v>18.59034877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232800</v>
      </c>
      <c r="M16" s="58">
        <f t="shared" si="11"/>
        <v>0</v>
      </c>
      <c r="N16" s="58">
        <f t="shared" si="11"/>
        <v>232800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6059385</v>
      </c>
      <c r="M18" s="41">
        <f t="shared" si="12"/>
        <v>3280155</v>
      </c>
      <c r="N18" s="41">
        <f t="shared" si="12"/>
        <v>2271269</v>
      </c>
      <c r="O18" s="40">
        <f t="shared" ref="O18:O20" si="14">IF(L18&gt;0,N18*100/L18,0)</f>
        <v>37.48349049</v>
      </c>
      <c r="P18" s="40">
        <f t="shared" ref="P18:P26" si="15">IF(M18&gt;0,N18*100/M18,0)</f>
        <v>69.24273396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6059385</v>
      </c>
      <c r="M20" s="48">
        <f t="shared" si="16"/>
        <v>3280155</v>
      </c>
      <c r="N20" s="48">
        <f t="shared" si="16"/>
        <v>2271269</v>
      </c>
      <c r="O20" s="47">
        <f t="shared" si="14"/>
        <v>37.48349049</v>
      </c>
      <c r="P20" s="47">
        <f t="shared" si="15"/>
        <v>69.24273396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5826585</v>
      </c>
      <c r="M22" s="62">
        <f t="shared" si="18"/>
        <v>3280155</v>
      </c>
      <c r="N22" s="61">
        <f t="shared" si="18"/>
        <v>2038469</v>
      </c>
      <c r="O22" s="61">
        <f t="shared" si="19"/>
        <v>34.98565626</v>
      </c>
      <c r="P22" s="61">
        <f t="shared" si="15"/>
        <v>62.14550837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2825300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3001285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232800</v>
      </c>
      <c r="M26" s="70">
        <f t="shared" si="23"/>
        <v>0</v>
      </c>
      <c r="N26" s="70">
        <f t="shared" si="23"/>
        <v>232800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4357421</v>
      </c>
      <c r="M28" s="41">
        <f t="shared" si="24"/>
        <v>0</v>
      </c>
      <c r="N28" s="41">
        <f t="shared" si="24"/>
        <v>1368009.11</v>
      </c>
      <c r="O28" s="40">
        <f t="shared" ref="O28:O30" si="26">IF(L28&gt;0,N28*100/L28,0)</f>
        <v>31.39492626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4357421</v>
      </c>
      <c r="M30" s="48">
        <f t="shared" si="28"/>
        <v>0</v>
      </c>
      <c r="N30" s="48">
        <f t="shared" si="28"/>
        <v>1368009.11</v>
      </c>
      <c r="O30" s="47">
        <f t="shared" si="26"/>
        <v>31.39492626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4357421</v>
      </c>
      <c r="M32" s="61">
        <f t="shared" si="30"/>
        <v>0</v>
      </c>
      <c r="N32" s="61">
        <f t="shared" si="30"/>
        <v>1368009.11</v>
      </c>
      <c r="O32" s="61">
        <f t="shared" si="31"/>
        <v>31.39492626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4357421</v>
      </c>
      <c r="M34" s="61">
        <f t="shared" si="33"/>
        <v>0</v>
      </c>
      <c r="N34" s="61">
        <f t="shared" si="33"/>
        <v>1368009.11</v>
      </c>
      <c r="O34" s="61">
        <f t="shared" si="31"/>
        <v>31.39492626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6059385</v>
      </c>
      <c r="M37" s="75">
        <f t="shared" si="34"/>
        <v>3280155</v>
      </c>
      <c r="N37" s="75">
        <f t="shared" si="34"/>
        <v>2271269</v>
      </c>
      <c r="O37" s="76">
        <f t="shared" si="31"/>
        <v>37.48349049</v>
      </c>
      <c r="P37" s="76">
        <f t="shared" si="27"/>
        <v>69.24273396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1152100</v>
      </c>
      <c r="M41" s="102">
        <f t="shared" si="35"/>
        <v>597920</v>
      </c>
      <c r="N41" s="102">
        <f t="shared" si="35"/>
        <v>514980</v>
      </c>
      <c r="O41" s="101">
        <f t="shared" ref="O41:O43" si="37">IF(L41&gt;0,N41*100/L41,0)</f>
        <v>44.69924486</v>
      </c>
      <c r="P41" s="101">
        <f t="shared" ref="P41:P43" si="38">IF(M41&gt;0,N41*100/M41,0)</f>
        <v>86.12857907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1152100</v>
      </c>
      <c r="M43" s="102">
        <f t="shared" si="39"/>
        <v>597920</v>
      </c>
      <c r="N43" s="102">
        <f t="shared" si="39"/>
        <v>514980</v>
      </c>
      <c r="O43" s="101">
        <f t="shared" si="37"/>
        <v>44.69924486</v>
      </c>
      <c r="P43" s="101">
        <f t="shared" si="38"/>
        <v>86.12857907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1104100</v>
      </c>
      <c r="M45" s="115">
        <f>IFERROR(__xludf.DUMMYFUNCTION("IMPORTRANGE(""https://docs.google.com/spreadsheets/d/1Yj_ptqi66GCucihVvJfMjLAmec39IyEx_6qawtMGysU/edit?usp=sharing"",""สบก!Q42"")"),597920.0)</f>
        <v>597920</v>
      </c>
      <c r="N45" s="115">
        <f>IFERROR(__xludf.DUMMYFUNCTION("IMPORTRANGE(""https://docs.google.com/spreadsheets/d/1Yj_ptqi66GCucihVvJfMjLAmec39IyEx_6qawtMGysU/edit?usp=sharing"",""สบก!R42"")"),466980.0)</f>
        <v>466980</v>
      </c>
      <c r="O45" s="116">
        <f>IF(L45&gt;0,N45*100/L45,0)</f>
        <v>42.29508197</v>
      </c>
      <c r="P45" s="116">
        <f>IF(M45&gt;0,N45*100/M45,0)</f>
        <v>78.10074926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IFERROR(__xludf.DUMMYFUNCTION("IMPORTRANGE(""https://docs.google.com/spreadsheets/d/1Yj_ptqi66GCucihVvJfMjLAmec39IyEx_6qawtMGysU/edit?usp=sharing"",""สบก!M42"")"),1104100.0)</f>
        <v>1104100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IFERROR(__xludf.DUMMYFUNCTION("IMPORTRANGE(""https://docs.google.com/spreadsheets/d/1Yj_ptqi66GCucihVvJfMjLAmec39IyEx_6qawtMGysU/edit?usp=sharing"",""สบก!N42"")"),0.0)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IFERROR(__xludf.DUMMYFUNCTION("IMPORTRANGE(""https://docs.google.com/spreadsheets/d/1Yj_ptqi66GCucihVvJfMjLAmec39IyEx_6qawtMGysU/edit?usp=sharing"",""สบก!O42"")"),48000.0)</f>
        <v>48000</v>
      </c>
      <c r="M49" s="125"/>
      <c r="N49" s="115">
        <f>IFERROR(__xludf.DUMMYFUNCTION("IMPORTRANGE(""https://docs.google.com/spreadsheets/d/1Yj_ptqi66GCucihVvJfMjLAmec39IyEx_6qawtMGysU/edit?usp=sharing"",""สบก!S42"")"),48000.0)</f>
        <v>48000</v>
      </c>
      <c r="O49" s="125">
        <f>IF(L49&gt;0,N49*100/L49,0)</f>
        <v>100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585600</v>
      </c>
      <c r="M53" s="151">
        <f t="shared" si="40"/>
        <v>314940</v>
      </c>
      <c r="N53" s="151">
        <f t="shared" si="40"/>
        <v>248414</v>
      </c>
      <c r="O53" s="150">
        <f t="shared" ref="O53:O55" si="42">IF(L53&gt;0,N53*100/L53,0)</f>
        <v>42.4204235</v>
      </c>
      <c r="P53" s="150">
        <f t="shared" ref="P53:P55" si="43">IF(M53&gt;0,N53*100/M53,0)</f>
        <v>78.87661142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585600</v>
      </c>
      <c r="M55" s="151">
        <f t="shared" si="44"/>
        <v>314940</v>
      </c>
      <c r="N55" s="151">
        <f t="shared" si="44"/>
        <v>248414</v>
      </c>
      <c r="O55" s="150">
        <f t="shared" si="42"/>
        <v>42.4204235</v>
      </c>
      <c r="P55" s="150">
        <f t="shared" si="43"/>
        <v>78.87661142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585600</v>
      </c>
      <c r="M57" s="115">
        <f>IFERROR(__xludf.DUMMYFUNCTION("IMPORTRANGE(""https://docs.google.com/spreadsheets/d/1Yj_ptqi66GCucihVvJfMjLAmec39IyEx_6qawtMGysU/edit?usp=sharing"",""สบก!Z42"")"),314940.0)</f>
        <v>314940</v>
      </c>
      <c r="N57" s="115">
        <f>IFERROR(__xludf.DUMMYFUNCTION("IMPORTRANGE(""https://docs.google.com/spreadsheets/d/1Yj_ptqi66GCucihVvJfMjLAmec39IyEx_6qawtMGysU/edit?usp=sharing"",""สบก!AA42"")"),248414.0)</f>
        <v>248414</v>
      </c>
      <c r="O57" s="116">
        <f>IF(L57&gt;0,N57*100/L57,0)</f>
        <v>42.4204235</v>
      </c>
      <c r="P57" s="116">
        <f>IF(M57&gt;0,N57*100/M57,0)</f>
        <v>78.87661142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IFERROR(__xludf.DUMMYFUNCTION("IMPORTRANGE(""https://docs.google.com/spreadsheets/d/1Yj_ptqi66GCucihVvJfMjLAmec39IyEx_6qawtMGysU/edit?usp=sharing"",""สบก!V42"")"),585600.0)</f>
        <v>585600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IFERROR(__xludf.DUMMYFUNCTION("IMPORTRANGE(""https://docs.google.com/spreadsheets/d/1Yj_ptqi66GCucihVvJfMjLAmec39IyEx_6qawtMGysU/edit?usp=sharing"",""สบก!W42"")"),0.0)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IFERROR(__xludf.DUMMYFUNCTION("IMPORTRANGE(""https://docs.google.com/spreadsheets/d/1Yj_ptqi66GCucihVvJfMjLAmec39IyEx_6qawtMGysU/edit?usp=sharing"",""สบก!X42"")"),0.0)</f>
        <v>0</v>
      </c>
      <c r="M61" s="125"/>
      <c r="N61" s="115">
        <f>IFERROR(__xludf.DUMMYFUNCTION("IMPORTRANGE(""https://docs.google.com/spreadsheets/d/1Yj_ptqi66GCucihVvJfMjLAmec39IyEx_6qawtMGysU/edit?usp=sharing"",""สบก!AB42"")"),0.0)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IFERROR(__xludf.DUMMYFUNCTION("IMPORTRANGE(""https://docs.google.com/spreadsheets/d/1XL5vhW3sbDhbH9Cz0tuDiY8C3ctxq1tqvaCgkFb8cCA/edit?usp=sharing"",""นครราชสีมา!I9"")"),0.0)</f>
        <v>0</v>
      </c>
      <c r="J64" s="172">
        <f>IFERROR(__xludf.DUMMYFUNCTION("IMPORTRANGE(""https://docs.google.com/spreadsheets/d/1XL5vhW3sbDhbH9Cz0tuDiY8C3ctxq1tqvaCgkFb8cCA/edit?usp=sharing"",""นครราชสีมา!J9"")"),0.0)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IFERROR(__xludf.DUMMYFUNCTION("IMPORTRANGE(""https://docs.google.com/spreadsheets/d/1XL5vhW3sbDhbH9Cz0tuDiY8C3ctxq1tqvaCgkFb8cCA/edit?usp=sharing"",""นครราชสีมา!I10"")"),0.0)</f>
        <v>0</v>
      </c>
      <c r="J65" s="172">
        <f>IFERROR(__xludf.DUMMYFUNCTION("IMPORTRANGE(""https://docs.google.com/spreadsheets/d/1XL5vhW3sbDhbH9Cz0tuDiY8C3ctxq1tqvaCgkFb8cCA/edit?usp=sharing"",""นครราชสีมา!J10"")"),0.0)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IFERROR(__xludf.DUMMYFUNCTION("IMPORTRANGE(""https://docs.google.com/spreadsheets/d/1Yj_ptqi66GCucihVvJfMjLAmec39IyEx_6qawtMGysU/edit?usp=sharing"",""สบก!AI42"")"),0.0)</f>
        <v>0</v>
      </c>
      <c r="N70" s="202">
        <f>IFERROR(__xludf.DUMMYFUNCTION("IMPORTRANGE(""https://docs.google.com/spreadsheets/d/1Yj_ptqi66GCucihVvJfMjLAmec39IyEx_6qawtMGysU/edit?usp=sharing"",""สบก!AJ42"")"),0.0)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IFERROR(__xludf.DUMMYFUNCTION("IMPORTRANGE(""https://docs.google.com/spreadsheets/d/1Yj_ptqi66GCucihVvJfMjLAmec39IyEx_6qawtMGysU/edit?usp=sharing"",""สบก!AE42"")"),0.0)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IFERROR(__xludf.DUMMYFUNCTION("IMPORTRANGE(""https://docs.google.com/spreadsheets/d/1Yj_ptqi66GCucihVvJfMjLAmec39IyEx_6qawtMGysU/edit?usp=sharing"",""สบก!AF42"")"),0.0)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IFERROR(__xludf.DUMMYFUNCTION("IMPORTRANGE(""https://docs.google.com/spreadsheets/d/1Yj_ptqi66GCucihVvJfMjLAmec39IyEx_6qawtMGysU/edit?usp=sharing"",""สบก!AG42"")"),0.0)</f>
        <v>0</v>
      </c>
      <c r="M74" s="125"/>
      <c r="N74" s="115">
        <f>IFERROR(__xludf.DUMMYFUNCTION("IMPORTRANGE(""https://docs.google.com/spreadsheets/d/1Yj_ptqi66GCucihVvJfMjLAmec39IyEx_6qawtMGysU/edit?usp=sharing"",""สบก!AK42"")"),0.0)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IFERROR(__xludf.DUMMYFUNCTION("IMPORTRANGE(""https://docs.google.com/spreadsheets/d/1XL5vhW3sbDhbH9Cz0tuDiY8C3ctxq1tqvaCgkFb8cCA/edit?usp=sharing"",""นครราชสีมา!J16"")"),0.0)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IFERROR(__xludf.DUMMYFUNCTION("IMPORTRANGE(""https://docs.google.com/spreadsheets/d/1XL5vhW3sbDhbH9Cz0tuDiY8C3ctxq1tqvaCgkFb8cCA/edit?usp=sharing"",""นครราชสีมา!J17"")"),0.0)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IFERROR(__xludf.DUMMYFUNCTION("IMPORTRANGE(""https://docs.google.com/spreadsheets/d/1XL5vhW3sbDhbH9Cz0tuDiY8C3ctxq1tqvaCgkFb8cCA/edit?usp=sharing"",""นครราชสีมา!J18"")"),0.0)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IFERROR(__xludf.DUMMYFUNCTION("IMPORTRANGE(""https://docs.google.com/spreadsheets/d/1XL5vhW3sbDhbH9Cz0tuDiY8C3ctxq1tqvaCgkFb8cCA/edit?usp=sharing"",""นครราชสีมา!J19"")"),0.0)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IFERROR(__xludf.DUMMYFUNCTION("IMPORTRANGE(""https://docs.google.com/spreadsheets/d/1XL5vhW3sbDhbH9Cz0tuDiY8C3ctxq1tqvaCgkFb8cCA/edit?usp=sharing"",""นครราชสีมา!I20"")"),0.0)</f>
        <v>0</v>
      </c>
      <c r="J80" s="235">
        <f>IFERROR(__xludf.DUMMYFUNCTION("IMPORTRANGE(""https://docs.google.com/spreadsheets/d/1XL5vhW3sbDhbH9Cz0tuDiY8C3ctxq1tqvaCgkFb8cCA/edit?usp=sharing"",""นครราชสีมา!J20"")"),0.0)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IFERROR(__xludf.DUMMYFUNCTION("IMPORTRANGE(""https://docs.google.com/spreadsheets/d/1XL5vhW3sbDhbH9Cz0tuDiY8C3ctxq1tqvaCgkFb8cCA/edit?usp=sharing"",""นครราชสีมา!I21"")"),0.0)</f>
        <v>0</v>
      </c>
      <c r="J81" s="235">
        <f>IFERROR(__xludf.DUMMYFUNCTION("IMPORTRANGE(""https://docs.google.com/spreadsheets/d/1XL5vhW3sbDhbH9Cz0tuDiY8C3ctxq1tqvaCgkFb8cCA/edit?usp=sharing"",""นครราชสีมา!J21"")"),0.0)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IFERROR(__xludf.DUMMYFUNCTION("IMPORTRANGE(""https://docs.google.com/spreadsheets/d/1XL5vhW3sbDhbH9Cz0tuDiY8C3ctxq1tqvaCgkFb8cCA/edit?usp=sharing"",""นครราชสีมา!I22"")"),0.0)</f>
        <v>0</v>
      </c>
      <c r="J82" s="238">
        <f>IFERROR(__xludf.DUMMYFUNCTION("IMPORTRANGE(""https://docs.google.com/spreadsheets/d/1XL5vhW3sbDhbH9Cz0tuDiY8C3ctxq1tqvaCgkFb8cCA/edit?usp=sharing"",""นครราชสีมา!J22"")"),0.0)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IFERROR(__xludf.DUMMYFUNCTION("IMPORTRANGE(""https://docs.google.com/spreadsheets/d/1XL5vhW3sbDhbH9Cz0tuDiY8C3ctxq1tqvaCgkFb8cCA/edit?usp=sharing"",""นครราชสีมา!I23"")"),0.0)</f>
        <v>0</v>
      </c>
      <c r="J83" s="238">
        <f>IFERROR(__xludf.DUMMYFUNCTION("IMPORTRANGE(""https://docs.google.com/spreadsheets/d/1XL5vhW3sbDhbH9Cz0tuDiY8C3ctxq1tqvaCgkFb8cCA/edit?usp=sharing"",""นครราชสีมา!J23"")"),0.0)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IFERROR(__xludf.DUMMYFUNCTION("IMPORTRANGE(""https://docs.google.com/spreadsheets/d/1XL5vhW3sbDhbH9Cz0tuDiY8C3ctxq1tqvaCgkFb8cCA/edit?usp=sharing"",""นครราชสีมา!I24"")"),0.0)</f>
        <v>0</v>
      </c>
      <c r="J84" s="223">
        <f>IFERROR(__xludf.DUMMYFUNCTION("IMPORTRANGE(""https://docs.google.com/spreadsheets/d/1XL5vhW3sbDhbH9Cz0tuDiY8C3ctxq1tqvaCgkFb8cCA/edit?usp=sharing"",""นครราชสีมา!J24"")"),0.0)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IFERROR(__xludf.DUMMYFUNCTION("IMPORTRANGE(""https://docs.google.com/spreadsheets/d/1XL5vhW3sbDhbH9Cz0tuDiY8C3ctxq1tqvaCgkFb8cCA/edit?usp=sharing"",""นครราชสีมา!I25"")"),0.0)</f>
        <v>0</v>
      </c>
      <c r="J85" s="223">
        <f>IFERROR(__xludf.DUMMYFUNCTION("IMPORTRANGE(""https://docs.google.com/spreadsheets/d/1XL5vhW3sbDhbH9Cz0tuDiY8C3ctxq1tqvaCgkFb8cCA/edit?usp=sharing"",""นครราชสีมา!J25"")"),0.0)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IFERROR(__xludf.DUMMYFUNCTION("IMPORTRANGE(""https://docs.google.com/spreadsheets/d/1XL5vhW3sbDhbH9Cz0tuDiY8C3ctxq1tqvaCgkFb8cCA/edit?usp=sharing"",""นครราชสีมา!I26"")"),0.0)</f>
        <v>0</v>
      </c>
      <c r="J86" s="238">
        <f>IFERROR(__xludf.DUMMYFUNCTION("IMPORTRANGE(""https://docs.google.com/spreadsheets/d/1XL5vhW3sbDhbH9Cz0tuDiY8C3ctxq1tqvaCgkFb8cCA/edit?usp=sharing"",""นครราชสีมา!J26"")"),0.0)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IFERROR(__xludf.DUMMYFUNCTION("IMPORTRANGE(""https://docs.google.com/spreadsheets/d/1XL5vhW3sbDhbH9Cz0tuDiY8C3ctxq1tqvaCgkFb8cCA/edit?usp=sharing"",""นครราชสีมา!I27"")"),0.0)</f>
        <v>0</v>
      </c>
      <c r="J87" s="238">
        <f>IFERROR(__xludf.DUMMYFUNCTION("IMPORTRANGE(""https://docs.google.com/spreadsheets/d/1XL5vhW3sbDhbH9Cz0tuDiY8C3ctxq1tqvaCgkFb8cCA/edit?usp=sharing"",""นครราชสีมา!J27"")"),0.0)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IFERROR(__xludf.DUMMYFUNCTION("IMPORTRANGE(""https://docs.google.com/spreadsheets/d/1XL5vhW3sbDhbH9Cz0tuDiY8C3ctxq1tqvaCgkFb8cCA/edit?usp=sharing"",""นครราชสีมา!I28"")"),0.0)</f>
        <v>0</v>
      </c>
      <c r="J88" s="238">
        <f>IFERROR(__xludf.DUMMYFUNCTION("IMPORTRANGE(""https://docs.google.com/spreadsheets/d/1XL5vhW3sbDhbH9Cz0tuDiY8C3ctxq1tqvaCgkFb8cCA/edit?usp=sharing"",""นครราชสีมา!J28"")"),0.0)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IFERROR(__xludf.DUMMYFUNCTION("IMPORTRANGE(""https://docs.google.com/spreadsheets/d/1XL5vhW3sbDhbH9Cz0tuDiY8C3ctxq1tqvaCgkFb8cCA/edit?usp=sharing"",""นครราชสีมา!J29"")"),0.0)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IFERROR(__xludf.DUMMYFUNCTION("IMPORTRANGE(""https://docs.google.com/spreadsheets/d/1XL5vhW3sbDhbH9Cz0tuDiY8C3ctxq1tqvaCgkFb8cCA/edit?usp=sharing"",""นครราชสีมา!J30"")"),0.0)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IFERROR(__xludf.DUMMYFUNCTION("IMPORTRANGE(""https://docs.google.com/spreadsheets/d/1XL5vhW3sbDhbH9Cz0tuDiY8C3ctxq1tqvaCgkFb8cCA/edit?usp=sharing"",""นครราชสีมา!I32"")"),6.0)</f>
        <v>6</v>
      </c>
      <c r="J92" s="172">
        <f>IFERROR(__xludf.DUMMYFUNCTION("IMPORTRANGE(""https://docs.google.com/spreadsheets/d/1XL5vhW3sbDhbH9Cz0tuDiY8C3ctxq1tqvaCgkFb8cCA/edit?usp=sharing"",""นครราชสีมา!J32"")"),0.0)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IFERROR(__xludf.DUMMYFUNCTION("IMPORTRANGE(""https://docs.google.com/spreadsheets/d/1XL5vhW3sbDhbH9Cz0tuDiY8C3ctxq1tqvaCgkFb8cCA/edit?usp=sharing"",""นครราชสีมา!I33"")"),2.0)</f>
        <v>2</v>
      </c>
      <c r="J93" s="172">
        <f>IFERROR(__xludf.DUMMYFUNCTION("IMPORTRANGE(""https://docs.google.com/spreadsheets/d/1XL5vhW3sbDhbH9Cz0tuDiY8C3ctxq1tqvaCgkFb8cCA/edit?usp=sharing"",""นครราชสีมา!J33"")"),2.0)</f>
        <v>2</v>
      </c>
      <c r="K93" s="173">
        <f t="shared" si="52"/>
        <v>100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316780</v>
      </c>
      <c r="M94" s="183">
        <f t="shared" si="53"/>
        <v>77770</v>
      </c>
      <c r="N94" s="183">
        <f t="shared" si="53"/>
        <v>225330</v>
      </c>
      <c r="O94" s="182">
        <f t="shared" ref="O94:O96" si="55">IF(L94&gt;0,N94*100/L94,0)</f>
        <v>71.13138456</v>
      </c>
      <c r="P94" s="182">
        <f t="shared" ref="P94:P96" si="56">IF(M94&gt;0,N94*100/M94,0)</f>
        <v>289.7389739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316780</v>
      </c>
      <c r="M96" s="188">
        <f t="shared" si="57"/>
        <v>77770</v>
      </c>
      <c r="N96" s="188">
        <f t="shared" si="57"/>
        <v>225330</v>
      </c>
      <c r="O96" s="187">
        <f t="shared" si="55"/>
        <v>71.13138456</v>
      </c>
      <c r="P96" s="187">
        <f t="shared" si="56"/>
        <v>289.7389739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131980</v>
      </c>
      <c r="M98" s="201">
        <f>IFERROR(__xludf.DUMMYFUNCTION("IMPORTRANGE(""https://docs.google.com/spreadsheets/d/1Yj_ptqi66GCucihVvJfMjLAmec39IyEx_6qawtMGysU/edit?usp=sharing"",""สบก!AR42"")"),77770.0)</f>
        <v>77770</v>
      </c>
      <c r="N98" s="202">
        <f>IFERROR(__xludf.DUMMYFUNCTION("IMPORTRANGE(""https://docs.google.com/spreadsheets/d/1Yj_ptqi66GCucihVvJfMjLAmec39IyEx_6qawtMGysU/edit?usp=sharing"",""สบก!AS42"")"),40530.0)</f>
        <v>40530</v>
      </c>
      <c r="O98" s="203">
        <f>IF(L98&gt;0,N98*100/L98,0)</f>
        <v>30.70919836</v>
      </c>
      <c r="P98" s="203">
        <f>IF(M98&gt;0,N98*100/M98,0)</f>
        <v>52.11521152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IFERROR(__xludf.DUMMYFUNCTION("IMPORTRANGE(""https://docs.google.com/spreadsheets/d/1Yj_ptqi66GCucihVvJfMjLAmec39IyEx_6qawtMGysU/edit?usp=sharing"",""สบก!AN42"")"),0.0)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IFERROR(__xludf.DUMMYFUNCTION("IMPORTRANGE(""https://docs.google.com/spreadsheets/d/1Yj_ptqi66GCucihVvJfMjLAmec39IyEx_6qawtMGysU/edit?usp=sharing"",""สบก!AO42"")"),131980.0)</f>
        <v>131980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IFERROR(__xludf.DUMMYFUNCTION("IMPORTRANGE(""https://docs.google.com/spreadsheets/d/1Yj_ptqi66GCucihVvJfMjLAmec39IyEx_6qawtMGysU/edit?usp=sharing"",""สบก!AP42"")"),184800.0)</f>
        <v>184800</v>
      </c>
      <c r="M102" s="125"/>
      <c r="N102" s="115">
        <f>IFERROR(__xludf.DUMMYFUNCTION("IMPORTRANGE(""https://docs.google.com/spreadsheets/d/1Yj_ptqi66GCucihVvJfMjLAmec39IyEx_6qawtMGysU/edit?usp=sharing"",""สบก!AT42"")"),184800.0)</f>
        <v>184800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IFERROR(__xludf.DUMMYFUNCTION("IMPORTRANGE(""https://docs.google.com/spreadsheets/d/1XL5vhW3sbDhbH9Cz0tuDiY8C3ctxq1tqvaCgkFb8cCA/edit?usp=sharing"",""นครราชสีมา!J39"")"),0.0)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IFERROR(__xludf.DUMMYFUNCTION("IMPORTRANGE(""https://docs.google.com/spreadsheets/d/1XL5vhW3sbDhbH9Cz0tuDiY8C3ctxq1tqvaCgkFb8cCA/edit?usp=sharing"",""นครราชสีมา!J40"")"),0.0)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IFERROR(__xludf.DUMMYFUNCTION("IMPORTRANGE(""https://docs.google.com/spreadsheets/d/1XL5vhW3sbDhbH9Cz0tuDiY8C3ctxq1tqvaCgkFb8cCA/edit?usp=sharing"",""นครราชสีมา!J41"")"),0.0)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IFERROR(__xludf.DUMMYFUNCTION("IMPORTRANGE(""https://docs.google.com/spreadsheets/d/1XL5vhW3sbDhbH9Cz0tuDiY8C3ctxq1tqvaCgkFb8cCA/edit?usp=sharing"",""นครราชสีมา!J42"")"),0.0)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IFERROR(__xludf.DUMMYFUNCTION("IMPORTRANGE(""https://docs.google.com/spreadsheets/d/1XL5vhW3sbDhbH9Cz0tuDiY8C3ctxq1tqvaCgkFb8cCA/edit?usp=sharing"",""นครราชสีมา!I43"")"),1.0)</f>
        <v>1</v>
      </c>
      <c r="J108" s="238">
        <f>IFERROR(__xludf.DUMMYFUNCTION("IMPORTRANGE(""https://docs.google.com/spreadsheets/d/1XL5vhW3sbDhbH9Cz0tuDiY8C3ctxq1tqvaCgkFb8cCA/edit?usp=sharing"",""นครราชสีมา!J43"")"),1.0)</f>
        <v>1</v>
      </c>
      <c r="K108" s="258">
        <f t="shared" ref="K108:K113" si="58">IF(I108&gt;0,J108*100/I108,0)</f>
        <v>100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IFERROR(__xludf.DUMMYFUNCTION("IMPORTRANGE(""https://docs.google.com/spreadsheets/d/1XL5vhW3sbDhbH9Cz0tuDiY8C3ctxq1tqvaCgkFb8cCA/edit?usp=sharing"",""นครราชสีมา!I44"")"),6.0)</f>
        <v>6</v>
      </c>
      <c r="J109" s="238">
        <f>IFERROR(__xludf.DUMMYFUNCTION("IMPORTRANGE(""https://docs.google.com/spreadsheets/d/1XL5vhW3sbDhbH9Cz0tuDiY8C3ctxq1tqvaCgkFb8cCA/edit?usp=sharing"",""นครราชสีมา!J44"")"),0.0)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IFERROR(__xludf.DUMMYFUNCTION("IMPORTRANGE(""https://docs.google.com/spreadsheets/d/1XL5vhW3sbDhbH9Cz0tuDiY8C3ctxq1tqvaCgkFb8cCA/edit?usp=sharing"",""นครราชสีมา!I45"")"),6.0)</f>
        <v>6</v>
      </c>
      <c r="J110" s="238">
        <f>IFERROR(__xludf.DUMMYFUNCTION("IMPORTRANGE(""https://docs.google.com/spreadsheets/d/1XL5vhW3sbDhbH9Cz0tuDiY8C3ctxq1tqvaCgkFb8cCA/edit?usp=sharing"",""นครราชสีมา!J45"")"),6.0)</f>
        <v>6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IFERROR(__xludf.DUMMYFUNCTION("IMPORTRANGE(""https://docs.google.com/spreadsheets/d/1XL5vhW3sbDhbH9Cz0tuDiY8C3ctxq1tqvaCgkFb8cCA/edit?usp=sharing"",""นครราชสีมา!I46"")"),6.0)</f>
        <v>6</v>
      </c>
      <c r="J111" s="238">
        <f>IFERROR(__xludf.DUMMYFUNCTION("IMPORTRANGE(""https://docs.google.com/spreadsheets/d/1XL5vhW3sbDhbH9Cz0tuDiY8C3ctxq1tqvaCgkFb8cCA/edit?usp=sharing"",""นครราชสีมา!J46"")"),0.0)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IFERROR(__xludf.DUMMYFUNCTION("IMPORTRANGE(""https://docs.google.com/spreadsheets/d/1XL5vhW3sbDhbH9Cz0tuDiY8C3ctxq1tqvaCgkFb8cCA/edit?usp=sharing"",""นครราชสีมา!I47"")"),6.0)</f>
        <v>6</v>
      </c>
      <c r="J112" s="238">
        <f>IFERROR(__xludf.DUMMYFUNCTION("IMPORTRANGE(""https://docs.google.com/spreadsheets/d/1XL5vhW3sbDhbH9Cz0tuDiY8C3ctxq1tqvaCgkFb8cCA/edit?usp=sharing"",""นครราชสีมา!J47"")"),0.0)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IFERROR(__xludf.DUMMYFUNCTION("IMPORTRANGE(""https://docs.google.com/spreadsheets/d/1XL5vhW3sbDhbH9Cz0tuDiY8C3ctxq1tqvaCgkFb8cCA/edit?usp=sharing"",""นครราชสีมา!I48"")"),2.0)</f>
        <v>2</v>
      </c>
      <c r="J113" s="238">
        <f>IFERROR(__xludf.DUMMYFUNCTION("IMPORTRANGE(""https://docs.google.com/spreadsheets/d/1XL5vhW3sbDhbH9Cz0tuDiY8C3ctxq1tqvaCgkFb8cCA/edit?usp=sharing"",""นครราชสีมา!J48"")"),2.0)</f>
        <v>2</v>
      </c>
      <c r="K113" s="258">
        <f t="shared" si="58"/>
        <v>100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IFERROR(__xludf.DUMMYFUNCTION("IMPORTRANGE(""https://docs.google.com/spreadsheets/d/1XL5vhW3sbDhbH9Cz0tuDiY8C3ctxq1tqvaCgkFb8cCA/edit?usp=sharing"",""นครราชสีมา!J49"")"),0.0)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IFERROR(__xludf.DUMMYFUNCTION("IMPORTRANGE(""https://docs.google.com/spreadsheets/d/1XL5vhW3sbDhbH9Cz0tuDiY8C3ctxq1tqvaCgkFb8cCA/edit?usp=sharing"",""นครราชสีมา!J50"")"),0.0)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IFERROR(__xludf.DUMMYFUNCTION("IMPORTRANGE(""https://docs.google.com/spreadsheets/d/1XL5vhW3sbDhbH9Cz0tuDiY8C3ctxq1tqvaCgkFb8cCA/edit?usp=sharing"",""นครราชสีมา!I52"")"),0.0)</f>
        <v>0</v>
      </c>
      <c r="J117" s="172">
        <f>IFERROR(__xludf.DUMMYFUNCTION("IMPORTRANGE(""https://docs.google.com/spreadsheets/d/1XL5vhW3sbDhbH9Cz0tuDiY8C3ctxq1tqvaCgkFb8cCA/edit?usp=sharing"",""นครราชสีมา!J52"")"),0.0)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IFERROR(__xludf.DUMMYFUNCTION("IMPORTRANGE(""https://docs.google.com/spreadsheets/d/1Yj_ptqi66GCucihVvJfMjLAmec39IyEx_6qawtMGysU/edit?usp=sharing"",""สบก!BA42"")"),0.0)</f>
        <v>0</v>
      </c>
      <c r="N122" s="202">
        <f>IFERROR(__xludf.DUMMYFUNCTION("IMPORTRANGE(""https://docs.google.com/spreadsheets/d/1Yj_ptqi66GCucihVvJfMjLAmec39IyEx_6qawtMGysU/edit?usp=sharing"",""สบก!BB42"")"),0.0)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IFERROR(__xludf.DUMMYFUNCTION("IMPORTRANGE(""https://docs.google.com/spreadsheets/d/1Yj_ptqi66GCucihVvJfMjLAmec39IyEx_6qawtMGysU/edit?usp=sharing"",""สบก!AW42"")"),0.0)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IFERROR(__xludf.DUMMYFUNCTION("IMPORTRANGE(""https://docs.google.com/spreadsheets/d/1Yj_ptqi66GCucihVvJfMjLAmec39IyEx_6qawtMGysU/edit?usp=sharing"",""สบก!AX42"")"),0.0)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IFERROR(__xludf.DUMMYFUNCTION("IMPORTRANGE(""https://docs.google.com/spreadsheets/d/1Yj_ptqi66GCucihVvJfMjLAmec39IyEx_6qawtMGysU/edit?usp=sharing"",""สบก!AY42"")"),0.0)</f>
        <v>0</v>
      </c>
      <c r="M126" s="125"/>
      <c r="N126" s="115">
        <f>IFERROR(__xludf.DUMMYFUNCTION("IMPORTRANGE(""https://docs.google.com/spreadsheets/d/1Yj_ptqi66GCucihVvJfMjLAmec39IyEx_6qawtMGysU/edit?usp=sharing"",""สบก!BC42"")"),0.0)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248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IFERROR(__xludf.DUMMYFUNCTION("IMPORTRANGE(""https://docs.google.com/spreadsheets/d/1XL5vhW3sbDhbH9Cz0tuDiY8C3ctxq1tqvaCgkFb8cCA/edit?usp=sharing"",""นครราชสีมา!J58"")"),0.0)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IFERROR(__xludf.DUMMYFUNCTION("IMPORTRANGE(""https://docs.google.com/spreadsheets/d/1XL5vhW3sbDhbH9Cz0tuDiY8C3ctxq1tqvaCgkFb8cCA/edit?usp=sharing"",""นครราชสีมา!J59"")"),0.0)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IFERROR(__xludf.DUMMYFUNCTION("IMPORTRANGE(""https://docs.google.com/spreadsheets/d/1XL5vhW3sbDhbH9Cz0tuDiY8C3ctxq1tqvaCgkFb8cCA/edit?usp=sharing"",""นครราชสีมา!J60"")"),0.0)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IFERROR(__xludf.DUMMYFUNCTION("IMPORTRANGE(""https://docs.google.com/spreadsheets/d/1XL5vhW3sbDhbH9Cz0tuDiY8C3ctxq1tqvaCgkFb8cCA/edit?usp=sharing"",""นครราชสีมา!J61"")"),0.0)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IFERROR(__xludf.DUMMYFUNCTION("IMPORTRANGE(""https://docs.google.com/spreadsheets/d/1XL5vhW3sbDhbH9Cz0tuDiY8C3ctxq1tqvaCgkFb8cCA/edit?usp=sharing"",""นครราชสีมา!I62"")"),0.0)</f>
        <v>0</v>
      </c>
      <c r="J132" s="238">
        <f>IFERROR(__xludf.DUMMYFUNCTION("IMPORTRANGE(""https://docs.google.com/spreadsheets/d/1XL5vhW3sbDhbH9Cz0tuDiY8C3ctxq1tqvaCgkFb8cCA/edit?usp=sharing"",""นครราชสีมา!J62"")"),0.0)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IFERROR(__xludf.DUMMYFUNCTION("IMPORTRANGE(""https://docs.google.com/spreadsheets/d/1XL5vhW3sbDhbH9Cz0tuDiY8C3ctxq1tqvaCgkFb8cCA/edit?usp=sharing"",""นครราชสีมา!I63"")"),0.0)</f>
        <v>0</v>
      </c>
      <c r="J133" s="238">
        <f>IFERROR(__xludf.DUMMYFUNCTION("IMPORTRANGE(""https://docs.google.com/spreadsheets/d/1XL5vhW3sbDhbH9Cz0tuDiY8C3ctxq1tqvaCgkFb8cCA/edit?usp=sharing"",""นครราชสีมา!J63"")"),0.0)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IFERROR(__xludf.DUMMYFUNCTION("IMPORTRANGE(""https://docs.google.com/spreadsheets/d/1XL5vhW3sbDhbH9Cz0tuDiY8C3ctxq1tqvaCgkFb8cCA/edit?usp=sharing"",""นครราชสีมา!J64"")"),0.0)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IFERROR(__xludf.DUMMYFUNCTION("IMPORTRANGE(""https://docs.google.com/spreadsheets/d/1XL5vhW3sbDhbH9Cz0tuDiY8C3ctxq1tqvaCgkFb8cCA/edit?usp=sharing"",""นครราชสีมา!J65"")"),0.0)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IFERROR(__xludf.DUMMYFUNCTION("IMPORTRANGE(""https://docs.google.com/spreadsheets/d/1XL5vhW3sbDhbH9Cz0tuDiY8C3ctxq1tqvaCgkFb8cCA/edit?usp=sharing"",""นครราชสีมา!I68"")"),15.0)</f>
        <v>15</v>
      </c>
      <c r="J138" s="301">
        <f>IFERROR(__xludf.DUMMYFUNCTION("IMPORTRANGE(""https://docs.google.com/spreadsheets/d/1XL5vhW3sbDhbH9Cz0tuDiY8C3ctxq1tqvaCgkFb8cCA/edit?usp=sharing"",""นครราชสีมา!J68"")"),0.0)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589600</v>
      </c>
      <c r="M140" s="183">
        <f t="shared" si="65"/>
        <v>323550</v>
      </c>
      <c r="N140" s="183">
        <f t="shared" si="65"/>
        <v>175959</v>
      </c>
      <c r="O140" s="182">
        <f t="shared" ref="O140:O142" si="67">IF(L140&gt;0,N140*100/L140,0)</f>
        <v>29.8437924</v>
      </c>
      <c r="P140" s="182">
        <f t="shared" ref="P140:P142" si="68">IF(M140&gt;0,N140*100/M140,0)</f>
        <v>54.38386648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589600</v>
      </c>
      <c r="M142" s="188">
        <f t="shared" si="69"/>
        <v>323550</v>
      </c>
      <c r="N142" s="188">
        <f t="shared" si="69"/>
        <v>175959</v>
      </c>
      <c r="O142" s="187">
        <f t="shared" si="67"/>
        <v>29.8437924</v>
      </c>
      <c r="P142" s="187">
        <f t="shared" si="68"/>
        <v>54.38386648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589600</v>
      </c>
      <c r="M144" s="201">
        <f>IFERROR(__xludf.DUMMYFUNCTION("IMPORTRANGE(""https://docs.google.com/spreadsheets/d/1Yj_ptqi66GCucihVvJfMjLAmec39IyEx_6qawtMGysU/edit?usp=sharing"",""สบก!BJ42"")"),323550.0)</f>
        <v>323550</v>
      </c>
      <c r="N144" s="202">
        <f>IFERROR(__xludf.DUMMYFUNCTION("IMPORTRANGE(""https://docs.google.com/spreadsheets/d/1Yj_ptqi66GCucihVvJfMjLAmec39IyEx_6qawtMGysU/edit?usp=sharing"",""สบก!BK42"")"),175959.0)</f>
        <v>175959</v>
      </c>
      <c r="O144" s="203">
        <f>IF(L144&gt;0,N144*100/L144,0)</f>
        <v>29.8437924</v>
      </c>
      <c r="P144" s="203">
        <f>IF(M144&gt;0,N144*100/M144,0)</f>
        <v>54.38386648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IFERROR(__xludf.DUMMYFUNCTION("IMPORTRANGE(""https://docs.google.com/spreadsheets/d/1Yj_ptqi66GCucihVvJfMjLAmec39IyEx_6qawtMGysU/edit?usp=sharing"",""สบก!BF42"")"),469600.0)</f>
        <v>469600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IFERROR(__xludf.DUMMYFUNCTION("IMPORTRANGE(""https://docs.google.com/spreadsheets/d/1Yj_ptqi66GCucihVvJfMjLAmec39IyEx_6qawtMGysU/edit?usp=sharing"",""สบก!BG42"")"),120000.0)</f>
        <v>120000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IFERROR(__xludf.DUMMYFUNCTION("IMPORTRANGE(""https://docs.google.com/spreadsheets/d/1Yj_ptqi66GCucihVvJfMjLAmec39IyEx_6qawtMGysU/edit?usp=sharing"",""สบก!BH42"")"),0.0)</f>
        <v>0</v>
      </c>
      <c r="M148" s="125"/>
      <c r="N148" s="115">
        <f>IFERROR(__xludf.DUMMYFUNCTION("IMPORTRANGE(""https://docs.google.com/spreadsheets/d/1Yj_ptqi66GCucihVvJfMjLAmec39IyEx_6qawtMGysU/edit?usp=sharing"",""สบก!BL42"")"),0.0)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IFERROR(__xludf.DUMMYFUNCTION("IMPORTRANGE(""https://docs.google.com/spreadsheets/d/1XL5vhW3sbDhbH9Cz0tuDiY8C3ctxq1tqvaCgkFb8cCA/edit?usp=sharing"",""นครราชสีมา!I74"")"),4.0)</f>
        <v>4</v>
      </c>
      <c r="J149" s="309">
        <f>IFERROR(__xludf.DUMMYFUNCTION("IMPORTRANGE(""https://docs.google.com/spreadsheets/d/1XL5vhW3sbDhbH9Cz0tuDiY8C3ctxq1tqvaCgkFb8cCA/edit?usp=sharing"",""นครราชสีมา!J74"")"),1.0)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IFERROR(__xludf.DUMMYFUNCTION("IMPORTRANGE(""https://docs.google.com/spreadsheets/d/1XL5vhW3sbDhbH9Cz0tuDiY8C3ctxq1tqvaCgkFb8cCA/edit?usp=sharing"",""นครราชสีมา!J79"")"),0.0)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IFERROR(__xludf.DUMMYFUNCTION("IMPORTRANGE(""https://docs.google.com/spreadsheets/d/1XL5vhW3sbDhbH9Cz0tuDiY8C3ctxq1tqvaCgkFb8cCA/edit?usp=sharing"",""นครราชสีมา!J80"")"),1.0)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 t="str">
        <f>IFERROR(__xludf.DUMMYFUNCTION("IMPORTRANGE(""https://docs.google.com/spreadsheets/d/1XL5vhW3sbDhbH9Cz0tuDiY8C3ctxq1tqvaCgkFb8cCA/edit?usp=sharing"",""นครราชสีมา!J81"")"),"")</f>
        <v/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IFERROR(__xludf.DUMMYFUNCTION("IMPORTRANGE(""https://docs.google.com/spreadsheets/d/1XL5vhW3sbDhbH9Cz0tuDiY8C3ctxq1tqvaCgkFb8cCA/edit?usp=sharing"",""นครราชสีมา!J82"")"),0.0)</f>
        <v>0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IFERROR(__xludf.DUMMYFUNCTION("IMPORTRANGE(""https://docs.google.com/spreadsheets/d/1XL5vhW3sbDhbH9Cz0tuDiY8C3ctxq1tqvaCgkFb8cCA/edit?usp=sharing"",""นครราชสีมา!I83"")"),4.0)</f>
        <v>4</v>
      </c>
      <c r="J158" s="223">
        <f>IFERROR(__xludf.DUMMYFUNCTION("IMPORTRANGE(""https://docs.google.com/spreadsheets/d/1XL5vhW3sbDhbH9Cz0tuDiY8C3ctxq1tqvaCgkFb8cCA/edit?usp=sharing"",""นครราชสีมา!J83"")"),1.0)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IFERROR(__xludf.DUMMYFUNCTION("IMPORTRANGE(""https://docs.google.com/spreadsheets/d/1XL5vhW3sbDhbH9Cz0tuDiY8C3ctxq1tqvaCgkFb8cCA/edit?usp=sharing"",""นครราชสีมา!J84"")"),0.0)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IFERROR(__xludf.DUMMYFUNCTION("IMPORTRANGE(""https://docs.google.com/spreadsheets/d/1XL5vhW3sbDhbH9Cz0tuDiY8C3ctxq1tqvaCgkFb8cCA/edit?usp=sharing"",""นครราชสีมา!J85"")"),0.0)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IFERROR(__xludf.DUMMYFUNCTION("IMPORTRANGE(""https://docs.google.com/spreadsheets/d/1XL5vhW3sbDhbH9Cz0tuDiY8C3ctxq1tqvaCgkFb8cCA/edit?usp=sharing"",""นครราชสีมา!J86"")"),0.0)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IFERROR(__xludf.DUMMYFUNCTION("IMPORTRANGE(""https://docs.google.com/spreadsheets/d/1XL5vhW3sbDhbH9Cz0tuDiY8C3ctxq1tqvaCgkFb8cCA/edit?usp=sharing"",""นครราชสีมา!J87"")"),0.0)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IFERROR(__xludf.DUMMYFUNCTION("IMPORTRANGE(""https://docs.google.com/spreadsheets/d/1XL5vhW3sbDhbH9Cz0tuDiY8C3ctxq1tqvaCgkFb8cCA/edit?usp=sharing"",""นครราชสีมา!J88"")"),0.0)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IFERROR(__xludf.DUMMYFUNCTION("IMPORTRANGE(""https://docs.google.com/spreadsheets/d/1XL5vhW3sbDhbH9Cz0tuDiY8C3ctxq1tqvaCgkFb8cCA/edit?usp=sharing"",""นครราชสีมา!I89"")"),5.0)</f>
        <v>5</v>
      </c>
      <c r="J164" s="317">
        <f>IFERROR(__xludf.DUMMYFUNCTION("IMPORTRANGE(""https://docs.google.com/spreadsheets/d/1XL5vhW3sbDhbH9Cz0tuDiY8C3ctxq1tqvaCgkFb8cCA/edit?usp=sharing"",""นครราชสีมา!J89"")"),5.0)</f>
        <v>5</v>
      </c>
      <c r="K164" s="318">
        <f>IF(I164&gt;0,J164*100/I164,0)</f>
        <v>100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IFERROR(__xludf.DUMMYFUNCTION("IMPORTRANGE(""https://docs.google.com/spreadsheets/d/1XL5vhW3sbDhbH9Cz0tuDiY8C3ctxq1tqvaCgkFb8cCA/edit?usp=sharing"",""นครราชสีมา!J94"")"),0.0)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IFERROR(__xludf.DUMMYFUNCTION("IMPORTRANGE(""https://docs.google.com/spreadsheets/d/1XL5vhW3sbDhbH9Cz0tuDiY8C3ctxq1tqvaCgkFb8cCA/edit?usp=sharing"",""นครราชสีมา!J95"")"),1.0)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IFERROR(__xludf.DUMMYFUNCTION("IMPORTRANGE(""https://docs.google.com/spreadsheets/d/1XL5vhW3sbDhbH9Cz0tuDiY8C3ctxq1tqvaCgkFb8cCA/edit?usp=sharing"",""นครราชสีมา!J96"")"),1.0)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IFERROR(__xludf.DUMMYFUNCTION("IMPORTRANGE(""https://docs.google.com/spreadsheets/d/1XL5vhW3sbDhbH9Cz0tuDiY8C3ctxq1tqvaCgkFb8cCA/edit?usp=sharing"",""นครราชสีมา!J97"")"),1.0)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IFERROR(__xludf.DUMMYFUNCTION("IMPORTRANGE(""https://docs.google.com/spreadsheets/d/1XL5vhW3sbDhbH9Cz0tuDiY8C3ctxq1tqvaCgkFb8cCA/edit?usp=sharing"",""นครราชสีมา!I98"")"),5.0)</f>
        <v>5</v>
      </c>
      <c r="J173" s="223">
        <f>IFERROR(__xludf.DUMMYFUNCTION("IMPORTRANGE(""https://docs.google.com/spreadsheets/d/1XL5vhW3sbDhbH9Cz0tuDiY8C3ctxq1tqvaCgkFb8cCA/edit?usp=sharing"",""นครราชสีมา!J98"")"),5.0)</f>
        <v>5</v>
      </c>
      <c r="K173" s="196">
        <f>IF(I173&gt;0,J173*100/I173,0)</f>
        <v>100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IFERROR(__xludf.DUMMYFUNCTION("IMPORTRANGE(""https://docs.google.com/spreadsheets/d/1XL5vhW3sbDhbH9Cz0tuDiY8C3ctxq1tqvaCgkFb8cCA/edit?usp=sharing"",""นครราชสีมา!J99"")"),1.0)</f>
        <v>1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IFERROR(__xludf.DUMMYFUNCTION("IMPORTRANGE(""https://docs.google.com/spreadsheets/d/1XL5vhW3sbDhbH9Cz0tuDiY8C3ctxq1tqvaCgkFb8cCA/edit?usp=sharing"",""นครราชสีมา!J100"")"),0.0)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IFERROR(__xludf.DUMMYFUNCTION("IMPORTRANGE(""https://docs.google.com/spreadsheets/d/1XL5vhW3sbDhbH9Cz0tuDiY8C3ctxq1tqvaCgkFb8cCA/edit?usp=sharing"",""นครราชสีมา!I101"")"),0.0)</f>
        <v>0</v>
      </c>
      <c r="J176" s="317">
        <f>IFERROR(__xludf.DUMMYFUNCTION("IMPORTRANGE(""https://docs.google.com/spreadsheets/d/1XL5vhW3sbDhbH9Cz0tuDiY8C3ctxq1tqvaCgkFb8cCA/edit?usp=sharing"",""นครราชสีมา!J101"")"),0.0)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IFERROR(__xludf.DUMMYFUNCTION("IMPORTRANGE(""https://docs.google.com/spreadsheets/d/1XL5vhW3sbDhbH9Cz0tuDiY8C3ctxq1tqvaCgkFb8cCA/edit?usp=sharing"",""นครราชสีมา!J106"")"),0.0)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IFERROR(__xludf.DUMMYFUNCTION("IMPORTRANGE(""https://docs.google.com/spreadsheets/d/1XL5vhW3sbDhbH9Cz0tuDiY8C3ctxq1tqvaCgkFb8cCA/edit?usp=sharing"",""นครราชสีมา!J107"")"),0.0)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IFERROR(__xludf.DUMMYFUNCTION("IMPORTRANGE(""https://docs.google.com/spreadsheets/d/1XL5vhW3sbDhbH9Cz0tuDiY8C3ctxq1tqvaCgkFb8cCA/edit?usp=sharing"",""นครราชสีมา!J108"")"),0.0)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IFERROR(__xludf.DUMMYFUNCTION("IMPORTRANGE(""https://docs.google.com/spreadsheets/d/1XL5vhW3sbDhbH9Cz0tuDiY8C3ctxq1tqvaCgkFb8cCA/edit?usp=sharing"",""นครราชสีมา!J109"")"),0.0)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IFERROR(__xludf.DUMMYFUNCTION("IMPORTRANGE(""https://docs.google.com/spreadsheets/d/1XL5vhW3sbDhbH9Cz0tuDiY8C3ctxq1tqvaCgkFb8cCA/edit?usp=sharing"",""นครราชสีมา!I110"")"),0.0)</f>
        <v>0</v>
      </c>
      <c r="J185" s="238">
        <f>IFERROR(__xludf.DUMMYFUNCTION("IMPORTRANGE(""https://docs.google.com/spreadsheets/d/1XL5vhW3sbDhbH9Cz0tuDiY8C3ctxq1tqvaCgkFb8cCA/edit?usp=sharing"",""นครราชสีมา!J110"")"),0.0)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IFERROR(__xludf.DUMMYFUNCTION("IMPORTRANGE(""https://docs.google.com/spreadsheets/d/1XL5vhW3sbDhbH9Cz0tuDiY8C3ctxq1tqvaCgkFb8cCA/edit?usp=sharing"",""นครราชสีมา!I111"")"),0.0)</f>
        <v>0</v>
      </c>
      <c r="J186" s="238">
        <f>IFERROR(__xludf.DUMMYFUNCTION("IMPORTRANGE(""https://docs.google.com/spreadsheets/d/1XL5vhW3sbDhbH9Cz0tuDiY8C3ctxq1tqvaCgkFb8cCA/edit?usp=sharing"",""นครราชสีมา!J111"")"),0.0)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IFERROR(__xludf.DUMMYFUNCTION("IMPORTRANGE(""https://docs.google.com/spreadsheets/d/1XL5vhW3sbDhbH9Cz0tuDiY8C3ctxq1tqvaCgkFb8cCA/edit?usp=sharing"",""นครราชสีมา!J112"")"),0.0)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IFERROR(__xludf.DUMMYFUNCTION("IMPORTRANGE(""https://docs.google.com/spreadsheets/d/1XL5vhW3sbDhbH9Cz0tuDiY8C3ctxq1tqvaCgkFb8cCA/edit?usp=sharing"",""นครราชสีมา!J113"")"),0.0)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IFERROR(__xludf.DUMMYFUNCTION("IMPORTRANGE(""https://docs.google.com/spreadsheets/d/1XL5vhW3sbDhbH9Cz0tuDiY8C3ctxq1tqvaCgkFb8cCA/edit?usp=sharing"",""นครราชสีมา!I114"")"),70000.0)</f>
        <v>70000</v>
      </c>
      <c r="J189" s="317">
        <f>IFERROR(__xludf.DUMMYFUNCTION("IMPORTRANGE(""https://docs.google.com/spreadsheets/d/1XL5vhW3sbDhbH9Cz0tuDiY8C3ctxq1tqvaCgkFb8cCA/edit?usp=sharing"",""นครราชสีมา!J114"")"),0.0)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IFERROR(__xludf.DUMMYFUNCTION("IMPORTRANGE(""https://docs.google.com/spreadsheets/d/1XL5vhW3sbDhbH9Cz0tuDiY8C3ctxq1tqvaCgkFb8cCA/edit?usp=sharing"",""นครราชสีมา!J119"")"),0.0)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IFERROR(__xludf.DUMMYFUNCTION("IMPORTRANGE(""https://docs.google.com/spreadsheets/d/1XL5vhW3sbDhbH9Cz0tuDiY8C3ctxq1tqvaCgkFb8cCA/edit?usp=sharing"",""นครราชสีมา!J120"")"),1.0)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IFERROR(__xludf.DUMMYFUNCTION("IMPORTRANGE(""https://docs.google.com/spreadsheets/d/1XL5vhW3sbDhbH9Cz0tuDiY8C3ctxq1tqvaCgkFb8cCA/edit?usp=sharing"",""นครราชสีมา!J121"")"),1.0)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IFERROR(__xludf.DUMMYFUNCTION("IMPORTRANGE(""https://docs.google.com/spreadsheets/d/1XL5vhW3sbDhbH9Cz0tuDiY8C3ctxq1tqvaCgkFb8cCA/edit?usp=sharing"",""นครราชสีมา!J122"")"),1.0)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IFERROR(__xludf.DUMMYFUNCTION("IMPORTRANGE(""https://docs.google.com/spreadsheets/d/1XL5vhW3sbDhbH9Cz0tuDiY8C3ctxq1tqvaCgkFb8cCA/edit?usp=sharing"",""นครราชสีมา!I124"")"),70000.0)</f>
        <v>70000</v>
      </c>
      <c r="J199" s="223">
        <f>IFERROR(__xludf.DUMMYFUNCTION("IMPORTRANGE(""https://docs.google.com/spreadsheets/d/1XL5vhW3sbDhbH9Cz0tuDiY8C3ctxq1tqvaCgkFb8cCA/edit?usp=sharing"",""นครราชสีมา!J124"")"),0.0)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IFERROR(__xludf.DUMMYFUNCTION("IMPORTRANGE(""https://docs.google.com/spreadsheets/d/1XL5vhW3sbDhbH9Cz0tuDiY8C3ctxq1tqvaCgkFb8cCA/edit?usp=sharing"",""นครราชสีมา!I125"")"),70000.0)</f>
        <v>70000</v>
      </c>
      <c r="J200" s="223">
        <f>IFERROR(__xludf.DUMMYFUNCTION("IMPORTRANGE(""https://docs.google.com/spreadsheets/d/1XL5vhW3sbDhbH9Cz0tuDiY8C3ctxq1tqvaCgkFb8cCA/edit?usp=sharing"",""นครราชสีมา!J125"")"),0.0)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IFERROR(__xludf.DUMMYFUNCTION("IMPORTRANGE(""https://docs.google.com/spreadsheets/d/1XL5vhW3sbDhbH9Cz0tuDiY8C3ctxq1tqvaCgkFb8cCA/edit?usp=sharing"",""นครราชสีมา!I126"")"),15.0)</f>
        <v>15</v>
      </c>
      <c r="J201" s="223">
        <f>IFERROR(__xludf.DUMMYFUNCTION("IMPORTRANGE(""https://docs.google.com/spreadsheets/d/1XL5vhW3sbDhbH9Cz0tuDiY8C3ctxq1tqvaCgkFb8cCA/edit?usp=sharing"",""นครราชสีมา!J126"")"),0.0)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IFERROR(__xludf.DUMMYFUNCTION("IMPORTRANGE(""https://docs.google.com/spreadsheets/d/1XL5vhW3sbDhbH9Cz0tuDiY8C3ctxq1tqvaCgkFb8cCA/edit?usp=sharing"",""นครราชสีมา!J127"")"),0.0)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IFERROR(__xludf.DUMMYFUNCTION("IMPORTRANGE(""https://docs.google.com/spreadsheets/d/1XL5vhW3sbDhbH9Cz0tuDiY8C3ctxq1tqvaCgkFb8cCA/edit?usp=sharing"",""นครราชสีมา!J128"")"),0.0)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IFERROR(__xludf.DUMMYFUNCTION("IMPORTRANGE(""https://docs.google.com/spreadsheets/d/1XL5vhW3sbDhbH9Cz0tuDiY8C3ctxq1tqvaCgkFb8cCA/edit?usp=sharing"",""นครราชสีมา!I129"")"),0.0)</f>
        <v>0</v>
      </c>
      <c r="J204" s="317">
        <f>IFERROR(__xludf.DUMMYFUNCTION("IMPORTRANGE(""https://docs.google.com/spreadsheets/d/1XL5vhW3sbDhbH9Cz0tuDiY8C3ctxq1tqvaCgkFb8cCA/edit?usp=sharing"",""นครราชสีมา!J129"")"),0.0)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IFERROR(__xludf.DUMMYFUNCTION("IMPORTRANGE(""https://docs.google.com/spreadsheets/d/1XL5vhW3sbDhbH9Cz0tuDiY8C3ctxq1tqvaCgkFb8cCA/edit?usp=sharing"",""นครราชสีมา!J134"")"),0.0)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IFERROR(__xludf.DUMMYFUNCTION("IMPORTRANGE(""https://docs.google.com/spreadsheets/d/1XL5vhW3sbDhbH9Cz0tuDiY8C3ctxq1tqvaCgkFb8cCA/edit?usp=sharing"",""นครราชสีมา!J135"")"),0.0)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IFERROR(__xludf.DUMMYFUNCTION("IMPORTRANGE(""https://docs.google.com/spreadsheets/d/1XL5vhW3sbDhbH9Cz0tuDiY8C3ctxq1tqvaCgkFb8cCA/edit?usp=sharing"",""นครราชสีมา!J136"")"),0.0)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IFERROR(__xludf.DUMMYFUNCTION("IMPORTRANGE(""https://docs.google.com/spreadsheets/d/1XL5vhW3sbDhbH9Cz0tuDiY8C3ctxq1tqvaCgkFb8cCA/edit?usp=sharing"",""นครราชสีมา!J137"")"),0.0)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IFERROR(__xludf.DUMMYFUNCTION("IMPORTRANGE(""https://docs.google.com/spreadsheets/d/1XL5vhW3sbDhbH9Cz0tuDiY8C3ctxq1tqvaCgkFb8cCA/edit?usp=sharing"",""นครราชสีมา!I138"")"),0.0)</f>
        <v>0</v>
      </c>
      <c r="J213" s="238">
        <f>IFERROR(__xludf.DUMMYFUNCTION("IMPORTRANGE(""https://docs.google.com/spreadsheets/d/1XL5vhW3sbDhbH9Cz0tuDiY8C3ctxq1tqvaCgkFb8cCA/edit?usp=sharing"",""นครราชสีมา!J138"")"),0.0)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IFERROR(__xludf.DUMMYFUNCTION("IMPORTRANGE(""https://docs.google.com/spreadsheets/d/1XL5vhW3sbDhbH9Cz0tuDiY8C3ctxq1tqvaCgkFb8cCA/edit?usp=sharing"",""นครราชสีมา!I140"")"),0.0)</f>
        <v>0</v>
      </c>
      <c r="J215" s="238">
        <f>IFERROR(__xludf.DUMMYFUNCTION("IMPORTRANGE(""https://docs.google.com/spreadsheets/d/1XL5vhW3sbDhbH9Cz0tuDiY8C3ctxq1tqvaCgkFb8cCA/edit?usp=sharing"",""นครราชสีมา!J140"")"),0.0)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IFERROR(__xludf.DUMMYFUNCTION("IMPORTRANGE(""https://docs.google.com/spreadsheets/d/1XL5vhW3sbDhbH9Cz0tuDiY8C3ctxq1tqvaCgkFb8cCA/edit?usp=sharing"",""นครราชสีมา!I141"")"),0.0)</f>
        <v>0</v>
      </c>
      <c r="J216" s="238">
        <f>IFERROR(__xludf.DUMMYFUNCTION("IMPORTRANGE(""https://docs.google.com/spreadsheets/d/1XL5vhW3sbDhbH9Cz0tuDiY8C3ctxq1tqvaCgkFb8cCA/edit?usp=sharing"",""นครราชสีมา!J141"")"),0.0)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IFERROR(__xludf.DUMMYFUNCTION("IMPORTRANGE(""https://docs.google.com/spreadsheets/d/1XL5vhW3sbDhbH9Cz0tuDiY8C3ctxq1tqvaCgkFb8cCA/edit?usp=sharing"",""นครราชสีมา!J142"")"),0.0)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IFERROR(__xludf.DUMMYFUNCTION("IMPORTRANGE(""https://docs.google.com/spreadsheets/d/1XL5vhW3sbDhbH9Cz0tuDiY8C3ctxq1tqvaCgkFb8cCA/edit?usp=sharing"",""นครราชสีมา!J143"")"),0.0)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IFERROR(__xludf.DUMMYFUNCTION("IMPORTRANGE(""https://docs.google.com/spreadsheets/d/1XL5vhW3sbDhbH9Cz0tuDiY8C3ctxq1tqvaCgkFb8cCA/edit?usp=sharing"",""นครราชสีมา!I144"")"),15.0)</f>
        <v>15</v>
      </c>
      <c r="J219" s="301">
        <f>IFERROR(__xludf.DUMMYFUNCTION("IMPORTRANGE(""https://docs.google.com/spreadsheets/d/1XL5vhW3sbDhbH9Cz0tuDiY8C3ctxq1tqvaCgkFb8cCA/edit?usp=sharing"",""นครราชสีมา!J144"")"),15.0)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21125</v>
      </c>
      <c r="O220" s="182">
        <f t="shared" ref="O220:O222" si="75">IF(L220&gt;0,N220*100/L220,0)</f>
        <v>100</v>
      </c>
      <c r="P220" s="182">
        <f t="shared" ref="P220:P222" si="76">IF(M220&gt;0,N220*100/M220,0)</f>
        <v>100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21125</v>
      </c>
      <c r="O222" s="187">
        <f t="shared" si="75"/>
        <v>100</v>
      </c>
      <c r="P222" s="187">
        <f t="shared" si="76"/>
        <v>100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IFERROR(__xludf.DUMMYFUNCTION("IMPORTRANGE(""https://docs.google.com/spreadsheets/d/1Yj_ptqi66GCucihVvJfMjLAmec39IyEx_6qawtMGysU/edit?usp=sharing"",""สบก!BS42"")"),21125.0)</f>
        <v>21125</v>
      </c>
      <c r="N224" s="202">
        <f>IFERROR(__xludf.DUMMYFUNCTION("IMPORTRANGE(""https://docs.google.com/spreadsheets/d/1Yj_ptqi66GCucihVvJfMjLAmec39IyEx_6qawtMGysU/edit?usp=sharing"",""สบก!BT42"")"),21125.0)</f>
        <v>21125</v>
      </c>
      <c r="O224" s="203">
        <f>IF(L224&gt;0,N224*100/L224,0)</f>
        <v>100</v>
      </c>
      <c r="P224" s="203">
        <f>IF(M224&gt;0,N224*100/M224,0)</f>
        <v>100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IFERROR(__xludf.DUMMYFUNCTION("IMPORTRANGE(""https://docs.google.com/spreadsheets/d/1Yj_ptqi66GCucihVvJfMjLAmec39IyEx_6qawtMGysU/edit?usp=sharing"",""สบก!BO42"")"),0.0)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IFERROR(__xludf.DUMMYFUNCTION("IMPORTRANGE(""https://docs.google.com/spreadsheets/d/1Yj_ptqi66GCucihVvJfMjLAmec39IyEx_6qawtMGysU/edit?usp=sharing"",""สบก!BP42"")"),21125.0)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IFERROR(__xludf.DUMMYFUNCTION("IMPORTRANGE(""https://docs.google.com/spreadsheets/d/1Yj_ptqi66GCucihVvJfMjLAmec39IyEx_6qawtMGysU/edit?usp=sharing"",""สบก!BQ42"")"),0.0)</f>
        <v>0</v>
      </c>
      <c r="M228" s="125"/>
      <c r="N228" s="115">
        <f>IFERROR(__xludf.DUMMYFUNCTION("IMPORTRANGE(""https://docs.google.com/spreadsheets/d/1Yj_ptqi66GCucihVvJfMjLAmec39IyEx_6qawtMGysU/edit?usp=sharing"",""สบก!BU42"")"),0.0)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IFERROR(__xludf.DUMMYFUNCTION("IMPORTRANGE(""https://docs.google.com/spreadsheets/d/1XL5vhW3sbDhbH9Cz0tuDiY8C3ctxq1tqvaCgkFb8cCA/edit?usp=sharing"",""นครราชสีมา!I149"")"),15.0)</f>
        <v>15</v>
      </c>
      <c r="J229" s="301">
        <f>IFERROR(__xludf.DUMMYFUNCTION("IMPORTRANGE(""https://docs.google.com/spreadsheets/d/1XL5vhW3sbDhbH9Cz0tuDiY8C3ctxq1tqvaCgkFb8cCA/edit?usp=sharing"",""นครราชสีมา!J149"")"),15.0)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IFERROR(__xludf.DUMMYFUNCTION("IMPORTRANGE(""https://docs.google.com/spreadsheets/d/1XL5vhW3sbDhbH9Cz0tuDiY8C3ctxq1tqvaCgkFb8cCA/edit?usp=sharing"",""นครราชสีมา!J151"")"),0.0)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IFERROR(__xludf.DUMMYFUNCTION("IMPORTRANGE(""https://docs.google.com/spreadsheets/d/1XL5vhW3sbDhbH9Cz0tuDiY8C3ctxq1tqvaCgkFb8cCA/edit?usp=sharing"",""นครราชสีมา!J152"")"),0.0)</f>
        <v>0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IFERROR(__xludf.DUMMYFUNCTION("IMPORTRANGE(""https://docs.google.com/spreadsheets/d/1XL5vhW3sbDhbH9Cz0tuDiY8C3ctxq1tqvaCgkFb8cCA/edit?usp=sharing"",""นครราชสีมา!J153"")"),1.0)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IFERROR(__xludf.DUMMYFUNCTION("IMPORTRANGE(""https://docs.google.com/spreadsheets/d/1XL5vhW3sbDhbH9Cz0tuDiY8C3ctxq1tqvaCgkFb8cCA/edit?usp=sharing"",""นครราชสีมา!J154"")"),1.0)</f>
        <v>1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IFERROR(__xludf.DUMMYFUNCTION("IMPORTRANGE(""https://docs.google.com/spreadsheets/d/1XL5vhW3sbDhbH9Cz0tuDiY8C3ctxq1tqvaCgkFb8cCA/edit?usp=sharing"",""นครราชสีมา!I155"")"),15.0)</f>
        <v>15</v>
      </c>
      <c r="J235" s="223">
        <f>IFERROR(__xludf.DUMMYFUNCTION("IMPORTRANGE(""https://docs.google.com/spreadsheets/d/1XL5vhW3sbDhbH9Cz0tuDiY8C3ctxq1tqvaCgkFb8cCA/edit?usp=sharing"",""นครราชสีมา!J155"")"),15.0)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IFERROR(__xludf.DUMMYFUNCTION("IMPORTRANGE(""https://docs.google.com/spreadsheets/d/1XL5vhW3sbDhbH9Cz0tuDiY8C3ctxq1tqvaCgkFb8cCA/edit?usp=sharing"",""นครราชสีมา!J156"")"),0.0)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IFERROR(__xludf.DUMMYFUNCTION("IMPORTRANGE(""https://docs.google.com/spreadsheets/d/1XL5vhW3sbDhbH9Cz0tuDiY8C3ctxq1tqvaCgkFb8cCA/edit?usp=sharing"",""นครราชสีมา!J157"")"),1.0)</f>
        <v>1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IFERROR(__xludf.DUMMYFUNCTION("IMPORTRANGE(""https://docs.google.com/spreadsheets/d/1XL5vhW3sbDhbH9Cz0tuDiY8C3ctxq1tqvaCgkFb8cCA/edit?usp=sharing"",""นครราชสีมา!I158"")"),0.0)</f>
        <v>0</v>
      </c>
      <c r="J238" s="301">
        <f>IFERROR(__xludf.DUMMYFUNCTION("IMPORTRANGE(""https://docs.google.com/spreadsheets/d/1XL5vhW3sbDhbH9Cz0tuDiY8C3ctxq1tqvaCgkFb8cCA/edit?usp=sharing"",""นครราชสีมา!J158"")"),0.0)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IFERROR(__xludf.DUMMYFUNCTION("IMPORTRANGE(""https://docs.google.com/spreadsheets/d/1XL5vhW3sbDhbH9Cz0tuDiY8C3ctxq1tqvaCgkFb8cCA/edit?usp=sharing"",""นครราชสีมา!J159"")"),"")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IFERROR(__xludf.DUMMYFUNCTION("IMPORTRANGE(""https://docs.google.com/spreadsheets/d/1XL5vhW3sbDhbH9Cz0tuDiY8C3ctxq1tqvaCgkFb8cCA/edit?usp=sharing"",""นครราชสีมา!J161"")"),0.0)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IFERROR(__xludf.DUMMYFUNCTION("IMPORTRANGE(""https://docs.google.com/spreadsheets/d/1XL5vhW3sbDhbH9Cz0tuDiY8C3ctxq1tqvaCgkFb8cCA/edit?usp=sharing"",""นครราชสีมา!J162"")"),0.0)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IFERROR(__xludf.DUMMYFUNCTION("IMPORTRANGE(""https://docs.google.com/spreadsheets/d/1XL5vhW3sbDhbH9Cz0tuDiY8C3ctxq1tqvaCgkFb8cCA/edit?usp=sharing"",""นครราชสีมา!J163"")"),0.0)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IFERROR(__xludf.DUMMYFUNCTION("IMPORTRANGE(""https://docs.google.com/spreadsheets/d/1XL5vhW3sbDhbH9Cz0tuDiY8C3ctxq1tqvaCgkFb8cCA/edit?usp=sharing"",""นครราชสีมา!I164"")"),0.0)</f>
        <v>0</v>
      </c>
      <c r="J244" s="222">
        <f>IFERROR(__xludf.DUMMYFUNCTION("IMPORTRANGE(""https://docs.google.com/spreadsheets/d/1XL5vhW3sbDhbH9Cz0tuDiY8C3ctxq1tqvaCgkFb8cCA/edit?usp=sharing"",""นครราชสีมา!J164"")"),0.0)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IFERROR(__xludf.DUMMYFUNCTION("IMPORTRANGE(""https://docs.google.com/spreadsheets/d/1XL5vhW3sbDhbH9Cz0tuDiY8C3ctxq1tqvaCgkFb8cCA/edit?usp=sharing"",""นครราชสีมา!J165"")"),0.0)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IFERROR(__xludf.DUMMYFUNCTION("IMPORTRANGE(""https://docs.google.com/spreadsheets/d/1XL5vhW3sbDhbH9Cz0tuDiY8C3ctxq1tqvaCgkFb8cCA/edit?usp=sharing"",""นครราชสีมา!J166"")"),0.0)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IFERROR(__xludf.DUMMYFUNCTION("IMPORTRANGE(""https://docs.google.com/spreadsheets/d/1XL5vhW3sbDhbH9Cz0tuDiY8C3ctxq1tqvaCgkFb8cCA/edit?usp=sharing"",""นครราชสีมา!I169"")"),50.0)</f>
        <v>50</v>
      </c>
      <c r="J249" s="349">
        <f>IFERROR(__xludf.DUMMYFUNCTION("IMPORTRANGE(""https://docs.google.com/spreadsheets/d/1XL5vhW3sbDhbH9Cz0tuDiY8C3ctxq1tqvaCgkFb8cCA/edit?usp=sharing"",""นครราชสีมา!J169"")"),0.0)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292100</v>
      </c>
      <c r="M250" s="183">
        <f t="shared" si="78"/>
        <v>150000</v>
      </c>
      <c r="N250" s="183">
        <f t="shared" si="78"/>
        <v>39387</v>
      </c>
      <c r="O250" s="182">
        <f t="shared" ref="O250:O252" si="80">IF(L250&gt;0,N250*100/L250,0)</f>
        <v>13.48408079</v>
      </c>
      <c r="P250" s="182">
        <f t="shared" ref="P250:P252" si="81">IF(M250&gt;0,N250*100/M250,0)</f>
        <v>26.258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292100</v>
      </c>
      <c r="M252" s="188">
        <f t="shared" si="82"/>
        <v>150000</v>
      </c>
      <c r="N252" s="188">
        <f t="shared" si="82"/>
        <v>39387</v>
      </c>
      <c r="O252" s="187">
        <f t="shared" si="80"/>
        <v>13.48408079</v>
      </c>
      <c r="P252" s="187">
        <f t="shared" si="81"/>
        <v>26.258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292100</v>
      </c>
      <c r="M254" s="201">
        <f>IFERROR(__xludf.DUMMYFUNCTION("IMPORTRANGE(""https://docs.google.com/spreadsheets/d/1Yj_ptqi66GCucihVvJfMjLAmec39IyEx_6qawtMGysU/edit?usp=sharing"",""สบก!CB42"")"),150000.0)</f>
        <v>150000</v>
      </c>
      <c r="N254" s="202">
        <f>IFERROR(__xludf.DUMMYFUNCTION("IMPORTRANGE(""https://docs.google.com/spreadsheets/d/1Yj_ptqi66GCucihVvJfMjLAmec39IyEx_6qawtMGysU/edit?usp=sharing"",""สบก!CC42"")"),39387.0)</f>
        <v>39387</v>
      </c>
      <c r="O254" s="203">
        <f>IF(L254&gt;0,N254*100/L254,0)</f>
        <v>13.48408079</v>
      </c>
      <c r="P254" s="203">
        <f>IF(M254&gt;0,N254*100/M254,0)</f>
        <v>26.258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IFERROR(__xludf.DUMMYFUNCTION("IMPORTRANGE(""https://docs.google.com/spreadsheets/d/1Yj_ptqi66GCucihVvJfMjLAmec39IyEx_6qawtMGysU/edit?usp=sharing"",""สบก!BX42"")"),0.0)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IFERROR(__xludf.DUMMYFUNCTION("IMPORTRANGE(""https://docs.google.com/spreadsheets/d/1Yj_ptqi66GCucihVvJfMjLAmec39IyEx_6qawtMGysU/edit?usp=sharing"",""สบก!BY42"")"),292100.0)</f>
        <v>292100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IFERROR(__xludf.DUMMYFUNCTION("IMPORTRANGE(""https://docs.google.com/spreadsheets/d/1Yj_ptqi66GCucihVvJfMjLAmec39IyEx_6qawtMGysU/edit?usp=sharing"",""สบก!BZ42"")"),0.0)</f>
        <v>0</v>
      </c>
      <c r="M258" s="125"/>
      <c r="N258" s="115">
        <f>IFERROR(__xludf.DUMMYFUNCTION("IMPORTRANGE(""https://docs.google.com/spreadsheets/d/1Yj_ptqi66GCucihVvJfMjLAmec39IyEx_6qawtMGysU/edit?usp=sharing"",""สบก!CD42"")"),0.0)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IFERROR(__xludf.DUMMYFUNCTION("IMPORTRANGE(""https://docs.google.com/spreadsheets/d/1XL5vhW3sbDhbH9Cz0tuDiY8C3ctxq1tqvaCgkFb8cCA/edit?usp=sharing"",""นครราชสีมา!J175"")"),0.0)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IFERROR(__xludf.DUMMYFUNCTION("IMPORTRANGE(""https://docs.google.com/spreadsheets/d/1XL5vhW3sbDhbH9Cz0tuDiY8C3ctxq1tqvaCgkFb8cCA/edit?usp=sharing"",""นครราชสีมา!J176"")"),1.0)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IFERROR(__xludf.DUMMYFUNCTION("IMPORTRANGE(""https://docs.google.com/spreadsheets/d/1XL5vhW3sbDhbH9Cz0tuDiY8C3ctxq1tqvaCgkFb8cCA/edit?usp=sharing"",""นครราชสีมา!J177"")"),1.0)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IFERROR(__xludf.DUMMYFUNCTION("IMPORTRANGE(""https://docs.google.com/spreadsheets/d/1XL5vhW3sbDhbH9Cz0tuDiY8C3ctxq1tqvaCgkFb8cCA/edit?usp=sharing"",""นครราชสีมา!J178"")"),1.0)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IFERROR(__xludf.DUMMYFUNCTION("IMPORTRANGE(""https://docs.google.com/spreadsheets/d/1XL5vhW3sbDhbH9Cz0tuDiY8C3ctxq1tqvaCgkFb8cCA/edit?usp=sharing"",""นครราชสีมา!I179"")"),1.0)</f>
        <v>1</v>
      </c>
      <c r="J264" s="223">
        <f>IFERROR(__xludf.DUMMYFUNCTION("IMPORTRANGE(""https://docs.google.com/spreadsheets/d/1XL5vhW3sbDhbH9Cz0tuDiY8C3ctxq1tqvaCgkFb8cCA/edit?usp=sharing"",""นครราชสีมา!J179"")"),0.0)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IFERROR(__xludf.DUMMYFUNCTION("IMPORTRANGE(""https://docs.google.com/spreadsheets/d/1XL5vhW3sbDhbH9Cz0tuDiY8C3ctxq1tqvaCgkFb8cCA/edit?usp=sharing"",""นครราชสีมา!I180"")"),50.0)</f>
        <v>50</v>
      </c>
      <c r="J265" s="223">
        <f>IFERROR(__xludf.DUMMYFUNCTION("IMPORTRANGE(""https://docs.google.com/spreadsheets/d/1XL5vhW3sbDhbH9Cz0tuDiY8C3ctxq1tqvaCgkFb8cCA/edit?usp=sharing"",""นครราชสีมา!J180"")"),0.0)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IFERROR(__xludf.DUMMYFUNCTION("IMPORTRANGE(""https://docs.google.com/spreadsheets/d/1XL5vhW3sbDhbH9Cz0tuDiY8C3ctxq1tqvaCgkFb8cCA/edit?usp=sharing"",""นครราชสีมา!I181"")"),50.0)</f>
        <v>50</v>
      </c>
      <c r="J266" s="223">
        <f>IFERROR(__xludf.DUMMYFUNCTION("IMPORTRANGE(""https://docs.google.com/spreadsheets/d/1XL5vhW3sbDhbH9Cz0tuDiY8C3ctxq1tqvaCgkFb8cCA/edit?usp=sharing"",""นครราชสีมา!J181"")"),0.0)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IFERROR(__xludf.DUMMYFUNCTION("IMPORTRANGE(""https://docs.google.com/spreadsheets/d/1XL5vhW3sbDhbH9Cz0tuDiY8C3ctxq1tqvaCgkFb8cCA/edit?usp=sharing"",""นครราชสีมา!I182"")"),1.0)</f>
        <v>1</v>
      </c>
      <c r="J267" s="223">
        <f>IFERROR(__xludf.DUMMYFUNCTION("IMPORTRANGE(""https://docs.google.com/spreadsheets/d/1XL5vhW3sbDhbH9Cz0tuDiY8C3ctxq1tqvaCgkFb8cCA/edit?usp=sharing"",""นครราชสีมา!J182"")"),0.0)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IFERROR(__xludf.DUMMYFUNCTION("IMPORTRANGE(""https://docs.google.com/spreadsheets/d/1XL5vhW3sbDhbH9Cz0tuDiY8C3ctxq1tqvaCgkFb8cCA/edit?usp=sharing"",""นครราชสีมา!J183"")"),0.0)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IFERROR(__xludf.DUMMYFUNCTION("IMPORTRANGE(""https://docs.google.com/spreadsheets/d/1XL5vhW3sbDhbH9Cz0tuDiY8C3ctxq1tqvaCgkFb8cCA/edit?usp=sharing"",""นครราชสีมา!J184"")"),0.0)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IFERROR(__xludf.DUMMYFUNCTION("IMPORTRANGE(""https://docs.google.com/spreadsheets/d/1XL5vhW3sbDhbH9Cz0tuDiY8C3ctxq1tqvaCgkFb8cCA/edit?usp=sharing"",""นครราชสีมา!I185"")"),20.0)</f>
        <v>20</v>
      </c>
      <c r="J270" s="349">
        <f>IFERROR(__xludf.DUMMYFUNCTION("IMPORTRANGE(""https://docs.google.com/spreadsheets/d/1XL5vhW3sbDhbH9Cz0tuDiY8C3ctxq1tqvaCgkFb8cCA/edit?usp=sharing"",""นครราชสีมา!J185"")"),20.0)</f>
        <v>20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73600</v>
      </c>
      <c r="M271" s="183">
        <f t="shared" si="84"/>
        <v>33000</v>
      </c>
      <c r="N271" s="183">
        <f t="shared" si="84"/>
        <v>23810</v>
      </c>
      <c r="O271" s="182">
        <f t="shared" ref="O271:O273" si="86">IF(L271&gt;0,N271*100/L271,0)</f>
        <v>32.35054348</v>
      </c>
      <c r="P271" s="182">
        <f t="shared" ref="P271:P273" si="87">IF(M271&gt;0,N271*100/M271,0)</f>
        <v>72.15151515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73600</v>
      </c>
      <c r="M273" s="188">
        <f t="shared" si="88"/>
        <v>33000</v>
      </c>
      <c r="N273" s="188">
        <f t="shared" si="88"/>
        <v>23810</v>
      </c>
      <c r="O273" s="187">
        <f t="shared" si="86"/>
        <v>32.35054348</v>
      </c>
      <c r="P273" s="187">
        <f t="shared" si="87"/>
        <v>72.15151515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73600</v>
      </c>
      <c r="M275" s="201">
        <f>IFERROR(__xludf.DUMMYFUNCTION("IMPORTRANGE(""https://docs.google.com/spreadsheets/d/1Yj_ptqi66GCucihVvJfMjLAmec39IyEx_6qawtMGysU/edit?usp=sharing"",""สบก!CK42"")"),33000.0)</f>
        <v>33000</v>
      </c>
      <c r="N275" s="202">
        <f>IFERROR(__xludf.DUMMYFUNCTION("IMPORTRANGE(""https://docs.google.com/spreadsheets/d/1Yj_ptqi66GCucihVvJfMjLAmec39IyEx_6qawtMGysU/edit?usp=sharing"",""สบก!CL42"")"),23810.0)</f>
        <v>23810</v>
      </c>
      <c r="O275" s="203">
        <f>IF(L275&gt;0,N275*100/L275,0)</f>
        <v>32.35054348</v>
      </c>
      <c r="P275" s="203">
        <f>IF(M275&gt;0,N275*100/M275,0)</f>
        <v>72.15151515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IFERROR(__xludf.DUMMYFUNCTION("IMPORTRANGE(""https://docs.google.com/spreadsheets/d/1Yj_ptqi66GCucihVvJfMjLAmec39IyEx_6qawtMGysU/edit?usp=sharing"",""สบก!CG42"")"),0.0)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IFERROR(__xludf.DUMMYFUNCTION("IMPORTRANGE(""https://docs.google.com/spreadsheets/d/1Yj_ptqi66GCucihVvJfMjLAmec39IyEx_6qawtMGysU/edit?usp=sharing"",""สบก!CH42"")"),73600.0)</f>
        <v>73600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IFERROR(__xludf.DUMMYFUNCTION("IMPORTRANGE(""https://docs.google.com/spreadsheets/d/1Yj_ptqi66GCucihVvJfMjLAmec39IyEx_6qawtMGysU/edit?usp=sharing"",""สบก!CI42"")"),0.0)</f>
        <v>0</v>
      </c>
      <c r="M279" s="125"/>
      <c r="N279" s="115">
        <f>IFERROR(__xludf.DUMMYFUNCTION("IMPORTRANGE(""https://docs.google.com/spreadsheets/d/1Yj_ptqi66GCucihVvJfMjLAmec39IyEx_6qawtMGysU/edit?usp=sharing"",""สบก!CM42"")"),0.0)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IFERROR(__xludf.DUMMYFUNCTION("IMPORTRANGE(""https://docs.google.com/spreadsheets/d/1XL5vhW3sbDhbH9Cz0tuDiY8C3ctxq1tqvaCgkFb8cCA/edit?usp=sharing"",""นครราชสีมา!J191"")"),0.0)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IFERROR(__xludf.DUMMYFUNCTION("IMPORTRANGE(""https://docs.google.com/spreadsheets/d/1XL5vhW3sbDhbH9Cz0tuDiY8C3ctxq1tqvaCgkFb8cCA/edit?usp=sharing"",""นครราชสีมา!J192"")"),1.0)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IFERROR(__xludf.DUMMYFUNCTION("IMPORTRANGE(""https://docs.google.com/spreadsheets/d/1XL5vhW3sbDhbH9Cz0tuDiY8C3ctxq1tqvaCgkFb8cCA/edit?usp=sharing"",""นครราชสีมา!J193"")"),1.0)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IFERROR(__xludf.DUMMYFUNCTION("IMPORTRANGE(""https://docs.google.com/spreadsheets/d/1XL5vhW3sbDhbH9Cz0tuDiY8C3ctxq1tqvaCgkFb8cCA/edit?usp=sharing"",""นครราชสีมา!J194"")"),1.0)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IFERROR(__xludf.DUMMYFUNCTION("IMPORTRANGE(""https://docs.google.com/spreadsheets/d/1XL5vhW3sbDhbH9Cz0tuDiY8C3ctxq1tqvaCgkFb8cCA/edit?usp=sharing"",""นครราชสีมา!I195"")"),20.0)</f>
        <v>20</v>
      </c>
      <c r="J285" s="223">
        <f>IFERROR(__xludf.DUMMYFUNCTION("IMPORTRANGE(""https://docs.google.com/spreadsheets/d/1XL5vhW3sbDhbH9Cz0tuDiY8C3ctxq1tqvaCgkFb8cCA/edit?usp=sharing"",""นครราชสีมา!J195"")"),20.0)</f>
        <v>20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IFERROR(__xludf.DUMMYFUNCTION("IMPORTRANGE(""https://docs.google.com/spreadsheets/d/1XL5vhW3sbDhbH9Cz0tuDiY8C3ctxq1tqvaCgkFb8cCA/edit?usp=sharing"",""นครราชสีมา!J196"")"),0.0)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IFERROR(__xludf.DUMMYFUNCTION("IMPORTRANGE(""https://docs.google.com/spreadsheets/d/1XL5vhW3sbDhbH9Cz0tuDiY8C3ctxq1tqvaCgkFb8cCA/edit?usp=sharing"",""นครราชสีมา!J197"")"),0.0)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IFERROR(__xludf.DUMMYFUNCTION("IMPORTRANGE(""https://docs.google.com/spreadsheets/d/1XL5vhW3sbDhbH9Cz0tuDiY8C3ctxq1tqvaCgkFb8cCA/edit?usp=sharing"",""นครราชสีมา!I199"")"),20.0)</f>
        <v>20</v>
      </c>
      <c r="J289" s="349">
        <f>IFERROR(__xludf.DUMMYFUNCTION("IMPORTRANGE(""https://docs.google.com/spreadsheets/d/1XL5vhW3sbDhbH9Cz0tuDiY8C3ctxq1tqvaCgkFb8cCA/edit?usp=sharing"",""นครราชสีมา!J199"")"),20.0)</f>
        <v>20</v>
      </c>
      <c r="K289" s="350">
        <f>IF(I289&gt;0,J289*100/I289,0)</f>
        <v>100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74920</v>
      </c>
      <c r="M290" s="183">
        <f t="shared" si="89"/>
        <v>35660</v>
      </c>
      <c r="N290" s="183">
        <f t="shared" si="89"/>
        <v>35628</v>
      </c>
      <c r="O290" s="182">
        <f t="shared" ref="O290:O292" si="91">IF(L290&gt;0,N290*100/L290,0)</f>
        <v>47.55472504</v>
      </c>
      <c r="P290" s="182">
        <f t="shared" ref="P290:P292" si="92">IF(M290&gt;0,N290*100/M290,0)</f>
        <v>99.9102636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74920</v>
      </c>
      <c r="M292" s="188">
        <f t="shared" si="93"/>
        <v>35660</v>
      </c>
      <c r="N292" s="188">
        <f t="shared" si="93"/>
        <v>35628</v>
      </c>
      <c r="O292" s="187">
        <f t="shared" si="91"/>
        <v>47.55472504</v>
      </c>
      <c r="P292" s="187">
        <f t="shared" si="92"/>
        <v>99.9102636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74920</v>
      </c>
      <c r="M294" s="201">
        <f>IFERROR(__xludf.DUMMYFUNCTION("IMPORTRANGE(""https://docs.google.com/spreadsheets/d/1Yj_ptqi66GCucihVvJfMjLAmec39IyEx_6qawtMGysU/edit?usp=sharing"",""สบก!CT42"")"),35660.0)</f>
        <v>35660</v>
      </c>
      <c r="N294" s="202">
        <f>IFERROR(__xludf.DUMMYFUNCTION("IMPORTRANGE(""https://docs.google.com/spreadsheets/d/1Yj_ptqi66GCucihVvJfMjLAmec39IyEx_6qawtMGysU/edit?usp=sharing"",""สบก!CU42"")"),35628.0)</f>
        <v>35628</v>
      </c>
      <c r="O294" s="203">
        <f>IF(L294&gt;0,N294*100/L294,0)</f>
        <v>47.55472504</v>
      </c>
      <c r="P294" s="203">
        <f>IF(M294&gt;0,N294*100/M294,0)</f>
        <v>99.9102636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IFERROR(__xludf.DUMMYFUNCTION("IMPORTRANGE(""https://docs.google.com/spreadsheets/d/1Yj_ptqi66GCucihVvJfMjLAmec39IyEx_6qawtMGysU/edit?usp=sharing"",""สบก!CP42"")"),0.0)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IFERROR(__xludf.DUMMYFUNCTION("IMPORTRANGE(""https://docs.google.com/spreadsheets/d/1Yj_ptqi66GCucihVvJfMjLAmec39IyEx_6qawtMGysU/edit?usp=sharing"",""สบก!CQ42"")"),74920.0)</f>
        <v>74920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IFERROR(__xludf.DUMMYFUNCTION("IMPORTRANGE(""https://docs.google.com/spreadsheets/d/1Yj_ptqi66GCucihVvJfMjLAmec39IyEx_6qawtMGysU/edit?usp=sharing"",""สบก!CR42"")"),0.0)</f>
        <v>0</v>
      </c>
      <c r="M298" s="125"/>
      <c r="N298" s="115">
        <f>IFERROR(__xludf.DUMMYFUNCTION("IMPORTRANGE(""https://docs.google.com/spreadsheets/d/1Yj_ptqi66GCucihVvJfMjLAmec39IyEx_6qawtMGysU/edit?usp=sharing"",""สบก!CV42"")"),0.0)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IFERROR(__xludf.DUMMYFUNCTION("IMPORTRANGE(""https://docs.google.com/spreadsheets/d/1XL5vhW3sbDhbH9Cz0tuDiY8C3ctxq1tqvaCgkFb8cCA/edit?usp=sharing"",""นครราชสีมา!J205"")"),0.0)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IFERROR(__xludf.DUMMYFUNCTION("IMPORTRANGE(""https://docs.google.com/spreadsheets/d/1XL5vhW3sbDhbH9Cz0tuDiY8C3ctxq1tqvaCgkFb8cCA/edit?usp=sharing"",""นครราชสีมา!J206"")"),1.0)</f>
        <v>1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IFERROR(__xludf.DUMMYFUNCTION("IMPORTRANGE(""https://docs.google.com/spreadsheets/d/1XL5vhW3sbDhbH9Cz0tuDiY8C3ctxq1tqvaCgkFb8cCA/edit?usp=sharing"",""นครราชสีมา!J207"")"),1.0)</f>
        <v>1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IFERROR(__xludf.DUMMYFUNCTION("IMPORTRANGE(""https://docs.google.com/spreadsheets/d/1XL5vhW3sbDhbH9Cz0tuDiY8C3ctxq1tqvaCgkFb8cCA/edit?usp=sharing"",""นครราชสีมา!J208"")"),1.0)</f>
        <v>1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IFERROR(__xludf.DUMMYFUNCTION("IMPORTRANGE(""https://docs.google.com/spreadsheets/d/1XL5vhW3sbDhbH9Cz0tuDiY8C3ctxq1tqvaCgkFb8cCA/edit?usp=sharing"",""นครราชสีมา!I209"")"),20.0)</f>
        <v>20</v>
      </c>
      <c r="J304" s="238">
        <f>IFERROR(__xludf.DUMMYFUNCTION("IMPORTRANGE(""https://docs.google.com/spreadsheets/d/1XL5vhW3sbDhbH9Cz0tuDiY8C3ctxq1tqvaCgkFb8cCA/edit?usp=sharing"",""นครราชสีมา!J209"")"),20.0)</f>
        <v>20</v>
      </c>
      <c r="K304" s="258">
        <f>IF(I304&gt;0,J304*100/I304,0)</f>
        <v>100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IFERROR(__xludf.DUMMYFUNCTION("IMPORTRANGE(""https://docs.google.com/spreadsheets/d/1XL5vhW3sbDhbH9Cz0tuDiY8C3ctxq1tqvaCgkFb8cCA/edit?usp=sharing"",""นครราชสีมา!I211"")"),20.0)</f>
        <v>20</v>
      </c>
      <c r="J306" s="238">
        <f>IFERROR(__xludf.DUMMYFUNCTION("IMPORTRANGE(""https://docs.google.com/spreadsheets/d/1XL5vhW3sbDhbH9Cz0tuDiY8C3ctxq1tqvaCgkFb8cCA/edit?usp=sharing"",""นครราชสีมา!J211"")"),0.0)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IFERROR(__xludf.DUMMYFUNCTION("IMPORTRANGE(""https://docs.google.com/spreadsheets/d/1XL5vhW3sbDhbH9Cz0tuDiY8C3ctxq1tqvaCgkFb8cCA/edit?usp=sharing"",""นครราชสีมา!J212"")"),0.0)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IFERROR(__xludf.DUMMYFUNCTION("IMPORTRANGE(""https://docs.google.com/spreadsheets/d/1XL5vhW3sbDhbH9Cz0tuDiY8C3ctxq1tqvaCgkFb8cCA/edit?usp=sharing"",""นครราชสีมา!J213"")"),0.0)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IFERROR(__xludf.DUMMYFUNCTION("IMPORTRANGE(""https://docs.google.com/spreadsheets/d/1XL5vhW3sbDhbH9Cz0tuDiY8C3ctxq1tqvaCgkFb8cCA/edit?usp=sharing"",""นครราชสีมา!I214"")"),2.0)</f>
        <v>2</v>
      </c>
      <c r="J309" s="366">
        <f>IFERROR(__xludf.DUMMYFUNCTION("IMPORTRANGE(""https://docs.google.com/spreadsheets/d/1XL5vhW3sbDhbH9Cz0tuDiY8C3ctxq1tqvaCgkFb8cCA/edit?usp=sharing"",""นครราชสีมา!J214"")"),2.0)</f>
        <v>2</v>
      </c>
      <c r="K309" s="367">
        <f>IF(I309&gt;0,J309*100/I309,0)</f>
        <v>100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447600</v>
      </c>
      <c r="M310" s="183">
        <f t="shared" si="94"/>
        <v>223800</v>
      </c>
      <c r="N310" s="183">
        <f t="shared" si="94"/>
        <v>103546</v>
      </c>
      <c r="O310" s="182">
        <f t="shared" ref="O310:O312" si="96">IF(L310&gt;0,N310*100/L310,0)</f>
        <v>23.13360143</v>
      </c>
      <c r="P310" s="182">
        <f t="shared" ref="P310:P312" si="97">IF(M310&gt;0,N310*100/M310,0)</f>
        <v>46.26720286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447600</v>
      </c>
      <c r="M312" s="188">
        <f t="shared" si="98"/>
        <v>223800</v>
      </c>
      <c r="N312" s="188">
        <f t="shared" si="98"/>
        <v>103546</v>
      </c>
      <c r="O312" s="187">
        <f t="shared" si="96"/>
        <v>23.13360143</v>
      </c>
      <c r="P312" s="187">
        <f t="shared" si="97"/>
        <v>46.26720286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447600</v>
      </c>
      <c r="M314" s="201">
        <f>IFERROR(__xludf.DUMMYFUNCTION("IMPORTRANGE(""https://docs.google.com/spreadsheets/d/1Yj_ptqi66GCucihVvJfMjLAmec39IyEx_6qawtMGysU/edit?usp=sharing"",""สบก!DC42"")"),223800.0)</f>
        <v>223800</v>
      </c>
      <c r="N314" s="202">
        <f>IFERROR(__xludf.DUMMYFUNCTION("IMPORTRANGE(""https://docs.google.com/spreadsheets/d/1Yj_ptqi66GCucihVvJfMjLAmec39IyEx_6qawtMGysU/edit?usp=sharing"",""สบก!DD42"")"),103546.0)</f>
        <v>103546</v>
      </c>
      <c r="O314" s="203">
        <f>IF(L314&gt;0,N314*100/L314,0)</f>
        <v>23.13360143</v>
      </c>
      <c r="P314" s="203">
        <f>IF(M314&gt;0,N314*100/M314,0)</f>
        <v>46.26720286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IFERROR(__xludf.DUMMYFUNCTION("IMPORTRANGE(""https://docs.google.com/spreadsheets/d/1Yj_ptqi66GCucihVvJfMjLAmec39IyEx_6qawtMGysU/edit?usp=sharing"",""สบก!CY42"")"),0.0)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IFERROR(__xludf.DUMMYFUNCTION("IMPORTRANGE(""https://docs.google.com/spreadsheets/d/1Yj_ptqi66GCucihVvJfMjLAmec39IyEx_6qawtMGysU/edit?usp=sharing"",""สบก!CZ42"")"),447600.0)</f>
        <v>447600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IFERROR(__xludf.DUMMYFUNCTION("IMPORTRANGE(""https://docs.google.com/spreadsheets/d/1Yj_ptqi66GCucihVvJfMjLAmec39IyEx_6qawtMGysU/edit?usp=sharing"",""สบก!DA42"")"),0.0)</f>
        <v>0</v>
      </c>
      <c r="M318" s="125"/>
      <c r="N318" s="115">
        <f>IFERROR(__xludf.DUMMYFUNCTION("IMPORTRANGE(""https://docs.google.com/spreadsheets/d/1Yj_ptqi66GCucihVvJfMjLAmec39IyEx_6qawtMGysU/edit?usp=sharing"",""สบก!DE42"")"),0.0)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IFERROR(__xludf.DUMMYFUNCTION("IMPORTRANGE(""https://docs.google.com/spreadsheets/d/1XL5vhW3sbDhbH9Cz0tuDiY8C3ctxq1tqvaCgkFb8cCA/edit?usp=sharing"",""นครราชสีมา!J220"")"),0.0)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IFERROR(__xludf.DUMMYFUNCTION("IMPORTRANGE(""https://docs.google.com/spreadsheets/d/1XL5vhW3sbDhbH9Cz0tuDiY8C3ctxq1tqvaCgkFb8cCA/edit?usp=sharing"",""นครราชสีมา!J221"")"),1.0)</f>
        <v>1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IFERROR(__xludf.DUMMYFUNCTION("IMPORTRANGE(""https://docs.google.com/spreadsheets/d/1XL5vhW3sbDhbH9Cz0tuDiY8C3ctxq1tqvaCgkFb8cCA/edit?usp=sharing"",""นครราชสีมา!J222"")"),1.0)</f>
        <v>1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IFERROR(__xludf.DUMMYFUNCTION("IMPORTRANGE(""https://docs.google.com/spreadsheets/d/1XL5vhW3sbDhbH9Cz0tuDiY8C3ctxq1tqvaCgkFb8cCA/edit?usp=sharing"",""นครราชสีมา!J223"")"),1.0)</f>
        <v>1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IFERROR(__xludf.DUMMYFUNCTION("IMPORTRANGE(""https://docs.google.com/spreadsheets/d/1XL5vhW3sbDhbH9Cz0tuDiY8C3ctxq1tqvaCgkFb8cCA/edit?usp=sharing"",""นครราชสีมา!I224"")"),2.0)</f>
        <v>2</v>
      </c>
      <c r="J324" s="238">
        <f>IFERROR(__xludf.DUMMYFUNCTION("IMPORTRANGE(""https://docs.google.com/spreadsheets/d/1XL5vhW3sbDhbH9Cz0tuDiY8C3ctxq1tqvaCgkFb8cCA/edit?usp=sharing"",""นครราชสีมา!J224"")"),2.0)</f>
        <v>2</v>
      </c>
      <c r="K324" s="258">
        <f>IF(I324&gt;0,J324*100/I324,0)</f>
        <v>100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IFERROR(__xludf.DUMMYFUNCTION("IMPORTRANGE(""https://docs.google.com/spreadsheets/d/1XL5vhW3sbDhbH9Cz0tuDiY8C3ctxq1tqvaCgkFb8cCA/edit?usp=sharing"",""นครราชสีมา!J225"")"),0.0)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IFERROR(__xludf.DUMMYFUNCTION("IMPORTRANGE(""https://docs.google.com/spreadsheets/d/1XL5vhW3sbDhbH9Cz0tuDiY8C3ctxq1tqvaCgkFb8cCA/edit?usp=sharing"",""นครราชสีมา!J226"")"),0.0)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IFERROR(__xludf.DUMMYFUNCTION("IMPORTRANGE(""https://docs.google.com/spreadsheets/d/1XL5vhW3sbDhbH9Cz0tuDiY8C3ctxq1tqvaCgkFb8cCA/edit?usp=sharing"",""นครราชสีมา!I228"")"),1550.0)</f>
        <v>1550</v>
      </c>
      <c r="J328" s="372">
        <f>IFERROR(__xludf.DUMMYFUNCTION("IMPORTRANGE(""https://docs.google.com/spreadsheets/d/1XL5vhW3sbDhbH9Cz0tuDiY8C3ctxq1tqvaCgkFb8cCA/edit?usp=sharing"",""นครราชสีมา!J228"")"),308.0)</f>
        <v>308</v>
      </c>
      <c r="K328" s="350">
        <f>IF(I328&gt;0,J328*100/I328,0)</f>
        <v>19.87096774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2505960</v>
      </c>
      <c r="M329" s="183">
        <f t="shared" si="99"/>
        <v>1502390</v>
      </c>
      <c r="N329" s="183">
        <f t="shared" si="99"/>
        <v>883090</v>
      </c>
      <c r="O329" s="182">
        <f t="shared" ref="O329:O331" si="101">IF(L329&gt;0,N329*100/L329,0)</f>
        <v>35.23958882</v>
      </c>
      <c r="P329" s="182">
        <f t="shared" ref="P329:P331" si="102">IF(M329&gt;0,N329*100/M329,0)</f>
        <v>58.77901211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2505960</v>
      </c>
      <c r="M331" s="188">
        <f t="shared" si="103"/>
        <v>1502390</v>
      </c>
      <c r="N331" s="188">
        <f t="shared" si="103"/>
        <v>883090</v>
      </c>
      <c r="O331" s="187">
        <f t="shared" si="101"/>
        <v>35.23958882</v>
      </c>
      <c r="P331" s="187">
        <f t="shared" si="102"/>
        <v>58.77901211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2505960</v>
      </c>
      <c r="M333" s="201">
        <f>IFERROR(__xludf.DUMMYFUNCTION("IMPORTRANGE(""https://docs.google.com/spreadsheets/d/1Yj_ptqi66GCucihVvJfMjLAmec39IyEx_6qawtMGysU/edit?usp=sharing"",""สบก!DL42"")"),1502390.0)</f>
        <v>1502390</v>
      </c>
      <c r="N333" s="202">
        <f>IFERROR(__xludf.DUMMYFUNCTION("IMPORTRANGE(""https://docs.google.com/spreadsheets/d/1Yj_ptqi66GCucihVvJfMjLAmec39IyEx_6qawtMGysU/edit?usp=sharing"",""สบก!DM42"")"),883090.0)</f>
        <v>883090</v>
      </c>
      <c r="O333" s="203">
        <f>IF(L333&gt;0,N333*100/L333,0)</f>
        <v>35.23958882</v>
      </c>
      <c r="P333" s="203">
        <f>IF(M333&gt;0,N333*100/M333,0)</f>
        <v>58.77901211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IFERROR(__xludf.DUMMYFUNCTION("IMPORTRANGE(""https://docs.google.com/spreadsheets/d/1Yj_ptqi66GCucihVvJfMjLAmec39IyEx_6qawtMGysU/edit?usp=sharing"",""สบก!DH42"")"),666000.0)</f>
        <v>666000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IFERROR(__xludf.DUMMYFUNCTION("IMPORTRANGE(""https://docs.google.com/spreadsheets/d/1Yj_ptqi66GCucihVvJfMjLAmec39IyEx_6qawtMGysU/edit?usp=sharing"",""สบก!DI42"")"),1839960.0)</f>
        <v>1839960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IFERROR(__xludf.DUMMYFUNCTION("IMPORTRANGE(""https://docs.google.com/spreadsheets/d/1Yj_ptqi66GCucihVvJfMjLAmec39IyEx_6qawtMGysU/edit?usp=sharing"",""สบก!DJ42"")"),0.0)</f>
        <v>0</v>
      </c>
      <c r="M337" s="125"/>
      <c r="N337" s="115">
        <f>IFERROR(__xludf.DUMMYFUNCTION("IMPORTRANGE(""https://docs.google.com/spreadsheets/d/1Yj_ptqi66GCucihVvJfMjLAmec39IyEx_6qawtMGysU/edit?usp=sharing"",""สบก!DN42"")"),0.0)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IFERROR(__xludf.DUMMYFUNCTION("IMPORTRANGE(""https://docs.google.com/spreadsheets/d/1XL5vhW3sbDhbH9Cz0tuDiY8C3ctxq1tqvaCgkFb8cCA/edit?usp=sharing"",""นครราชสีมา!I234"")"),0.0)</f>
        <v>0</v>
      </c>
      <c r="J339" s="222">
        <f>IFERROR(__xludf.DUMMYFUNCTION("IMPORTRANGE(""https://docs.google.com/spreadsheets/d/1XL5vhW3sbDhbH9Cz0tuDiY8C3ctxq1tqvaCgkFb8cCA/edit?usp=sharing"",""นครราชสีมา!J234"")"),519.0)</f>
        <v>519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IFERROR(__xludf.DUMMYFUNCTION("IMPORTRANGE(""https://docs.google.com/spreadsheets/d/1XL5vhW3sbDhbH9Cz0tuDiY8C3ctxq1tqvaCgkFb8cCA/edit?usp=sharing"",""นครราชสีมา!I235"")"),15600.0)</f>
        <v>15600</v>
      </c>
      <c r="J340" s="222">
        <f>IFERROR(__xludf.DUMMYFUNCTION("IMPORTRANGE(""https://docs.google.com/spreadsheets/d/1XL5vhW3sbDhbH9Cz0tuDiY8C3ctxq1tqvaCgkFb8cCA/edit?usp=sharing"",""นครราชสีมา!J235"")"),5064.74)</f>
        <v>5064.74</v>
      </c>
      <c r="K340" s="375">
        <f t="shared" si="104"/>
        <v>32.46628205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IFERROR(__xludf.DUMMYFUNCTION("IMPORTRANGE(""https://docs.google.com/spreadsheets/d/1XL5vhW3sbDhbH9Cz0tuDiY8C3ctxq1tqvaCgkFb8cCA/edit?usp=sharing"",""นครราชสีมา!I236"")"),1550.0)</f>
        <v>1550</v>
      </c>
      <c r="J341" s="222">
        <f>IFERROR(__xludf.DUMMYFUNCTION("IMPORTRANGE(""https://docs.google.com/spreadsheets/d/1XL5vhW3sbDhbH9Cz0tuDiY8C3ctxq1tqvaCgkFb8cCA/edit?usp=sharing"",""นครราชสีมา!J236"")"),619.0)</f>
        <v>619</v>
      </c>
      <c r="K341" s="375">
        <f t="shared" si="104"/>
        <v>39.93548387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IFERROR(__xludf.DUMMYFUNCTION("IMPORTRANGE(""https://docs.google.com/spreadsheets/d/1XL5vhW3sbDhbH9Cz0tuDiY8C3ctxq1tqvaCgkFb8cCA/edit?usp=sharing"",""นครราชสีมา!I237"")"),0.0)</f>
        <v>0</v>
      </c>
      <c r="J342" s="222">
        <f>IFERROR(__xludf.DUMMYFUNCTION("IMPORTRANGE(""https://docs.google.com/spreadsheets/d/1XL5vhW3sbDhbH9Cz0tuDiY8C3ctxq1tqvaCgkFb8cCA/edit?usp=sharing"",""นครราชสีมา!J237"")"),7881.38)</f>
        <v>7881.38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IFERROR(__xludf.DUMMYFUNCTION("IMPORTRANGE(""https://docs.google.com/spreadsheets/d/1XL5vhW3sbDhbH9Cz0tuDiY8C3ctxq1tqvaCgkFb8cCA/edit?usp=sharing"",""นครราชสีมา!I238"")"),1550.0)</f>
        <v>1550</v>
      </c>
      <c r="J343" s="222">
        <f>IFERROR(__xludf.DUMMYFUNCTION("IMPORTRANGE(""https://docs.google.com/spreadsheets/d/1XL5vhW3sbDhbH9Cz0tuDiY8C3ctxq1tqvaCgkFb8cCA/edit?usp=sharing"",""นครราชสีมา!J238"")"),0.0)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IFERROR(__xludf.DUMMYFUNCTION("IMPORTRANGE(""https://docs.google.com/spreadsheets/d/1XL5vhW3sbDhbH9Cz0tuDiY8C3ctxq1tqvaCgkFb8cCA/edit?usp=sharing"",""นครราชสีมา!I239"")"),0.0)</f>
        <v>0</v>
      </c>
      <c r="J344" s="222">
        <f>IFERROR(__xludf.DUMMYFUNCTION("IMPORTRANGE(""https://docs.google.com/spreadsheets/d/1XL5vhW3sbDhbH9Cz0tuDiY8C3ctxq1tqvaCgkFb8cCA/edit?usp=sharing"",""นครราชสีมา!J239"")"),0.0)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IFERROR(__xludf.DUMMYFUNCTION("IMPORTRANGE(""https://docs.google.com/spreadsheets/d/1XL5vhW3sbDhbH9Cz0tuDiY8C3ctxq1tqvaCgkFb8cCA/edit?usp=sharing"",""นครราชสีมา!I240"")"),1550.0)</f>
        <v>1550</v>
      </c>
      <c r="J345" s="222">
        <f>IFERROR(__xludf.DUMMYFUNCTION("IMPORTRANGE(""https://docs.google.com/spreadsheets/d/1XL5vhW3sbDhbH9Cz0tuDiY8C3ctxq1tqvaCgkFb8cCA/edit?usp=sharing"",""นครราชสีมา!J240"")"),308.0)</f>
        <v>308</v>
      </c>
      <c r="K345" s="375">
        <f t="shared" si="104"/>
        <v>19.87096774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IFERROR(__xludf.DUMMYFUNCTION("IMPORTRANGE(""https://docs.google.com/spreadsheets/d/1XL5vhW3sbDhbH9Cz0tuDiY8C3ctxq1tqvaCgkFb8cCA/edit?usp=sharing"",""นครราชสีมา!I241"")"),0.0)</f>
        <v>0</v>
      </c>
      <c r="J346" s="222">
        <f>IFERROR(__xludf.DUMMYFUNCTION("IMPORTRANGE(""https://docs.google.com/spreadsheets/d/1XL5vhW3sbDhbH9Cz0tuDiY8C3ctxq1tqvaCgkFb8cCA/edit?usp=sharing"",""นครราชสีมา!J241"")"),4666.67)</f>
        <v>4666.67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IFERROR(__xludf.DUMMYFUNCTION("IMPORTRANGE(""https://docs.google.com/spreadsheets/d/1XL5vhW3sbDhbH9Cz0tuDiY8C3ctxq1tqvaCgkFb8cCA/edit?usp=sharing"",""นครราชสีมา!L242"")"),4357421.0)</f>
        <v>4357421</v>
      </c>
      <c r="M347" s="391"/>
      <c r="N347" s="391">
        <f>IFERROR(__xludf.DUMMYFUNCTION("IMPORTRANGE(""https://docs.google.com/spreadsheets/d/1XL5vhW3sbDhbH9Cz0tuDiY8C3ctxq1tqvaCgkFb8cCA/edit?usp=sharing"",""นครราชสีมา!M242"")"),1368009.1099999999)</f>
        <v>1368009.11</v>
      </c>
      <c r="O347" s="391">
        <f>+IF(L347&gt;0,N347*100/L347,0)</f>
        <v>31.39492626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IFERROR(__xludf.DUMMYFUNCTION("IMPORTRANGE(""https://docs.google.com/spreadsheets/d/1XL5vhW3sbDhbH9Cz0tuDiY8C3ctxq1tqvaCgkFb8cCA/edit?usp=sharing"",""นครราชสีมา!I244"")"),200.0)</f>
        <v>200</v>
      </c>
      <c r="J349" s="404">
        <f>IFERROR(__xludf.DUMMYFUNCTION("IMPORTRANGE(""https://docs.google.com/spreadsheets/d/1XL5vhW3sbDhbH9Cz0tuDiY8C3ctxq1tqvaCgkFb8cCA/edit?usp=sharing"",""นครราชสีมา!J244"")"),200.0)</f>
        <v>200</v>
      </c>
      <c r="K349" s="405">
        <f t="shared" ref="K349:K350" si="105">IF(I349&gt;0,J349*100/I349,0)</f>
        <v>100</v>
      </c>
      <c r="L349" s="406">
        <f>IFERROR(__xludf.DUMMYFUNCTION("IMPORTRANGE(""https://docs.google.com/spreadsheets/d/1XL5vhW3sbDhbH9Cz0tuDiY8C3ctxq1tqvaCgkFb8cCA/edit?usp=sharing"",""นครราชสีมา!L244"")"),529200.0)</f>
        <v>529200</v>
      </c>
      <c r="M349" s="406"/>
      <c r="N349" s="406">
        <f>IFERROR(__xludf.DUMMYFUNCTION("IMPORTRANGE(""https://docs.google.com/spreadsheets/d/1XL5vhW3sbDhbH9Cz0tuDiY8C3ctxq1tqvaCgkFb8cCA/edit?usp=sharing"",""นครราชสีมา!M244"")"),343829.92)</f>
        <v>343829.92</v>
      </c>
      <c r="O349" s="406">
        <f>+IF(L349&gt;0,N349*100/L349,0)</f>
        <v>64.97164021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IFERROR(__xludf.DUMMYFUNCTION("IMPORTRANGE(""https://docs.google.com/spreadsheets/d/1XL5vhW3sbDhbH9Cz0tuDiY8C3ctxq1tqvaCgkFb8cCA/edit?usp=sharing"",""นครราชสีมา!I245"")"),100.0)</f>
        <v>100</v>
      </c>
      <c r="J350" s="404">
        <f>IFERROR(__xludf.DUMMYFUNCTION("IMPORTRANGE(""https://docs.google.com/spreadsheets/d/1XL5vhW3sbDhbH9Cz0tuDiY8C3ctxq1tqvaCgkFb8cCA/edit?usp=sharing"",""นครราชสีมา!J245"")"),100.0)</f>
        <v>100</v>
      </c>
      <c r="K350" s="405">
        <f t="shared" si="105"/>
        <v>100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IFERROR(__xludf.DUMMYFUNCTION("IMPORTRANGE(""https://docs.google.com/spreadsheets/d/1XL5vhW3sbDhbH9Cz0tuDiY8C3ctxq1tqvaCgkFb8cCA/edit?usp=sharing"",""นครราชสีมา!L246"")"),0.0)</f>
        <v>0</v>
      </c>
      <c r="M351" s="197"/>
      <c r="N351" s="197">
        <f>IFERROR(__xludf.DUMMYFUNCTION("IMPORTRANGE(""https://docs.google.com/spreadsheets/d/1XL5vhW3sbDhbH9Cz0tuDiY8C3ctxq1tqvaCgkFb8cCA/edit?usp=sharing"",""นครราชสีมา!M246"")"),0.0)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IFERROR(__xludf.DUMMYFUNCTION("IMPORTRANGE(""https://docs.google.com/spreadsheets/d/1XL5vhW3sbDhbH9Cz0tuDiY8C3ctxq1tqvaCgkFb8cCA/edit?usp=sharing"",""นครราชสีมา!L247"")"),529200.0)</f>
        <v>529200</v>
      </c>
      <c r="M352" s="198"/>
      <c r="N352" s="197">
        <f>IFERROR(__xludf.DUMMYFUNCTION("IMPORTRANGE(""https://docs.google.com/spreadsheets/d/1XL5vhW3sbDhbH9Cz0tuDiY8C3ctxq1tqvaCgkFb8cCA/edit?usp=sharing"",""นครราชสีมา!M247"")"),343829.92)</f>
        <v>343829.92</v>
      </c>
      <c r="O352" s="198">
        <f t="shared" si="106"/>
        <v>64.97164021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IFERROR(__xludf.DUMMYFUNCTION("IMPORTRANGE(""https://docs.google.com/spreadsheets/d/1XL5vhW3sbDhbH9Cz0tuDiY8C3ctxq1tqvaCgkFb8cCA/edit?usp=sharing"",""นครราชสีมา!L248"")"),0.0)</f>
        <v>0</v>
      </c>
      <c r="M353" s="203"/>
      <c r="N353" s="203">
        <f>IFERROR(__xludf.DUMMYFUNCTION("IMPORTRANGE(""https://docs.google.com/spreadsheets/d/1XL5vhW3sbDhbH9Cz0tuDiY8C3ctxq1tqvaCgkFb8cCA/edit?usp=sharing"",""นครราชสีมา!M248"")"),0.0)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IFERROR(__xludf.DUMMYFUNCTION("IMPORTRANGE(""https://docs.google.com/spreadsheets/d/1XL5vhW3sbDhbH9Cz0tuDiY8C3ctxq1tqvaCgkFb8cCA/edit?usp=sharing"",""นครราชสีมา!L249"")"),529200.0)</f>
        <v>529200</v>
      </c>
      <c r="M354" s="203"/>
      <c r="N354" s="200">
        <f>IFERROR(__xludf.DUMMYFUNCTION("IMPORTRANGE(""https://docs.google.com/spreadsheets/d/1XL5vhW3sbDhbH9Cz0tuDiY8C3ctxq1tqvaCgkFb8cCA/edit?usp=sharing"",""นครราชสีมา!M249"")"),343829.92)</f>
        <v>343829.92</v>
      </c>
      <c r="O354" s="203">
        <f t="shared" si="106"/>
        <v>64.97164021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IFERROR(__xludf.DUMMYFUNCTION("IMPORTRANGE(""https://docs.google.com/spreadsheets/d/1XL5vhW3sbDhbH9Cz0tuDiY8C3ctxq1tqvaCgkFb8cCA/edit?usp=sharing"",""นครราชสีมา!M250"")"),81950.0)</f>
        <v>81950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IFERROR(__xludf.DUMMYFUNCTION("IMPORTRANGE(""https://docs.google.com/spreadsheets/d/1XL5vhW3sbDhbH9Cz0tuDiY8C3ctxq1tqvaCgkFb8cCA/edit?usp=sharing"",""นครราชสีมา!M251"")"),207000.0)</f>
        <v>207000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IFERROR(__xludf.DUMMYFUNCTION("IMPORTRANGE(""https://docs.google.com/spreadsheets/d/1XL5vhW3sbDhbH9Cz0tuDiY8C3ctxq1tqvaCgkFb8cCA/edit?usp=sharing"",""นครราชสีมา!M252"")"),36399.92)</f>
        <v>36399.92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IFERROR(__xludf.DUMMYFUNCTION("IMPORTRANGE(""https://docs.google.com/spreadsheets/d/1XL5vhW3sbDhbH9Cz0tuDiY8C3ctxq1tqvaCgkFb8cCA/edit?usp=sharing"",""นครราชสีมา!M253"")"),18480.0)</f>
        <v>18480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IFERROR(__xludf.DUMMYFUNCTION("IMPORTRANGE(""https://docs.google.com/spreadsheets/d/1XL5vhW3sbDhbH9Cz0tuDiY8C3ctxq1tqvaCgkFb8cCA/edit?usp=sharing"",""นครราชสีมา!J255"")"),0.0)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IFERROR(__xludf.DUMMYFUNCTION("IMPORTRANGE(""https://docs.google.com/spreadsheets/d/1XL5vhW3sbDhbH9Cz0tuDiY8C3ctxq1tqvaCgkFb8cCA/edit?usp=sharing"",""นครราชสีมา!J256"")"),1.0)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IFERROR(__xludf.DUMMYFUNCTION("IMPORTRANGE(""https://docs.google.com/spreadsheets/d/1XL5vhW3sbDhbH9Cz0tuDiY8C3ctxq1tqvaCgkFb8cCA/edit?usp=sharing"",""นครราชสีมา!J257"")"),1.0)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IFERROR(__xludf.DUMMYFUNCTION("IMPORTRANGE(""https://docs.google.com/spreadsheets/d/1XL5vhW3sbDhbH9Cz0tuDiY8C3ctxq1tqvaCgkFb8cCA/edit?usp=sharing"",""นครราชสีมา!J258"")"),1.0)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IFERROR(__xludf.DUMMYFUNCTION("IMPORTRANGE(""https://docs.google.com/spreadsheets/d/1XL5vhW3sbDhbH9Cz0tuDiY8C3ctxq1tqvaCgkFb8cCA/edit?usp=sharing"",""นครราชสีมา!J166"")"),0.0)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IFERROR(__xludf.DUMMYFUNCTION("IMPORTRANGE(""https://docs.google.com/spreadsheets/d/1XL5vhW3sbDhbH9Cz0tuDiY8C3ctxq1tqvaCgkFb8cCA/edit?usp=sharing"",""นครราชสีมา!J166"")"),0.0)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IFERROR(__xludf.DUMMYFUNCTION("IMPORTRANGE(""https://docs.google.com/spreadsheets/d/1XL5vhW3sbDhbH9Cz0tuDiY8C3ctxq1tqvaCgkFb8cCA/edit?usp=sharing"",""นครราชสีมา!J166"")"),0.0)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IFERROR(__xludf.DUMMYFUNCTION("IMPORTRANGE(""https://docs.google.com/spreadsheets/d/1XL5vhW3sbDhbH9Cz0tuDiY8C3ctxq1tqvaCgkFb8cCA/edit?usp=sharing"",""นครราชสีมา!J166"")"),0.0)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IFERROR(__xludf.DUMMYFUNCTION("IMPORTRANGE(""https://docs.google.com/spreadsheets/d/1XL5vhW3sbDhbH9Cz0tuDiY8C3ctxq1tqvaCgkFb8cCA/edit?usp=sharing"",""นครราชสีมา!I263"")"),100.0)</f>
        <v>100</v>
      </c>
      <c r="J368" s="222">
        <f>IFERROR(__xludf.DUMMYFUNCTION("IMPORTRANGE(""https://docs.google.com/spreadsheets/d/1XL5vhW3sbDhbH9Cz0tuDiY8C3ctxq1tqvaCgkFb8cCA/edit?usp=sharing"",""นครราชสีมา!J263"")"),100.0)</f>
        <v>100</v>
      </c>
      <c r="K368" s="196">
        <f t="shared" si="107"/>
        <v>100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IFERROR(__xludf.DUMMYFUNCTION("IMPORTRANGE(""https://docs.google.com/spreadsheets/d/1XL5vhW3sbDhbH9Cz0tuDiY8C3ctxq1tqvaCgkFb8cCA/edit?usp=sharing"",""นครราชสีมา!I164"")"),0.0)</f>
        <v>0</v>
      </c>
      <c r="J369" s="238">
        <f>IFERROR(__xludf.DUMMYFUNCTION("IMPORTRANGE(""https://docs.google.com/spreadsheets/d/1XL5vhW3sbDhbH9Cz0tuDiY8C3ctxq1tqvaCgkFb8cCA/edit?usp=sharing"",""นครราชสีมา!J164"")"),0.0)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IFERROR(__xludf.DUMMYFUNCTION("IMPORTRANGE(""https://docs.google.com/spreadsheets/d/1XL5vhW3sbDhbH9Cz0tuDiY8C3ctxq1tqvaCgkFb8cCA/edit?usp=sharing"",""นครราชสีมา!I265"")"),100.0)</f>
        <v>100</v>
      </c>
      <c r="J370" s="238">
        <f>IFERROR(__xludf.DUMMYFUNCTION("IMPORTRANGE(""https://docs.google.com/spreadsheets/d/1XL5vhW3sbDhbH9Cz0tuDiY8C3ctxq1tqvaCgkFb8cCA/edit?usp=sharing"",""นครราชสีมา!J265"")"),100.0)</f>
        <v>100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IFERROR(__xludf.DUMMYFUNCTION("IMPORTRANGE(""https://docs.google.com/spreadsheets/d/1XL5vhW3sbDhbH9Cz0tuDiY8C3ctxq1tqvaCgkFb8cCA/edit?usp=sharing"",""นครราชสีมา!I164"")"),0.0)</f>
        <v>0</v>
      </c>
      <c r="J371" s="223">
        <f>IFERROR(__xludf.DUMMYFUNCTION("IMPORTRANGE(""https://docs.google.com/spreadsheets/d/1XL5vhW3sbDhbH9Cz0tuDiY8C3ctxq1tqvaCgkFb8cCA/edit?usp=sharing"",""นครราชสีมา!J164"")"),0.0)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IFERROR(__xludf.DUMMYFUNCTION("IMPORTRANGE(""https://docs.google.com/spreadsheets/d/1XL5vhW3sbDhbH9Cz0tuDiY8C3ctxq1tqvaCgkFb8cCA/edit?usp=sharing"",""นครราชสีมา!I267"")"),100.0)</f>
        <v>100</v>
      </c>
      <c r="J372" s="223">
        <f>IFERROR(__xludf.DUMMYFUNCTION("IMPORTRANGE(""https://docs.google.com/spreadsheets/d/1XL5vhW3sbDhbH9Cz0tuDiY8C3ctxq1tqvaCgkFb8cCA/edit?usp=sharing"",""นครราชสีมา!J267"")"),100.0)</f>
        <v>100</v>
      </c>
      <c r="K372" s="196">
        <f t="shared" si="107"/>
        <v>100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IFERROR(__xludf.DUMMYFUNCTION("IMPORTRANGE(""https://docs.google.com/spreadsheets/d/1XL5vhW3sbDhbH9Cz0tuDiY8C3ctxq1tqvaCgkFb8cCA/edit?usp=sharing"",""นครราชสีมา!I164"")"),0.0)</f>
        <v>0</v>
      </c>
      <c r="J373" s="238">
        <f>IFERROR(__xludf.DUMMYFUNCTION("IMPORTRANGE(""https://docs.google.com/spreadsheets/d/1XL5vhW3sbDhbH9Cz0tuDiY8C3ctxq1tqvaCgkFb8cCA/edit?usp=sharing"",""นครราชสีมา!J164"")"),0.0)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IFERROR(__xludf.DUMMYFUNCTION("IMPORTRANGE(""https://docs.google.com/spreadsheets/d/1XL5vhW3sbDhbH9Cz0tuDiY8C3ctxq1tqvaCgkFb8cCA/edit?usp=sharing"",""นครราชสีมา!I164"")"),0.0)</f>
        <v>0</v>
      </c>
      <c r="J374" s="222">
        <f>IFERROR(__xludf.DUMMYFUNCTION("IMPORTRANGE(""https://docs.google.com/spreadsheets/d/1XL5vhW3sbDhbH9Cz0tuDiY8C3ctxq1tqvaCgkFb8cCA/edit?usp=sharing"",""นครราชสีมา!J164"")"),0.0)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IFERROR(__xludf.DUMMYFUNCTION("IMPORTRANGE(""https://docs.google.com/spreadsheets/d/1XL5vhW3sbDhbH9Cz0tuDiY8C3ctxq1tqvaCgkFb8cCA/edit?usp=sharing"",""นครราชสีมา!I270"")"),200.0)</f>
        <v>200</v>
      </c>
      <c r="J375" s="222">
        <f>IFERROR(__xludf.DUMMYFUNCTION("IMPORTRANGE(""https://docs.google.com/spreadsheets/d/1XL5vhW3sbDhbH9Cz0tuDiY8C3ctxq1tqvaCgkFb8cCA/edit?usp=sharing"",""นครราชสีมา!J270"")"),200.0)</f>
        <v>200</v>
      </c>
      <c r="K375" s="196">
        <f t="shared" ref="K375:K377" si="108">IF(I375&gt;0,J375*100/I375,0)</f>
        <v>100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IFERROR(__xludf.DUMMYFUNCTION("IMPORTRANGE(""https://docs.google.com/spreadsheets/d/1XL5vhW3sbDhbH9Cz0tuDiY8C3ctxq1tqvaCgkFb8cCA/edit?usp=sharing"",""นครราชสีมา!I271"")"),140.0)</f>
        <v>140</v>
      </c>
      <c r="J376" s="223">
        <f>IFERROR(__xludf.DUMMYFUNCTION("IMPORTRANGE(""https://docs.google.com/spreadsheets/d/1XL5vhW3sbDhbH9Cz0tuDiY8C3ctxq1tqvaCgkFb8cCA/edit?usp=sharing"",""นครราชสีมา!J271"")"),140.0)</f>
        <v>140</v>
      </c>
      <c r="K376" s="196">
        <f t="shared" si="108"/>
        <v>100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IFERROR(__xludf.DUMMYFUNCTION("IMPORTRANGE(""https://docs.google.com/spreadsheets/d/1XL5vhW3sbDhbH9Cz0tuDiY8C3ctxq1tqvaCgkFb8cCA/edit?usp=sharing"",""นครราชสีมา!I272"")"),60.0)</f>
        <v>60</v>
      </c>
      <c r="J377" s="238">
        <f>IFERROR(__xludf.DUMMYFUNCTION("IMPORTRANGE(""https://docs.google.com/spreadsheets/d/1XL5vhW3sbDhbH9Cz0tuDiY8C3ctxq1tqvaCgkFb8cCA/edit?usp=sharing"",""นครราชสีมา!J272"")"),60.0)</f>
        <v>60</v>
      </c>
      <c r="K377" s="196">
        <f t="shared" si="108"/>
        <v>100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IFERROR(__xludf.DUMMYFUNCTION("IMPORTRANGE(""https://docs.google.com/spreadsheets/d/1XL5vhW3sbDhbH9Cz0tuDiY8C3ctxq1tqvaCgkFb8cCA/edit?usp=sharing"",""นครราชสีมา!J273"")"),0.0)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IFERROR(__xludf.DUMMYFUNCTION("IMPORTRANGE(""https://docs.google.com/spreadsheets/d/1XL5vhW3sbDhbH9Cz0tuDiY8C3ctxq1tqvaCgkFb8cCA/edit?usp=sharing"",""นครราชสีมา!J274"")"),0.0)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IFERROR(__xludf.DUMMYFUNCTION("IMPORTRANGE(""https://docs.google.com/spreadsheets/d/1XL5vhW3sbDhbH9Cz0tuDiY8C3ctxq1tqvaCgkFb8cCA/edit?usp=sharing"",""นครราชสีมา!I275"")"),1000.0)</f>
        <v>1000</v>
      </c>
      <c r="J380" s="404">
        <f>IFERROR(__xludf.DUMMYFUNCTION("IMPORTRANGE(""https://docs.google.com/spreadsheets/d/1XL5vhW3sbDhbH9Cz0tuDiY8C3ctxq1tqvaCgkFb8cCA/edit?usp=sharing"",""นครราชสีมา!J275"")"),0.0)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IFERROR(__xludf.DUMMYFUNCTION("IMPORTRANGE(""https://docs.google.com/spreadsheets/d/1XL5vhW3sbDhbH9Cz0tuDiY8C3ctxq1tqvaCgkFb8cCA/edit?usp=sharing"",""นครราชสีมา!L275"")"),1028520.0)</f>
        <v>1028520</v>
      </c>
      <c r="M380" s="406"/>
      <c r="N380" s="406">
        <f>IFERROR(__xludf.DUMMYFUNCTION("IMPORTRANGE(""https://docs.google.com/spreadsheets/d/1XL5vhW3sbDhbH9Cz0tuDiY8C3ctxq1tqvaCgkFb8cCA/edit?usp=sharing"",""นครราชสีมา!M275"")"),39080.0)</f>
        <v>39080</v>
      </c>
      <c r="O380" s="406">
        <f>+IF(L380&gt;0,N380*100/L380,0)</f>
        <v>3.799634426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IFERROR(__xludf.DUMMYFUNCTION("IMPORTRANGE(""https://docs.google.com/spreadsheets/d/1XL5vhW3sbDhbH9Cz0tuDiY8C3ctxq1tqvaCgkFb8cCA/edit?usp=sharing"",""นครราชสีมา!I276"")"),100.0)</f>
        <v>100</v>
      </c>
      <c r="J381" s="404">
        <f>IFERROR(__xludf.DUMMYFUNCTION("IMPORTRANGE(""https://docs.google.com/spreadsheets/d/1XL5vhW3sbDhbH9Cz0tuDiY8C3ctxq1tqvaCgkFb8cCA/edit?usp=sharing"",""นครราชสีมา!J276"")"),0.0)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IFERROR(__xludf.DUMMYFUNCTION("IMPORTRANGE(""https://docs.google.com/spreadsheets/d/1XL5vhW3sbDhbH9Cz0tuDiY8C3ctxq1tqvaCgkFb8cCA/edit?usp=sharing"",""นครราชสีมา!L277"")"),0.0)</f>
        <v>0</v>
      </c>
      <c r="M382" s="197"/>
      <c r="N382" s="197">
        <f>IFERROR(__xludf.DUMMYFUNCTION("IMPORTRANGE(""https://docs.google.com/spreadsheets/d/1XL5vhW3sbDhbH9Cz0tuDiY8C3ctxq1tqvaCgkFb8cCA/edit?usp=sharing"",""นครราชสีมา!M277"")"),0.0)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IFERROR(__xludf.DUMMYFUNCTION("IMPORTRANGE(""https://docs.google.com/spreadsheets/d/1XL5vhW3sbDhbH9Cz0tuDiY8C3ctxq1tqvaCgkFb8cCA/edit?usp=sharing"",""นครราชสีมา!L278"")"),1028520.0)</f>
        <v>1028520</v>
      </c>
      <c r="M383" s="198"/>
      <c r="N383" s="198">
        <f>IFERROR(__xludf.DUMMYFUNCTION("IMPORTRANGE(""https://docs.google.com/spreadsheets/d/1XL5vhW3sbDhbH9Cz0tuDiY8C3ctxq1tqvaCgkFb8cCA/edit?usp=sharing"",""นครราชสีมา!M278"")"),39080.0)</f>
        <v>39080</v>
      </c>
      <c r="O383" s="198">
        <f t="shared" si="110"/>
        <v>3.799634426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IFERROR(__xludf.DUMMYFUNCTION("IMPORTRANGE(""https://docs.google.com/spreadsheets/d/1XL5vhW3sbDhbH9Cz0tuDiY8C3ctxq1tqvaCgkFb8cCA/edit?usp=sharing"",""นครราชสีมา!L279"")"),0.0)</f>
        <v>0</v>
      </c>
      <c r="M384" s="203"/>
      <c r="N384" s="203">
        <f>IFERROR(__xludf.DUMMYFUNCTION("IMPORTRANGE(""https://docs.google.com/spreadsheets/d/1XL5vhW3sbDhbH9Cz0tuDiY8C3ctxq1tqvaCgkFb8cCA/edit?usp=sharing"",""นครราชสีมา!M279"")"),0.0)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IFERROR(__xludf.DUMMYFUNCTION("IMPORTRANGE(""https://docs.google.com/spreadsheets/d/1XL5vhW3sbDhbH9Cz0tuDiY8C3ctxq1tqvaCgkFb8cCA/edit?usp=sharing"",""นครราชสีมา!L280"")"),1028520.0)</f>
        <v>1028520</v>
      </c>
      <c r="M385" s="203"/>
      <c r="N385" s="200">
        <f>IFERROR(__xludf.DUMMYFUNCTION("IMPORTRANGE(""https://docs.google.com/spreadsheets/d/1XL5vhW3sbDhbH9Cz0tuDiY8C3ctxq1tqvaCgkFb8cCA/edit?usp=sharing"",""นครราชสีมา!M280"")"),39080.0)</f>
        <v>39080</v>
      </c>
      <c r="O385" s="203">
        <f t="shared" si="110"/>
        <v>3.799634426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IFERROR(__xludf.DUMMYFUNCTION("IMPORTRANGE(""https://docs.google.com/spreadsheets/d/1XL5vhW3sbDhbH9Cz0tuDiY8C3ctxq1tqvaCgkFb8cCA/edit?usp=sharing"",""นครราชสีมา!M281"")"),0.0)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IFERROR(__xludf.DUMMYFUNCTION("IMPORTRANGE(""https://docs.google.com/spreadsheets/d/1XL5vhW3sbDhbH9Cz0tuDiY8C3ctxq1tqvaCgkFb8cCA/edit?usp=sharing"",""นครราชสีมา!M282"")"),0.0)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IFERROR(__xludf.DUMMYFUNCTION("IMPORTRANGE(""https://docs.google.com/spreadsheets/d/1XL5vhW3sbDhbH9Cz0tuDiY8C3ctxq1tqvaCgkFb8cCA/edit?usp=sharing"",""นครราชสีมา!M283"")"),34800.0)</f>
        <v>34800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IFERROR(__xludf.DUMMYFUNCTION("IMPORTRANGE(""https://docs.google.com/spreadsheets/d/1XL5vhW3sbDhbH9Cz0tuDiY8C3ctxq1tqvaCgkFb8cCA/edit?usp=sharing"",""นครราชสีมา!M284"")"),4280.0)</f>
        <v>4280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IFERROR(__xludf.DUMMYFUNCTION("IMPORTRANGE(""https://docs.google.com/spreadsheets/d/1XL5vhW3sbDhbH9Cz0tuDiY8C3ctxq1tqvaCgkFb8cCA/edit?usp=sharing"",""นครราชสีมา!J286"")"),0.0)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IFERROR(__xludf.DUMMYFUNCTION("IMPORTRANGE(""https://docs.google.com/spreadsheets/d/1XL5vhW3sbDhbH9Cz0tuDiY8C3ctxq1tqvaCgkFb8cCA/edit?usp=sharing"",""นครราชสีมา!J287"")"),1.0)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IFERROR(__xludf.DUMMYFUNCTION("IMPORTRANGE(""https://docs.google.com/spreadsheets/d/1XL5vhW3sbDhbH9Cz0tuDiY8C3ctxq1tqvaCgkFb8cCA/edit?usp=sharing"",""นครราชสีมา!J288"")"),1.0)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IFERROR(__xludf.DUMMYFUNCTION("IMPORTRANGE(""https://docs.google.com/spreadsheets/d/1XL5vhW3sbDhbH9Cz0tuDiY8C3ctxq1tqvaCgkFb8cCA/edit?usp=sharing"",""นครราชสีมา!J289"")"),1.0)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IFERROR(__xludf.DUMMYFUNCTION("IMPORTRANGE(""https://docs.google.com/spreadsheets/d/1XL5vhW3sbDhbH9Cz0tuDiY8C3ctxq1tqvaCgkFb8cCA/edit?usp=sharing"",""นครราชสีมา!I291"")"),100.0)</f>
        <v>100</v>
      </c>
      <c r="J396" s="232">
        <f>IFERROR(__xludf.DUMMYFUNCTION("IMPORTRANGE(""https://docs.google.com/spreadsheets/d/1XL5vhW3sbDhbH9Cz0tuDiY8C3ctxq1tqvaCgkFb8cCA/edit?usp=sharing"",""นครราชสีมา!J291"")"),0.0)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IFERROR(__xludf.DUMMYFUNCTION("IMPORTRANGE(""https://docs.google.com/spreadsheets/d/1XL5vhW3sbDhbH9Cz0tuDiY8C3ctxq1tqvaCgkFb8cCA/edit?usp=sharing"",""นครราชสีมา!I292"")"),1000.0)</f>
        <v>1000</v>
      </c>
      <c r="J397" s="232">
        <f>IFERROR(__xludf.DUMMYFUNCTION("IMPORTRANGE(""https://docs.google.com/spreadsheets/d/1XL5vhW3sbDhbH9Cz0tuDiY8C3ctxq1tqvaCgkFb8cCA/edit?usp=sharing"",""นครราชสีมา!J292"")"),0.0)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IFERROR(__xludf.DUMMYFUNCTION("IMPORTRANGE(""https://docs.google.com/spreadsheets/d/1XL5vhW3sbDhbH9Cz0tuDiY8C3ctxq1tqvaCgkFb8cCA/edit?usp=sharing"",""นครราชสีมา!I293"")"),100.0)</f>
        <v>100</v>
      </c>
      <c r="J398" s="232">
        <f>IFERROR(__xludf.DUMMYFUNCTION("IMPORTRANGE(""https://docs.google.com/spreadsheets/d/1XL5vhW3sbDhbH9Cz0tuDiY8C3ctxq1tqvaCgkFb8cCA/edit?usp=sharing"",""นครราชสีมา!J293"")"),0.0)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IFERROR(__xludf.DUMMYFUNCTION("IMPORTRANGE(""https://docs.google.com/spreadsheets/d/1XL5vhW3sbDhbH9Cz0tuDiY8C3ctxq1tqvaCgkFb8cCA/edit?usp=sharing"",""นครราชสีมา!J294"")"),0.0)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IFERROR(__xludf.DUMMYFUNCTION("IMPORTRANGE(""https://docs.google.com/spreadsheets/d/1XL5vhW3sbDhbH9Cz0tuDiY8C3ctxq1tqvaCgkFb8cCA/edit?usp=sharing"",""นครราชสีมา!J295"")"),0.0)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IFERROR(__xludf.DUMMYFUNCTION("IMPORTRANGE(""https://docs.google.com/spreadsheets/d/1XL5vhW3sbDhbH9Cz0tuDiY8C3ctxq1tqvaCgkFb8cCA/edit?usp=sharing"",""นครราชสีมา!I296"")"),282.0)</f>
        <v>282</v>
      </c>
      <c r="J401" s="404">
        <f>IFERROR(__xludf.DUMMYFUNCTION("IMPORTRANGE(""https://docs.google.com/spreadsheets/d/1XL5vhW3sbDhbH9Cz0tuDiY8C3ctxq1tqvaCgkFb8cCA/edit?usp=sharing"",""นครราชสีมา!J296"")"),0.0)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IFERROR(__xludf.DUMMYFUNCTION("IMPORTRANGE(""https://docs.google.com/spreadsheets/d/1XL5vhW3sbDhbH9Cz0tuDiY8C3ctxq1tqvaCgkFb8cCA/edit?usp=sharing"",""นครราชสีมา!L296"")"),310620.0)</f>
        <v>310620</v>
      </c>
      <c r="M401" s="406"/>
      <c r="N401" s="406">
        <f>IFERROR(__xludf.DUMMYFUNCTION("IMPORTRANGE(""https://docs.google.com/spreadsheets/d/1XL5vhW3sbDhbH9Cz0tuDiY8C3ctxq1tqvaCgkFb8cCA/edit?usp=sharing"",""นครราชสีมา!M296"")"),140900.0)</f>
        <v>140900</v>
      </c>
      <c r="O401" s="406">
        <f>+IF(L401&gt;0,N401*100/L401,0)</f>
        <v>45.36089112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IFERROR(__xludf.DUMMYFUNCTION("IMPORTRANGE(""https://docs.google.com/spreadsheets/d/1XL5vhW3sbDhbH9Cz0tuDiY8C3ctxq1tqvaCgkFb8cCA/edit?usp=sharing"",""นครราชสีมา!I297"")"),94.0)</f>
        <v>94</v>
      </c>
      <c r="J402" s="404">
        <f>IFERROR(__xludf.DUMMYFUNCTION("IMPORTRANGE(""https://docs.google.com/spreadsheets/d/1XL5vhW3sbDhbH9Cz0tuDiY8C3ctxq1tqvaCgkFb8cCA/edit?usp=sharing"",""นครราชสีมา!J297"")"),50.0)</f>
        <v>50</v>
      </c>
      <c r="K402" s="405">
        <f t="shared" si="112"/>
        <v>53.19148936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IFERROR(__xludf.DUMMYFUNCTION("IMPORTRANGE(""https://docs.google.com/spreadsheets/d/1XL5vhW3sbDhbH9Cz0tuDiY8C3ctxq1tqvaCgkFb8cCA/edit?usp=sharing"",""นครราชสีมา!L298"")"),0.0)</f>
        <v>0</v>
      </c>
      <c r="M403" s="197"/>
      <c r="N403" s="203">
        <f>IFERROR(__xludf.DUMMYFUNCTION("IMPORTRANGE(""https://docs.google.com/spreadsheets/d/1XL5vhW3sbDhbH9Cz0tuDiY8C3ctxq1tqvaCgkFb8cCA/edit?usp=sharing"",""นครราชสีมา!M298"")"),0.0)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IFERROR(__xludf.DUMMYFUNCTION("IMPORTRANGE(""https://docs.google.com/spreadsheets/d/1XL5vhW3sbDhbH9Cz0tuDiY8C3ctxq1tqvaCgkFb8cCA/edit?usp=sharing"",""นครราชสีมา!L299"")"),310620.0)</f>
        <v>310620</v>
      </c>
      <c r="M404" s="198"/>
      <c r="N404" s="203">
        <f>IFERROR(__xludf.DUMMYFUNCTION("IMPORTRANGE(""https://docs.google.com/spreadsheets/d/1XL5vhW3sbDhbH9Cz0tuDiY8C3ctxq1tqvaCgkFb8cCA/edit?usp=sharing"",""นครราชสีมา!M299"")"),140900.0)</f>
        <v>140900</v>
      </c>
      <c r="O404" s="203">
        <f t="shared" si="113"/>
        <v>45.36089112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IFERROR(__xludf.DUMMYFUNCTION("IMPORTRANGE(""https://docs.google.com/spreadsheets/d/1XL5vhW3sbDhbH9Cz0tuDiY8C3ctxq1tqvaCgkFb8cCA/edit?usp=sharing"",""นครราชสีมา!L300"")"),0.0)</f>
        <v>0</v>
      </c>
      <c r="M405" s="203"/>
      <c r="N405" s="203">
        <f>IFERROR(__xludf.DUMMYFUNCTION("IMPORTRANGE(""https://docs.google.com/spreadsheets/d/1XL5vhW3sbDhbH9Cz0tuDiY8C3ctxq1tqvaCgkFb8cCA/edit?usp=sharing"",""นครราชสีมา!M300"")"),0.0)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IFERROR(__xludf.DUMMYFUNCTION("IMPORTRANGE(""https://docs.google.com/spreadsheets/d/1XL5vhW3sbDhbH9Cz0tuDiY8C3ctxq1tqvaCgkFb8cCA/edit?usp=sharing"",""นครราชสีมา!L301"")"),310620.0)</f>
        <v>310620</v>
      </c>
      <c r="M406" s="203"/>
      <c r="N406" s="203">
        <f>IFERROR(__xludf.DUMMYFUNCTION("IMPORTRANGE(""https://docs.google.com/spreadsheets/d/1XL5vhW3sbDhbH9Cz0tuDiY8C3ctxq1tqvaCgkFb8cCA/edit?usp=sharing"",""นครราชสีมา!M301"")"),140900.0)</f>
        <v>140900</v>
      </c>
      <c r="O406" s="203">
        <f t="shared" si="113"/>
        <v>45.36089112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IFERROR(__xludf.DUMMYFUNCTION("IMPORTRANGE(""https://docs.google.com/spreadsheets/d/1XL5vhW3sbDhbH9Cz0tuDiY8C3ctxq1tqvaCgkFb8cCA/edit?usp=sharing"",""นครราชสีมา!M302"")"),53180.0)</f>
        <v>53180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IFERROR(__xludf.DUMMYFUNCTION("IMPORTRANGE(""https://docs.google.com/spreadsheets/d/1XL5vhW3sbDhbH9Cz0tuDiY8C3ctxq1tqvaCgkFb8cCA/edit?usp=sharing"",""นครราชสีมา!M303"")"),86000.0)</f>
        <v>86000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IFERROR(__xludf.DUMMYFUNCTION("IMPORTRANGE(""https://docs.google.com/spreadsheets/d/1XL5vhW3sbDhbH9Cz0tuDiY8C3ctxq1tqvaCgkFb8cCA/edit?usp=sharing"",""นครราชสีมา!M304"")"),0.0)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IFERROR(__xludf.DUMMYFUNCTION("IMPORTRANGE(""https://docs.google.com/spreadsheets/d/1XL5vhW3sbDhbH9Cz0tuDiY8C3ctxq1tqvaCgkFb8cCA/edit?usp=sharing"",""นครราชสีมา!M305"")"),1720.0)</f>
        <v>1720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IFERROR(__xludf.DUMMYFUNCTION("IMPORTRANGE(""https://docs.google.com/spreadsheets/d/1XL5vhW3sbDhbH9Cz0tuDiY8C3ctxq1tqvaCgkFb8cCA/edit?usp=sharing"",""นครราชสีมา!J307"")"),0.0)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IFERROR(__xludf.DUMMYFUNCTION("IMPORTRANGE(""https://docs.google.com/spreadsheets/d/1XL5vhW3sbDhbH9Cz0tuDiY8C3ctxq1tqvaCgkFb8cCA/edit?usp=sharing"",""นครราชสีมา!J308"")"),1.0)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IFERROR(__xludf.DUMMYFUNCTION("IMPORTRANGE(""https://docs.google.com/spreadsheets/d/1XL5vhW3sbDhbH9Cz0tuDiY8C3ctxq1tqvaCgkFb8cCA/edit?usp=sharing"",""นครราชสีมา!J309"")"),0.0)</f>
        <v>0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IFERROR(__xludf.DUMMYFUNCTION("IMPORTRANGE(""https://docs.google.com/spreadsheets/d/1XL5vhW3sbDhbH9Cz0tuDiY8C3ctxq1tqvaCgkFb8cCA/edit?usp=sharing"",""นครราชสีมา!J310"")"),0.0)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IFERROR(__xludf.DUMMYFUNCTION("IMPORTRANGE(""https://docs.google.com/spreadsheets/d/1XL5vhW3sbDhbH9Cz0tuDiY8C3ctxq1tqvaCgkFb8cCA/edit?usp=sharing"",""นครราชสีมา!I311"")"),94.0)</f>
        <v>94</v>
      </c>
      <c r="J416" s="235">
        <f>IFERROR(__xludf.DUMMYFUNCTION("IMPORTRANGE(""https://docs.google.com/spreadsheets/d/1XL5vhW3sbDhbH9Cz0tuDiY8C3ctxq1tqvaCgkFb8cCA/edit?usp=sharing"",""นครราชสีมา!J311"")"),50.0)</f>
        <v>50</v>
      </c>
      <c r="K416" s="236">
        <f t="shared" ref="K416:K432" si="114">IF(I416&gt;0,J416*100/I416,0)</f>
        <v>53.19148936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IFERROR(__xludf.DUMMYFUNCTION("IMPORTRANGE(""https://docs.google.com/spreadsheets/d/1XL5vhW3sbDhbH9Cz0tuDiY8C3ctxq1tqvaCgkFb8cCA/edit?usp=sharing"",""นครราชสีมา!I312"")"),34.0)</f>
        <v>34</v>
      </c>
      <c r="J417" s="425">
        <f>IFERROR(__xludf.DUMMYFUNCTION("IMPORTRANGE(""https://docs.google.com/spreadsheets/d/1XL5vhW3sbDhbH9Cz0tuDiY8C3ctxq1tqvaCgkFb8cCA/edit?usp=sharing"",""นครราชสีมา!J312"")"),0.0)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IFERROR(__xludf.DUMMYFUNCTION("IMPORTRANGE(""https://docs.google.com/spreadsheets/d/1XL5vhW3sbDhbH9Cz0tuDiY8C3ctxq1tqvaCgkFb8cCA/edit?usp=sharing"",""นครราชสีมา!I313"")"),102.0)</f>
        <v>102</v>
      </c>
      <c r="J418" s="426">
        <f>IFERROR(__xludf.DUMMYFUNCTION("IMPORTRANGE(""https://docs.google.com/spreadsheets/d/1XL5vhW3sbDhbH9Cz0tuDiY8C3ctxq1tqvaCgkFb8cCA/edit?usp=sharing"",""นครราชสีมา!J313"")"),0.0)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IFERROR(__xludf.DUMMYFUNCTION("IMPORTRANGE(""https://docs.google.com/spreadsheets/d/1XL5vhW3sbDhbH9Cz0tuDiY8C3ctxq1tqvaCgkFb8cCA/edit?usp=sharing"",""นครราชสีมา!I314"")"),34.0)</f>
        <v>34</v>
      </c>
      <c r="J419" s="427">
        <f>IFERROR(__xludf.DUMMYFUNCTION("IMPORTRANGE(""https://docs.google.com/spreadsheets/d/1XL5vhW3sbDhbH9Cz0tuDiY8C3ctxq1tqvaCgkFb8cCA/edit?usp=sharing"",""นครราชสีมา!J314"")"),0.0)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IFERROR(__xludf.DUMMYFUNCTION("IMPORTRANGE(""https://docs.google.com/spreadsheets/d/1XL5vhW3sbDhbH9Cz0tuDiY8C3ctxq1tqvaCgkFb8cCA/edit?usp=sharing"",""นครราชสีมา!I315"")"),34.0)</f>
        <v>34</v>
      </c>
      <c r="J420" s="427">
        <f>IFERROR(__xludf.DUMMYFUNCTION("IMPORTRANGE(""https://docs.google.com/spreadsheets/d/1XL5vhW3sbDhbH9Cz0tuDiY8C3ctxq1tqvaCgkFb8cCA/edit?usp=sharing"",""นครราชสีมา!J315"")"),0.0)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IFERROR(__xludf.DUMMYFUNCTION("IMPORTRANGE(""https://docs.google.com/spreadsheets/d/1XL5vhW3sbDhbH9Cz0tuDiY8C3ctxq1tqvaCgkFb8cCA/edit?usp=sharing"",""นครราชสีมา!I316"")"),50.0)</f>
        <v>50</v>
      </c>
      <c r="J421" s="425">
        <f>IFERROR(__xludf.DUMMYFUNCTION("IMPORTRANGE(""https://docs.google.com/spreadsheets/d/1XL5vhW3sbDhbH9Cz0tuDiY8C3ctxq1tqvaCgkFb8cCA/edit?usp=sharing"",""นครราชสีมา!J316"")"),50.0)</f>
        <v>50</v>
      </c>
      <c r="K421" s="236">
        <f t="shared" si="114"/>
        <v>100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IFERROR(__xludf.DUMMYFUNCTION("IMPORTRANGE(""https://docs.google.com/spreadsheets/d/1XL5vhW3sbDhbH9Cz0tuDiY8C3ctxq1tqvaCgkFb8cCA/edit?usp=sharing"",""นครราชสีมา!I317"")"),150.0)</f>
        <v>150</v>
      </c>
      <c r="J422" s="426">
        <f>IFERROR(__xludf.DUMMYFUNCTION("IMPORTRANGE(""https://docs.google.com/spreadsheets/d/1XL5vhW3sbDhbH9Cz0tuDiY8C3ctxq1tqvaCgkFb8cCA/edit?usp=sharing"",""นครราชสีมา!J317"")"),0.0)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IFERROR(__xludf.DUMMYFUNCTION("IMPORTRANGE(""https://docs.google.com/spreadsheets/d/1XL5vhW3sbDhbH9Cz0tuDiY8C3ctxq1tqvaCgkFb8cCA/edit?usp=sharing"",""นครราชสีมา!I318"")"),50.0)</f>
        <v>50</v>
      </c>
      <c r="J423" s="427">
        <f>IFERROR(__xludf.DUMMYFUNCTION("IMPORTRANGE(""https://docs.google.com/spreadsheets/d/1XL5vhW3sbDhbH9Cz0tuDiY8C3ctxq1tqvaCgkFb8cCA/edit?usp=sharing"",""นครราชสีมา!J318"")"),50.0)</f>
        <v>50</v>
      </c>
      <c r="K423" s="196">
        <f t="shared" si="114"/>
        <v>100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IFERROR(__xludf.DUMMYFUNCTION("IMPORTRANGE(""https://docs.google.com/spreadsheets/d/1XL5vhW3sbDhbH9Cz0tuDiY8C3ctxq1tqvaCgkFb8cCA/edit?usp=sharing"",""นครราชสีมา!I319"")"),50.0)</f>
        <v>50</v>
      </c>
      <c r="J424" s="427">
        <f>IFERROR(__xludf.DUMMYFUNCTION("IMPORTRANGE(""https://docs.google.com/spreadsheets/d/1XL5vhW3sbDhbH9Cz0tuDiY8C3ctxq1tqvaCgkFb8cCA/edit?usp=sharing"",""นครราชสีมา!J319"")"),50.0)</f>
        <v>50</v>
      </c>
      <c r="K424" s="196">
        <f t="shared" si="114"/>
        <v>100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IFERROR(__xludf.DUMMYFUNCTION("IMPORTRANGE(""https://docs.google.com/spreadsheets/d/1XL5vhW3sbDhbH9Cz0tuDiY8C3ctxq1tqvaCgkFb8cCA/edit?usp=sharing"",""นครราชสีมา!I320"")"),50.0)</f>
        <v>50</v>
      </c>
      <c r="J425" s="427">
        <f>IFERROR(__xludf.DUMMYFUNCTION("IMPORTRANGE(""https://docs.google.com/spreadsheets/d/1XL5vhW3sbDhbH9Cz0tuDiY8C3ctxq1tqvaCgkFb8cCA/edit?usp=sharing"",""นครราชสีมา!J320"")"),50.0)</f>
        <v>50</v>
      </c>
      <c r="K425" s="196">
        <f t="shared" si="114"/>
        <v>100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IFERROR(__xludf.DUMMYFUNCTION("IMPORTRANGE(""https://docs.google.com/spreadsheets/d/1XL5vhW3sbDhbH9Cz0tuDiY8C3ctxq1tqvaCgkFb8cCA/edit?usp=sharing"",""นครราชสีมา!I321"")"),10.0)</f>
        <v>10</v>
      </c>
      <c r="J426" s="425">
        <f>IFERROR(__xludf.DUMMYFUNCTION("IMPORTRANGE(""https://docs.google.com/spreadsheets/d/1XL5vhW3sbDhbH9Cz0tuDiY8C3ctxq1tqvaCgkFb8cCA/edit?usp=sharing"",""นครราชสีมา!J321"")"),0.0)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IFERROR(__xludf.DUMMYFUNCTION("IMPORTRANGE(""https://docs.google.com/spreadsheets/d/1XL5vhW3sbDhbH9Cz0tuDiY8C3ctxq1tqvaCgkFb8cCA/edit?usp=sharing"",""นครราชสีมา!I322"")"),30.0)</f>
        <v>30</v>
      </c>
      <c r="J427" s="426">
        <f>IFERROR(__xludf.DUMMYFUNCTION("IMPORTRANGE(""https://docs.google.com/spreadsheets/d/1XL5vhW3sbDhbH9Cz0tuDiY8C3ctxq1tqvaCgkFb8cCA/edit?usp=sharing"",""นครราชสีมา!J322"")"),0.0)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IFERROR(__xludf.DUMMYFUNCTION("IMPORTRANGE(""https://docs.google.com/spreadsheets/d/1XL5vhW3sbDhbH9Cz0tuDiY8C3ctxq1tqvaCgkFb8cCA/edit?usp=sharing"",""นครราชสีมา!I323"")"),10.0)</f>
        <v>10</v>
      </c>
      <c r="J428" s="427">
        <f>IFERROR(__xludf.DUMMYFUNCTION("IMPORTRANGE(""https://docs.google.com/spreadsheets/d/1XL5vhW3sbDhbH9Cz0tuDiY8C3ctxq1tqvaCgkFb8cCA/edit?usp=sharing"",""นครราชสีมา!J323"")"),0.0)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IFERROR(__xludf.DUMMYFUNCTION("IMPORTRANGE(""https://docs.google.com/spreadsheets/d/1XL5vhW3sbDhbH9Cz0tuDiY8C3ctxq1tqvaCgkFb8cCA/edit?usp=sharing"",""นครราชสีมา!I324"")"),10.0)</f>
        <v>10</v>
      </c>
      <c r="J429" s="427">
        <f>IFERROR(__xludf.DUMMYFUNCTION("IMPORTRANGE(""https://docs.google.com/spreadsheets/d/1XL5vhW3sbDhbH9Cz0tuDiY8C3ctxq1tqvaCgkFb8cCA/edit?usp=sharing"",""นครราชสีมา!J324"")"),0.0)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IFERROR(__xludf.DUMMYFUNCTION("IMPORTRANGE(""https://docs.google.com/spreadsheets/d/1XL5vhW3sbDhbH9Cz0tuDiY8C3ctxq1tqvaCgkFb8cCA/edit?usp=sharing"",""นครราชสีมา!I325"")"),84.0)</f>
        <v>84</v>
      </c>
      <c r="J430" s="425">
        <f>IFERROR(__xludf.DUMMYFUNCTION("IMPORTRANGE(""https://docs.google.com/spreadsheets/d/1XL5vhW3sbDhbH9Cz0tuDiY8C3ctxq1tqvaCgkFb8cCA/edit?usp=sharing"",""นครราชสีมา!J325"")"),0.0)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IFERROR(__xludf.DUMMYFUNCTION("IMPORTRANGE(""https://docs.google.com/spreadsheets/d/1XL5vhW3sbDhbH9Cz0tuDiY8C3ctxq1tqvaCgkFb8cCA/edit?usp=sharing"",""นครราชสีมา!I326"")"),34.0)</f>
        <v>34</v>
      </c>
      <c r="J431" s="427">
        <f>IFERROR(__xludf.DUMMYFUNCTION("IMPORTRANGE(""https://docs.google.com/spreadsheets/d/1XL5vhW3sbDhbH9Cz0tuDiY8C3ctxq1tqvaCgkFb8cCA/edit?usp=sharing"",""นครราชสีมา!J326"")"),0.0)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IFERROR(__xludf.DUMMYFUNCTION("IMPORTRANGE(""https://docs.google.com/spreadsheets/d/1XL5vhW3sbDhbH9Cz0tuDiY8C3ctxq1tqvaCgkFb8cCA/edit?usp=sharing"",""นครราชสีมา!I327"")"),50.0)</f>
        <v>50</v>
      </c>
      <c r="J432" s="427">
        <f>IFERROR(__xludf.DUMMYFUNCTION("IMPORTRANGE(""https://docs.google.com/spreadsheets/d/1XL5vhW3sbDhbH9Cz0tuDiY8C3ctxq1tqvaCgkFb8cCA/edit?usp=sharing"",""นครราชสีมา!J327"")"),0.0)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IFERROR(__xludf.DUMMYFUNCTION("IMPORTRANGE(""https://docs.google.com/spreadsheets/d/1XL5vhW3sbDhbH9Cz0tuDiY8C3ctxq1tqvaCgkFb8cCA/edit?usp=sharing"",""นครราชสีมา!J328"")"),0.0)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IFERROR(__xludf.DUMMYFUNCTION("IMPORTRANGE(""https://docs.google.com/spreadsheets/d/1XL5vhW3sbDhbH9Cz0tuDiY8C3ctxq1tqvaCgkFb8cCA/edit?usp=sharing"",""นครราชสีมา!J329"")"),0.0)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IFERROR(__xludf.DUMMYFUNCTION("IMPORTRANGE(""https://docs.google.com/spreadsheets/d/1XL5vhW3sbDhbH9Cz0tuDiY8C3ctxq1tqvaCgkFb8cCA/edit?usp=sharing"",""นครราชสีมา!I330"")"),40.0)</f>
        <v>40</v>
      </c>
      <c r="J435" s="443">
        <f>IFERROR(__xludf.DUMMYFUNCTION("IMPORTRANGE(""https://docs.google.com/spreadsheets/d/1XL5vhW3sbDhbH9Cz0tuDiY8C3ctxq1tqvaCgkFb8cCA/edit?usp=sharing"",""นครราชสีมา!J330"")"),0.0)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IFERROR(__xludf.DUMMYFUNCTION("IMPORTRANGE(""https://docs.google.com/spreadsheets/d/1XL5vhW3sbDhbH9Cz0tuDiY8C3ctxq1tqvaCgkFb8cCA/edit?usp=sharing"",""นครราชสีมา!L330"")"),139000.0)</f>
        <v>139000</v>
      </c>
      <c r="M435" s="445"/>
      <c r="N435" s="445">
        <f>IFERROR(__xludf.DUMMYFUNCTION("IMPORTRANGE(""https://docs.google.com/spreadsheets/d/1XL5vhW3sbDhbH9Cz0tuDiY8C3ctxq1tqvaCgkFb8cCA/edit?usp=sharing"",""นครราชสีมา!M330"")"),18520.0)</f>
        <v>18520</v>
      </c>
      <c r="O435" s="445">
        <f t="shared" ref="O435:O439" si="115">+IF(L435&gt;0,N435*100/L435,0)</f>
        <v>13.32374101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IFERROR(__xludf.DUMMYFUNCTION("IMPORTRANGE(""https://docs.google.com/spreadsheets/d/1XL5vhW3sbDhbH9Cz0tuDiY8C3ctxq1tqvaCgkFb8cCA/edit?usp=sharing"",""นครราชสีมา!L331"")"),0.0)</f>
        <v>0</v>
      </c>
      <c r="M436" s="197"/>
      <c r="N436" s="203">
        <f>IFERROR(__xludf.DUMMYFUNCTION("IMPORTRANGE(""https://docs.google.com/spreadsheets/d/1XL5vhW3sbDhbH9Cz0tuDiY8C3ctxq1tqvaCgkFb8cCA/edit?usp=sharing"",""นครราชสีมา!M331"")"),0.0)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IFERROR(__xludf.DUMMYFUNCTION("IMPORTRANGE(""https://docs.google.com/spreadsheets/d/1XL5vhW3sbDhbH9Cz0tuDiY8C3ctxq1tqvaCgkFb8cCA/edit?usp=sharing"",""นครราชสีมา!L332"")"),139000.0)</f>
        <v>139000</v>
      </c>
      <c r="M437" s="198"/>
      <c r="N437" s="203">
        <f>IFERROR(__xludf.DUMMYFUNCTION("IMPORTRANGE(""https://docs.google.com/spreadsheets/d/1XL5vhW3sbDhbH9Cz0tuDiY8C3ctxq1tqvaCgkFb8cCA/edit?usp=sharing"",""นครราชสีมา!M332"")"),18520.0)</f>
        <v>18520</v>
      </c>
      <c r="O437" s="203">
        <f t="shared" si="115"/>
        <v>13.32374101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IFERROR(__xludf.DUMMYFUNCTION("IMPORTRANGE(""https://docs.google.com/spreadsheets/d/1XL5vhW3sbDhbH9Cz0tuDiY8C3ctxq1tqvaCgkFb8cCA/edit?usp=sharing"",""นครราชสีมา!L333"")"),0.0)</f>
        <v>0</v>
      </c>
      <c r="M438" s="203"/>
      <c r="N438" s="203">
        <f>IFERROR(__xludf.DUMMYFUNCTION("IMPORTRANGE(""https://docs.google.com/spreadsheets/d/1XL5vhW3sbDhbH9Cz0tuDiY8C3ctxq1tqvaCgkFb8cCA/edit?usp=sharing"",""นครราชสีมา!M333"")"),0.0)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IFERROR(__xludf.DUMMYFUNCTION("IMPORTRANGE(""https://docs.google.com/spreadsheets/d/1XL5vhW3sbDhbH9Cz0tuDiY8C3ctxq1tqvaCgkFb8cCA/edit?usp=sharing"",""นครราชสีมา!L334"")"),139000.0)</f>
        <v>139000</v>
      </c>
      <c r="M439" s="203"/>
      <c r="N439" s="203">
        <f>IFERROR(__xludf.DUMMYFUNCTION("IMPORTRANGE(""https://docs.google.com/spreadsheets/d/1XL5vhW3sbDhbH9Cz0tuDiY8C3ctxq1tqvaCgkFb8cCA/edit?usp=sharing"",""นครราชสีมา!M334"")"),18520.0)</f>
        <v>18520</v>
      </c>
      <c r="O439" s="203">
        <f t="shared" si="115"/>
        <v>13.32374101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IFERROR(__xludf.DUMMYFUNCTION("IMPORTRANGE(""https://docs.google.com/spreadsheets/d/1XL5vhW3sbDhbH9Cz0tuDiY8C3ctxq1tqvaCgkFb8cCA/edit?usp=sharing"",""นครราชสีมา!M335"")"),0.0)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IFERROR(__xludf.DUMMYFUNCTION("IMPORTRANGE(""https://docs.google.com/spreadsheets/d/1XL5vhW3sbDhbH9Cz0tuDiY8C3ctxq1tqvaCgkFb8cCA/edit?usp=sharing"",""นครราชสีมา!M336"")"),0.0)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IFERROR(__xludf.DUMMYFUNCTION("IMPORTRANGE(""https://docs.google.com/spreadsheets/d/1XL5vhW3sbDhbH9Cz0tuDiY8C3ctxq1tqvaCgkFb8cCA/edit?usp=sharing"",""นครราชสีมา!M337"")"),0.0)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IFERROR(__xludf.DUMMYFUNCTION("IMPORTRANGE(""https://docs.google.com/spreadsheets/d/1XL5vhW3sbDhbH9Cz0tuDiY8C3ctxq1tqvaCgkFb8cCA/edit?usp=sharing"",""นครราชสีมา!M338"")"),18520.0)</f>
        <v>18520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IFERROR(__xludf.DUMMYFUNCTION("IMPORTRANGE(""https://docs.google.com/spreadsheets/d/1XL5vhW3sbDhbH9Cz0tuDiY8C3ctxq1tqvaCgkFb8cCA/edit?usp=sharing"",""นครราชสีมา!J340"")"),0.0)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IFERROR(__xludf.DUMMYFUNCTION("IMPORTRANGE(""https://docs.google.com/spreadsheets/d/1XL5vhW3sbDhbH9Cz0tuDiY8C3ctxq1tqvaCgkFb8cCA/edit?usp=sharing"",""นครราชสีมา!J341"")"),1.0)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IFERROR(__xludf.DUMMYFUNCTION("IMPORTRANGE(""https://docs.google.com/spreadsheets/d/1XL5vhW3sbDhbH9Cz0tuDiY8C3ctxq1tqvaCgkFb8cCA/edit?usp=sharing"",""นครราชสีมา!J342"")"),0.0)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IFERROR(__xludf.DUMMYFUNCTION("IMPORTRANGE(""https://docs.google.com/spreadsheets/d/1XL5vhW3sbDhbH9Cz0tuDiY8C3ctxq1tqvaCgkFb8cCA/edit?usp=sharing"",""นครราชสีมา!J343"")"),0.0)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IFERROR(__xludf.DUMMYFUNCTION("IMPORTRANGE(""https://docs.google.com/spreadsheets/d/1XL5vhW3sbDhbH9Cz0tuDiY8C3ctxq1tqvaCgkFb8cCA/edit?usp=sharing"",""นครราชสีมา!I344"")"),40.0)</f>
        <v>40</v>
      </c>
      <c r="J449" s="235">
        <f>IFERROR(__xludf.DUMMYFUNCTION("IMPORTRANGE(""https://docs.google.com/spreadsheets/d/1XL5vhW3sbDhbH9Cz0tuDiY8C3ctxq1tqvaCgkFb8cCA/edit?usp=sharing"",""นครราชสีมา!J344"")"),0.0)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IFERROR(__xludf.DUMMYFUNCTION("IMPORTRANGE(""https://docs.google.com/spreadsheets/d/1XL5vhW3sbDhbH9Cz0tuDiY8C3ctxq1tqvaCgkFb8cCA/edit?usp=sharing"",""นครราชสีมา!I345"")"),40.0)</f>
        <v>40</v>
      </c>
      <c r="J450" s="223">
        <f>IFERROR(__xludf.DUMMYFUNCTION("IMPORTRANGE(""https://docs.google.com/spreadsheets/d/1XL5vhW3sbDhbH9Cz0tuDiY8C3ctxq1tqvaCgkFb8cCA/edit?usp=sharing"",""นครราชสีมา!J345"")"),0.0)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IFERROR(__xludf.DUMMYFUNCTION("IMPORTRANGE(""https://docs.google.com/spreadsheets/d/1XL5vhW3sbDhbH9Cz0tuDiY8C3ctxq1tqvaCgkFb8cCA/edit?usp=sharing"",""นครราชสีมา!I346"")"),0.0)</f>
        <v>0</v>
      </c>
      <c r="J451" s="222">
        <f>IFERROR(__xludf.DUMMYFUNCTION("IMPORTRANGE(""https://docs.google.com/spreadsheets/d/1XL5vhW3sbDhbH9Cz0tuDiY8C3ctxq1tqvaCgkFb8cCA/edit?usp=sharing"",""นครราชสีมา!J346"")"),0.0)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IFERROR(__xludf.DUMMYFUNCTION("IMPORTRANGE(""https://docs.google.com/spreadsheets/d/1XL5vhW3sbDhbH9Cz0tuDiY8C3ctxq1tqvaCgkFb8cCA/edit?usp=sharing"",""นครราชสีมา!I347"")"),0.0)</f>
        <v>0</v>
      </c>
      <c r="J452" s="222">
        <f>IFERROR(__xludf.DUMMYFUNCTION("IMPORTRANGE(""https://docs.google.com/spreadsheets/d/1XL5vhW3sbDhbH9Cz0tuDiY8C3ctxq1tqvaCgkFb8cCA/edit?usp=sharing"",""นครราชสีมา!J347"")"),0.0)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IFERROR(__xludf.DUMMYFUNCTION("IMPORTRANGE(""https://docs.google.com/spreadsheets/d/1XL5vhW3sbDhbH9Cz0tuDiY8C3ctxq1tqvaCgkFb8cCA/edit?usp=sharing"",""นครราชสีมา!J348"")"),0.0)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IFERROR(__xludf.DUMMYFUNCTION("IMPORTRANGE(""https://docs.google.com/spreadsheets/d/1XL5vhW3sbDhbH9Cz0tuDiY8C3ctxq1tqvaCgkFb8cCA/edit?usp=sharing"",""นครราชสีมา!J349"")"),0.0)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IFERROR(__xludf.DUMMYFUNCTION("IMPORTRANGE(""https://docs.google.com/spreadsheets/d/1XL5vhW3sbDhbH9Cz0tuDiY8C3ctxq1tqvaCgkFb8cCA/edit?usp=sharing"",""นครราชสีมา!I350"")"),55907.0)</f>
        <v>55907</v>
      </c>
      <c r="J455" s="404">
        <f>IFERROR(__xludf.DUMMYFUNCTION("IMPORTRANGE(""https://docs.google.com/spreadsheets/d/1XL5vhW3sbDhbH9Cz0tuDiY8C3ctxq1tqvaCgkFb8cCA/edit?usp=sharing"",""นครราชสีมา!J350"")"),0.0)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IFERROR(__xludf.DUMMYFUNCTION("IMPORTRANGE(""https://docs.google.com/spreadsheets/d/1XL5vhW3sbDhbH9Cz0tuDiY8C3ctxq1tqvaCgkFb8cCA/edit?usp=sharing"",""นครราชสีมา!L350"")"),607341.0)</f>
        <v>607341</v>
      </c>
      <c r="M455" s="406"/>
      <c r="N455" s="406">
        <f>IFERROR(__xludf.DUMMYFUNCTION("IMPORTRANGE(""https://docs.google.com/spreadsheets/d/1XL5vhW3sbDhbH9Cz0tuDiY8C3ctxq1tqvaCgkFb8cCA/edit?usp=sharing"",""นครราชสีมา!M350"")"),93903.42)</f>
        <v>93903.42</v>
      </c>
      <c r="O455" s="406">
        <f t="shared" ref="O455:O459" si="117">+IF(L455&gt;0,N455*100/L455,0)</f>
        <v>15.46139977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IFERROR(__xludf.DUMMYFUNCTION("IMPORTRANGE(""https://docs.google.com/spreadsheets/d/1XL5vhW3sbDhbH9Cz0tuDiY8C3ctxq1tqvaCgkFb8cCA/edit?usp=sharing"",""นครราชสีมา!L351"")"),0.0)</f>
        <v>0</v>
      </c>
      <c r="M456" s="197"/>
      <c r="N456" s="203">
        <f>IFERROR(__xludf.DUMMYFUNCTION("IMPORTRANGE(""https://docs.google.com/spreadsheets/d/1XL5vhW3sbDhbH9Cz0tuDiY8C3ctxq1tqvaCgkFb8cCA/edit?usp=sharing"",""นครราชสีมา!M351"")"),0.0)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IFERROR(__xludf.DUMMYFUNCTION("IMPORTRANGE(""https://docs.google.com/spreadsheets/d/1XL5vhW3sbDhbH9Cz0tuDiY8C3ctxq1tqvaCgkFb8cCA/edit?usp=sharing"",""นครราชสีมา!L352"")"),607341.0)</f>
        <v>607341</v>
      </c>
      <c r="M457" s="198"/>
      <c r="N457" s="203">
        <f>IFERROR(__xludf.DUMMYFUNCTION("IMPORTRANGE(""https://docs.google.com/spreadsheets/d/1XL5vhW3sbDhbH9Cz0tuDiY8C3ctxq1tqvaCgkFb8cCA/edit?usp=sharing"",""นครราชสีมา!M352"")"),93903.42)</f>
        <v>93903.42</v>
      </c>
      <c r="O457" s="203">
        <f t="shared" si="117"/>
        <v>15.46139977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IFERROR(__xludf.DUMMYFUNCTION("IMPORTRANGE(""https://docs.google.com/spreadsheets/d/1XL5vhW3sbDhbH9Cz0tuDiY8C3ctxq1tqvaCgkFb8cCA/edit?usp=sharing"",""นครราชสีมา!L353"")"),0.0)</f>
        <v>0</v>
      </c>
      <c r="M458" s="203"/>
      <c r="N458" s="203">
        <f>IFERROR(__xludf.DUMMYFUNCTION("IMPORTRANGE(""https://docs.google.com/spreadsheets/d/1XL5vhW3sbDhbH9Cz0tuDiY8C3ctxq1tqvaCgkFb8cCA/edit?usp=sharing"",""นครราชสีมา!M353"")"),0.0)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IFERROR(__xludf.DUMMYFUNCTION("IMPORTRANGE(""https://docs.google.com/spreadsheets/d/1XL5vhW3sbDhbH9Cz0tuDiY8C3ctxq1tqvaCgkFb8cCA/edit?usp=sharing"",""นครราชสีมา!L354"")"),607341.0)</f>
        <v>607341</v>
      </c>
      <c r="M459" s="203"/>
      <c r="N459" s="203">
        <f>IFERROR(__xludf.DUMMYFUNCTION("IMPORTRANGE(""https://docs.google.com/spreadsheets/d/1XL5vhW3sbDhbH9Cz0tuDiY8C3ctxq1tqvaCgkFb8cCA/edit?usp=sharing"",""นครราชสีมา!M354"")"),93903.42)</f>
        <v>93903.42</v>
      </c>
      <c r="O459" s="203">
        <f t="shared" si="117"/>
        <v>15.46139977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IFERROR(__xludf.DUMMYFUNCTION("IMPORTRANGE(""https://docs.google.com/spreadsheets/d/1XL5vhW3sbDhbH9Cz0tuDiY8C3ctxq1tqvaCgkFb8cCA/edit?usp=sharing"",""นครราชสีมา!M355"")"),0.0)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IFERROR(__xludf.DUMMYFUNCTION("IMPORTRANGE(""https://docs.google.com/spreadsheets/d/1XL5vhW3sbDhbH9Cz0tuDiY8C3ctxq1tqvaCgkFb8cCA/edit?usp=sharing"",""นครราชสีมา!M356"")"),0.0)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IFERROR(__xludf.DUMMYFUNCTION("IMPORTRANGE(""https://docs.google.com/spreadsheets/d/1XL5vhW3sbDhbH9Cz0tuDiY8C3ctxq1tqvaCgkFb8cCA/edit?usp=sharing"",""นครราชสีมา!M357"")"),31533.42)</f>
        <v>31533.42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IFERROR(__xludf.DUMMYFUNCTION("IMPORTRANGE(""https://docs.google.com/spreadsheets/d/1XL5vhW3sbDhbH9Cz0tuDiY8C3ctxq1tqvaCgkFb8cCA/edit?usp=sharing"",""นครราชสีมา!M358"")"),62370.0)</f>
        <v>62370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IFERROR(__xludf.DUMMYFUNCTION("IMPORTRANGE(""https://docs.google.com/spreadsheets/d/1XL5vhW3sbDhbH9Cz0tuDiY8C3ctxq1tqvaCgkFb8cCA/edit?usp=sharing"",""นครราชสีมา!I359"")"),55907.0)</f>
        <v>55907</v>
      </c>
      <c r="J464" s="301">
        <f>IFERROR(__xludf.DUMMYFUNCTION("IMPORTRANGE(""https://docs.google.com/spreadsheets/d/1XL5vhW3sbDhbH9Cz0tuDiY8C3ctxq1tqvaCgkFb8cCA/edit?usp=sharing"",""นครราชสีมา!J359"")"),0.0)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IFERROR(__xludf.DUMMYFUNCTION("IMPORTRANGE(""https://docs.google.com/spreadsheets/d/1XL5vhW3sbDhbH9Cz0tuDiY8C3ctxq1tqvaCgkFb8cCA/edit?usp=sharing"",""นครราชสีมา!I360"")"),55907.0)</f>
        <v>55907</v>
      </c>
      <c r="J465" s="453">
        <f>IFERROR(__xludf.DUMMYFUNCTION("IMPORTRANGE(""https://docs.google.com/spreadsheets/d/1XL5vhW3sbDhbH9Cz0tuDiY8C3ctxq1tqvaCgkFb8cCA/edit?usp=sharing"",""นครราชสีมา!J360"")"),59004.0)</f>
        <v>59004</v>
      </c>
      <c r="K465" s="236">
        <f t="shared" si="118"/>
        <v>105.5395568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IFERROR(__xludf.DUMMYFUNCTION("IMPORTRANGE(""https://docs.google.com/spreadsheets/d/1XL5vhW3sbDhbH9Cz0tuDiY8C3ctxq1tqvaCgkFb8cCA/edit?usp=sharing"",""นครราชสีมา!I361"")"),6719.0)</f>
        <v>6719</v>
      </c>
      <c r="J466" s="453">
        <f>IFERROR(__xludf.DUMMYFUNCTION("IMPORTRANGE(""https://docs.google.com/spreadsheets/d/1XL5vhW3sbDhbH9Cz0tuDiY8C3ctxq1tqvaCgkFb8cCA/edit?usp=sharing"",""นครราชสีมา!J361"")"),6719.0)</f>
        <v>6719</v>
      </c>
      <c r="K466" s="236">
        <f t="shared" si="118"/>
        <v>100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IFERROR(__xludf.DUMMYFUNCTION("IMPORTRANGE(""https://docs.google.com/spreadsheets/d/1XL5vhW3sbDhbH9Cz0tuDiY8C3ctxq1tqvaCgkFb8cCA/edit?usp=sharing"",""นครราชสีมา!I362"")"),0.0)</f>
        <v>0</v>
      </c>
      <c r="J467" s="223">
        <f>IFERROR(__xludf.DUMMYFUNCTION("IMPORTRANGE(""https://docs.google.com/spreadsheets/d/1XL5vhW3sbDhbH9Cz0tuDiY8C3ctxq1tqvaCgkFb8cCA/edit?usp=sharing"",""นครราชสีมา!J362"")"),36732.0)</f>
        <v>36732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IFERROR(__xludf.DUMMYFUNCTION("IMPORTRANGE(""https://docs.google.com/spreadsheets/d/1XL5vhW3sbDhbH9Cz0tuDiY8C3ctxq1tqvaCgkFb8cCA/edit?usp=sharing"",""นครราชสีมา!I363"")"),0.0)</f>
        <v>0</v>
      </c>
      <c r="J468" s="223">
        <f>IFERROR(__xludf.DUMMYFUNCTION("IMPORTRANGE(""https://docs.google.com/spreadsheets/d/1XL5vhW3sbDhbH9Cz0tuDiY8C3ctxq1tqvaCgkFb8cCA/edit?usp=sharing"",""นครราชสีมา!J363"")"),4944.0)</f>
        <v>4944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IFERROR(__xludf.DUMMYFUNCTION("IMPORTRANGE(""https://docs.google.com/spreadsheets/d/1XL5vhW3sbDhbH9Cz0tuDiY8C3ctxq1tqvaCgkFb8cCA/edit?usp=sharing"",""นครราชสีมา!I364"")"),0.0)</f>
        <v>0</v>
      </c>
      <c r="J469" s="223">
        <f>IFERROR(__xludf.DUMMYFUNCTION("IMPORTRANGE(""https://docs.google.com/spreadsheets/d/1XL5vhW3sbDhbH9Cz0tuDiY8C3ctxq1tqvaCgkFb8cCA/edit?usp=sharing"",""นครราชสีมา!J364"")"),20496.0)</f>
        <v>20496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IFERROR(__xludf.DUMMYFUNCTION("IMPORTRANGE(""https://docs.google.com/spreadsheets/d/1XL5vhW3sbDhbH9Cz0tuDiY8C3ctxq1tqvaCgkFb8cCA/edit?usp=sharing"",""นครราชสีมา!I365"")"),0.0)</f>
        <v>0</v>
      </c>
      <c r="J470" s="223">
        <f>IFERROR(__xludf.DUMMYFUNCTION("IMPORTRANGE(""https://docs.google.com/spreadsheets/d/1XL5vhW3sbDhbH9Cz0tuDiY8C3ctxq1tqvaCgkFb8cCA/edit?usp=sharing"",""นครราชสีมา!J365"")"),1626.0)</f>
        <v>1626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IFERROR(__xludf.DUMMYFUNCTION("IMPORTRANGE(""https://docs.google.com/spreadsheets/d/1XL5vhW3sbDhbH9Cz0tuDiY8C3ctxq1tqvaCgkFb8cCA/edit?usp=sharing"",""นครราชสีมา!I366"")"),0.0)</f>
        <v>0</v>
      </c>
      <c r="J471" s="223">
        <f>IFERROR(__xludf.DUMMYFUNCTION("IMPORTRANGE(""https://docs.google.com/spreadsheets/d/1XL5vhW3sbDhbH9Cz0tuDiY8C3ctxq1tqvaCgkFb8cCA/edit?usp=sharing"",""นครราชสีมา!J366"")"),1776.0)</f>
        <v>1776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IFERROR(__xludf.DUMMYFUNCTION("IMPORTRANGE(""https://docs.google.com/spreadsheets/d/1XL5vhW3sbDhbH9Cz0tuDiY8C3ctxq1tqvaCgkFb8cCA/edit?usp=sharing"",""นครราชสีมา!I367"")"),0.0)</f>
        <v>0</v>
      </c>
      <c r="J472" s="223">
        <f>IFERROR(__xludf.DUMMYFUNCTION("IMPORTRANGE(""https://docs.google.com/spreadsheets/d/1XL5vhW3sbDhbH9Cz0tuDiY8C3ctxq1tqvaCgkFb8cCA/edit?usp=sharing"",""นครราชสีมา!J367"")"),149.0)</f>
        <v>149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IFERROR(__xludf.DUMMYFUNCTION("IMPORTRANGE(""https://docs.google.com/spreadsheets/d/1XL5vhW3sbDhbH9Cz0tuDiY8C3ctxq1tqvaCgkFb8cCA/edit?usp=sharing"",""นครราชสีมา!I368"")"),55907.0)</f>
        <v>55907</v>
      </c>
      <c r="J473" s="453">
        <f>IFERROR(__xludf.DUMMYFUNCTION("IMPORTRANGE(""https://docs.google.com/spreadsheets/d/1XL5vhW3sbDhbH9Cz0tuDiY8C3ctxq1tqvaCgkFb8cCA/edit?usp=sharing"",""นครราชสีมา!J368"")"),0.0)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IFERROR(__xludf.DUMMYFUNCTION("IMPORTRANGE(""https://docs.google.com/spreadsheets/d/1XL5vhW3sbDhbH9Cz0tuDiY8C3ctxq1tqvaCgkFb8cCA/edit?usp=sharing"",""นครราชสีมา!I369"")"),6719.0)</f>
        <v>6719</v>
      </c>
      <c r="J474" s="453">
        <f>IFERROR(__xludf.DUMMYFUNCTION("IMPORTRANGE(""https://docs.google.com/spreadsheets/d/1XL5vhW3sbDhbH9Cz0tuDiY8C3ctxq1tqvaCgkFb8cCA/edit?usp=sharing"",""นครราชสีมา!J369"")"),0.0)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IFERROR(__xludf.DUMMYFUNCTION("IMPORTRANGE(""https://docs.google.com/spreadsheets/d/1XL5vhW3sbDhbH9Cz0tuDiY8C3ctxq1tqvaCgkFb8cCA/edit?usp=sharing"",""นครราชสีมา!I370"")"),0.0)</f>
        <v>0</v>
      </c>
      <c r="J475" s="223">
        <f>IFERROR(__xludf.DUMMYFUNCTION("IMPORTRANGE(""https://docs.google.com/spreadsheets/d/1XL5vhW3sbDhbH9Cz0tuDiY8C3ctxq1tqvaCgkFb8cCA/edit?usp=sharing"",""นครราชสีมา!J370"")"),0.0)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IFERROR(__xludf.DUMMYFUNCTION("IMPORTRANGE(""https://docs.google.com/spreadsheets/d/1XL5vhW3sbDhbH9Cz0tuDiY8C3ctxq1tqvaCgkFb8cCA/edit?usp=sharing"",""นครราชสีมา!I371"")"),0.0)</f>
        <v>0</v>
      </c>
      <c r="J476" s="223">
        <f>IFERROR(__xludf.DUMMYFUNCTION("IMPORTRANGE(""https://docs.google.com/spreadsheets/d/1XL5vhW3sbDhbH9Cz0tuDiY8C3ctxq1tqvaCgkFb8cCA/edit?usp=sharing"",""นครราชสีมา!J371"")"),0.0)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IFERROR(__xludf.DUMMYFUNCTION("IMPORTRANGE(""https://docs.google.com/spreadsheets/d/1XL5vhW3sbDhbH9Cz0tuDiY8C3ctxq1tqvaCgkFb8cCA/edit?usp=sharing"",""นครราชสีมา!I372"")"),0.0)</f>
        <v>0</v>
      </c>
      <c r="J477" s="223">
        <f>IFERROR(__xludf.DUMMYFUNCTION("IMPORTRANGE(""https://docs.google.com/spreadsheets/d/1XL5vhW3sbDhbH9Cz0tuDiY8C3ctxq1tqvaCgkFb8cCA/edit?usp=sharing"",""นครราชสีมา!J372"")"),0.0)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IFERROR(__xludf.DUMMYFUNCTION("IMPORTRANGE(""https://docs.google.com/spreadsheets/d/1XL5vhW3sbDhbH9Cz0tuDiY8C3ctxq1tqvaCgkFb8cCA/edit?usp=sharing"",""นครราชสีมา!I373"")"),0.0)</f>
        <v>0</v>
      </c>
      <c r="J478" s="223">
        <f>IFERROR(__xludf.DUMMYFUNCTION("IMPORTRANGE(""https://docs.google.com/spreadsheets/d/1XL5vhW3sbDhbH9Cz0tuDiY8C3ctxq1tqvaCgkFb8cCA/edit?usp=sharing"",""นครราชสีมา!J373"")"),0.0)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IFERROR(__xludf.DUMMYFUNCTION("IMPORTRANGE(""https://docs.google.com/spreadsheets/d/1XL5vhW3sbDhbH9Cz0tuDiY8C3ctxq1tqvaCgkFb8cCA/edit?usp=sharing"",""นครราชสีมา!I374"")"),0.0)</f>
        <v>0</v>
      </c>
      <c r="J479" s="223">
        <f>IFERROR(__xludf.DUMMYFUNCTION("IMPORTRANGE(""https://docs.google.com/spreadsheets/d/1XL5vhW3sbDhbH9Cz0tuDiY8C3ctxq1tqvaCgkFb8cCA/edit?usp=sharing"",""นครราชสีมา!J374"")"),0.0)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IFERROR(__xludf.DUMMYFUNCTION("IMPORTRANGE(""https://docs.google.com/spreadsheets/d/1XL5vhW3sbDhbH9Cz0tuDiY8C3ctxq1tqvaCgkFb8cCA/edit?usp=sharing"",""นครราชสีมา!I375"")"),0.0)</f>
        <v>0</v>
      </c>
      <c r="J480" s="223">
        <f>IFERROR(__xludf.DUMMYFUNCTION("IMPORTRANGE(""https://docs.google.com/spreadsheets/d/1XL5vhW3sbDhbH9Cz0tuDiY8C3ctxq1tqvaCgkFb8cCA/edit?usp=sharing"",""นครราชสีมา!J375"")"),0.0)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IFERROR(__xludf.DUMMYFUNCTION("IMPORTRANGE(""https://docs.google.com/spreadsheets/d/1XL5vhW3sbDhbH9Cz0tuDiY8C3ctxq1tqvaCgkFb8cCA/edit?usp=sharing"",""นครราชสีมา!I376"")"),55907.0)</f>
        <v>55907</v>
      </c>
      <c r="J481" s="453">
        <f>IFERROR(__xludf.DUMMYFUNCTION("IMPORTRANGE(""https://docs.google.com/spreadsheets/d/1XL5vhW3sbDhbH9Cz0tuDiY8C3ctxq1tqvaCgkFb8cCA/edit?usp=sharing"",""นครราชสีมา!J376"")"),0.0)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IFERROR(__xludf.DUMMYFUNCTION("IMPORTRANGE(""https://docs.google.com/spreadsheets/d/1XL5vhW3sbDhbH9Cz0tuDiY8C3ctxq1tqvaCgkFb8cCA/edit?usp=sharing"",""นครราชสีมา!I377"")"),6719.0)</f>
        <v>6719</v>
      </c>
      <c r="J482" s="453">
        <f>IFERROR(__xludf.DUMMYFUNCTION("IMPORTRANGE(""https://docs.google.com/spreadsheets/d/1XL5vhW3sbDhbH9Cz0tuDiY8C3ctxq1tqvaCgkFb8cCA/edit?usp=sharing"",""นครราชสีมา!J377"")"),0.0)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IFERROR(__xludf.DUMMYFUNCTION("IMPORTRANGE(""https://docs.google.com/spreadsheets/d/1XL5vhW3sbDhbH9Cz0tuDiY8C3ctxq1tqvaCgkFb8cCA/edit?usp=sharing"",""นครราชสีมา!I378"")"),0.0)</f>
        <v>0</v>
      </c>
      <c r="J483" s="223">
        <f>IFERROR(__xludf.DUMMYFUNCTION("IMPORTRANGE(""https://docs.google.com/spreadsheets/d/1XL5vhW3sbDhbH9Cz0tuDiY8C3ctxq1tqvaCgkFb8cCA/edit?usp=sharing"",""นครราชสีมา!J378"")"),0.0)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IFERROR(__xludf.DUMMYFUNCTION("IMPORTRANGE(""https://docs.google.com/spreadsheets/d/1XL5vhW3sbDhbH9Cz0tuDiY8C3ctxq1tqvaCgkFb8cCA/edit?usp=sharing"",""นครราชสีมา!I379"")"),0.0)</f>
        <v>0</v>
      </c>
      <c r="J484" s="223">
        <f>IFERROR(__xludf.DUMMYFUNCTION("IMPORTRANGE(""https://docs.google.com/spreadsheets/d/1XL5vhW3sbDhbH9Cz0tuDiY8C3ctxq1tqvaCgkFb8cCA/edit?usp=sharing"",""นครราชสีมา!J379"")"),0.0)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IFERROR(__xludf.DUMMYFUNCTION("IMPORTRANGE(""https://docs.google.com/spreadsheets/d/1XL5vhW3sbDhbH9Cz0tuDiY8C3ctxq1tqvaCgkFb8cCA/edit?usp=sharing"",""นครราชสีมา!I380"")"),0.0)</f>
        <v>0</v>
      </c>
      <c r="J485" s="223">
        <f>IFERROR(__xludf.DUMMYFUNCTION("IMPORTRANGE(""https://docs.google.com/spreadsheets/d/1XL5vhW3sbDhbH9Cz0tuDiY8C3ctxq1tqvaCgkFb8cCA/edit?usp=sharing"",""นครราชสีมา!J380"")"),0.0)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IFERROR(__xludf.DUMMYFUNCTION("IMPORTRANGE(""https://docs.google.com/spreadsheets/d/1XL5vhW3sbDhbH9Cz0tuDiY8C3ctxq1tqvaCgkFb8cCA/edit?usp=sharing"",""นครราชสีมา!I381"")"),0.0)</f>
        <v>0</v>
      </c>
      <c r="J486" s="223">
        <f>IFERROR(__xludf.DUMMYFUNCTION("IMPORTRANGE(""https://docs.google.com/spreadsheets/d/1XL5vhW3sbDhbH9Cz0tuDiY8C3ctxq1tqvaCgkFb8cCA/edit?usp=sharing"",""นครราชสีมา!J381"")"),0.0)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IFERROR(__xludf.DUMMYFUNCTION("IMPORTRANGE(""https://docs.google.com/spreadsheets/d/1XL5vhW3sbDhbH9Cz0tuDiY8C3ctxq1tqvaCgkFb8cCA/edit?usp=sharing"",""นครราชสีมา!I382"")"),0.0)</f>
        <v>0</v>
      </c>
      <c r="J487" s="453">
        <f>IFERROR(__xludf.DUMMYFUNCTION("IMPORTRANGE(""https://docs.google.com/spreadsheets/d/1XL5vhW3sbDhbH9Cz0tuDiY8C3ctxq1tqvaCgkFb8cCA/edit?usp=sharing"",""นครราชสีมา!J382"")"),0.0)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IFERROR(__xludf.DUMMYFUNCTION("IMPORTRANGE(""https://docs.google.com/spreadsheets/d/1XL5vhW3sbDhbH9Cz0tuDiY8C3ctxq1tqvaCgkFb8cCA/edit?usp=sharing"",""นครราชสีมา!I383"")"),0.0)</f>
        <v>0</v>
      </c>
      <c r="J488" s="453">
        <f>IFERROR(__xludf.DUMMYFUNCTION("IMPORTRANGE(""https://docs.google.com/spreadsheets/d/1XL5vhW3sbDhbH9Cz0tuDiY8C3ctxq1tqvaCgkFb8cCA/edit?usp=sharing"",""นครราชสีมา!J383"")"),0.0)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IFERROR(__xludf.DUMMYFUNCTION("IMPORTRANGE(""https://docs.google.com/spreadsheets/d/1XL5vhW3sbDhbH9Cz0tuDiY8C3ctxq1tqvaCgkFb8cCA/edit?usp=sharing"",""นครราชสีมา!I384"")"),0.0)</f>
        <v>0</v>
      </c>
      <c r="J489" s="223">
        <f>IFERROR(__xludf.DUMMYFUNCTION("IMPORTRANGE(""https://docs.google.com/spreadsheets/d/1XL5vhW3sbDhbH9Cz0tuDiY8C3ctxq1tqvaCgkFb8cCA/edit?usp=sharing"",""นครราชสีมา!J384"")"),0.0)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IFERROR(__xludf.DUMMYFUNCTION("IMPORTRANGE(""https://docs.google.com/spreadsheets/d/1XL5vhW3sbDhbH9Cz0tuDiY8C3ctxq1tqvaCgkFb8cCA/edit?usp=sharing"",""นครราชสีมา!I385"")"),0.0)</f>
        <v>0</v>
      </c>
      <c r="J490" s="223">
        <f>IFERROR(__xludf.DUMMYFUNCTION("IMPORTRANGE(""https://docs.google.com/spreadsheets/d/1XL5vhW3sbDhbH9Cz0tuDiY8C3ctxq1tqvaCgkFb8cCA/edit?usp=sharing"",""นครราชสีมา!J385"")"),0.0)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IFERROR(__xludf.DUMMYFUNCTION("IMPORTRANGE(""https://docs.google.com/spreadsheets/d/1XL5vhW3sbDhbH9Cz0tuDiY8C3ctxq1tqvaCgkFb8cCA/edit?usp=sharing"",""นครราชสีมา!I386"")"),0.0)</f>
        <v>0</v>
      </c>
      <c r="J491" s="223">
        <f>IFERROR(__xludf.DUMMYFUNCTION("IMPORTRANGE(""https://docs.google.com/spreadsheets/d/1XL5vhW3sbDhbH9Cz0tuDiY8C3ctxq1tqvaCgkFb8cCA/edit?usp=sharing"",""นครราชสีมา!J386"")"),0.0)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IFERROR(__xludf.DUMMYFUNCTION("IMPORTRANGE(""https://docs.google.com/spreadsheets/d/1XL5vhW3sbDhbH9Cz0tuDiY8C3ctxq1tqvaCgkFb8cCA/edit?usp=sharing"",""นครราชสีมา!I387"")"),0.0)</f>
        <v>0</v>
      </c>
      <c r="J492" s="223">
        <f>IFERROR(__xludf.DUMMYFUNCTION("IMPORTRANGE(""https://docs.google.com/spreadsheets/d/1XL5vhW3sbDhbH9Cz0tuDiY8C3ctxq1tqvaCgkFb8cCA/edit?usp=sharing"",""นครราชสีมา!J387"")"),0.0)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IFERROR(__xludf.DUMMYFUNCTION("IMPORTRANGE(""https://docs.google.com/spreadsheets/d/1XL5vhW3sbDhbH9Cz0tuDiY8C3ctxq1tqvaCgkFb8cCA/edit?usp=sharing"",""นครราชสีมา!I388"")"),0.0)</f>
        <v>0</v>
      </c>
      <c r="J493" s="223">
        <f>IFERROR(__xludf.DUMMYFUNCTION("IMPORTRANGE(""https://docs.google.com/spreadsheets/d/1XL5vhW3sbDhbH9Cz0tuDiY8C3ctxq1tqvaCgkFb8cCA/edit?usp=sharing"",""นครราชสีมา!J388"")"),0.0)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IFERROR(__xludf.DUMMYFUNCTION("IMPORTRANGE(""https://docs.google.com/spreadsheets/d/1XL5vhW3sbDhbH9Cz0tuDiY8C3ctxq1tqvaCgkFb8cCA/edit?usp=sharing"",""นครราชสีมา!I389"")"),0.0)</f>
        <v>0</v>
      </c>
      <c r="J494" s="469">
        <f>IFERROR(__xludf.DUMMYFUNCTION("IMPORTRANGE(""https://docs.google.com/spreadsheets/d/1XL5vhW3sbDhbH9Cz0tuDiY8C3ctxq1tqvaCgkFb8cCA/edit?usp=sharing"",""นครราชสีมา!J389"")"),0.0)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IFERROR(__xludf.DUMMYFUNCTION("IMPORTRANGE(""https://docs.google.com/spreadsheets/d/1XL5vhW3sbDhbH9Cz0tuDiY8C3ctxq1tqvaCgkFb8cCA/edit?usp=sharing"",""นครราชสีมา!I390"")"),0.0)</f>
        <v>0</v>
      </c>
      <c r="J495" s="469">
        <f>IFERROR(__xludf.DUMMYFUNCTION("IMPORTRANGE(""https://docs.google.com/spreadsheets/d/1XL5vhW3sbDhbH9Cz0tuDiY8C3ctxq1tqvaCgkFb8cCA/edit?usp=sharing"",""นครราชสีมา!J390"")"),0.0)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IFERROR(__xludf.DUMMYFUNCTION("IMPORTRANGE(""https://docs.google.com/spreadsheets/d/1XL5vhW3sbDhbH9Cz0tuDiY8C3ctxq1tqvaCgkFb8cCA/edit?usp=sharing"",""นครราชสีมา!I391"")"),0.0)</f>
        <v>0</v>
      </c>
      <c r="J496" s="469">
        <f>IFERROR(__xludf.DUMMYFUNCTION("IMPORTRANGE(""https://docs.google.com/spreadsheets/d/1XL5vhW3sbDhbH9Cz0tuDiY8C3ctxq1tqvaCgkFb8cCA/edit?usp=sharing"",""นครราชสีมา!J391"")"),0.0)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IFERROR(__xludf.DUMMYFUNCTION("IMPORTRANGE(""https://docs.google.com/spreadsheets/d/1XL5vhW3sbDhbH9Cz0tuDiY8C3ctxq1tqvaCgkFb8cCA/edit?usp=sharing"",""นครราชสีมา!I392"")"),0.0)</f>
        <v>0</v>
      </c>
      <c r="J497" s="476">
        <f>IFERROR(__xludf.DUMMYFUNCTION("IMPORTRANGE(""https://docs.google.com/spreadsheets/d/1XL5vhW3sbDhbH9Cz0tuDiY8C3ctxq1tqvaCgkFb8cCA/edit?usp=sharing"",""นครราชสีมา!J392"")"),0.0)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IFERROR(__xludf.DUMMYFUNCTION("IMPORTRANGE(""https://docs.google.com/spreadsheets/d/1XL5vhW3sbDhbH9Cz0tuDiY8C3ctxq1tqvaCgkFb8cCA/edit?usp=sharing"",""นครราชสีมา!I393"")"),0.0)</f>
        <v>0</v>
      </c>
      <c r="J498" s="453">
        <f>IFERROR(__xludf.DUMMYFUNCTION("IMPORTRANGE(""https://docs.google.com/spreadsheets/d/1XL5vhW3sbDhbH9Cz0tuDiY8C3ctxq1tqvaCgkFb8cCA/edit?usp=sharing"",""นครราชสีมา!J393"")"),0.0)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IFERROR(__xludf.DUMMYFUNCTION("IMPORTRANGE(""https://docs.google.com/spreadsheets/d/1XL5vhW3sbDhbH9Cz0tuDiY8C3ctxq1tqvaCgkFb8cCA/edit?usp=sharing"",""นครราชสีมา!I394"")"),0.0)</f>
        <v>0</v>
      </c>
      <c r="J499" s="453">
        <f>IFERROR(__xludf.DUMMYFUNCTION("IMPORTRANGE(""https://docs.google.com/spreadsheets/d/1XL5vhW3sbDhbH9Cz0tuDiY8C3ctxq1tqvaCgkFb8cCA/edit?usp=sharing"",""นครราชสีมา!J394"")"),0.0)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IFERROR(__xludf.DUMMYFUNCTION("IMPORTRANGE(""https://docs.google.com/spreadsheets/d/1XL5vhW3sbDhbH9Cz0tuDiY8C3ctxq1tqvaCgkFb8cCA/edit?usp=sharing"",""นครราชสีมา!I395"")"),0.0)</f>
        <v>0</v>
      </c>
      <c r="J500" s="195">
        <f>IFERROR(__xludf.DUMMYFUNCTION("IMPORTRANGE(""https://docs.google.com/spreadsheets/d/1XL5vhW3sbDhbH9Cz0tuDiY8C3ctxq1tqvaCgkFb8cCA/edit?usp=sharing"",""นครราชสีมา!J395"")"),0.0)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IFERROR(__xludf.DUMMYFUNCTION("IMPORTRANGE(""https://docs.google.com/spreadsheets/d/1XL5vhW3sbDhbH9Cz0tuDiY8C3ctxq1tqvaCgkFb8cCA/edit?usp=sharing"",""นครราชสีมา!I396"")"),0.0)</f>
        <v>0</v>
      </c>
      <c r="J501" s="195">
        <f>IFERROR(__xludf.DUMMYFUNCTION("IMPORTRANGE(""https://docs.google.com/spreadsheets/d/1XL5vhW3sbDhbH9Cz0tuDiY8C3ctxq1tqvaCgkFb8cCA/edit?usp=sharing"",""นครราชสีมา!J396"")"),0.0)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IFERROR(__xludf.DUMMYFUNCTION("IMPORTRANGE(""https://docs.google.com/spreadsheets/d/1XL5vhW3sbDhbH9Cz0tuDiY8C3ctxq1tqvaCgkFb8cCA/edit?usp=sharing"",""นครราชสีมา!I397"")"),0.0)</f>
        <v>0</v>
      </c>
      <c r="J502" s="223">
        <f>IFERROR(__xludf.DUMMYFUNCTION("IMPORTRANGE(""https://docs.google.com/spreadsheets/d/1XL5vhW3sbDhbH9Cz0tuDiY8C3ctxq1tqvaCgkFb8cCA/edit?usp=sharing"",""นครราชสีมา!J397"")"),0.0)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IFERROR(__xludf.DUMMYFUNCTION("IMPORTRANGE(""https://docs.google.com/spreadsheets/d/1XL5vhW3sbDhbH9Cz0tuDiY8C3ctxq1tqvaCgkFb8cCA/edit?usp=sharing"",""นครราชสีมา!I398"")"),0.0)</f>
        <v>0</v>
      </c>
      <c r="J503" s="232">
        <f>IFERROR(__xludf.DUMMYFUNCTION("IMPORTRANGE(""https://docs.google.com/spreadsheets/d/1XL5vhW3sbDhbH9Cz0tuDiY8C3ctxq1tqvaCgkFb8cCA/edit?usp=sharing"",""นครราชสีมา!J398"")"),0.0)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IFERROR(__xludf.DUMMYFUNCTION("IMPORTRANGE(""https://docs.google.com/spreadsheets/d/1XL5vhW3sbDhbH9Cz0tuDiY8C3ctxq1tqvaCgkFb8cCA/edit?usp=sharing"",""นครราชสีมา!I399"")"),0.0)</f>
        <v>0</v>
      </c>
      <c r="J504" s="223">
        <f>IFERROR(__xludf.DUMMYFUNCTION("IMPORTRANGE(""https://docs.google.com/spreadsheets/d/1XL5vhW3sbDhbH9Cz0tuDiY8C3ctxq1tqvaCgkFb8cCA/edit?usp=sharing"",""นครราชสีมา!J399"")"),0.0)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IFERROR(__xludf.DUMMYFUNCTION("IMPORTRANGE(""https://docs.google.com/spreadsheets/d/1XL5vhW3sbDhbH9Cz0tuDiY8C3ctxq1tqvaCgkFb8cCA/edit?usp=sharing"",""นครราชสีมา!I400"")"),0.0)</f>
        <v>0</v>
      </c>
      <c r="J505" s="232">
        <f>IFERROR(__xludf.DUMMYFUNCTION("IMPORTRANGE(""https://docs.google.com/spreadsheets/d/1XL5vhW3sbDhbH9Cz0tuDiY8C3ctxq1tqvaCgkFb8cCA/edit?usp=sharing"",""นครราชสีมา!J400"")"),0.0)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IFERROR(__xludf.DUMMYFUNCTION("IMPORTRANGE(""https://docs.google.com/spreadsheets/d/1XL5vhW3sbDhbH9Cz0tuDiY8C3ctxq1tqvaCgkFb8cCA/edit?usp=sharing"",""นครราชสีมา!I401"")"),0.0)</f>
        <v>0</v>
      </c>
      <c r="J506" s="223">
        <f>IFERROR(__xludf.DUMMYFUNCTION("IMPORTRANGE(""https://docs.google.com/spreadsheets/d/1XL5vhW3sbDhbH9Cz0tuDiY8C3ctxq1tqvaCgkFb8cCA/edit?usp=sharing"",""นครราชสีมา!J401"")"),0.0)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IFERROR(__xludf.DUMMYFUNCTION("IMPORTRANGE(""https://docs.google.com/spreadsheets/d/1XL5vhW3sbDhbH9Cz0tuDiY8C3ctxq1tqvaCgkFb8cCA/edit?usp=sharing"",""นครราชสีมา!I402"")"),0.0)</f>
        <v>0</v>
      </c>
      <c r="J507" s="232">
        <f>IFERROR(__xludf.DUMMYFUNCTION("IMPORTRANGE(""https://docs.google.com/spreadsheets/d/1XL5vhW3sbDhbH9Cz0tuDiY8C3ctxq1tqvaCgkFb8cCA/edit?usp=sharing"",""นครราชสีมา!J402"")"),0.0)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IFERROR(__xludf.DUMMYFUNCTION("IMPORTRANGE(""https://docs.google.com/spreadsheets/d/1XL5vhW3sbDhbH9Cz0tuDiY8C3ctxq1tqvaCgkFb8cCA/edit?usp=sharing"",""นครราชสีมา!I403"")"),0.0)</f>
        <v>0</v>
      </c>
      <c r="J508" s="195">
        <f>IFERROR(__xludf.DUMMYFUNCTION("IMPORTRANGE(""https://docs.google.com/spreadsheets/d/1XL5vhW3sbDhbH9Cz0tuDiY8C3ctxq1tqvaCgkFb8cCA/edit?usp=sharing"",""นครราชสีมา!J403"")"),0.0)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IFERROR(__xludf.DUMMYFUNCTION("IMPORTRANGE(""https://docs.google.com/spreadsheets/d/1XL5vhW3sbDhbH9Cz0tuDiY8C3ctxq1tqvaCgkFb8cCA/edit?usp=sharing"",""นครราชสีมา!I404"")"),0.0)</f>
        <v>0</v>
      </c>
      <c r="J509" s="195">
        <f>IFERROR(__xludf.DUMMYFUNCTION("IMPORTRANGE(""https://docs.google.com/spreadsheets/d/1XL5vhW3sbDhbH9Cz0tuDiY8C3ctxq1tqvaCgkFb8cCA/edit?usp=sharing"",""นครราชสีมา!J404"")"),0.0)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IFERROR(__xludf.DUMMYFUNCTION("IMPORTRANGE(""https://docs.google.com/spreadsheets/d/1XL5vhW3sbDhbH9Cz0tuDiY8C3ctxq1tqvaCgkFb8cCA/edit?usp=sharing"",""นครราชสีมา!I405"")"),0.0)</f>
        <v>0</v>
      </c>
      <c r="J510" s="232">
        <f>IFERROR(__xludf.DUMMYFUNCTION("IMPORTRANGE(""https://docs.google.com/spreadsheets/d/1XL5vhW3sbDhbH9Cz0tuDiY8C3ctxq1tqvaCgkFb8cCA/edit?usp=sharing"",""นครราชสีมา!J405"")"),0.0)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IFERROR(__xludf.DUMMYFUNCTION("IMPORTRANGE(""https://docs.google.com/spreadsheets/d/1XL5vhW3sbDhbH9Cz0tuDiY8C3ctxq1tqvaCgkFb8cCA/edit?usp=sharing"",""นครราชสีมา!I406"")"),0.0)</f>
        <v>0</v>
      </c>
      <c r="J511" s="232">
        <f>IFERROR(__xludf.DUMMYFUNCTION("IMPORTRANGE(""https://docs.google.com/spreadsheets/d/1XL5vhW3sbDhbH9Cz0tuDiY8C3ctxq1tqvaCgkFb8cCA/edit?usp=sharing"",""นครราชสีมา!J406"")"),0.0)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IFERROR(__xludf.DUMMYFUNCTION("IMPORTRANGE(""https://docs.google.com/spreadsheets/d/1XL5vhW3sbDhbH9Cz0tuDiY8C3ctxq1tqvaCgkFb8cCA/edit?usp=sharing"",""นครราชสีมา!I407"")"),0.0)</f>
        <v>0</v>
      </c>
      <c r="J512" s="232">
        <f>IFERROR(__xludf.DUMMYFUNCTION("IMPORTRANGE(""https://docs.google.com/spreadsheets/d/1XL5vhW3sbDhbH9Cz0tuDiY8C3ctxq1tqvaCgkFb8cCA/edit?usp=sharing"",""นครราชสีมา!J407"")"),0.0)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IFERROR(__xludf.DUMMYFUNCTION("IMPORTRANGE(""https://docs.google.com/spreadsheets/d/1XL5vhW3sbDhbH9Cz0tuDiY8C3ctxq1tqvaCgkFb8cCA/edit?usp=sharing"",""นครราชสีมา!I408"")"),0.0)</f>
        <v>0</v>
      </c>
      <c r="J513" s="232">
        <f>IFERROR(__xludf.DUMMYFUNCTION("IMPORTRANGE(""https://docs.google.com/spreadsheets/d/1XL5vhW3sbDhbH9Cz0tuDiY8C3ctxq1tqvaCgkFb8cCA/edit?usp=sharing"",""นครราชสีมา!J408"")"),0.0)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IFERROR(__xludf.DUMMYFUNCTION("IMPORTRANGE(""https://docs.google.com/spreadsheets/d/1XL5vhW3sbDhbH9Cz0tuDiY8C3ctxq1tqvaCgkFb8cCA/edit?usp=sharing"",""นครราชสีมา!I409"")"),0.0)</f>
        <v>0</v>
      </c>
      <c r="J514" s="232">
        <f>IFERROR(__xludf.DUMMYFUNCTION("IMPORTRANGE(""https://docs.google.com/spreadsheets/d/1XL5vhW3sbDhbH9Cz0tuDiY8C3ctxq1tqvaCgkFb8cCA/edit?usp=sharing"",""นครราชสีมา!J409"")"),0.0)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IFERROR(__xludf.DUMMYFUNCTION("IMPORTRANGE(""https://docs.google.com/spreadsheets/d/1XL5vhW3sbDhbH9Cz0tuDiY8C3ctxq1tqvaCgkFb8cCA/edit?usp=sharing"",""นครราชสีมา!I410"")"),0.0)</f>
        <v>0</v>
      </c>
      <c r="J515" s="232">
        <f>IFERROR(__xludf.DUMMYFUNCTION("IMPORTRANGE(""https://docs.google.com/spreadsheets/d/1XL5vhW3sbDhbH9Cz0tuDiY8C3ctxq1tqvaCgkFb8cCA/edit?usp=sharing"",""นครราชสีมา!J410"")"),0.0)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IFERROR(__xludf.DUMMYFUNCTION("IMPORTRANGE(""https://docs.google.com/spreadsheets/d/1XL5vhW3sbDhbH9Cz0tuDiY8C3ctxq1tqvaCgkFb8cCA/edit?usp=sharing"",""นครราชสีมา!I411"")"),0.0)</f>
        <v>0</v>
      </c>
      <c r="J516" s="301">
        <f>IFERROR(__xludf.DUMMYFUNCTION("IMPORTRANGE(""https://docs.google.com/spreadsheets/d/1XL5vhW3sbDhbH9Cz0tuDiY8C3ctxq1tqvaCgkFb8cCA/edit?usp=sharing"",""นครราชสีมา!J411"")"),0.0)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IFERROR(__xludf.DUMMYFUNCTION("IMPORTRANGE(""https://docs.google.com/spreadsheets/d/1XL5vhW3sbDhbH9Cz0tuDiY8C3ctxq1tqvaCgkFb8cCA/edit?usp=sharing"",""นครราชสีมา!I412"")"),0.0)</f>
        <v>0</v>
      </c>
      <c r="J517" s="317">
        <f>IFERROR(__xludf.DUMMYFUNCTION("IMPORTRANGE(""https://docs.google.com/spreadsheets/d/1XL5vhW3sbDhbH9Cz0tuDiY8C3ctxq1tqvaCgkFb8cCA/edit?usp=sharing"",""นครราชสีมา!J412"")"),0.0)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IFERROR(__xludf.DUMMYFUNCTION("IMPORTRANGE(""https://docs.google.com/spreadsheets/d/1XL5vhW3sbDhbH9Cz0tuDiY8C3ctxq1tqvaCgkFb8cCA/edit?usp=sharing"",""นครราชสีมา!I413"")"),0.0)</f>
        <v>0</v>
      </c>
      <c r="J518" s="317">
        <f>IFERROR(__xludf.DUMMYFUNCTION("IMPORTRANGE(""https://docs.google.com/spreadsheets/d/1XL5vhW3sbDhbH9Cz0tuDiY8C3ctxq1tqvaCgkFb8cCA/edit?usp=sharing"",""นครราชสีมา!J413"")"),0.0)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IFERROR(__xludf.DUMMYFUNCTION("IMPORTRANGE(""https://docs.google.com/spreadsheets/d/1XL5vhW3sbDhbH9Cz0tuDiY8C3ctxq1tqvaCgkFb8cCA/edit?usp=sharing"",""นครราชสีมา!I414"")"),0.0)</f>
        <v>0</v>
      </c>
      <c r="J519" s="222">
        <f>IFERROR(__xludf.DUMMYFUNCTION("IMPORTRANGE(""https://docs.google.com/spreadsheets/d/1XL5vhW3sbDhbH9Cz0tuDiY8C3ctxq1tqvaCgkFb8cCA/edit?usp=sharing"",""นครราชสีมา!J414"")"),0.0)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IFERROR(__xludf.DUMMYFUNCTION("IMPORTRANGE(""https://docs.google.com/spreadsheets/d/1XL5vhW3sbDhbH9Cz0tuDiY8C3ctxq1tqvaCgkFb8cCA/edit?usp=sharing"",""นครราชสีมา!I415"")"),0.0)</f>
        <v>0</v>
      </c>
      <c r="J520" s="222">
        <f>IFERROR(__xludf.DUMMYFUNCTION("IMPORTRANGE(""https://docs.google.com/spreadsheets/d/1XL5vhW3sbDhbH9Cz0tuDiY8C3ctxq1tqvaCgkFb8cCA/edit?usp=sharing"",""นครราชสีมา!J415"")"),0.0)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IFERROR(__xludf.DUMMYFUNCTION("IMPORTRANGE(""https://docs.google.com/spreadsheets/d/1XL5vhW3sbDhbH9Cz0tuDiY8C3ctxq1tqvaCgkFb8cCA/edit?usp=sharing"",""นครราชสีมา!I416"")"),0.0)</f>
        <v>0</v>
      </c>
      <c r="J521" s="222">
        <f>IFERROR(__xludf.DUMMYFUNCTION("IMPORTRANGE(""https://docs.google.com/spreadsheets/d/1XL5vhW3sbDhbH9Cz0tuDiY8C3ctxq1tqvaCgkFb8cCA/edit?usp=sharing"",""นครราชสีมา!J416"")"),0.0)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IFERROR(__xludf.DUMMYFUNCTION("IMPORTRANGE(""https://docs.google.com/spreadsheets/d/1XL5vhW3sbDhbH9Cz0tuDiY8C3ctxq1tqvaCgkFb8cCA/edit?usp=sharing"",""นครราชสีมา!I417"")"),0.0)</f>
        <v>0</v>
      </c>
      <c r="J522" s="222">
        <f>IFERROR(__xludf.DUMMYFUNCTION("IMPORTRANGE(""https://docs.google.com/spreadsheets/d/1XL5vhW3sbDhbH9Cz0tuDiY8C3ctxq1tqvaCgkFb8cCA/edit?usp=sharing"",""นครราชสีมา!J417"")"),0.0)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IFERROR(__xludf.DUMMYFUNCTION("IMPORTRANGE(""https://docs.google.com/spreadsheets/d/1XL5vhW3sbDhbH9Cz0tuDiY8C3ctxq1tqvaCgkFb8cCA/edit?usp=sharing"",""นครราชสีมา!I418"")"),0.0)</f>
        <v>0</v>
      </c>
      <c r="J523" s="222">
        <f>IFERROR(__xludf.DUMMYFUNCTION("IMPORTRANGE(""https://docs.google.com/spreadsheets/d/1XL5vhW3sbDhbH9Cz0tuDiY8C3ctxq1tqvaCgkFb8cCA/edit?usp=sharing"",""นครราชสีมา!J418"")"),0.0)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IFERROR(__xludf.DUMMYFUNCTION("IMPORTRANGE(""https://docs.google.com/spreadsheets/d/1XL5vhW3sbDhbH9Cz0tuDiY8C3ctxq1tqvaCgkFb8cCA/edit?usp=sharing"",""นครราชสีมา!I419"")"),0.0)</f>
        <v>0</v>
      </c>
      <c r="J524" s="222">
        <f>IFERROR(__xludf.DUMMYFUNCTION("IMPORTRANGE(""https://docs.google.com/spreadsheets/d/1XL5vhW3sbDhbH9Cz0tuDiY8C3ctxq1tqvaCgkFb8cCA/edit?usp=sharing"",""นครราชสีมา!J419"")"),0.0)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IFERROR(__xludf.DUMMYFUNCTION("IMPORTRANGE(""https://docs.google.com/spreadsheets/d/1XL5vhW3sbDhbH9Cz0tuDiY8C3ctxq1tqvaCgkFb8cCA/edit?usp=sharing"",""นครราชสีมา!I420"")"),0.0)</f>
        <v>0</v>
      </c>
      <c r="J525" s="317">
        <f>IFERROR(__xludf.DUMMYFUNCTION("IMPORTRANGE(""https://docs.google.com/spreadsheets/d/1XL5vhW3sbDhbH9Cz0tuDiY8C3ctxq1tqvaCgkFb8cCA/edit?usp=sharing"",""นครราชสีมา!J420"")"),0.0)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IFERROR(__xludf.DUMMYFUNCTION("IMPORTRANGE(""https://docs.google.com/spreadsheets/d/1XL5vhW3sbDhbH9Cz0tuDiY8C3ctxq1tqvaCgkFb8cCA/edit?usp=sharing"",""นครราชสีมา!I421"")"),0.0)</f>
        <v>0</v>
      </c>
      <c r="J526" s="317">
        <f>IFERROR(__xludf.DUMMYFUNCTION("IMPORTRANGE(""https://docs.google.com/spreadsheets/d/1XL5vhW3sbDhbH9Cz0tuDiY8C3ctxq1tqvaCgkFb8cCA/edit?usp=sharing"",""นครราชสีมา!J421"")"),0.0)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IFERROR(__xludf.DUMMYFUNCTION("IMPORTRANGE(""https://docs.google.com/spreadsheets/d/1XL5vhW3sbDhbH9Cz0tuDiY8C3ctxq1tqvaCgkFb8cCA/edit?usp=sharing"",""นครราชสีมา!I422"")"),0.0)</f>
        <v>0</v>
      </c>
      <c r="J527" s="232">
        <f>IFERROR(__xludf.DUMMYFUNCTION("IMPORTRANGE(""https://docs.google.com/spreadsheets/d/1XL5vhW3sbDhbH9Cz0tuDiY8C3ctxq1tqvaCgkFb8cCA/edit?usp=sharing"",""นครราชสีมา!J422"")"),0.0)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IFERROR(__xludf.DUMMYFUNCTION("IMPORTRANGE(""https://docs.google.com/spreadsheets/d/1XL5vhW3sbDhbH9Cz0tuDiY8C3ctxq1tqvaCgkFb8cCA/edit?usp=sharing"",""นครราชสีมา!I423"")"),0.0)</f>
        <v>0</v>
      </c>
      <c r="J528" s="232">
        <f>IFERROR(__xludf.DUMMYFUNCTION("IMPORTRANGE(""https://docs.google.com/spreadsheets/d/1XL5vhW3sbDhbH9Cz0tuDiY8C3ctxq1tqvaCgkFb8cCA/edit?usp=sharing"",""นครราชสีมา!J423"")"),0.0)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IFERROR(__xludf.DUMMYFUNCTION("IMPORTRANGE(""https://docs.google.com/spreadsheets/d/1XL5vhW3sbDhbH9Cz0tuDiY8C3ctxq1tqvaCgkFb8cCA/edit?usp=sharing"",""นครราชสีมา!I424"")"),0.0)</f>
        <v>0</v>
      </c>
      <c r="J529" s="232">
        <f>IFERROR(__xludf.DUMMYFUNCTION("IMPORTRANGE(""https://docs.google.com/spreadsheets/d/1XL5vhW3sbDhbH9Cz0tuDiY8C3ctxq1tqvaCgkFb8cCA/edit?usp=sharing"",""นครราชสีมา!J424"")"),0.0)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IFERROR(__xludf.DUMMYFUNCTION("IMPORTRANGE(""https://docs.google.com/spreadsheets/d/1XL5vhW3sbDhbH9Cz0tuDiY8C3ctxq1tqvaCgkFb8cCA/edit?usp=sharing"",""นครราชสีมา!I425"")"),0.0)</f>
        <v>0</v>
      </c>
      <c r="J530" s="232">
        <f>IFERROR(__xludf.DUMMYFUNCTION("IMPORTRANGE(""https://docs.google.com/spreadsheets/d/1XL5vhW3sbDhbH9Cz0tuDiY8C3ctxq1tqvaCgkFb8cCA/edit?usp=sharing"",""นครราชสีมา!J425"")"),0.0)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IFERROR(__xludf.DUMMYFUNCTION("IMPORTRANGE(""https://docs.google.com/spreadsheets/d/1XL5vhW3sbDhbH9Cz0tuDiY8C3ctxq1tqvaCgkFb8cCA/edit?usp=sharing"",""นครราชสีมา!I426"")"),0.0)</f>
        <v>0</v>
      </c>
      <c r="J531" s="232">
        <f>IFERROR(__xludf.DUMMYFUNCTION("IMPORTRANGE(""https://docs.google.com/spreadsheets/d/1XL5vhW3sbDhbH9Cz0tuDiY8C3ctxq1tqvaCgkFb8cCA/edit?usp=sharing"",""นครราชสีมา!J426"")"),0.0)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IFERROR(__xludf.DUMMYFUNCTION("IMPORTRANGE(""https://docs.google.com/spreadsheets/d/1XL5vhW3sbDhbH9Cz0tuDiY8C3ctxq1tqvaCgkFb8cCA/edit?usp=sharing"",""นครราชสีมา!I427"")"),0.0)</f>
        <v>0</v>
      </c>
      <c r="J532" s="499">
        <f>IFERROR(__xludf.DUMMYFUNCTION("IMPORTRANGE(""https://docs.google.com/spreadsheets/d/1XL5vhW3sbDhbH9Cz0tuDiY8C3ctxq1tqvaCgkFb8cCA/edit?usp=sharing"",""นครราชสีมา!J427"")"),0.0)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IFERROR(__xludf.DUMMYFUNCTION("IMPORTRANGE(""https://docs.google.com/spreadsheets/d/1XL5vhW3sbDhbH9Cz0tuDiY8C3ctxq1tqvaCgkFb8cCA/edit?usp=sharing"",""นครราชสีมา!I428"")"),24.0)</f>
        <v>24</v>
      </c>
      <c r="J533" s="443">
        <f>IFERROR(__xludf.DUMMYFUNCTION("IMPORTRANGE(""https://docs.google.com/spreadsheets/d/1XL5vhW3sbDhbH9Cz0tuDiY8C3ctxq1tqvaCgkFb8cCA/edit?usp=sharing"",""นครราชสีมา!J428"")"),24.0)</f>
        <v>24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IFERROR(__xludf.DUMMYFUNCTION("IMPORTRANGE(""https://docs.google.com/spreadsheets/d/1XL5vhW3sbDhbH9Cz0tuDiY8C3ctxq1tqvaCgkFb8cCA/edit?usp=sharing"",""นครราชสีมา!L428"")"),36040.0)</f>
        <v>36040</v>
      </c>
      <c r="M533" s="445"/>
      <c r="N533" s="445">
        <f>IFERROR(__xludf.DUMMYFUNCTION("IMPORTRANGE(""https://docs.google.com/spreadsheets/d/1XL5vhW3sbDhbH9Cz0tuDiY8C3ctxq1tqvaCgkFb8cCA/edit?usp=sharing"",""นครราชสีมา!M428"")"),26450.0)</f>
        <v>26450</v>
      </c>
      <c r="O533" s="445">
        <f t="shared" ref="O533:O537" si="119">+IF(L533&gt;0,N533*100/L533,0)</f>
        <v>73.39067703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IFERROR(__xludf.DUMMYFUNCTION("IMPORTRANGE(""https://docs.google.com/spreadsheets/d/1XL5vhW3sbDhbH9Cz0tuDiY8C3ctxq1tqvaCgkFb8cCA/edit?usp=sharing"",""นครราชสีมา!L429"")"),0.0)</f>
        <v>0</v>
      </c>
      <c r="M534" s="197"/>
      <c r="N534" s="203">
        <f>IFERROR(__xludf.DUMMYFUNCTION("IMPORTRANGE(""https://docs.google.com/spreadsheets/d/1XL5vhW3sbDhbH9Cz0tuDiY8C3ctxq1tqvaCgkFb8cCA/edit?usp=sharing"",""นครราชสีมา!M429"")"),0.0)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IFERROR(__xludf.DUMMYFUNCTION("IMPORTRANGE(""https://docs.google.com/spreadsheets/d/1XL5vhW3sbDhbH9Cz0tuDiY8C3ctxq1tqvaCgkFb8cCA/edit?usp=sharing"",""นครราชสีมา!L430"")"),36040.0)</f>
        <v>36040</v>
      </c>
      <c r="M535" s="198"/>
      <c r="N535" s="203">
        <f>IFERROR(__xludf.DUMMYFUNCTION("IMPORTRANGE(""https://docs.google.com/spreadsheets/d/1XL5vhW3sbDhbH9Cz0tuDiY8C3ctxq1tqvaCgkFb8cCA/edit?usp=sharing"",""นครราชสีมา!M430"")"),26450.0)</f>
        <v>26450</v>
      </c>
      <c r="O535" s="203">
        <f t="shared" si="119"/>
        <v>73.39067703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IFERROR(__xludf.DUMMYFUNCTION("IMPORTRANGE(""https://docs.google.com/spreadsheets/d/1XL5vhW3sbDhbH9Cz0tuDiY8C3ctxq1tqvaCgkFb8cCA/edit?usp=sharing"",""นครราชสีมา!L431"")"),0.0)</f>
        <v>0</v>
      </c>
      <c r="M536" s="203"/>
      <c r="N536" s="203">
        <f>IFERROR(__xludf.DUMMYFUNCTION("IMPORTRANGE(""https://docs.google.com/spreadsheets/d/1XL5vhW3sbDhbH9Cz0tuDiY8C3ctxq1tqvaCgkFb8cCA/edit?usp=sharing"",""นครราชสีมา!M431"")"),0.0)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IFERROR(__xludf.DUMMYFUNCTION("IMPORTRANGE(""https://docs.google.com/spreadsheets/d/1XL5vhW3sbDhbH9Cz0tuDiY8C3ctxq1tqvaCgkFb8cCA/edit?usp=sharing"",""นครราชสีมา!L432"")"),36040.0)</f>
        <v>36040</v>
      </c>
      <c r="M537" s="203"/>
      <c r="N537" s="203">
        <f>IFERROR(__xludf.DUMMYFUNCTION("IMPORTRANGE(""https://docs.google.com/spreadsheets/d/1XL5vhW3sbDhbH9Cz0tuDiY8C3ctxq1tqvaCgkFb8cCA/edit?usp=sharing"",""นครราชสีมา!M432"")"),26450.0)</f>
        <v>26450</v>
      </c>
      <c r="O537" s="203">
        <f t="shared" si="119"/>
        <v>73.39067703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IFERROR(__xludf.DUMMYFUNCTION("IMPORTRANGE(""https://docs.google.com/spreadsheets/d/1XL5vhW3sbDhbH9Cz0tuDiY8C3ctxq1tqvaCgkFb8cCA/edit?usp=sharing"",""นครราชสีมา!M433"")"),23600.0)</f>
        <v>23600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IFERROR(__xludf.DUMMYFUNCTION("IMPORTRANGE(""https://docs.google.com/spreadsheets/d/1XL5vhW3sbDhbH9Cz0tuDiY8C3ctxq1tqvaCgkFb8cCA/edit?usp=sharing"",""นครราชสีมา!M434"")"),0.0)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IFERROR(__xludf.DUMMYFUNCTION("IMPORTRANGE(""https://docs.google.com/spreadsheets/d/1XL5vhW3sbDhbH9Cz0tuDiY8C3ctxq1tqvaCgkFb8cCA/edit?usp=sharing"",""นครราชสีมา!M435"")"),0.0)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IFERROR(__xludf.DUMMYFUNCTION("IMPORTRANGE(""https://docs.google.com/spreadsheets/d/1XL5vhW3sbDhbH9Cz0tuDiY8C3ctxq1tqvaCgkFb8cCA/edit?usp=sharing"",""นครราชสีมา!M436"")"),2850.0)</f>
        <v>2850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IFERROR(__xludf.DUMMYFUNCTION("IMPORTRANGE(""https://docs.google.com/spreadsheets/d/1XL5vhW3sbDhbH9Cz0tuDiY8C3ctxq1tqvaCgkFb8cCA/edit?usp=sharing"",""นครราชสีมา!J438"")"),0.0)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IFERROR(__xludf.DUMMYFUNCTION("IMPORTRANGE(""https://docs.google.com/spreadsheets/d/1XL5vhW3sbDhbH9Cz0tuDiY8C3ctxq1tqvaCgkFb8cCA/edit?usp=sharing"",""นครราชสีมา!J439"")"),1.0)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IFERROR(__xludf.DUMMYFUNCTION("IMPORTRANGE(""https://docs.google.com/spreadsheets/d/1XL5vhW3sbDhbH9Cz0tuDiY8C3ctxq1tqvaCgkFb8cCA/edit?usp=sharing"",""นครราชสีมา!J440"")"),1.0)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IFERROR(__xludf.DUMMYFUNCTION("IMPORTRANGE(""https://docs.google.com/spreadsheets/d/1XL5vhW3sbDhbH9Cz0tuDiY8C3ctxq1tqvaCgkFb8cCA/edit?usp=sharing"",""นครราชสีมา!J441"")"),1.0)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IFERROR(__xludf.DUMMYFUNCTION("IMPORTRANGE(""https://docs.google.com/spreadsheets/d/1XL5vhW3sbDhbH9Cz0tuDiY8C3ctxq1tqvaCgkFb8cCA/edit?usp=sharing"",""นครราชสีมา!I442"")"),24.0)</f>
        <v>24</v>
      </c>
      <c r="J547" s="223">
        <f>IFERROR(__xludf.DUMMYFUNCTION("IMPORTRANGE(""https://docs.google.com/spreadsheets/d/1XL5vhW3sbDhbH9Cz0tuDiY8C3ctxq1tqvaCgkFb8cCA/edit?usp=sharing"",""นครราชสีมา!J442"")"),24.0)</f>
        <v>24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IFERROR(__xludf.DUMMYFUNCTION("IMPORTRANGE(""https://docs.google.com/spreadsheets/d/1XL5vhW3sbDhbH9Cz0tuDiY8C3ctxq1tqvaCgkFb8cCA/edit?usp=sharing"",""นครราชสีมา!J166"")"),0.0)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IFERROR(__xludf.DUMMYFUNCTION("IMPORTRANGE(""https://docs.google.com/spreadsheets/d/1XL5vhW3sbDhbH9Cz0tuDiY8C3ctxq1tqvaCgkFb8cCA/edit?usp=sharing"",""นครราชสีมา!J444"")"),0.0)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IFERROR(__xludf.DUMMYFUNCTION("IMPORTRANGE(""https://docs.google.com/spreadsheets/d/1XL5vhW3sbDhbH9Cz0tuDiY8C3ctxq1tqvaCgkFb8cCA/edit?usp=sharing"",""นครราชสีมา!J445"")"),0.0)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IFERROR(__xludf.DUMMYFUNCTION("IMPORTRANGE(""https://docs.google.com/spreadsheets/d/1XL5vhW3sbDhbH9Cz0tuDiY8C3ctxq1tqvaCgkFb8cCA/edit?usp=sharing"",""นครราชสีมา!I446"")"),5000.0)</f>
        <v>5000</v>
      </c>
      <c r="J551" s="443">
        <f>IFERROR(__xludf.DUMMYFUNCTION("IMPORTRANGE(""https://docs.google.com/spreadsheets/d/1XL5vhW3sbDhbH9Cz0tuDiY8C3ctxq1tqvaCgkFb8cCA/edit?usp=sharing"",""นครราชสีมา!J446"")"),676.0)</f>
        <v>676</v>
      </c>
      <c r="K551" s="444">
        <f>IF(I551&gt;0,J551*100/I551,0)</f>
        <v>13.52</v>
      </c>
      <c r="L551" s="445">
        <f>IFERROR(__xludf.DUMMYFUNCTION("IMPORTRANGE(""https://docs.google.com/spreadsheets/d/1XL5vhW3sbDhbH9Cz0tuDiY8C3ctxq1tqvaCgkFb8cCA/edit?usp=sharing"",""นครราชสีมา!L446"")"),320000.0)</f>
        <v>320000</v>
      </c>
      <c r="M551" s="445"/>
      <c r="N551" s="445">
        <f>IFERROR(__xludf.DUMMYFUNCTION("IMPORTRANGE(""https://docs.google.com/spreadsheets/d/1XL5vhW3sbDhbH9Cz0tuDiY8C3ctxq1tqvaCgkFb8cCA/edit?usp=sharing"",""นครราชสีมา!M446"")"),129800.0)</f>
        <v>129800</v>
      </c>
      <c r="O551" s="445">
        <f t="shared" ref="O551:O555" si="121">+IF(L551&gt;0,N551*100/L551,0)</f>
        <v>40.5625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IFERROR(__xludf.DUMMYFUNCTION("IMPORTRANGE(""https://docs.google.com/spreadsheets/d/1XL5vhW3sbDhbH9Cz0tuDiY8C3ctxq1tqvaCgkFb8cCA/edit?usp=sharing"",""นครราชสีมา!L447"")"),0.0)</f>
        <v>0</v>
      </c>
      <c r="M552" s="197"/>
      <c r="N552" s="203">
        <f>IFERROR(__xludf.DUMMYFUNCTION("IMPORTRANGE(""https://docs.google.com/spreadsheets/d/1XL5vhW3sbDhbH9Cz0tuDiY8C3ctxq1tqvaCgkFb8cCA/edit?usp=sharing"",""นครราชสีมา!M447"")"),0.0)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IFERROR(__xludf.DUMMYFUNCTION("IMPORTRANGE(""https://docs.google.com/spreadsheets/d/1XL5vhW3sbDhbH9Cz0tuDiY8C3ctxq1tqvaCgkFb8cCA/edit?usp=sharing"",""นครราชสีมา!L448"")"),320000.0)</f>
        <v>320000</v>
      </c>
      <c r="M553" s="198"/>
      <c r="N553" s="203">
        <f>IFERROR(__xludf.DUMMYFUNCTION("IMPORTRANGE(""https://docs.google.com/spreadsheets/d/1XL5vhW3sbDhbH9Cz0tuDiY8C3ctxq1tqvaCgkFb8cCA/edit?usp=sharing"",""นครราชสีมา!M448"")"),129800.0)</f>
        <v>129800</v>
      </c>
      <c r="O553" s="203">
        <f t="shared" si="121"/>
        <v>40.5625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IFERROR(__xludf.DUMMYFUNCTION("IMPORTRANGE(""https://docs.google.com/spreadsheets/d/1XL5vhW3sbDhbH9Cz0tuDiY8C3ctxq1tqvaCgkFb8cCA/edit?usp=sharing"",""นครราชสีมา!L449"")"),0.0)</f>
        <v>0</v>
      </c>
      <c r="M554" s="203"/>
      <c r="N554" s="203">
        <f>IFERROR(__xludf.DUMMYFUNCTION("IMPORTRANGE(""https://docs.google.com/spreadsheets/d/1XL5vhW3sbDhbH9Cz0tuDiY8C3ctxq1tqvaCgkFb8cCA/edit?usp=sharing"",""นครราชสีมา!M449"")"),0.0)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IFERROR(__xludf.DUMMYFUNCTION("IMPORTRANGE(""https://docs.google.com/spreadsheets/d/1XL5vhW3sbDhbH9Cz0tuDiY8C3ctxq1tqvaCgkFb8cCA/edit?usp=sharing"",""นครราชสีมา!L450"")"),320000.0)</f>
        <v>320000</v>
      </c>
      <c r="M555" s="203"/>
      <c r="N555" s="203">
        <f>IFERROR(__xludf.DUMMYFUNCTION("IMPORTRANGE(""https://docs.google.com/spreadsheets/d/1XL5vhW3sbDhbH9Cz0tuDiY8C3ctxq1tqvaCgkFb8cCA/edit?usp=sharing"",""นครราชสีมา!M450"")"),129800.0)</f>
        <v>129800</v>
      </c>
      <c r="O555" s="203">
        <f t="shared" si="121"/>
        <v>40.5625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IFERROR(__xludf.DUMMYFUNCTION("IMPORTRANGE(""https://docs.google.com/spreadsheets/d/1XL5vhW3sbDhbH9Cz0tuDiY8C3ctxq1tqvaCgkFb8cCA/edit?usp=sharing"",""นครราชสีมา!M451"")"),0.0)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IFERROR(__xludf.DUMMYFUNCTION("IMPORTRANGE(""https://docs.google.com/spreadsheets/d/1XL5vhW3sbDhbH9Cz0tuDiY8C3ctxq1tqvaCgkFb8cCA/edit?usp=sharing"",""นครราชสีมา!M452"")"),0.0)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IFERROR(__xludf.DUMMYFUNCTION("IMPORTRANGE(""https://docs.google.com/spreadsheets/d/1XL5vhW3sbDhbH9Cz0tuDiY8C3ctxq1tqvaCgkFb8cCA/edit?usp=sharing"",""นครราชสีมา!M453"")"),0.0)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IFERROR(__xludf.DUMMYFUNCTION("IMPORTRANGE(""https://docs.google.com/spreadsheets/d/1XL5vhW3sbDhbH9Cz0tuDiY8C3ctxq1tqvaCgkFb8cCA/edit?usp=sharing"",""นครราชสีมา!M454"")"),129800.0)</f>
        <v>129800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IFERROR(__xludf.DUMMYFUNCTION("IMPORTRANGE(""https://docs.google.com/spreadsheets/d/1XL5vhW3sbDhbH9Cz0tuDiY8C3ctxq1tqvaCgkFb8cCA/edit?usp=sharing"",""นครราชสีมา!I455"")"),5000.0)</f>
        <v>5000</v>
      </c>
      <c r="J560" s="195">
        <f>IFERROR(__xludf.DUMMYFUNCTION("IMPORTRANGE(""https://docs.google.com/spreadsheets/d/1XL5vhW3sbDhbH9Cz0tuDiY8C3ctxq1tqvaCgkFb8cCA/edit?usp=sharing"",""นครราชสีมา!J455"")"),676.0)</f>
        <v>676</v>
      </c>
      <c r="K560" s="258">
        <f t="shared" ref="K560:K564" si="122">IF(I560&gt;0,J560*100/I560,0)</f>
        <v>13.52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IFERROR(__xludf.DUMMYFUNCTION("IMPORTRANGE(""https://docs.google.com/spreadsheets/d/1XL5vhW3sbDhbH9Cz0tuDiY8C3ctxq1tqvaCgkFb8cCA/edit?usp=sharing"",""นครราชสีมา!I456"")"),0.0)</f>
        <v>0</v>
      </c>
      <c r="J561" s="238">
        <f>IFERROR(__xludf.DUMMYFUNCTION("IMPORTRANGE(""https://docs.google.com/spreadsheets/d/1XL5vhW3sbDhbH9Cz0tuDiY8C3ctxq1tqvaCgkFb8cCA/edit?usp=sharing"",""นครราชสีมา!J456"")"),34.0)</f>
        <v>34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IFERROR(__xludf.DUMMYFUNCTION("IMPORTRANGE(""https://docs.google.com/spreadsheets/d/1XL5vhW3sbDhbH9Cz0tuDiY8C3ctxq1tqvaCgkFb8cCA/edit?usp=sharing"",""นครราชสีมา!I457"")"),"")</f>
        <v/>
      </c>
      <c r="J562" s="238" t="str">
        <f>IFERROR(__xludf.DUMMYFUNCTION("IMPORTRANGE(""https://docs.google.com/spreadsheets/d/1XL5vhW3sbDhbH9Cz0tuDiY8C3ctxq1tqvaCgkFb8cCA/edit?usp=sharing"",""นครราชสีมา!J457"")"),"")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IFERROR(__xludf.DUMMYFUNCTION("IMPORTRANGE(""https://docs.google.com/spreadsheets/d/1XL5vhW3sbDhbH9Cz0tuDiY8C3ctxq1tqvaCgkFb8cCA/edit?usp=sharing"",""นครราชสีมา!I458"")"),"")</f>
        <v/>
      </c>
      <c r="J563" s="222" t="str">
        <f>IFERROR(__xludf.DUMMYFUNCTION("IMPORTRANGE(""https://docs.google.com/spreadsheets/d/1XL5vhW3sbDhbH9Cz0tuDiY8C3ctxq1tqvaCgkFb8cCA/edit?usp=sharing"",""นครราชสีมา!J458"")"),"")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IFERROR(__xludf.DUMMYFUNCTION("IMPORTRANGE(""https://docs.google.com/spreadsheets/d/1XL5vhW3sbDhbH9Cz0tuDiY8C3ctxq1tqvaCgkFb8cCA/edit?usp=sharing"",""นครราชสีมา!I459"")"),9000.0)</f>
        <v>9000</v>
      </c>
      <c r="J564" s="404">
        <f>IFERROR(__xludf.DUMMYFUNCTION("IMPORTRANGE(""https://docs.google.com/spreadsheets/d/1XL5vhW3sbDhbH9Cz0tuDiY8C3ctxq1tqvaCgkFb8cCA/edit?usp=sharing"",""นครราชสีมา!J459"")"),3593.0)</f>
        <v>3593</v>
      </c>
      <c r="K564" s="405">
        <f t="shared" si="122"/>
        <v>39.92222222</v>
      </c>
      <c r="L564" s="406">
        <f>IFERROR(__xludf.DUMMYFUNCTION("IMPORTRANGE(""https://docs.google.com/spreadsheets/d/1XL5vhW3sbDhbH9Cz0tuDiY8C3ctxq1tqvaCgkFb8cCA/edit?usp=sharing"",""นครราชสีมา!L459"")"),211200.0)</f>
        <v>211200</v>
      </c>
      <c r="M564" s="406"/>
      <c r="N564" s="406">
        <f>IFERROR(__xludf.DUMMYFUNCTION("IMPORTRANGE(""https://docs.google.com/spreadsheets/d/1XL5vhW3sbDhbH9Cz0tuDiY8C3ctxq1tqvaCgkFb8cCA/edit?usp=sharing"",""นครราชสีมา!M459"")"),118140.75)</f>
        <v>118140.75</v>
      </c>
      <c r="O564" s="406">
        <f t="shared" ref="O564:O568" si="123">+IF(L564&gt;0,N564*100/L564,0)</f>
        <v>55.93785511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IFERROR(__xludf.DUMMYFUNCTION("IMPORTRANGE(""https://docs.google.com/spreadsheets/d/1XL5vhW3sbDhbH9Cz0tuDiY8C3ctxq1tqvaCgkFb8cCA/edit?usp=sharing"",""นครราชสีมา!L460"")"),0.0)</f>
        <v>0</v>
      </c>
      <c r="M565" s="197"/>
      <c r="N565" s="203">
        <f>IFERROR(__xludf.DUMMYFUNCTION("IMPORTRANGE(""https://docs.google.com/spreadsheets/d/1XL5vhW3sbDhbH9Cz0tuDiY8C3ctxq1tqvaCgkFb8cCA/edit?usp=sharing"",""นครราชสีมา!M460"")"),0.0)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IFERROR(__xludf.DUMMYFUNCTION("IMPORTRANGE(""https://docs.google.com/spreadsheets/d/1XL5vhW3sbDhbH9Cz0tuDiY8C3ctxq1tqvaCgkFb8cCA/edit?usp=sharing"",""นครราชสีมา!L461"")"),211200.0)</f>
        <v>211200</v>
      </c>
      <c r="M566" s="198"/>
      <c r="N566" s="203">
        <f>IFERROR(__xludf.DUMMYFUNCTION("IMPORTRANGE(""https://docs.google.com/spreadsheets/d/1XL5vhW3sbDhbH9Cz0tuDiY8C3ctxq1tqvaCgkFb8cCA/edit?usp=sharing"",""นครราชสีมา!M461"")"),118140.75)</f>
        <v>118140.75</v>
      </c>
      <c r="O566" s="203">
        <f t="shared" si="123"/>
        <v>55.93785511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IFERROR(__xludf.DUMMYFUNCTION("IMPORTRANGE(""https://docs.google.com/spreadsheets/d/1XL5vhW3sbDhbH9Cz0tuDiY8C3ctxq1tqvaCgkFb8cCA/edit?usp=sharing"",""นครราชสีมา!L462"")"),0.0)</f>
        <v>0</v>
      </c>
      <c r="M567" s="203"/>
      <c r="N567" s="203">
        <f>IFERROR(__xludf.DUMMYFUNCTION("IMPORTRANGE(""https://docs.google.com/spreadsheets/d/1XL5vhW3sbDhbH9Cz0tuDiY8C3ctxq1tqvaCgkFb8cCA/edit?usp=sharing"",""นครราชสีมา!M462"")"),0.0)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IFERROR(__xludf.DUMMYFUNCTION("IMPORTRANGE(""https://docs.google.com/spreadsheets/d/1XL5vhW3sbDhbH9Cz0tuDiY8C3ctxq1tqvaCgkFb8cCA/edit?usp=sharing"",""นครราชสีมา!L463"")"),211200.0)</f>
        <v>211200</v>
      </c>
      <c r="M568" s="203"/>
      <c r="N568" s="203">
        <f>IFERROR(__xludf.DUMMYFUNCTION("IMPORTRANGE(""https://docs.google.com/spreadsheets/d/1XL5vhW3sbDhbH9Cz0tuDiY8C3ctxq1tqvaCgkFb8cCA/edit?usp=sharing"",""นครราชสีมา!M463"")"),118140.75)</f>
        <v>118140.75</v>
      </c>
      <c r="O568" s="203">
        <f t="shared" si="123"/>
        <v>55.93785511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IFERROR(__xludf.DUMMYFUNCTION("IMPORTRANGE(""https://docs.google.com/spreadsheets/d/1XL5vhW3sbDhbH9Cz0tuDiY8C3ctxq1tqvaCgkFb8cCA/edit?usp=sharing"",""นครราชสีมา!M464"")"),0.0)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IFERROR(__xludf.DUMMYFUNCTION("IMPORTRANGE(""https://docs.google.com/spreadsheets/d/1XL5vhW3sbDhbH9Cz0tuDiY8C3ctxq1tqvaCgkFb8cCA/edit?usp=sharing"",""นครราชสีมา!M465"")"),0.0)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IFERROR(__xludf.DUMMYFUNCTION("IMPORTRANGE(""https://docs.google.com/spreadsheets/d/1XL5vhW3sbDhbH9Cz0tuDiY8C3ctxq1tqvaCgkFb8cCA/edit?usp=sharing"",""นครราชสีมา!M466"")"),31166.75)</f>
        <v>31166.75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IFERROR(__xludf.DUMMYFUNCTION("IMPORTRANGE(""https://docs.google.com/spreadsheets/d/1XL5vhW3sbDhbH9Cz0tuDiY8C3ctxq1tqvaCgkFb8cCA/edit?usp=sharing"",""นครราชสีมา!M467"")"),86974.0)</f>
        <v>86974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IFERROR(__xludf.DUMMYFUNCTION("IMPORTRANGE(""https://docs.google.com/spreadsheets/d/1XL5vhW3sbDhbH9Cz0tuDiY8C3ctxq1tqvaCgkFb8cCA/edit?usp=sharing"",""นครราชสีมา!I468"")"),9000.0)</f>
        <v>9000</v>
      </c>
      <c r="J573" s="453">
        <f>IFERROR(__xludf.DUMMYFUNCTION("IMPORTRANGE(""https://docs.google.com/spreadsheets/d/1XL5vhW3sbDhbH9Cz0tuDiY8C3ctxq1tqvaCgkFb8cCA/edit?usp=sharing"",""นครราชสีมา!J468"")"),3593.0)</f>
        <v>3593</v>
      </c>
      <c r="K573" s="236">
        <f>IF(I573&gt;0,J573*100/I573,0)</f>
        <v>39.92222222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IFERROR(__xludf.DUMMYFUNCTION("IMPORTRANGE(""https://docs.google.com/spreadsheets/d/1XL5vhW3sbDhbH9Cz0tuDiY8C3ctxq1tqvaCgkFb8cCA/edit?usp=sharing"",""นครราชสีมา!I470"")"),0.0)</f>
        <v>0</v>
      </c>
      <c r="J575" s="232">
        <f>IFERROR(__xludf.DUMMYFUNCTION("IMPORTRANGE(""https://docs.google.com/spreadsheets/d/1XL5vhW3sbDhbH9Cz0tuDiY8C3ctxq1tqvaCgkFb8cCA/edit?usp=sharing"",""นครราชสีมา!J470"")"),3.0)</f>
        <v>3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IFERROR(__xludf.DUMMYFUNCTION("IMPORTRANGE(""https://docs.google.com/spreadsheets/d/1XL5vhW3sbDhbH9Cz0tuDiY8C3ctxq1tqvaCgkFb8cCA/edit?usp=sharing"",""นครราชสีมา!I471"")"),0.0)</f>
        <v>0</v>
      </c>
      <c r="J576" s="232">
        <f>IFERROR(__xludf.DUMMYFUNCTION("IMPORTRANGE(""https://docs.google.com/spreadsheets/d/1XL5vhW3sbDhbH9Cz0tuDiY8C3ctxq1tqvaCgkFb8cCA/edit?usp=sharing"",""นครราชสีมา!J471"")"),613.0)</f>
        <v>613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IFERROR(__xludf.DUMMYFUNCTION("IMPORTRANGE(""https://docs.google.com/spreadsheets/d/1XL5vhW3sbDhbH9Cz0tuDiY8C3ctxq1tqvaCgkFb8cCA/edit?usp=sharing"",""นครราชสีมา!I472"")"),0.0)</f>
        <v>0</v>
      </c>
      <c r="J577" s="223">
        <f>IFERROR(__xludf.DUMMYFUNCTION("IMPORTRANGE(""https://docs.google.com/spreadsheets/d/1XL5vhW3sbDhbH9Cz0tuDiY8C3ctxq1tqvaCgkFb8cCA/edit?usp=sharing"",""นครราชสีมา!J472"")"),2980.0)</f>
        <v>2980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IFERROR(__xludf.DUMMYFUNCTION("IMPORTRANGE(""https://docs.google.com/spreadsheets/d/1XL5vhW3sbDhbH9Cz0tuDiY8C3ctxq1tqvaCgkFb8cCA/edit?usp=sharing"",""นครราชสีมา!I473"")"),0.0)</f>
        <v>0</v>
      </c>
      <c r="J578" s="232">
        <f>IFERROR(__xludf.DUMMYFUNCTION("IMPORTRANGE(""https://docs.google.com/spreadsheets/d/1XL5vhW3sbDhbH9Cz0tuDiY8C3ctxq1tqvaCgkFb8cCA/edit?usp=sharing"",""นครราชสีมา!J473"")"),0.0)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IFERROR(__xludf.DUMMYFUNCTION("IMPORTRANGE(""https://docs.google.com/spreadsheets/d/1XL5vhW3sbDhbH9Cz0tuDiY8C3ctxq1tqvaCgkFb8cCA/edit?usp=sharing"",""นครราชสีมา!I474"")"),0.0)</f>
        <v>0</v>
      </c>
      <c r="J579" s="232">
        <f>IFERROR(__xludf.DUMMYFUNCTION("IMPORTRANGE(""https://docs.google.com/spreadsheets/d/1XL5vhW3sbDhbH9Cz0tuDiY8C3ctxq1tqvaCgkFb8cCA/edit?usp=sharing"",""นครราชสีมา!J474"")"),0.0)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IFERROR(__xludf.DUMMYFUNCTION("IMPORTRANGE(""https://docs.google.com/spreadsheets/d/1XL5vhW3sbDhbH9Cz0tuDiY8C3ctxq1tqvaCgkFb8cCA/edit?usp=sharing"",""นครราชสีมา!I475"")"),2000.0)</f>
        <v>2000</v>
      </c>
      <c r="J580" s="404">
        <f>IFERROR(__xludf.DUMMYFUNCTION("IMPORTRANGE(""https://docs.google.com/spreadsheets/d/1XL5vhW3sbDhbH9Cz0tuDiY8C3ctxq1tqvaCgkFb8cCA/edit?usp=sharing"",""นครราชสีมา!J475"")"),1.0)</f>
        <v>1</v>
      </c>
      <c r="K580" s="405">
        <f>IF(I580&gt;0,J580*100/I580,0)</f>
        <v>0.05</v>
      </c>
      <c r="L580" s="406">
        <f>IFERROR(__xludf.DUMMYFUNCTION("IMPORTRANGE(""https://docs.google.com/spreadsheets/d/1XL5vhW3sbDhbH9Cz0tuDiY8C3ctxq1tqvaCgkFb8cCA/edit?usp=sharing"",""นครราชสีมา!L475"")"),1144600.0)</f>
        <v>1144600</v>
      </c>
      <c r="M580" s="406"/>
      <c r="N580" s="406">
        <f>IFERROR(__xludf.DUMMYFUNCTION("IMPORTRANGE(""https://docs.google.com/spreadsheets/d/1XL5vhW3sbDhbH9Cz0tuDiY8C3ctxq1tqvaCgkFb8cCA/edit?usp=sharing"",""นครราชสีมา!M475"")"),453985.02)</f>
        <v>453985.02</v>
      </c>
      <c r="O580" s="406">
        <f t="shared" ref="O580:O584" si="125">+IF(L580&gt;0,N580*100/L580,0)</f>
        <v>39.66320287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IFERROR(__xludf.DUMMYFUNCTION("IMPORTRANGE(""https://docs.google.com/spreadsheets/d/1XL5vhW3sbDhbH9Cz0tuDiY8C3ctxq1tqvaCgkFb8cCA/edit?usp=sharing"",""นครราชสีมา!L476"")"),0.0)</f>
        <v>0</v>
      </c>
      <c r="M581" s="197"/>
      <c r="N581" s="203">
        <f>IFERROR(__xludf.DUMMYFUNCTION("IMPORTRANGE(""https://docs.google.com/spreadsheets/d/1XL5vhW3sbDhbH9Cz0tuDiY8C3ctxq1tqvaCgkFb8cCA/edit?usp=sharing"",""นครราชสีมา!M476"")"),0.0)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IFERROR(__xludf.DUMMYFUNCTION("IMPORTRANGE(""https://docs.google.com/spreadsheets/d/1XL5vhW3sbDhbH9Cz0tuDiY8C3ctxq1tqvaCgkFb8cCA/edit?usp=sharing"",""นครราชสีมา!L477"")"),1144600.0)</f>
        <v>1144600</v>
      </c>
      <c r="M582" s="198"/>
      <c r="N582" s="203">
        <f>IFERROR(__xludf.DUMMYFUNCTION("IMPORTRANGE(""https://docs.google.com/spreadsheets/d/1XL5vhW3sbDhbH9Cz0tuDiY8C3ctxq1tqvaCgkFb8cCA/edit?usp=sharing"",""นครราชสีมา!M477"")"),453985.02)</f>
        <v>453985.02</v>
      </c>
      <c r="O582" s="203">
        <f t="shared" si="125"/>
        <v>39.66320287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IFERROR(__xludf.DUMMYFUNCTION("IMPORTRANGE(""https://docs.google.com/spreadsheets/d/1XL5vhW3sbDhbH9Cz0tuDiY8C3ctxq1tqvaCgkFb8cCA/edit?usp=sharing"",""นครราชสีมา!L478"")"),0.0)</f>
        <v>0</v>
      </c>
      <c r="M583" s="203"/>
      <c r="N583" s="203">
        <f>IFERROR(__xludf.DUMMYFUNCTION("IMPORTRANGE(""https://docs.google.com/spreadsheets/d/1XL5vhW3sbDhbH9Cz0tuDiY8C3ctxq1tqvaCgkFb8cCA/edit?usp=sharing"",""นครราชสีมา!M478"")"),0.0)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IFERROR(__xludf.DUMMYFUNCTION("IMPORTRANGE(""https://docs.google.com/spreadsheets/d/1XL5vhW3sbDhbH9Cz0tuDiY8C3ctxq1tqvaCgkFb8cCA/edit?usp=sharing"",""นครราชสีมา!L479"")"),1144600.0)</f>
        <v>1144600</v>
      </c>
      <c r="M584" s="203"/>
      <c r="N584" s="203">
        <f>IFERROR(__xludf.DUMMYFUNCTION("IMPORTRANGE(""https://docs.google.com/spreadsheets/d/1XL5vhW3sbDhbH9Cz0tuDiY8C3ctxq1tqvaCgkFb8cCA/edit?usp=sharing"",""นครราชสีมา!M479"")"),453985.02)</f>
        <v>453985.02</v>
      </c>
      <c r="O584" s="203">
        <f t="shared" si="125"/>
        <v>39.66320287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IFERROR(__xludf.DUMMYFUNCTION("IMPORTRANGE(""https://docs.google.com/spreadsheets/d/1XL5vhW3sbDhbH9Cz0tuDiY8C3ctxq1tqvaCgkFb8cCA/edit?usp=sharing"",""นครราชสีมา!M480"")"),0.0)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IFERROR(__xludf.DUMMYFUNCTION("IMPORTRANGE(""https://docs.google.com/spreadsheets/d/1XL5vhW3sbDhbH9Cz0tuDiY8C3ctxq1tqvaCgkFb8cCA/edit?usp=sharing"",""นครราชสีมา!M481"")"),0.0)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IFERROR(__xludf.DUMMYFUNCTION("IMPORTRANGE(""https://docs.google.com/spreadsheets/d/1XL5vhW3sbDhbH9Cz0tuDiY8C3ctxq1tqvaCgkFb8cCA/edit?usp=sharing"",""นครราชสีมา!M482"")"),94233.59)</f>
        <v>94233.59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IFERROR(__xludf.DUMMYFUNCTION("IMPORTRANGE(""https://docs.google.com/spreadsheets/d/1XL5vhW3sbDhbH9Cz0tuDiY8C3ctxq1tqvaCgkFb8cCA/edit?usp=sharing"",""นครราชสีมา!M483"")"),359751.43)</f>
        <v>359751.43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IFERROR(__xludf.DUMMYFUNCTION("IMPORTRANGE(""https://docs.google.com/spreadsheets/d/1XL5vhW3sbDhbH9Cz0tuDiY8C3ctxq1tqvaCgkFb8cCA/edit?usp=sharing"",""นครราชสีมา!I484"")"),2000.0)</f>
        <v>2000</v>
      </c>
      <c r="J589" s="222">
        <f>IFERROR(__xludf.DUMMYFUNCTION("IMPORTRANGE(""https://docs.google.com/spreadsheets/d/1XL5vhW3sbDhbH9Cz0tuDiY8C3ctxq1tqvaCgkFb8cCA/edit?usp=sharing"",""นครราชสีมา!J484"")"),452.0)</f>
        <v>452</v>
      </c>
      <c r="K589" s="196">
        <f t="shared" ref="K589:K596" si="126">IF(I589&gt;0,J589*100/I589,0)</f>
        <v>22.6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IFERROR(__xludf.DUMMYFUNCTION("IMPORTRANGE(""https://docs.google.com/spreadsheets/d/1XL5vhW3sbDhbH9Cz0tuDiY8C3ctxq1tqvaCgkFb8cCA/edit?usp=sharing"",""นครราชสีมา!I485"")"),0.0)</f>
        <v>0</v>
      </c>
      <c r="J590" s="222">
        <f>IFERROR(__xludf.DUMMYFUNCTION("IMPORTRANGE(""https://docs.google.com/spreadsheets/d/1XL5vhW3sbDhbH9Cz0tuDiY8C3ctxq1tqvaCgkFb8cCA/edit?usp=sharing"",""นครราชสีมา!J485"")"),270.33)</f>
        <v>270.33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IFERROR(__xludf.DUMMYFUNCTION("IMPORTRANGE(""https://docs.google.com/spreadsheets/d/1XL5vhW3sbDhbH9Cz0tuDiY8C3ctxq1tqvaCgkFb8cCA/edit?usp=sharing"",""นครราชสีมา!I486"")"),2000.0)</f>
        <v>2000</v>
      </c>
      <c r="J591" s="222">
        <f>IFERROR(__xludf.DUMMYFUNCTION("IMPORTRANGE(""https://docs.google.com/spreadsheets/d/1XL5vhW3sbDhbH9Cz0tuDiY8C3ctxq1tqvaCgkFb8cCA/edit?usp=sharing"",""นครราชสีมา!J486"")"),570.0)</f>
        <v>570</v>
      </c>
      <c r="K591" s="196">
        <f t="shared" si="126"/>
        <v>28.5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IFERROR(__xludf.DUMMYFUNCTION("IMPORTRANGE(""https://docs.google.com/spreadsheets/d/1XL5vhW3sbDhbH9Cz0tuDiY8C3ctxq1tqvaCgkFb8cCA/edit?usp=sharing"",""นครราชสีมา!I487"")"),0.0)</f>
        <v>0</v>
      </c>
      <c r="J592" s="222">
        <f>IFERROR(__xludf.DUMMYFUNCTION("IMPORTRANGE(""https://docs.google.com/spreadsheets/d/1XL5vhW3sbDhbH9Cz0tuDiY8C3ctxq1tqvaCgkFb8cCA/edit?usp=sharing"",""นครราชสีมา!J487"")"),325.19)</f>
        <v>325.19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IFERROR(__xludf.DUMMYFUNCTION("IMPORTRANGE(""https://docs.google.com/spreadsheets/d/1XL5vhW3sbDhbH9Cz0tuDiY8C3ctxq1tqvaCgkFb8cCA/edit?usp=sharing"",""นครราชสีมา!I488"")"),2000.0)</f>
        <v>2000</v>
      </c>
      <c r="J593" s="222">
        <f>IFERROR(__xludf.DUMMYFUNCTION("IMPORTRANGE(""https://docs.google.com/spreadsheets/d/1XL5vhW3sbDhbH9Cz0tuDiY8C3ctxq1tqvaCgkFb8cCA/edit?usp=sharing"",""นครราชสีมา!J488"")"),0.0)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IFERROR(__xludf.DUMMYFUNCTION("IMPORTRANGE(""https://docs.google.com/spreadsheets/d/1XL5vhW3sbDhbH9Cz0tuDiY8C3ctxq1tqvaCgkFb8cCA/edit?usp=sharing"",""นครราชสีมา!I489"")"),0.0)</f>
        <v>0</v>
      </c>
      <c r="J594" s="222">
        <f>IFERROR(__xludf.DUMMYFUNCTION("IMPORTRANGE(""https://docs.google.com/spreadsheets/d/1XL5vhW3sbDhbH9Cz0tuDiY8C3ctxq1tqvaCgkFb8cCA/edit?usp=sharing"",""นครราชสีมา!J489"")"),0.0)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IFERROR(__xludf.DUMMYFUNCTION("IMPORTRANGE(""https://docs.google.com/spreadsheets/d/1XL5vhW3sbDhbH9Cz0tuDiY8C3ctxq1tqvaCgkFb8cCA/edit?usp=sharing"",""นครราชสีมา!I490"")"),2000.0)</f>
        <v>2000</v>
      </c>
      <c r="J595" s="222">
        <f>IFERROR(__xludf.DUMMYFUNCTION("IMPORTRANGE(""https://docs.google.com/spreadsheets/d/1XL5vhW3sbDhbH9Cz0tuDiY8C3ctxq1tqvaCgkFb8cCA/edit?usp=sharing"",""นครราชสีมา!J490"")"),1.0)</f>
        <v>1</v>
      </c>
      <c r="K595" s="196">
        <f t="shared" si="126"/>
        <v>0.05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IFERROR(__xludf.DUMMYFUNCTION("IMPORTRANGE(""https://docs.google.com/spreadsheets/d/1XL5vhW3sbDhbH9Cz0tuDiY8C3ctxq1tqvaCgkFb8cCA/edit?usp=sharing"",""นครราชสีมา!I491"")"),0.0)</f>
        <v>0</v>
      </c>
      <c r="J596" s="275">
        <f>IFERROR(__xludf.DUMMYFUNCTION("IMPORTRANGE(""https://docs.google.com/spreadsheets/d/1XL5vhW3sbDhbH9Cz0tuDiY8C3ctxq1tqvaCgkFb8cCA/edit?usp=sharing"",""นครราชสีมา!J491"")"),0.29)</f>
        <v>0.29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IFERROR(__xludf.DUMMYFUNCTION("IMPORTRANGE(""https://docs.google.com/spreadsheets/d/1XL5vhW3sbDhbH9Cz0tuDiY8C3ctxq1tqvaCgkFb8cCA/edit?usp=sharing"",""นครราชสีมา!I492"")"),500.0)</f>
        <v>500</v>
      </c>
      <c r="J597" s="520">
        <f>IFERROR(__xludf.DUMMYFUNCTION("IMPORTRANGE(""https://docs.google.com/spreadsheets/d/1XL5vhW3sbDhbH9Cz0tuDiY8C3ctxq1tqvaCgkFb8cCA/edit?usp=sharing"",""นครราชสีมา!J492"")"),0.0)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IFERROR(__xludf.DUMMYFUNCTION("IMPORTRANGE(""https://docs.google.com/spreadsheets/d/1XL5vhW3sbDhbH9Cz0tuDiY8C3ctxq1tqvaCgkFb8cCA/edit?usp=sharing"",""นครราชสีมา!L492"")"),30900.0)</f>
        <v>30900</v>
      </c>
      <c r="M597" s="445"/>
      <c r="N597" s="445">
        <f>IFERROR(__xludf.DUMMYFUNCTION("IMPORTRANGE(""https://docs.google.com/spreadsheets/d/1XL5vhW3sbDhbH9Cz0tuDiY8C3ctxq1tqvaCgkFb8cCA/edit?usp=sharing"",""นครราชสีมา!M492"")"),3400.0)</f>
        <v>3400</v>
      </c>
      <c r="O597" s="445">
        <f t="shared" ref="O597:O601" si="127">+IF(L597&gt;0,N597*100/L597,0)</f>
        <v>11.00323625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IFERROR(__xludf.DUMMYFUNCTION("IMPORTRANGE(""https://docs.google.com/spreadsheets/d/1XL5vhW3sbDhbH9Cz0tuDiY8C3ctxq1tqvaCgkFb8cCA/edit?usp=sharing"",""นครราชสีมา!L493"")"),0.0)</f>
        <v>0</v>
      </c>
      <c r="M598" s="197"/>
      <c r="N598" s="203">
        <f>IFERROR(__xludf.DUMMYFUNCTION("IMPORTRANGE(""https://docs.google.com/spreadsheets/d/1XL5vhW3sbDhbH9Cz0tuDiY8C3ctxq1tqvaCgkFb8cCA/edit?usp=sharing"",""นครราชสีมา!M493"")"),0.0)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IFERROR(__xludf.DUMMYFUNCTION("IMPORTRANGE(""https://docs.google.com/spreadsheets/d/1XL5vhW3sbDhbH9Cz0tuDiY8C3ctxq1tqvaCgkFb8cCA/edit?usp=sharing"",""นครราชสีมา!L494"")"),30900.0)</f>
        <v>30900</v>
      </c>
      <c r="M599" s="198"/>
      <c r="N599" s="203">
        <f>IFERROR(__xludf.DUMMYFUNCTION("IMPORTRANGE(""https://docs.google.com/spreadsheets/d/1XL5vhW3sbDhbH9Cz0tuDiY8C3ctxq1tqvaCgkFb8cCA/edit?usp=sharing"",""นครราชสีมา!M494"")"),3400.0)</f>
        <v>3400</v>
      </c>
      <c r="O599" s="203">
        <f t="shared" si="127"/>
        <v>11.00323625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IFERROR(__xludf.DUMMYFUNCTION("IMPORTRANGE(""https://docs.google.com/spreadsheets/d/1XL5vhW3sbDhbH9Cz0tuDiY8C3ctxq1tqvaCgkFb8cCA/edit?usp=sharing"",""นครราชสีมา!L495"")"),0.0)</f>
        <v>0</v>
      </c>
      <c r="M600" s="203"/>
      <c r="N600" s="203">
        <f>IFERROR(__xludf.DUMMYFUNCTION("IMPORTRANGE(""https://docs.google.com/spreadsheets/d/1XL5vhW3sbDhbH9Cz0tuDiY8C3ctxq1tqvaCgkFb8cCA/edit?usp=sharing"",""นครราชสีมา!M495"")"),0.0)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IFERROR(__xludf.DUMMYFUNCTION("IMPORTRANGE(""https://docs.google.com/spreadsheets/d/1XL5vhW3sbDhbH9Cz0tuDiY8C3ctxq1tqvaCgkFb8cCA/edit?usp=sharing"",""นครราชสีมา!L496"")"),30900.0)</f>
        <v>30900</v>
      </c>
      <c r="M601" s="203"/>
      <c r="N601" s="203">
        <f>IFERROR(__xludf.DUMMYFUNCTION("IMPORTRANGE(""https://docs.google.com/spreadsheets/d/1XL5vhW3sbDhbH9Cz0tuDiY8C3ctxq1tqvaCgkFb8cCA/edit?usp=sharing"",""นครราชสีมา!M496"")"),3400.0)</f>
        <v>3400</v>
      </c>
      <c r="O601" s="203">
        <f t="shared" si="127"/>
        <v>11.00323625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IFERROR(__xludf.DUMMYFUNCTION("IMPORTRANGE(""https://docs.google.com/spreadsheets/d/1XL5vhW3sbDhbH9Cz0tuDiY8C3ctxq1tqvaCgkFb8cCA/edit?usp=sharing"",""นครราชสีมา!M497"")"),0.0)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IFERROR(__xludf.DUMMYFUNCTION("IMPORTRANGE(""https://docs.google.com/spreadsheets/d/1XL5vhW3sbDhbH9Cz0tuDiY8C3ctxq1tqvaCgkFb8cCA/edit?usp=sharing"",""นครราชสีมา!M498"")"),0.0)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IFERROR(__xludf.DUMMYFUNCTION("IMPORTRANGE(""https://docs.google.com/spreadsheets/d/1XL5vhW3sbDhbH9Cz0tuDiY8C3ctxq1tqvaCgkFb8cCA/edit?usp=sharing"",""นครราชสีมา!M499"")"),0.0)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IFERROR(__xludf.DUMMYFUNCTION("IMPORTRANGE(""https://docs.google.com/spreadsheets/d/1XL5vhW3sbDhbH9Cz0tuDiY8C3ctxq1tqvaCgkFb8cCA/edit?usp=sharing"",""นครราชสีมา!M500"")"),3400.0)</f>
        <v>3400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IFERROR(__xludf.DUMMYFUNCTION("IMPORTRANGE(""https://docs.google.com/spreadsheets/d/1XL5vhW3sbDhbH9Cz0tuDiY8C3ctxq1tqvaCgkFb8cCA/edit?usp=sharing"",""นครราชสีมา!J502"")"),0.0)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IFERROR(__xludf.DUMMYFUNCTION("IMPORTRANGE(""https://docs.google.com/spreadsheets/d/1XL5vhW3sbDhbH9Cz0tuDiY8C3ctxq1tqvaCgkFb8cCA/edit?usp=sharing"",""นครราชสีมา!J503"")"),0.0)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IFERROR(__xludf.DUMMYFUNCTION("IMPORTRANGE(""https://docs.google.com/spreadsheets/d/1XL5vhW3sbDhbH9Cz0tuDiY8C3ctxq1tqvaCgkFb8cCA/edit?usp=sharing"",""นครราชสีมา!J166"")"),0.0)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IFERROR(__xludf.DUMMYFUNCTION("IMPORTRANGE(""https://docs.google.com/spreadsheets/d/1XL5vhW3sbDhbH9Cz0tuDiY8C3ctxq1tqvaCgkFb8cCA/edit?usp=sharing"",""นครราชสีมา!J166"")"),0.0)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IFERROR(__xludf.DUMMYFUNCTION("IMPORTRANGE(""https://docs.google.com/spreadsheets/d/1XL5vhW3sbDhbH9Cz0tuDiY8C3ctxq1tqvaCgkFb8cCA/edit?usp=sharing"",""นครราชสีมา!I506"")"),500.0)</f>
        <v>500</v>
      </c>
      <c r="J611" s="195">
        <f>IFERROR(__xludf.DUMMYFUNCTION("IMPORTRANGE(""https://docs.google.com/spreadsheets/d/1XL5vhW3sbDhbH9Cz0tuDiY8C3ctxq1tqvaCgkFb8cCA/edit?usp=sharing"",""นครราชสีมา!J506"")"),0.0)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IFERROR(__xludf.DUMMYFUNCTION("IMPORTRANGE(""https://docs.google.com/spreadsheets/d/1XL5vhW3sbDhbH9Cz0tuDiY8C3ctxq1tqvaCgkFb8cCA/edit?usp=sharing"",""นครราชสีมา!I507"")"),0.0)</f>
        <v>0</v>
      </c>
      <c r="J612" s="232">
        <f>IFERROR(__xludf.DUMMYFUNCTION("IMPORTRANGE(""https://docs.google.com/spreadsheets/d/1XL5vhW3sbDhbH9Cz0tuDiY8C3ctxq1tqvaCgkFb8cCA/edit?usp=sharing"",""นครราชสีมา!J507"")"),413.0)</f>
        <v>413</v>
      </c>
      <c r="K612" s="196">
        <f t="shared" si="128"/>
        <v>82.6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IFERROR(__xludf.DUMMYFUNCTION("IMPORTRANGE(""https://docs.google.com/spreadsheets/d/1XL5vhW3sbDhbH9Cz0tuDiY8C3ctxq1tqvaCgkFb8cCA/edit?usp=sharing"",""นครราชสีมา!I508"")"),0.0)</f>
        <v>0</v>
      </c>
      <c r="J613" s="232">
        <f>IFERROR(__xludf.DUMMYFUNCTION("IMPORTRANGE(""https://docs.google.com/spreadsheets/d/1XL5vhW3sbDhbH9Cz0tuDiY8C3ctxq1tqvaCgkFb8cCA/edit?usp=sharing"",""นครราชสีมา!J508"")"),413.0)</f>
        <v>413</v>
      </c>
      <c r="K613" s="196">
        <f t="shared" si="128"/>
        <v>82.6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IFERROR(__xludf.DUMMYFUNCTION("IMPORTRANGE(""https://docs.google.com/spreadsheets/d/1XL5vhW3sbDhbH9Cz0tuDiY8C3ctxq1tqvaCgkFb8cCA/edit?usp=sharing"",""นครราชสีมา!I509"")"),0.0)</f>
        <v>0</v>
      </c>
      <c r="J614" s="232">
        <f>IFERROR(__xludf.DUMMYFUNCTION("IMPORTRANGE(""https://docs.google.com/spreadsheets/d/1XL5vhW3sbDhbH9Cz0tuDiY8C3ctxq1tqvaCgkFb8cCA/edit?usp=sharing"",""นครราชสีมา!J509"")"),413.0)</f>
        <v>413</v>
      </c>
      <c r="K614" s="196">
        <f t="shared" si="128"/>
        <v>82.6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IFERROR(__xludf.DUMMYFUNCTION("IMPORTRANGE(""https://docs.google.com/spreadsheets/d/1XL5vhW3sbDhbH9Cz0tuDiY8C3ctxq1tqvaCgkFb8cCA/edit?usp=sharing"",""นครราชสีมา!I510"")"),0.0)</f>
        <v>0</v>
      </c>
      <c r="J615" s="232">
        <f>IFERROR(__xludf.DUMMYFUNCTION("IMPORTRANGE(""https://docs.google.com/spreadsheets/d/1XL5vhW3sbDhbH9Cz0tuDiY8C3ctxq1tqvaCgkFb8cCA/edit?usp=sharing"",""นครราชสีมา!J510"")"),0.0)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IFERROR(__xludf.DUMMYFUNCTION("IMPORTRANGE(""https://docs.google.com/spreadsheets/d/1XL5vhW3sbDhbH9Cz0tuDiY8C3ctxq1tqvaCgkFb8cCA/edit?usp=sharing"",""นครราชสีมา!I511"")"),0.0)</f>
        <v>0</v>
      </c>
      <c r="J616" s="232">
        <f>IFERROR(__xludf.DUMMYFUNCTION("IMPORTRANGE(""https://docs.google.com/spreadsheets/d/1XL5vhW3sbDhbH9Cz0tuDiY8C3ctxq1tqvaCgkFb8cCA/edit?usp=sharing"",""นครราชสีมา!J511"")"),0.0)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IFERROR(__xludf.DUMMYFUNCTION("IMPORTRANGE(""https://docs.google.com/spreadsheets/d/1XL5vhW3sbDhbH9Cz0tuDiY8C3ctxq1tqvaCgkFb8cCA/edit?usp=sharing"",""นครราชสีมา!I512"")"),0.0)</f>
        <v>0</v>
      </c>
      <c r="J617" s="222">
        <f>IFERROR(__xludf.DUMMYFUNCTION("IMPORTRANGE(""https://docs.google.com/spreadsheets/d/1XL5vhW3sbDhbH9Cz0tuDiY8C3ctxq1tqvaCgkFb8cCA/edit?usp=sharing"",""นครราชสีมา!J512"")"),0.0)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IFERROR(__xludf.DUMMYFUNCTION("IMPORTRANGE(""https://docs.google.com/spreadsheets/d/1XL5vhW3sbDhbH9Cz0tuDiY8C3ctxq1tqvaCgkFb8cCA/edit?usp=sharing"",""นครราชสีมา!I513"")"),0.0)</f>
        <v>0</v>
      </c>
      <c r="J618" s="223">
        <f>IFERROR(__xludf.DUMMYFUNCTION("IMPORTRANGE(""https://docs.google.com/spreadsheets/d/1XL5vhW3sbDhbH9Cz0tuDiY8C3ctxq1tqvaCgkFb8cCA/edit?usp=sharing"",""นครราชสีมา!J513"")"),0.0)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IFERROR(__xludf.DUMMYFUNCTION("IMPORTRANGE(""https://docs.google.com/spreadsheets/d/1XL5vhW3sbDhbH9Cz0tuDiY8C3ctxq1tqvaCgkFb8cCA/edit?usp=sharing"",""นครราชสีมา!I514"")"),0.0)</f>
        <v>0</v>
      </c>
      <c r="J619" s="223">
        <f>IFERROR(__xludf.DUMMYFUNCTION("IMPORTRANGE(""https://docs.google.com/spreadsheets/d/1XL5vhW3sbDhbH9Cz0tuDiY8C3ctxq1tqvaCgkFb8cCA/edit?usp=sharing"",""นครราชสีมา!J514"")"),0.0)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IFERROR(__xludf.DUMMYFUNCTION("IMPORTRANGE(""https://docs.google.com/spreadsheets/d/1XL5vhW3sbDhbH9Cz0tuDiY8C3ctxq1tqvaCgkFb8cCA/edit?usp=sharing"",""นครราชสีมา!I515"")"),0.0)</f>
        <v>0</v>
      </c>
      <c r="J620" s="237">
        <f>IFERROR(__xludf.DUMMYFUNCTION("IMPORTRANGE(""https://docs.google.com/spreadsheets/d/1XL5vhW3sbDhbH9Cz0tuDiY8C3ctxq1tqvaCgkFb8cCA/edit?usp=sharing"",""นครราชสีมา!J515"")"),0.0)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IFERROR(__xludf.DUMMYFUNCTION("IMPORTRANGE(""https://docs.google.com/spreadsheets/d/1XL5vhW3sbDhbH9Cz0tuDiY8C3ctxq1tqvaCgkFb8cCA/edit?usp=sharing"",""นครราชสีมา!I516"")"),0.0)</f>
        <v>0</v>
      </c>
      <c r="J621" s="237">
        <f>IFERROR(__xludf.DUMMYFUNCTION("IMPORTRANGE(""https://docs.google.com/spreadsheets/d/1XL5vhW3sbDhbH9Cz0tuDiY8C3ctxq1tqvaCgkFb8cCA/edit?usp=sharing"",""นครราชสีมา!J516"")"),0.0)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IFERROR(__xludf.DUMMYFUNCTION("IMPORTRANGE(""https://docs.google.com/spreadsheets/d/1XL5vhW3sbDhbH9Cz0tuDiY8C3ctxq1tqvaCgkFb8cCA/edit?usp=sharing"",""นครราชสีมา!I517"")"),0.0)</f>
        <v>0</v>
      </c>
      <c r="J622" s="223">
        <f>IFERROR(__xludf.DUMMYFUNCTION("IMPORTRANGE(""https://docs.google.com/spreadsheets/d/1XL5vhW3sbDhbH9Cz0tuDiY8C3ctxq1tqvaCgkFb8cCA/edit?usp=sharing"",""นครราชสีมา!J517"")"),0.0)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IFERROR(__xludf.DUMMYFUNCTION("IMPORTRANGE(""https://docs.google.com/spreadsheets/d/1XL5vhW3sbDhbH9Cz0tuDiY8C3ctxq1tqvaCgkFb8cCA/edit?usp=sharing"",""นครราชสีมา!I518"")"),0.0)</f>
        <v>0</v>
      </c>
      <c r="J623" s="223">
        <f>IFERROR(__xludf.DUMMYFUNCTION("IMPORTRANGE(""https://docs.google.com/spreadsheets/d/1XL5vhW3sbDhbH9Cz0tuDiY8C3ctxq1tqvaCgkFb8cCA/edit?usp=sharing"",""นครราชสีมา!J518"")"),0.0)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IFERROR(__xludf.DUMMYFUNCTION("IMPORTRANGE(""https://docs.google.com/spreadsheets/d/1XL5vhW3sbDhbH9Cz0tuDiY8C3ctxq1tqvaCgkFb8cCA/edit?usp=sharing"",""นครราชสีมา!I519"")"),0.0)</f>
        <v>0</v>
      </c>
      <c r="J624" s="222">
        <f>IFERROR(__xludf.DUMMYFUNCTION("IMPORTRANGE(""https://docs.google.com/spreadsheets/d/1XL5vhW3sbDhbH9Cz0tuDiY8C3ctxq1tqvaCgkFb8cCA/edit?usp=sharing"",""นครราชสีมา!J519"")"),0.0)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IFERROR(__xludf.DUMMYFUNCTION("IMPORTRANGE(""https://docs.google.com/spreadsheets/d/1XL5vhW3sbDhbH9Cz0tuDiY8C3ctxq1tqvaCgkFb8cCA/edit?usp=sharing"",""นครราชสีมา!I520"")"),0.0)</f>
        <v>0</v>
      </c>
      <c r="J625" s="223">
        <f>IFERROR(__xludf.DUMMYFUNCTION("IMPORTRANGE(""https://docs.google.com/spreadsheets/d/1XL5vhW3sbDhbH9Cz0tuDiY8C3ctxq1tqvaCgkFb8cCA/edit?usp=sharing"",""นครราชสีมา!J520"")"),0.0)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IFERROR(__xludf.DUMMYFUNCTION("IMPORTRANGE(""https://docs.google.com/spreadsheets/d/1XL5vhW3sbDhbH9Cz0tuDiY8C3ctxq1tqvaCgkFb8cCA/edit?usp=sharing"",""นครราชสีมา!I521"")"),0.0)</f>
        <v>0</v>
      </c>
      <c r="J626" s="223">
        <f>IFERROR(__xludf.DUMMYFUNCTION("IMPORTRANGE(""https://docs.google.com/spreadsheets/d/1XL5vhW3sbDhbH9Cz0tuDiY8C3ctxq1tqvaCgkFb8cCA/edit?usp=sharing"",""นครราชสีมา!J521"")"),0.0)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IFERROR(__xludf.DUMMYFUNCTION("IMPORTRANGE(""https://docs.google.com/spreadsheets/d/1XL5vhW3sbDhbH9Cz0tuDiY8C3ctxq1tqvaCgkFb8cCA/edit?usp=sharing"",""นครราชสีมา!I523"")"),1.5E7)</f>
        <v>15000000</v>
      </c>
      <c r="J628" s="374">
        <f>IFERROR(__xludf.DUMMYFUNCTION("IMPORTRANGE(""https://docs.google.com/spreadsheets/d/1XL5vhW3sbDhbH9Cz0tuDiY8C3ctxq1tqvaCgkFb8cCA/edit?usp=sharing"",""นครราชสีมา!J523"")"),432000.0)</f>
        <v>432000</v>
      </c>
      <c r="K628" s="375">
        <f t="shared" ref="K628:K635" si="130">IF(I628&gt;0,J628*100/I628,0)</f>
        <v>2.88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IFERROR(__xludf.DUMMYFUNCTION("IMPORTRANGE(""https://docs.google.com/spreadsheets/d/1XL5vhW3sbDhbH9Cz0tuDiY8C3ctxq1tqvaCgkFb8cCA/edit?usp=sharing"",""นครราชสีมา!I524"")"),393.0)</f>
        <v>393</v>
      </c>
      <c r="J629" s="374">
        <f>IFERROR(__xludf.DUMMYFUNCTION("IMPORTRANGE(""https://docs.google.com/spreadsheets/d/1XL5vhW3sbDhbH9Cz0tuDiY8C3ctxq1tqvaCgkFb8cCA/edit?usp=sharing"",""นครราชสีมา!J524"")"),12.0)</f>
        <v>12</v>
      </c>
      <c r="K629" s="375">
        <f t="shared" si="130"/>
        <v>3.053435115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IFERROR(__xludf.DUMMYFUNCTION("IMPORTRANGE(""https://docs.google.com/spreadsheets/d/1XL5vhW3sbDhbH9Cz0tuDiY8C3ctxq1tqvaCgkFb8cCA/edit?usp=sharing"",""นครราชสีมา!I525"")"),1.427329757E7)</f>
        <v>14273297.57</v>
      </c>
      <c r="J630" s="374">
        <f>IFERROR(__xludf.DUMMYFUNCTION("IMPORTRANGE(""https://docs.google.com/spreadsheets/d/1XL5vhW3sbDhbH9Cz0tuDiY8C3ctxq1tqvaCgkFb8cCA/edit?usp=sharing"",""นครราชสีมา!J525"")"),617130.81)</f>
        <v>617130.81</v>
      </c>
      <c r="K630" s="375">
        <f t="shared" si="130"/>
        <v>4.323673678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IFERROR(__xludf.DUMMYFUNCTION("IMPORTRANGE(""https://docs.google.com/spreadsheets/d/1XL5vhW3sbDhbH9Cz0tuDiY8C3ctxq1tqvaCgkFb8cCA/edit?usp=sharing"",""นครราชสีมา!I526"")"),288.0)</f>
        <v>288</v>
      </c>
      <c r="J631" s="374">
        <f>IFERROR(__xludf.DUMMYFUNCTION("IMPORTRANGE(""https://docs.google.com/spreadsheets/d/1XL5vhW3sbDhbH9Cz0tuDiY8C3ctxq1tqvaCgkFb8cCA/edit?usp=sharing"",""นครราชสีมา!J526"")"),103.0)</f>
        <v>103</v>
      </c>
      <c r="K631" s="375">
        <f t="shared" si="130"/>
        <v>35.76388889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IFERROR(__xludf.DUMMYFUNCTION("IMPORTRANGE(""https://docs.google.com/spreadsheets/d/1XL5vhW3sbDhbH9Cz0tuDiY8C3ctxq1tqvaCgkFb8cCA/edit?usp=sharing"",""นครราชสีมา!I527"")"),19867.84)</f>
        <v>19867.84</v>
      </c>
      <c r="J632" s="374">
        <f>IFERROR(__xludf.DUMMYFUNCTION("IMPORTRANGE(""https://docs.google.com/spreadsheets/d/1XL5vhW3sbDhbH9Cz0tuDiY8C3ctxq1tqvaCgkFb8cCA/edit?usp=sharing"",""นครราชสีมา!J527"")"),238837.74)</f>
        <v>238837.74</v>
      </c>
      <c r="K632" s="375">
        <f t="shared" si="130"/>
        <v>1202.132391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IFERROR(__xludf.DUMMYFUNCTION("IMPORTRANGE(""https://docs.google.com/spreadsheets/d/1XL5vhW3sbDhbH9Cz0tuDiY8C3ctxq1tqvaCgkFb8cCA/edit?usp=sharing"",""นครราชสีมา!I528"")"),105.0)</f>
        <v>105</v>
      </c>
      <c r="J633" s="374">
        <f>IFERROR(__xludf.DUMMYFUNCTION("IMPORTRANGE(""https://docs.google.com/spreadsheets/d/1XL5vhW3sbDhbH9Cz0tuDiY8C3ctxq1tqvaCgkFb8cCA/edit?usp=sharing"",""นครราชสีมา!J528"")"),14.0)</f>
        <v>14</v>
      </c>
      <c r="K633" s="375">
        <f t="shared" si="130"/>
        <v>13.33333333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IFERROR(__xludf.DUMMYFUNCTION("IMPORTRANGE(""https://docs.google.com/spreadsheets/d/1XL5vhW3sbDhbH9Cz0tuDiY8C3ctxq1tqvaCgkFb8cCA/edit?usp=sharing"",""นครราชสีมา!I529"")"),5000000.0)</f>
        <v>5000000</v>
      </c>
      <c r="J634" s="374">
        <f>IFERROR(__xludf.DUMMYFUNCTION("IMPORTRANGE(""https://docs.google.com/spreadsheets/d/1XL5vhW3sbDhbH9Cz0tuDiY8C3ctxq1tqvaCgkFb8cCA/edit?usp=sharing"",""นครราชสีมา!J529"")"),0.0)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IFERROR(__xludf.DUMMYFUNCTION("IMPORTRANGE(""https://docs.google.com/spreadsheets/d/1XL5vhW3sbDhbH9Cz0tuDiY8C3ctxq1tqvaCgkFb8cCA/edit?usp=sharing"",""นครราชสีมา!I530"")"),125.0)</f>
        <v>125</v>
      </c>
      <c r="J635" s="544">
        <f>IFERROR(__xludf.DUMMYFUNCTION("IMPORTRANGE(""https://docs.google.com/spreadsheets/d/1XL5vhW3sbDhbH9Cz0tuDiY8C3ctxq1tqvaCgkFb8cCA/edit?usp=sharing"",""นครราชสีมา!J530"")"),0.0)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249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7568455</v>
      </c>
      <c r="M8" s="41">
        <f t="shared" si="1"/>
        <v>1924420</v>
      </c>
      <c r="N8" s="41">
        <f t="shared" si="1"/>
        <v>2029324</v>
      </c>
      <c r="O8" s="40">
        <f t="shared" ref="O8:O16" si="3">IF(L8&gt;0,N8*100/L8,0)</f>
        <v>26.81292285</v>
      </c>
      <c r="P8" s="40">
        <f t="shared" ref="P8:P16" si="4">IF(M8&gt;0,N8*100/M8,0)</f>
        <v>105.4512009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7568455</v>
      </c>
      <c r="M10" s="48">
        <f t="shared" si="5"/>
        <v>1924420</v>
      </c>
      <c r="N10" s="48">
        <f t="shared" si="5"/>
        <v>2029324</v>
      </c>
      <c r="O10" s="47">
        <f t="shared" si="3"/>
        <v>26.81292285</v>
      </c>
      <c r="P10" s="47">
        <f t="shared" si="4"/>
        <v>105.4512009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6302655</v>
      </c>
      <c r="M12" s="58">
        <f t="shared" si="7"/>
        <v>1924420</v>
      </c>
      <c r="N12" s="58">
        <f t="shared" si="7"/>
        <v>1365824</v>
      </c>
      <c r="O12" s="58">
        <f t="shared" si="3"/>
        <v>21.67061342</v>
      </c>
      <c r="P12" s="58">
        <f t="shared" si="4"/>
        <v>70.97328026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2301400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4001255</v>
      </c>
      <c r="M14" s="58">
        <f t="shared" si="9"/>
        <v>0</v>
      </c>
      <c r="N14" s="58">
        <f t="shared" si="9"/>
        <v>275816</v>
      </c>
      <c r="O14" s="61">
        <f t="shared" si="3"/>
        <v>6.893237247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1265800</v>
      </c>
      <c r="M16" s="58">
        <f t="shared" si="11"/>
        <v>0</v>
      </c>
      <c r="N16" s="58">
        <f t="shared" si="11"/>
        <v>663500</v>
      </c>
      <c r="O16" s="70">
        <f t="shared" si="3"/>
        <v>52.41744351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4785010</v>
      </c>
      <c r="M18" s="41">
        <f t="shared" si="12"/>
        <v>1924420</v>
      </c>
      <c r="N18" s="41">
        <f t="shared" si="12"/>
        <v>1753508</v>
      </c>
      <c r="O18" s="40">
        <f t="shared" ref="O18:O20" si="14">IF(L18&gt;0,N18*100/L18,0)</f>
        <v>36.64585863</v>
      </c>
      <c r="P18" s="40">
        <f t="shared" ref="P18:P26" si="15">IF(M18&gt;0,N18*100/M18,0)</f>
        <v>91.11877864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4785010</v>
      </c>
      <c r="M20" s="48">
        <f t="shared" si="16"/>
        <v>1924420</v>
      </c>
      <c r="N20" s="48">
        <f t="shared" si="16"/>
        <v>1753508</v>
      </c>
      <c r="O20" s="47">
        <f t="shared" si="14"/>
        <v>36.64585863</v>
      </c>
      <c r="P20" s="47">
        <f t="shared" si="15"/>
        <v>91.11877864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3519210</v>
      </c>
      <c r="M22" s="62">
        <f t="shared" si="18"/>
        <v>1924420</v>
      </c>
      <c r="N22" s="61">
        <f t="shared" si="18"/>
        <v>1090008</v>
      </c>
      <c r="O22" s="61">
        <f t="shared" si="19"/>
        <v>30.97308771</v>
      </c>
      <c r="P22" s="61">
        <f t="shared" si="15"/>
        <v>56.64085802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2301400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1217810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1265800</v>
      </c>
      <c r="M26" s="70">
        <f t="shared" si="23"/>
        <v>0</v>
      </c>
      <c r="N26" s="70">
        <f t="shared" si="23"/>
        <v>663500</v>
      </c>
      <c r="O26" s="70">
        <f t="shared" si="19"/>
        <v>52.41744351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2783445</v>
      </c>
      <c r="M28" s="41">
        <f t="shared" si="24"/>
        <v>0</v>
      </c>
      <c r="N28" s="41">
        <f t="shared" si="24"/>
        <v>275816</v>
      </c>
      <c r="O28" s="40">
        <f t="shared" ref="O28:O30" si="26">IF(L28&gt;0,N28*100/L28,0)</f>
        <v>9.909159333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2783445</v>
      </c>
      <c r="M30" s="48">
        <f t="shared" si="28"/>
        <v>0</v>
      </c>
      <c r="N30" s="48">
        <f t="shared" si="28"/>
        <v>275816</v>
      </c>
      <c r="O30" s="47">
        <f t="shared" si="26"/>
        <v>9.909159333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2783445</v>
      </c>
      <c r="M32" s="61">
        <f t="shared" si="30"/>
        <v>0</v>
      </c>
      <c r="N32" s="61">
        <f t="shared" si="30"/>
        <v>275816</v>
      </c>
      <c r="O32" s="61">
        <f t="shared" si="31"/>
        <v>9.909159333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2783445</v>
      </c>
      <c r="M34" s="61">
        <f t="shared" si="33"/>
        <v>0</v>
      </c>
      <c r="N34" s="61">
        <f t="shared" si="33"/>
        <v>275816</v>
      </c>
      <c r="O34" s="61">
        <f t="shared" si="31"/>
        <v>9.909159333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4785010</v>
      </c>
      <c r="M37" s="75">
        <f t="shared" si="34"/>
        <v>1924420</v>
      </c>
      <c r="N37" s="75">
        <f t="shared" si="34"/>
        <v>1753508</v>
      </c>
      <c r="O37" s="76">
        <f t="shared" si="31"/>
        <v>36.64585863</v>
      </c>
      <c r="P37" s="76">
        <f t="shared" si="27"/>
        <v>91.11877864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2109900</v>
      </c>
      <c r="M41" s="102">
        <f t="shared" si="35"/>
        <v>514500</v>
      </c>
      <c r="N41" s="102">
        <f t="shared" si="35"/>
        <v>743134</v>
      </c>
      <c r="O41" s="101">
        <f t="shared" ref="O41:O43" si="37">IF(L41&gt;0,N41*100/L41,0)</f>
        <v>35.22129011</v>
      </c>
      <c r="P41" s="101">
        <f t="shared" ref="P41:P43" si="38">IF(M41&gt;0,N41*100/M41,0)</f>
        <v>144.4380952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2109900</v>
      </c>
      <c r="M43" s="102">
        <f t="shared" si="39"/>
        <v>514500</v>
      </c>
      <c r="N43" s="102">
        <f t="shared" si="39"/>
        <v>743134</v>
      </c>
      <c r="O43" s="101">
        <f t="shared" si="37"/>
        <v>35.22129011</v>
      </c>
      <c r="P43" s="101">
        <f t="shared" si="38"/>
        <v>144.4380952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1029100</v>
      </c>
      <c r="M45" s="115">
        <f>IFERROR(__xludf.DUMMYFUNCTION("IMPORTRANGE(""https://docs.google.com/spreadsheets/d/1Yj_ptqi66GCucihVvJfMjLAmec39IyEx_6qawtMGysU/edit?usp=sharing"",""สบก!Q43"")"),514500.0)</f>
        <v>514500</v>
      </c>
      <c r="N45" s="115">
        <f>IFERROR(__xludf.DUMMYFUNCTION("IMPORTRANGE(""https://docs.google.com/spreadsheets/d/1Yj_ptqi66GCucihVvJfMjLAmec39IyEx_6qawtMGysU/edit?usp=sharing"",""สบก!R43"")"),264134.0)</f>
        <v>264134</v>
      </c>
      <c r="O45" s="116">
        <f>IF(L45&gt;0,N45*100/L45,0)</f>
        <v>25.66650471</v>
      </c>
      <c r="P45" s="116">
        <f>IF(M45&gt;0,N45*100/M45,0)</f>
        <v>51.33799806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IFERROR(__xludf.DUMMYFUNCTION("IMPORTRANGE(""https://docs.google.com/spreadsheets/d/1Yj_ptqi66GCucihVvJfMjLAmec39IyEx_6qawtMGysU/edit?usp=sharing"",""สบก!M43"")"),1029100.0)</f>
        <v>1029100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IFERROR(__xludf.DUMMYFUNCTION("IMPORTRANGE(""https://docs.google.com/spreadsheets/d/1Yj_ptqi66GCucihVvJfMjLAmec39IyEx_6qawtMGysU/edit?usp=sharing"",""สบก!N43"")"),0.0)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IFERROR(__xludf.DUMMYFUNCTION("IMPORTRANGE(""https://docs.google.com/spreadsheets/d/1Yj_ptqi66GCucihVvJfMjLAmec39IyEx_6qawtMGysU/edit?usp=sharing"",""สบก!O43"")"),1080800.0)</f>
        <v>1080800</v>
      </c>
      <c r="M49" s="125"/>
      <c r="N49" s="115">
        <f>IFERROR(__xludf.DUMMYFUNCTION("IMPORTRANGE(""https://docs.google.com/spreadsheets/d/1Yj_ptqi66GCucihVvJfMjLAmec39IyEx_6qawtMGysU/edit?usp=sharing"",""สบก!S43"")"),479000.0)</f>
        <v>479000</v>
      </c>
      <c r="O49" s="125">
        <f>IF(L49&gt;0,N49*100/L49,0)</f>
        <v>44.31902295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762000</v>
      </c>
      <c r="M53" s="151">
        <f t="shared" si="40"/>
        <v>385830</v>
      </c>
      <c r="N53" s="151">
        <f t="shared" si="40"/>
        <v>221415</v>
      </c>
      <c r="O53" s="150">
        <f t="shared" ref="O53:O55" si="42">IF(L53&gt;0,N53*100/L53,0)</f>
        <v>29.05708661</v>
      </c>
      <c r="P53" s="150">
        <f t="shared" ref="P53:P55" si="43">IF(M53&gt;0,N53*100/M53,0)</f>
        <v>57.38667289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762000</v>
      </c>
      <c r="M55" s="151">
        <f t="shared" si="44"/>
        <v>385830</v>
      </c>
      <c r="N55" s="151">
        <f t="shared" si="44"/>
        <v>221415</v>
      </c>
      <c r="O55" s="150">
        <f t="shared" si="42"/>
        <v>29.05708661</v>
      </c>
      <c r="P55" s="150">
        <f t="shared" si="43"/>
        <v>57.38667289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762000</v>
      </c>
      <c r="M57" s="115">
        <f>IFERROR(__xludf.DUMMYFUNCTION("IMPORTRANGE(""https://docs.google.com/spreadsheets/d/1Yj_ptqi66GCucihVvJfMjLAmec39IyEx_6qawtMGysU/edit?usp=sharing"",""สบก!Z43"")"),385830.0)</f>
        <v>385830</v>
      </c>
      <c r="N57" s="115">
        <f>IFERROR(__xludf.DUMMYFUNCTION("IMPORTRANGE(""https://docs.google.com/spreadsheets/d/1Yj_ptqi66GCucihVvJfMjLAmec39IyEx_6qawtMGysU/edit?usp=sharing"",""สบก!AA43"")"),221415.0)</f>
        <v>221415</v>
      </c>
      <c r="O57" s="116">
        <f>IF(L57&gt;0,N57*100/L57,0)</f>
        <v>29.05708661</v>
      </c>
      <c r="P57" s="116">
        <f>IF(M57&gt;0,N57*100/M57,0)</f>
        <v>57.38667289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IFERROR(__xludf.DUMMYFUNCTION("IMPORTRANGE(""https://docs.google.com/spreadsheets/d/1Yj_ptqi66GCucihVvJfMjLAmec39IyEx_6qawtMGysU/edit?usp=sharing"",""สบก!V43"")"),762000.0)</f>
        <v>762000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IFERROR(__xludf.DUMMYFUNCTION("IMPORTRANGE(""https://docs.google.com/spreadsheets/d/1Yj_ptqi66GCucihVvJfMjLAmec39IyEx_6qawtMGysU/edit?usp=sharing"",""สบก!W43"")"),0.0)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IFERROR(__xludf.DUMMYFUNCTION("IMPORTRANGE(""https://docs.google.com/spreadsheets/d/1Yj_ptqi66GCucihVvJfMjLAmec39IyEx_6qawtMGysU/edit?usp=sharing"",""สบก!X43"")"),0.0)</f>
        <v>0</v>
      </c>
      <c r="M61" s="125"/>
      <c r="N61" s="115">
        <f>IFERROR(__xludf.DUMMYFUNCTION("IMPORTRANGE(""https://docs.google.com/spreadsheets/d/1Yj_ptqi66GCucihVvJfMjLAmec39IyEx_6qawtMGysU/edit?usp=sharing"",""สบก!AB43"")"),0.0)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IFERROR(__xludf.DUMMYFUNCTION("IMPORTRANGE(""https://docs.google.com/spreadsheets/d/1XL5vhW3sbDhbH9Cz0tuDiY8C3ctxq1tqvaCgkFb8cCA/edit?usp=sharing"",""บึงกาฬ!I9"")"),0.0)</f>
        <v>0</v>
      </c>
      <c r="J64" s="172">
        <f>IFERROR(__xludf.DUMMYFUNCTION("IMPORTRANGE(""https://docs.google.com/spreadsheets/d/1XL5vhW3sbDhbH9Cz0tuDiY8C3ctxq1tqvaCgkFb8cCA/edit?usp=sharing"",""บึงกาฬ!J9"")"),0.0)</f>
        <v>0</v>
      </c>
      <c r="K64" s="173">
        <f t="shared" ref="K64:K65" si="45">IF(I64&gt;0,J64*100/I64,0)</f>
        <v>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IFERROR(__xludf.DUMMYFUNCTION("IMPORTRANGE(""https://docs.google.com/spreadsheets/d/1XL5vhW3sbDhbH9Cz0tuDiY8C3ctxq1tqvaCgkFb8cCA/edit?usp=sharing"",""บึงกาฬ!I10"")"),0.0)</f>
        <v>0</v>
      </c>
      <c r="J65" s="172">
        <f>IFERROR(__xludf.DUMMYFUNCTION("IMPORTRANGE(""https://docs.google.com/spreadsheets/d/1XL5vhW3sbDhbH9Cz0tuDiY8C3ctxq1tqvaCgkFb8cCA/edit?usp=sharing"",""บึงกาฬ!J10"")"),0.0)</f>
        <v>0</v>
      </c>
      <c r="K65" s="173">
        <f t="shared" si="45"/>
        <v>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0</v>
      </c>
      <c r="M66" s="183">
        <f t="shared" si="46"/>
        <v>0</v>
      </c>
      <c r="N66" s="183">
        <f t="shared" si="46"/>
        <v>0</v>
      </c>
      <c r="O66" s="182">
        <f t="shared" ref="O66:O68" si="48">IF(L66&gt;0,N66*100/L66,0)</f>
        <v>0</v>
      </c>
      <c r="P66" s="182">
        <f t="shared" ref="P66:P68" si="49">IF(M66&gt;0,N66*100/M66,0)</f>
        <v>0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0</v>
      </c>
      <c r="M68" s="188">
        <f t="shared" si="50"/>
        <v>0</v>
      </c>
      <c r="N68" s="188">
        <f t="shared" si="50"/>
        <v>0</v>
      </c>
      <c r="O68" s="187">
        <f t="shared" si="48"/>
        <v>0</v>
      </c>
      <c r="P68" s="187">
        <f t="shared" si="49"/>
        <v>0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0</v>
      </c>
      <c r="M70" s="201">
        <f>IFERROR(__xludf.DUMMYFUNCTION("IMPORTRANGE(""https://docs.google.com/spreadsheets/d/1Yj_ptqi66GCucihVvJfMjLAmec39IyEx_6qawtMGysU/edit?usp=sharing"",""สบก!AI43"")"),0.0)</f>
        <v>0</v>
      </c>
      <c r="N70" s="202">
        <f>IFERROR(__xludf.DUMMYFUNCTION("IMPORTRANGE(""https://docs.google.com/spreadsheets/d/1Yj_ptqi66GCucihVvJfMjLAmec39IyEx_6qawtMGysU/edit?usp=sharing"",""สบก!AJ43"")"),0.0)</f>
        <v>0</v>
      </c>
      <c r="O70" s="203">
        <f>IF(L70&gt;0,N70*100/L70,0)</f>
        <v>0</v>
      </c>
      <c r="P70" s="203">
        <f>IF(M70&gt;0,N70*100/M70,0)</f>
        <v>0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IFERROR(__xludf.DUMMYFUNCTION("IMPORTRANGE(""https://docs.google.com/spreadsheets/d/1Yj_ptqi66GCucihVvJfMjLAmec39IyEx_6qawtMGysU/edit?usp=sharing"",""สบก!AE43"")"),0.0)</f>
        <v>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IFERROR(__xludf.DUMMYFUNCTION("IMPORTRANGE(""https://docs.google.com/spreadsheets/d/1Yj_ptqi66GCucihVvJfMjLAmec39IyEx_6qawtMGysU/edit?usp=sharing"",""สบก!AF43"")"),0.0)</f>
        <v>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IFERROR(__xludf.DUMMYFUNCTION("IMPORTRANGE(""https://docs.google.com/spreadsheets/d/1Yj_ptqi66GCucihVvJfMjLAmec39IyEx_6qawtMGysU/edit?usp=sharing"",""สบก!AG43"")"),0.0)</f>
        <v>0</v>
      </c>
      <c r="M74" s="125"/>
      <c r="N74" s="115">
        <f>IFERROR(__xludf.DUMMYFUNCTION("IMPORTRANGE(""https://docs.google.com/spreadsheets/d/1Yj_ptqi66GCucihVvJfMjLAmec39IyEx_6qawtMGysU/edit?usp=sharing"",""สบก!AK43"")"),0.0)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IFERROR(__xludf.DUMMYFUNCTION("IMPORTRANGE(""https://docs.google.com/spreadsheets/d/1XL5vhW3sbDhbH9Cz0tuDiY8C3ctxq1tqvaCgkFb8cCA/edit?usp=sharing"",""บึงกาฬ!J16"")"),0.0)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IFERROR(__xludf.DUMMYFUNCTION("IMPORTRANGE(""https://docs.google.com/spreadsheets/d/1XL5vhW3sbDhbH9Cz0tuDiY8C3ctxq1tqvaCgkFb8cCA/edit?usp=sharing"",""บึงกาฬ!J17"")"),0.0)</f>
        <v>0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IFERROR(__xludf.DUMMYFUNCTION("IMPORTRANGE(""https://docs.google.com/spreadsheets/d/1XL5vhW3sbDhbH9Cz0tuDiY8C3ctxq1tqvaCgkFb8cCA/edit?usp=sharing"",""บึงกาฬ!J18"")"),0.0)</f>
        <v>0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IFERROR(__xludf.DUMMYFUNCTION("IMPORTRANGE(""https://docs.google.com/spreadsheets/d/1XL5vhW3sbDhbH9Cz0tuDiY8C3ctxq1tqvaCgkFb8cCA/edit?usp=sharing"",""บึงกาฬ!J19"")"),0.0)</f>
        <v>0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IFERROR(__xludf.DUMMYFUNCTION("IMPORTRANGE(""https://docs.google.com/spreadsheets/d/1XL5vhW3sbDhbH9Cz0tuDiY8C3ctxq1tqvaCgkFb8cCA/edit?usp=sharing"",""บึงกาฬ!I20"")"),0.0)</f>
        <v>0</v>
      </c>
      <c r="J80" s="235">
        <f>IFERROR(__xludf.DUMMYFUNCTION("IMPORTRANGE(""https://docs.google.com/spreadsheets/d/1XL5vhW3sbDhbH9Cz0tuDiY8C3ctxq1tqvaCgkFb8cCA/edit?usp=sharing"",""บึงกาฬ!J20"")"),0.0)</f>
        <v>0</v>
      </c>
      <c r="K80" s="236">
        <f t="shared" ref="K80:K88" si="51">IF(I80&gt;0,J80*100/I80,0)</f>
        <v>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IFERROR(__xludf.DUMMYFUNCTION("IMPORTRANGE(""https://docs.google.com/spreadsheets/d/1XL5vhW3sbDhbH9Cz0tuDiY8C3ctxq1tqvaCgkFb8cCA/edit?usp=sharing"",""บึงกาฬ!I21"")"),0.0)</f>
        <v>0</v>
      </c>
      <c r="J81" s="235">
        <f>IFERROR(__xludf.DUMMYFUNCTION("IMPORTRANGE(""https://docs.google.com/spreadsheets/d/1XL5vhW3sbDhbH9Cz0tuDiY8C3ctxq1tqvaCgkFb8cCA/edit?usp=sharing"",""บึงกาฬ!J21"")"),0.0)</f>
        <v>0</v>
      </c>
      <c r="K81" s="236">
        <f t="shared" si="51"/>
        <v>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IFERROR(__xludf.DUMMYFUNCTION("IMPORTRANGE(""https://docs.google.com/spreadsheets/d/1XL5vhW3sbDhbH9Cz0tuDiY8C3ctxq1tqvaCgkFb8cCA/edit?usp=sharing"",""บึงกาฬ!I22"")"),0.0)</f>
        <v>0</v>
      </c>
      <c r="J82" s="238">
        <f>IFERROR(__xludf.DUMMYFUNCTION("IMPORTRANGE(""https://docs.google.com/spreadsheets/d/1XL5vhW3sbDhbH9Cz0tuDiY8C3ctxq1tqvaCgkFb8cCA/edit?usp=sharing"",""บึงกาฬ!J22"")"),0.0)</f>
        <v>0</v>
      </c>
      <c r="K82" s="196">
        <f t="shared" si="51"/>
        <v>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IFERROR(__xludf.DUMMYFUNCTION("IMPORTRANGE(""https://docs.google.com/spreadsheets/d/1XL5vhW3sbDhbH9Cz0tuDiY8C3ctxq1tqvaCgkFb8cCA/edit?usp=sharing"",""บึงกาฬ!I23"")"),0.0)</f>
        <v>0</v>
      </c>
      <c r="J83" s="238">
        <f>IFERROR(__xludf.DUMMYFUNCTION("IMPORTRANGE(""https://docs.google.com/spreadsheets/d/1XL5vhW3sbDhbH9Cz0tuDiY8C3ctxq1tqvaCgkFb8cCA/edit?usp=sharing"",""บึงกาฬ!J23"")"),0.0)</f>
        <v>0</v>
      </c>
      <c r="K83" s="196">
        <f t="shared" si="51"/>
        <v>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IFERROR(__xludf.DUMMYFUNCTION("IMPORTRANGE(""https://docs.google.com/spreadsheets/d/1XL5vhW3sbDhbH9Cz0tuDiY8C3ctxq1tqvaCgkFb8cCA/edit?usp=sharing"",""บึงกาฬ!I24"")"),0.0)</f>
        <v>0</v>
      </c>
      <c r="J84" s="223">
        <f>IFERROR(__xludf.DUMMYFUNCTION("IMPORTRANGE(""https://docs.google.com/spreadsheets/d/1XL5vhW3sbDhbH9Cz0tuDiY8C3ctxq1tqvaCgkFb8cCA/edit?usp=sharing"",""บึงกาฬ!J24"")"),0.0)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IFERROR(__xludf.DUMMYFUNCTION("IMPORTRANGE(""https://docs.google.com/spreadsheets/d/1XL5vhW3sbDhbH9Cz0tuDiY8C3ctxq1tqvaCgkFb8cCA/edit?usp=sharing"",""บึงกาฬ!I25"")"),0.0)</f>
        <v>0</v>
      </c>
      <c r="J85" s="223">
        <f>IFERROR(__xludf.DUMMYFUNCTION("IMPORTRANGE(""https://docs.google.com/spreadsheets/d/1XL5vhW3sbDhbH9Cz0tuDiY8C3ctxq1tqvaCgkFb8cCA/edit?usp=sharing"",""บึงกาฬ!J25"")"),0.0)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IFERROR(__xludf.DUMMYFUNCTION("IMPORTRANGE(""https://docs.google.com/spreadsheets/d/1XL5vhW3sbDhbH9Cz0tuDiY8C3ctxq1tqvaCgkFb8cCA/edit?usp=sharing"",""บึงกาฬ!I26"")"),0.0)</f>
        <v>0</v>
      </c>
      <c r="J86" s="238">
        <f>IFERROR(__xludf.DUMMYFUNCTION("IMPORTRANGE(""https://docs.google.com/spreadsheets/d/1XL5vhW3sbDhbH9Cz0tuDiY8C3ctxq1tqvaCgkFb8cCA/edit?usp=sharing"",""บึงกาฬ!J26"")"),0.0)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IFERROR(__xludf.DUMMYFUNCTION("IMPORTRANGE(""https://docs.google.com/spreadsheets/d/1XL5vhW3sbDhbH9Cz0tuDiY8C3ctxq1tqvaCgkFb8cCA/edit?usp=sharing"",""บึงกาฬ!I27"")"),0.0)</f>
        <v>0</v>
      </c>
      <c r="J87" s="238">
        <f>IFERROR(__xludf.DUMMYFUNCTION("IMPORTRANGE(""https://docs.google.com/spreadsheets/d/1XL5vhW3sbDhbH9Cz0tuDiY8C3ctxq1tqvaCgkFb8cCA/edit?usp=sharing"",""บึงกาฬ!J27"")"),0.0)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IFERROR(__xludf.DUMMYFUNCTION("IMPORTRANGE(""https://docs.google.com/spreadsheets/d/1XL5vhW3sbDhbH9Cz0tuDiY8C3ctxq1tqvaCgkFb8cCA/edit?usp=sharing"",""บึงกาฬ!I28"")"),0.0)</f>
        <v>0</v>
      </c>
      <c r="J88" s="238">
        <f>IFERROR(__xludf.DUMMYFUNCTION("IMPORTRANGE(""https://docs.google.com/spreadsheets/d/1XL5vhW3sbDhbH9Cz0tuDiY8C3ctxq1tqvaCgkFb8cCA/edit?usp=sharing"",""บึงกาฬ!J28"")"),0.0)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IFERROR(__xludf.DUMMYFUNCTION("IMPORTRANGE(""https://docs.google.com/spreadsheets/d/1XL5vhW3sbDhbH9Cz0tuDiY8C3ctxq1tqvaCgkFb8cCA/edit?usp=sharing"",""บึงกาฬ!J29"")"),0.0)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IFERROR(__xludf.DUMMYFUNCTION("IMPORTRANGE(""https://docs.google.com/spreadsheets/d/1XL5vhW3sbDhbH9Cz0tuDiY8C3ctxq1tqvaCgkFb8cCA/edit?usp=sharing"",""บึงกาฬ!J30"")"),0.0)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IFERROR(__xludf.DUMMYFUNCTION("IMPORTRANGE(""https://docs.google.com/spreadsheets/d/1XL5vhW3sbDhbH9Cz0tuDiY8C3ctxq1tqvaCgkFb8cCA/edit?usp=sharing"",""บึงกาฬ!I32"")"),4.0)</f>
        <v>4</v>
      </c>
      <c r="J92" s="172">
        <f>IFERROR(__xludf.DUMMYFUNCTION("IMPORTRANGE(""https://docs.google.com/spreadsheets/d/1XL5vhW3sbDhbH9Cz0tuDiY8C3ctxq1tqvaCgkFb8cCA/edit?usp=sharing"",""บึงกาฬ!J32"")"),0.0)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IFERROR(__xludf.DUMMYFUNCTION("IMPORTRANGE(""https://docs.google.com/spreadsheets/d/1XL5vhW3sbDhbH9Cz0tuDiY8C3ctxq1tqvaCgkFb8cCA/edit?usp=sharing"",""บึงกาฬ!I33"")"),1.0)</f>
        <v>1</v>
      </c>
      <c r="J93" s="172">
        <f>IFERROR(__xludf.DUMMYFUNCTION("IMPORTRANGE(""https://docs.google.com/spreadsheets/d/1XL5vhW3sbDhbH9Cz0tuDiY8C3ctxq1tqvaCgkFb8cCA/edit?usp=sharing"",""บึงกาฬ!J33"")"),0.0)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119940</v>
      </c>
      <c r="O94" s="182">
        <f t="shared" ref="O94:O96" si="55">IF(L94&gt;0,N94*100/L94,0)</f>
        <v>55.91608392</v>
      </c>
      <c r="P94" s="182">
        <f t="shared" ref="P94:P96" si="56">IF(M94&gt;0,N94*100/M94,0)</f>
        <v>174.5089481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119940</v>
      </c>
      <c r="O96" s="187">
        <f t="shared" si="55"/>
        <v>55.91608392</v>
      </c>
      <c r="P96" s="187">
        <f t="shared" si="56"/>
        <v>174.5089481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IFERROR(__xludf.DUMMYFUNCTION("IMPORTRANGE(""https://docs.google.com/spreadsheets/d/1Yj_ptqi66GCucihVvJfMjLAmec39IyEx_6qawtMGysU/edit?usp=sharing"",""สบก!AR43"")"),68730.0)</f>
        <v>68730</v>
      </c>
      <c r="N98" s="202">
        <f>IFERROR(__xludf.DUMMYFUNCTION("IMPORTRANGE(""https://docs.google.com/spreadsheets/d/1Yj_ptqi66GCucihVvJfMjLAmec39IyEx_6qawtMGysU/edit?usp=sharing"",""สบก!AS43"")"),27540.0)</f>
        <v>27540</v>
      </c>
      <c r="O98" s="203">
        <f>IF(L98&gt;0,N98*100/L98,0)</f>
        <v>22.55528256</v>
      </c>
      <c r="P98" s="203">
        <f>IF(M98&gt;0,N98*100/M98,0)</f>
        <v>40.0698385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IFERROR(__xludf.DUMMYFUNCTION("IMPORTRANGE(""https://docs.google.com/spreadsheets/d/1Yj_ptqi66GCucihVvJfMjLAmec39IyEx_6qawtMGysU/edit?usp=sharing"",""สบก!AN43"")"),0.0)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IFERROR(__xludf.DUMMYFUNCTION("IMPORTRANGE(""https://docs.google.com/spreadsheets/d/1Yj_ptqi66GCucihVvJfMjLAmec39IyEx_6qawtMGysU/edit?usp=sharing"",""สบก!AO43"")"),122100.0)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IFERROR(__xludf.DUMMYFUNCTION("IMPORTRANGE(""https://docs.google.com/spreadsheets/d/1Yj_ptqi66GCucihVvJfMjLAmec39IyEx_6qawtMGysU/edit?usp=sharing"",""สบก!AP43"")"),92400.0)</f>
        <v>92400</v>
      </c>
      <c r="M102" s="125"/>
      <c r="N102" s="115">
        <f>IFERROR(__xludf.DUMMYFUNCTION("IMPORTRANGE(""https://docs.google.com/spreadsheets/d/1Yj_ptqi66GCucihVvJfMjLAmec39IyEx_6qawtMGysU/edit?usp=sharing"",""สบก!AT43"")"),92400.0)</f>
        <v>92400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IFERROR(__xludf.DUMMYFUNCTION("IMPORTRANGE(""https://docs.google.com/spreadsheets/d/1XL5vhW3sbDhbH9Cz0tuDiY8C3ctxq1tqvaCgkFb8cCA/edit?usp=sharing"",""บึงกาฬ!J39"")"),0.0)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IFERROR(__xludf.DUMMYFUNCTION("IMPORTRANGE(""https://docs.google.com/spreadsheets/d/1XL5vhW3sbDhbH9Cz0tuDiY8C3ctxq1tqvaCgkFb8cCA/edit?usp=sharing"",""บึงกาฬ!J40"")"),1.0)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IFERROR(__xludf.DUMMYFUNCTION("IMPORTRANGE(""https://docs.google.com/spreadsheets/d/1XL5vhW3sbDhbH9Cz0tuDiY8C3ctxq1tqvaCgkFb8cCA/edit?usp=sharing"",""บึงกาฬ!J41"")"),0.0)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IFERROR(__xludf.DUMMYFUNCTION("IMPORTRANGE(""https://docs.google.com/spreadsheets/d/1XL5vhW3sbDhbH9Cz0tuDiY8C3ctxq1tqvaCgkFb8cCA/edit?usp=sharing"",""บึงกาฬ!J42"")"),0.0)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IFERROR(__xludf.DUMMYFUNCTION("IMPORTRANGE(""https://docs.google.com/spreadsheets/d/1XL5vhW3sbDhbH9Cz0tuDiY8C3ctxq1tqvaCgkFb8cCA/edit?usp=sharing"",""บึงกาฬ!I43"")"),1.0)</f>
        <v>1</v>
      </c>
      <c r="J108" s="238">
        <f>IFERROR(__xludf.DUMMYFUNCTION("IMPORTRANGE(""https://docs.google.com/spreadsheets/d/1XL5vhW3sbDhbH9Cz0tuDiY8C3ctxq1tqvaCgkFb8cCA/edit?usp=sharing"",""บึงกาฬ!J43"")"),0.0)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IFERROR(__xludf.DUMMYFUNCTION("IMPORTRANGE(""https://docs.google.com/spreadsheets/d/1XL5vhW3sbDhbH9Cz0tuDiY8C3ctxq1tqvaCgkFb8cCA/edit?usp=sharing"",""บึงกาฬ!I44"")"),4.0)</f>
        <v>4</v>
      </c>
      <c r="J109" s="238">
        <f>IFERROR(__xludf.DUMMYFUNCTION("IMPORTRANGE(""https://docs.google.com/spreadsheets/d/1XL5vhW3sbDhbH9Cz0tuDiY8C3ctxq1tqvaCgkFb8cCA/edit?usp=sharing"",""บึงกาฬ!J44"")"),0.0)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IFERROR(__xludf.DUMMYFUNCTION("IMPORTRANGE(""https://docs.google.com/spreadsheets/d/1XL5vhW3sbDhbH9Cz0tuDiY8C3ctxq1tqvaCgkFb8cCA/edit?usp=sharing"",""บึงกาฬ!I45"")"),4.0)</f>
        <v>4</v>
      </c>
      <c r="J110" s="238">
        <f>IFERROR(__xludf.DUMMYFUNCTION("IMPORTRANGE(""https://docs.google.com/spreadsheets/d/1XL5vhW3sbDhbH9Cz0tuDiY8C3ctxq1tqvaCgkFb8cCA/edit?usp=sharing"",""บึงกาฬ!J45"")"),4.0)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IFERROR(__xludf.DUMMYFUNCTION("IMPORTRANGE(""https://docs.google.com/spreadsheets/d/1XL5vhW3sbDhbH9Cz0tuDiY8C3ctxq1tqvaCgkFb8cCA/edit?usp=sharing"",""บึงกาฬ!I46"")"),4.0)</f>
        <v>4</v>
      </c>
      <c r="J111" s="238">
        <f>IFERROR(__xludf.DUMMYFUNCTION("IMPORTRANGE(""https://docs.google.com/spreadsheets/d/1XL5vhW3sbDhbH9Cz0tuDiY8C3ctxq1tqvaCgkFb8cCA/edit?usp=sharing"",""บึงกาฬ!J46"")"),0.0)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IFERROR(__xludf.DUMMYFUNCTION("IMPORTRANGE(""https://docs.google.com/spreadsheets/d/1XL5vhW3sbDhbH9Cz0tuDiY8C3ctxq1tqvaCgkFb8cCA/edit?usp=sharing"",""บึงกาฬ!I47"")"),4.0)</f>
        <v>4</v>
      </c>
      <c r="J112" s="238">
        <f>IFERROR(__xludf.DUMMYFUNCTION("IMPORTRANGE(""https://docs.google.com/spreadsheets/d/1XL5vhW3sbDhbH9Cz0tuDiY8C3ctxq1tqvaCgkFb8cCA/edit?usp=sharing"",""บึงกาฬ!J47"")"),0.0)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IFERROR(__xludf.DUMMYFUNCTION("IMPORTRANGE(""https://docs.google.com/spreadsheets/d/1XL5vhW3sbDhbH9Cz0tuDiY8C3ctxq1tqvaCgkFb8cCA/edit?usp=sharing"",""บึงกาฬ!I48"")"),1.0)</f>
        <v>1</v>
      </c>
      <c r="J113" s="238">
        <f>IFERROR(__xludf.DUMMYFUNCTION("IMPORTRANGE(""https://docs.google.com/spreadsheets/d/1XL5vhW3sbDhbH9Cz0tuDiY8C3ctxq1tqvaCgkFb8cCA/edit?usp=sharing"",""บึงกาฬ!J48"")"),0.0)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IFERROR(__xludf.DUMMYFUNCTION("IMPORTRANGE(""https://docs.google.com/spreadsheets/d/1XL5vhW3sbDhbH9Cz0tuDiY8C3ctxq1tqvaCgkFb8cCA/edit?usp=sharing"",""บึงกาฬ!J49"")"),0.0)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IFERROR(__xludf.DUMMYFUNCTION("IMPORTRANGE(""https://docs.google.com/spreadsheets/d/1XL5vhW3sbDhbH9Cz0tuDiY8C3ctxq1tqvaCgkFb8cCA/edit?usp=sharing"",""บึงกาฬ!J50"")"),0.0)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IFERROR(__xludf.DUMMYFUNCTION("IMPORTRANGE(""https://docs.google.com/spreadsheets/d/1XL5vhW3sbDhbH9Cz0tuDiY8C3ctxq1tqvaCgkFb8cCA/edit?usp=sharing"",""บึงกาฬ!I52"")"),0.0)</f>
        <v>0</v>
      </c>
      <c r="J117" s="172">
        <f>IFERROR(__xludf.DUMMYFUNCTION("IMPORTRANGE(""https://docs.google.com/spreadsheets/d/1XL5vhW3sbDhbH9Cz0tuDiY8C3ctxq1tqvaCgkFb8cCA/edit?usp=sharing"",""บึงกาฬ!J52"")"),0.0)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IFERROR(__xludf.DUMMYFUNCTION("IMPORTRANGE(""https://docs.google.com/spreadsheets/d/1Yj_ptqi66GCucihVvJfMjLAmec39IyEx_6qawtMGysU/edit?usp=sharing"",""สบก!BA43"")"),0.0)</f>
        <v>0</v>
      </c>
      <c r="N122" s="202">
        <f>IFERROR(__xludf.DUMMYFUNCTION("IMPORTRANGE(""https://docs.google.com/spreadsheets/d/1Yj_ptqi66GCucihVvJfMjLAmec39IyEx_6qawtMGysU/edit?usp=sharing"",""สบก!BB43"")"),0.0)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IFERROR(__xludf.DUMMYFUNCTION("IMPORTRANGE(""https://docs.google.com/spreadsheets/d/1Yj_ptqi66GCucihVvJfMjLAmec39IyEx_6qawtMGysU/edit?usp=sharing"",""สบก!AW43"")"),0.0)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IFERROR(__xludf.DUMMYFUNCTION("IMPORTRANGE(""https://docs.google.com/spreadsheets/d/1Yj_ptqi66GCucihVvJfMjLAmec39IyEx_6qawtMGysU/edit?usp=sharing"",""สบก!AX43"")"),0.0)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IFERROR(__xludf.DUMMYFUNCTION("IMPORTRANGE(""https://docs.google.com/spreadsheets/d/1Yj_ptqi66GCucihVvJfMjLAmec39IyEx_6qawtMGysU/edit?usp=sharing"",""สบก!AY43"")"),0.0)</f>
        <v>0</v>
      </c>
      <c r="M126" s="125"/>
      <c r="N126" s="115">
        <f>IFERROR(__xludf.DUMMYFUNCTION("IMPORTRANGE(""https://docs.google.com/spreadsheets/d/1Yj_ptqi66GCucihVvJfMjLAmec39IyEx_6qawtMGysU/edit?usp=sharing"",""สบก!BC43"")"),0.0)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250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IFERROR(__xludf.DUMMYFUNCTION("IMPORTRANGE(""https://docs.google.com/spreadsheets/d/1XL5vhW3sbDhbH9Cz0tuDiY8C3ctxq1tqvaCgkFb8cCA/edit?usp=sharing"",""บึงกาฬ!J58"")"),0.0)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IFERROR(__xludf.DUMMYFUNCTION("IMPORTRANGE(""https://docs.google.com/spreadsheets/d/1XL5vhW3sbDhbH9Cz0tuDiY8C3ctxq1tqvaCgkFb8cCA/edit?usp=sharing"",""บึงกาฬ!J59"")"),0.0)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IFERROR(__xludf.DUMMYFUNCTION("IMPORTRANGE(""https://docs.google.com/spreadsheets/d/1XL5vhW3sbDhbH9Cz0tuDiY8C3ctxq1tqvaCgkFb8cCA/edit?usp=sharing"",""บึงกาฬ!J60"")"),0.0)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IFERROR(__xludf.DUMMYFUNCTION("IMPORTRANGE(""https://docs.google.com/spreadsheets/d/1XL5vhW3sbDhbH9Cz0tuDiY8C3ctxq1tqvaCgkFb8cCA/edit?usp=sharing"",""บึงกาฬ!J61"")"),0.0)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IFERROR(__xludf.DUMMYFUNCTION("IMPORTRANGE(""https://docs.google.com/spreadsheets/d/1XL5vhW3sbDhbH9Cz0tuDiY8C3ctxq1tqvaCgkFb8cCA/edit?usp=sharing"",""บึงกาฬ!I62"")"),0.0)</f>
        <v>0</v>
      </c>
      <c r="J132" s="238">
        <f>IFERROR(__xludf.DUMMYFUNCTION("IMPORTRANGE(""https://docs.google.com/spreadsheets/d/1XL5vhW3sbDhbH9Cz0tuDiY8C3ctxq1tqvaCgkFb8cCA/edit?usp=sharing"",""บึงกาฬ!J62"")"),0.0)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IFERROR(__xludf.DUMMYFUNCTION("IMPORTRANGE(""https://docs.google.com/spreadsheets/d/1XL5vhW3sbDhbH9Cz0tuDiY8C3ctxq1tqvaCgkFb8cCA/edit?usp=sharing"",""บึงกาฬ!I63"")"),0.0)</f>
        <v>0</v>
      </c>
      <c r="J133" s="238">
        <f>IFERROR(__xludf.DUMMYFUNCTION("IMPORTRANGE(""https://docs.google.com/spreadsheets/d/1XL5vhW3sbDhbH9Cz0tuDiY8C3ctxq1tqvaCgkFb8cCA/edit?usp=sharing"",""บึงกาฬ!J63"")"),0.0)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IFERROR(__xludf.DUMMYFUNCTION("IMPORTRANGE(""https://docs.google.com/spreadsheets/d/1XL5vhW3sbDhbH9Cz0tuDiY8C3ctxq1tqvaCgkFb8cCA/edit?usp=sharing"",""บึงกาฬ!J64"")"),0.0)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IFERROR(__xludf.DUMMYFUNCTION("IMPORTRANGE(""https://docs.google.com/spreadsheets/d/1XL5vhW3sbDhbH9Cz0tuDiY8C3ctxq1tqvaCgkFb8cCA/edit?usp=sharing"",""บึงกาฬ!J65"")"),0.0)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IFERROR(__xludf.DUMMYFUNCTION("IMPORTRANGE(""https://docs.google.com/spreadsheets/d/1XL5vhW3sbDhbH9Cz0tuDiY8C3ctxq1tqvaCgkFb8cCA/edit?usp=sharing"",""บึงกาฬ!I68"")"),0.0)</f>
        <v>0</v>
      </c>
      <c r="J138" s="301">
        <f>IFERROR(__xludf.DUMMYFUNCTION("IMPORTRANGE(""https://docs.google.com/spreadsheets/d/1XL5vhW3sbDhbH9Cz0tuDiY8C3ctxq1tqvaCgkFb8cCA/edit?usp=sharing"",""บึงกาฬ!J68"")"),0.0)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176500</v>
      </c>
      <c r="M140" s="183">
        <f t="shared" si="65"/>
        <v>133750</v>
      </c>
      <c r="N140" s="183">
        <f t="shared" si="65"/>
        <v>67880</v>
      </c>
      <c r="O140" s="182">
        <f t="shared" ref="O140:O142" si="67">IF(L140&gt;0,N140*100/L140,0)</f>
        <v>38.45892351</v>
      </c>
      <c r="P140" s="182">
        <f t="shared" ref="P140:P142" si="68">IF(M140&gt;0,N140*100/M140,0)</f>
        <v>50.75140187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176500</v>
      </c>
      <c r="M142" s="188">
        <f t="shared" si="69"/>
        <v>133750</v>
      </c>
      <c r="N142" s="188">
        <f t="shared" si="69"/>
        <v>67880</v>
      </c>
      <c r="O142" s="187">
        <f t="shared" si="67"/>
        <v>38.45892351</v>
      </c>
      <c r="P142" s="187">
        <f t="shared" si="68"/>
        <v>50.75140187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176500</v>
      </c>
      <c r="M144" s="201">
        <f>IFERROR(__xludf.DUMMYFUNCTION("IMPORTRANGE(""https://docs.google.com/spreadsheets/d/1Yj_ptqi66GCucihVvJfMjLAmec39IyEx_6qawtMGysU/edit?usp=sharing"",""สบก!BJ43"")"),133750.0)</f>
        <v>133750</v>
      </c>
      <c r="N144" s="202">
        <f>IFERROR(__xludf.DUMMYFUNCTION("IMPORTRANGE(""https://docs.google.com/spreadsheets/d/1Yj_ptqi66GCucihVvJfMjLAmec39IyEx_6qawtMGysU/edit?usp=sharing"",""สบก!BK43"")"),67880.0)</f>
        <v>67880</v>
      </c>
      <c r="O144" s="203">
        <f>IF(L144&gt;0,N144*100/L144,0)</f>
        <v>38.45892351</v>
      </c>
      <c r="P144" s="203">
        <f>IF(M144&gt;0,N144*100/M144,0)</f>
        <v>50.75140187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IFERROR(__xludf.DUMMYFUNCTION("IMPORTRANGE(""https://docs.google.com/spreadsheets/d/1Yj_ptqi66GCucihVvJfMjLAmec39IyEx_6qawtMGysU/edit?usp=sharing"",""สบก!BF43"")"),0.0)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IFERROR(__xludf.DUMMYFUNCTION("IMPORTRANGE(""https://docs.google.com/spreadsheets/d/1Yj_ptqi66GCucihVvJfMjLAmec39IyEx_6qawtMGysU/edit?usp=sharing"",""สบก!BG43"")"),176500.0)</f>
        <v>176500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IFERROR(__xludf.DUMMYFUNCTION("IMPORTRANGE(""https://docs.google.com/spreadsheets/d/1Yj_ptqi66GCucihVvJfMjLAmec39IyEx_6qawtMGysU/edit?usp=sharing"",""สบก!BH43"")"),0.0)</f>
        <v>0</v>
      </c>
      <c r="M148" s="125"/>
      <c r="N148" s="115">
        <f>IFERROR(__xludf.DUMMYFUNCTION("IMPORTRANGE(""https://docs.google.com/spreadsheets/d/1Yj_ptqi66GCucihVvJfMjLAmec39IyEx_6qawtMGysU/edit?usp=sharing"",""สบก!BL43"")"),0.0)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IFERROR(__xludf.DUMMYFUNCTION("IMPORTRANGE(""https://docs.google.com/spreadsheets/d/1XL5vhW3sbDhbH9Cz0tuDiY8C3ctxq1tqvaCgkFb8cCA/edit?usp=sharing"",""บึงกาฬ!I74"")"),4.0)</f>
        <v>4</v>
      </c>
      <c r="J149" s="309">
        <f>IFERROR(__xludf.DUMMYFUNCTION("IMPORTRANGE(""https://docs.google.com/spreadsheets/d/1XL5vhW3sbDhbH9Cz0tuDiY8C3ctxq1tqvaCgkFb8cCA/edit?usp=sharing"",""บึงกาฬ!J74"")"),1.0)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IFERROR(__xludf.DUMMYFUNCTION("IMPORTRANGE(""https://docs.google.com/spreadsheets/d/1XL5vhW3sbDhbH9Cz0tuDiY8C3ctxq1tqvaCgkFb8cCA/edit?usp=sharing"",""บึงกาฬ!J79"")"),0.0)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IFERROR(__xludf.DUMMYFUNCTION("IMPORTRANGE(""https://docs.google.com/spreadsheets/d/1XL5vhW3sbDhbH9Cz0tuDiY8C3ctxq1tqvaCgkFb8cCA/edit?usp=sharing"",""บึงกาฬ!J80"")"),1.0)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IFERROR(__xludf.DUMMYFUNCTION("IMPORTRANGE(""https://docs.google.com/spreadsheets/d/1XL5vhW3sbDhbH9Cz0tuDiY8C3ctxq1tqvaCgkFb8cCA/edit?usp=sharing"",""บึงกาฬ!J81"")"),1.0)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IFERROR(__xludf.DUMMYFUNCTION("IMPORTRANGE(""https://docs.google.com/spreadsheets/d/1XL5vhW3sbDhbH9Cz0tuDiY8C3ctxq1tqvaCgkFb8cCA/edit?usp=sharing"",""บึงกาฬ!J82"")"),1.0)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IFERROR(__xludf.DUMMYFUNCTION("IMPORTRANGE(""https://docs.google.com/spreadsheets/d/1XL5vhW3sbDhbH9Cz0tuDiY8C3ctxq1tqvaCgkFb8cCA/edit?usp=sharing"",""บึงกาฬ!I83"")"),4.0)</f>
        <v>4</v>
      </c>
      <c r="J158" s="223">
        <f>IFERROR(__xludf.DUMMYFUNCTION("IMPORTRANGE(""https://docs.google.com/spreadsheets/d/1XL5vhW3sbDhbH9Cz0tuDiY8C3ctxq1tqvaCgkFb8cCA/edit?usp=sharing"",""บึงกาฬ!J83"")"),1.0)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IFERROR(__xludf.DUMMYFUNCTION("IMPORTRANGE(""https://docs.google.com/spreadsheets/d/1XL5vhW3sbDhbH9Cz0tuDiY8C3ctxq1tqvaCgkFb8cCA/edit?usp=sharing"",""บึงกาฬ!J84"")"),22.0)</f>
        <v>22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IFERROR(__xludf.DUMMYFUNCTION("IMPORTRANGE(""https://docs.google.com/spreadsheets/d/1XL5vhW3sbDhbH9Cz0tuDiY8C3ctxq1tqvaCgkFb8cCA/edit?usp=sharing"",""บึงกาฬ!J85"")"),22.0)</f>
        <v>22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IFERROR(__xludf.DUMMYFUNCTION("IMPORTRANGE(""https://docs.google.com/spreadsheets/d/1XL5vhW3sbDhbH9Cz0tuDiY8C3ctxq1tqvaCgkFb8cCA/edit?usp=sharing"",""บึงกาฬ!J86"")"),0.0)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IFERROR(__xludf.DUMMYFUNCTION("IMPORTRANGE(""https://docs.google.com/spreadsheets/d/1XL5vhW3sbDhbH9Cz0tuDiY8C3ctxq1tqvaCgkFb8cCA/edit?usp=sharing"",""บึงกาฬ!J87"")"),0.0)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IFERROR(__xludf.DUMMYFUNCTION("IMPORTRANGE(""https://docs.google.com/spreadsheets/d/1XL5vhW3sbDhbH9Cz0tuDiY8C3ctxq1tqvaCgkFb8cCA/edit?usp=sharing"",""บึงกาฬ!J88"")"),0.0)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IFERROR(__xludf.DUMMYFUNCTION("IMPORTRANGE(""https://docs.google.com/spreadsheets/d/1XL5vhW3sbDhbH9Cz0tuDiY8C3ctxq1tqvaCgkFb8cCA/edit?usp=sharing"",""บึงกาฬ!I89"")"),5.0)</f>
        <v>5</v>
      </c>
      <c r="J164" s="317">
        <f>IFERROR(__xludf.DUMMYFUNCTION("IMPORTRANGE(""https://docs.google.com/spreadsheets/d/1XL5vhW3sbDhbH9Cz0tuDiY8C3ctxq1tqvaCgkFb8cCA/edit?usp=sharing"",""บึงกาฬ!J89"")"),4.0)</f>
        <v>4</v>
      </c>
      <c r="K164" s="318">
        <f>IF(I164&gt;0,J164*100/I164,0)</f>
        <v>80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IFERROR(__xludf.DUMMYFUNCTION("IMPORTRANGE(""https://docs.google.com/spreadsheets/d/1XL5vhW3sbDhbH9Cz0tuDiY8C3ctxq1tqvaCgkFb8cCA/edit?usp=sharing"",""บึงกาฬ!J94"")"),0.0)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IFERROR(__xludf.DUMMYFUNCTION("IMPORTRANGE(""https://docs.google.com/spreadsheets/d/1XL5vhW3sbDhbH9Cz0tuDiY8C3ctxq1tqvaCgkFb8cCA/edit?usp=sharing"",""บึงกาฬ!J95"")"),1.0)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IFERROR(__xludf.DUMMYFUNCTION("IMPORTRANGE(""https://docs.google.com/spreadsheets/d/1XL5vhW3sbDhbH9Cz0tuDiY8C3ctxq1tqvaCgkFb8cCA/edit?usp=sharing"",""บึงกาฬ!J96"")"),1.0)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IFERROR(__xludf.DUMMYFUNCTION("IMPORTRANGE(""https://docs.google.com/spreadsheets/d/1XL5vhW3sbDhbH9Cz0tuDiY8C3ctxq1tqvaCgkFb8cCA/edit?usp=sharing"",""บึงกาฬ!J97"")"),1.0)</f>
        <v>1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IFERROR(__xludf.DUMMYFUNCTION("IMPORTRANGE(""https://docs.google.com/spreadsheets/d/1XL5vhW3sbDhbH9Cz0tuDiY8C3ctxq1tqvaCgkFb8cCA/edit?usp=sharing"",""บึงกาฬ!I98"")"),5.0)</f>
        <v>5</v>
      </c>
      <c r="J173" s="223">
        <f>IFERROR(__xludf.DUMMYFUNCTION("IMPORTRANGE(""https://docs.google.com/spreadsheets/d/1XL5vhW3sbDhbH9Cz0tuDiY8C3ctxq1tqvaCgkFb8cCA/edit?usp=sharing"",""บึงกาฬ!J98"")"),4.0)</f>
        <v>4</v>
      </c>
      <c r="K173" s="196">
        <f>IF(I173&gt;0,J173*100/I173,0)</f>
        <v>80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IFERROR(__xludf.DUMMYFUNCTION("IMPORTRANGE(""https://docs.google.com/spreadsheets/d/1XL5vhW3sbDhbH9Cz0tuDiY8C3ctxq1tqvaCgkFb8cCA/edit?usp=sharing"",""บึงกาฬ!J99"")"),0.0)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IFERROR(__xludf.DUMMYFUNCTION("IMPORTRANGE(""https://docs.google.com/spreadsheets/d/1XL5vhW3sbDhbH9Cz0tuDiY8C3ctxq1tqvaCgkFb8cCA/edit?usp=sharing"",""บึงกาฬ!J100"")"),0.0)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IFERROR(__xludf.DUMMYFUNCTION("IMPORTRANGE(""https://docs.google.com/spreadsheets/d/1XL5vhW3sbDhbH9Cz0tuDiY8C3ctxq1tqvaCgkFb8cCA/edit?usp=sharing"",""บึงกาฬ!I101"")"),6.0)</f>
        <v>6</v>
      </c>
      <c r="J176" s="317">
        <f>IFERROR(__xludf.DUMMYFUNCTION("IMPORTRANGE(""https://docs.google.com/spreadsheets/d/1XL5vhW3sbDhbH9Cz0tuDiY8C3ctxq1tqvaCgkFb8cCA/edit?usp=sharing"",""บึงกาฬ!J101"")"),0.0)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IFERROR(__xludf.DUMMYFUNCTION("IMPORTRANGE(""https://docs.google.com/spreadsheets/d/1XL5vhW3sbDhbH9Cz0tuDiY8C3ctxq1tqvaCgkFb8cCA/edit?usp=sharing"",""บึงกาฬ!J106"")"),0.0)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IFERROR(__xludf.DUMMYFUNCTION("IMPORTRANGE(""https://docs.google.com/spreadsheets/d/1XL5vhW3sbDhbH9Cz0tuDiY8C3ctxq1tqvaCgkFb8cCA/edit?usp=sharing"",""บึงกาฬ!J107"")"),1.0)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IFERROR(__xludf.DUMMYFUNCTION("IMPORTRANGE(""https://docs.google.com/spreadsheets/d/1XL5vhW3sbDhbH9Cz0tuDiY8C3ctxq1tqvaCgkFb8cCA/edit?usp=sharing"",""บึงกาฬ!J108"")"),1.0)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IFERROR(__xludf.DUMMYFUNCTION("IMPORTRANGE(""https://docs.google.com/spreadsheets/d/1XL5vhW3sbDhbH9Cz0tuDiY8C3ctxq1tqvaCgkFb8cCA/edit?usp=sharing"",""บึงกาฬ!J109"")"),1.0)</f>
        <v>1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IFERROR(__xludf.DUMMYFUNCTION("IMPORTRANGE(""https://docs.google.com/spreadsheets/d/1XL5vhW3sbDhbH9Cz0tuDiY8C3ctxq1tqvaCgkFb8cCA/edit?usp=sharing"",""บึงกาฬ!I110"")"),6.0)</f>
        <v>6</v>
      </c>
      <c r="J185" s="238">
        <f>IFERROR(__xludf.DUMMYFUNCTION("IMPORTRANGE(""https://docs.google.com/spreadsheets/d/1XL5vhW3sbDhbH9Cz0tuDiY8C3ctxq1tqvaCgkFb8cCA/edit?usp=sharing"",""บึงกาฬ!J110"")"),0.0)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IFERROR(__xludf.DUMMYFUNCTION("IMPORTRANGE(""https://docs.google.com/spreadsheets/d/1XL5vhW3sbDhbH9Cz0tuDiY8C3ctxq1tqvaCgkFb8cCA/edit?usp=sharing"",""บึงกาฬ!I111"")"),6.0)</f>
        <v>6</v>
      </c>
      <c r="J186" s="238">
        <f>IFERROR(__xludf.DUMMYFUNCTION("IMPORTRANGE(""https://docs.google.com/spreadsheets/d/1XL5vhW3sbDhbH9Cz0tuDiY8C3ctxq1tqvaCgkFb8cCA/edit?usp=sharing"",""บึงกาฬ!J111"")"),0.0)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IFERROR(__xludf.DUMMYFUNCTION("IMPORTRANGE(""https://docs.google.com/spreadsheets/d/1XL5vhW3sbDhbH9Cz0tuDiY8C3ctxq1tqvaCgkFb8cCA/edit?usp=sharing"",""บึงกาฬ!J112"")"),0.0)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IFERROR(__xludf.DUMMYFUNCTION("IMPORTRANGE(""https://docs.google.com/spreadsheets/d/1XL5vhW3sbDhbH9Cz0tuDiY8C3ctxq1tqvaCgkFb8cCA/edit?usp=sharing"",""บึงกาฬ!J113"")"),0.0)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IFERROR(__xludf.DUMMYFUNCTION("IMPORTRANGE(""https://docs.google.com/spreadsheets/d/1XL5vhW3sbDhbH9Cz0tuDiY8C3ctxq1tqvaCgkFb8cCA/edit?usp=sharing"",""บึงกาฬ!I114"")"),20000.0)</f>
        <v>20000</v>
      </c>
      <c r="J189" s="317">
        <f>IFERROR(__xludf.DUMMYFUNCTION("IMPORTRANGE(""https://docs.google.com/spreadsheets/d/1XL5vhW3sbDhbH9Cz0tuDiY8C3ctxq1tqvaCgkFb8cCA/edit?usp=sharing"",""บึงกาฬ!J114"")"),0.0)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IFERROR(__xludf.DUMMYFUNCTION("IMPORTRANGE(""https://docs.google.com/spreadsheets/d/1XL5vhW3sbDhbH9Cz0tuDiY8C3ctxq1tqvaCgkFb8cCA/edit?usp=sharing"",""บึงกาฬ!J119"")"),0.0)</f>
        <v>0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IFERROR(__xludf.DUMMYFUNCTION("IMPORTRANGE(""https://docs.google.com/spreadsheets/d/1XL5vhW3sbDhbH9Cz0tuDiY8C3ctxq1tqvaCgkFb8cCA/edit?usp=sharing"",""บึงกาฬ!J120"")"),1.0)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IFERROR(__xludf.DUMMYFUNCTION("IMPORTRANGE(""https://docs.google.com/spreadsheets/d/1XL5vhW3sbDhbH9Cz0tuDiY8C3ctxq1tqvaCgkFb8cCA/edit?usp=sharing"",""บึงกาฬ!J121"")"),1.0)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IFERROR(__xludf.DUMMYFUNCTION("IMPORTRANGE(""https://docs.google.com/spreadsheets/d/1XL5vhW3sbDhbH9Cz0tuDiY8C3ctxq1tqvaCgkFb8cCA/edit?usp=sharing"",""บึงกาฬ!J122"")"),1.0)</f>
        <v>1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IFERROR(__xludf.DUMMYFUNCTION("IMPORTRANGE(""https://docs.google.com/spreadsheets/d/1XL5vhW3sbDhbH9Cz0tuDiY8C3ctxq1tqvaCgkFb8cCA/edit?usp=sharing"",""บึงกาฬ!I124"")"),20000.0)</f>
        <v>20000</v>
      </c>
      <c r="J199" s="223">
        <f>IFERROR(__xludf.DUMMYFUNCTION("IMPORTRANGE(""https://docs.google.com/spreadsheets/d/1XL5vhW3sbDhbH9Cz0tuDiY8C3ctxq1tqvaCgkFb8cCA/edit?usp=sharing"",""บึงกาฬ!J124"")"),0.0)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IFERROR(__xludf.DUMMYFUNCTION("IMPORTRANGE(""https://docs.google.com/spreadsheets/d/1XL5vhW3sbDhbH9Cz0tuDiY8C3ctxq1tqvaCgkFb8cCA/edit?usp=sharing"",""บึงกาฬ!I125"")"),20000.0)</f>
        <v>20000</v>
      </c>
      <c r="J200" s="223">
        <f>IFERROR(__xludf.DUMMYFUNCTION("IMPORTRANGE(""https://docs.google.com/spreadsheets/d/1XL5vhW3sbDhbH9Cz0tuDiY8C3ctxq1tqvaCgkFb8cCA/edit?usp=sharing"",""บึงกาฬ!J125"")"),0.0)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IFERROR(__xludf.DUMMYFUNCTION("IMPORTRANGE(""https://docs.google.com/spreadsheets/d/1XL5vhW3sbDhbH9Cz0tuDiY8C3ctxq1tqvaCgkFb8cCA/edit?usp=sharing"",""บึงกาฬ!I126"")"),0.0)</f>
        <v>0</v>
      </c>
      <c r="J201" s="223">
        <f>IFERROR(__xludf.DUMMYFUNCTION("IMPORTRANGE(""https://docs.google.com/spreadsheets/d/1XL5vhW3sbDhbH9Cz0tuDiY8C3ctxq1tqvaCgkFb8cCA/edit?usp=sharing"",""บึงกาฬ!J126"")"),0.0)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IFERROR(__xludf.DUMMYFUNCTION("IMPORTRANGE(""https://docs.google.com/spreadsheets/d/1XL5vhW3sbDhbH9Cz0tuDiY8C3ctxq1tqvaCgkFb8cCA/edit?usp=sharing"",""บึงกาฬ!J127"")"),0.0)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IFERROR(__xludf.DUMMYFUNCTION("IMPORTRANGE(""https://docs.google.com/spreadsheets/d/1XL5vhW3sbDhbH9Cz0tuDiY8C3ctxq1tqvaCgkFb8cCA/edit?usp=sharing"",""บึงกาฬ!J128"")"),0.0)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IFERROR(__xludf.DUMMYFUNCTION("IMPORTRANGE(""https://docs.google.com/spreadsheets/d/1XL5vhW3sbDhbH9Cz0tuDiY8C3ctxq1tqvaCgkFb8cCA/edit?usp=sharing"",""บึงกาฬ!I129"")"),0.0)</f>
        <v>0</v>
      </c>
      <c r="J204" s="317">
        <f>IFERROR(__xludf.DUMMYFUNCTION("IMPORTRANGE(""https://docs.google.com/spreadsheets/d/1XL5vhW3sbDhbH9Cz0tuDiY8C3ctxq1tqvaCgkFb8cCA/edit?usp=sharing"",""บึงกาฬ!J129"")"),0.0)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IFERROR(__xludf.DUMMYFUNCTION("IMPORTRANGE(""https://docs.google.com/spreadsheets/d/1XL5vhW3sbDhbH9Cz0tuDiY8C3ctxq1tqvaCgkFb8cCA/edit?usp=sharing"",""บึงกาฬ!J134"")"),0.0)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IFERROR(__xludf.DUMMYFUNCTION("IMPORTRANGE(""https://docs.google.com/spreadsheets/d/1XL5vhW3sbDhbH9Cz0tuDiY8C3ctxq1tqvaCgkFb8cCA/edit?usp=sharing"",""บึงกาฬ!J135"")"),0.0)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IFERROR(__xludf.DUMMYFUNCTION("IMPORTRANGE(""https://docs.google.com/spreadsheets/d/1XL5vhW3sbDhbH9Cz0tuDiY8C3ctxq1tqvaCgkFb8cCA/edit?usp=sharing"",""บึงกาฬ!J136"")"),0.0)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IFERROR(__xludf.DUMMYFUNCTION("IMPORTRANGE(""https://docs.google.com/spreadsheets/d/1XL5vhW3sbDhbH9Cz0tuDiY8C3ctxq1tqvaCgkFb8cCA/edit?usp=sharing"",""บึงกาฬ!J137"")"),0.0)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IFERROR(__xludf.DUMMYFUNCTION("IMPORTRANGE(""https://docs.google.com/spreadsheets/d/1XL5vhW3sbDhbH9Cz0tuDiY8C3ctxq1tqvaCgkFb8cCA/edit?usp=sharing"",""บึงกาฬ!I138"")"),0.0)</f>
        <v>0</v>
      </c>
      <c r="J213" s="238">
        <f>IFERROR(__xludf.DUMMYFUNCTION("IMPORTRANGE(""https://docs.google.com/spreadsheets/d/1XL5vhW3sbDhbH9Cz0tuDiY8C3ctxq1tqvaCgkFb8cCA/edit?usp=sharing"",""บึงกาฬ!J138"")"),0.0)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IFERROR(__xludf.DUMMYFUNCTION("IMPORTRANGE(""https://docs.google.com/spreadsheets/d/1XL5vhW3sbDhbH9Cz0tuDiY8C3ctxq1tqvaCgkFb8cCA/edit?usp=sharing"",""บึงกาฬ!I140"")"),0.0)</f>
        <v>0</v>
      </c>
      <c r="J215" s="238">
        <f>IFERROR(__xludf.DUMMYFUNCTION("IMPORTRANGE(""https://docs.google.com/spreadsheets/d/1XL5vhW3sbDhbH9Cz0tuDiY8C3ctxq1tqvaCgkFb8cCA/edit?usp=sharing"",""บึงกาฬ!J140"")"),0.0)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IFERROR(__xludf.DUMMYFUNCTION("IMPORTRANGE(""https://docs.google.com/spreadsheets/d/1XL5vhW3sbDhbH9Cz0tuDiY8C3ctxq1tqvaCgkFb8cCA/edit?usp=sharing"",""บึงกาฬ!I141"")"),0.0)</f>
        <v>0</v>
      </c>
      <c r="J216" s="238">
        <f>IFERROR(__xludf.DUMMYFUNCTION("IMPORTRANGE(""https://docs.google.com/spreadsheets/d/1XL5vhW3sbDhbH9Cz0tuDiY8C3ctxq1tqvaCgkFb8cCA/edit?usp=sharing"",""บึงกาฬ!J141"")"),0.0)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IFERROR(__xludf.DUMMYFUNCTION("IMPORTRANGE(""https://docs.google.com/spreadsheets/d/1XL5vhW3sbDhbH9Cz0tuDiY8C3ctxq1tqvaCgkFb8cCA/edit?usp=sharing"",""บึงกาฬ!J142"")"),0.0)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IFERROR(__xludf.DUMMYFUNCTION("IMPORTRANGE(""https://docs.google.com/spreadsheets/d/1XL5vhW3sbDhbH9Cz0tuDiY8C3ctxq1tqvaCgkFb8cCA/edit?usp=sharing"",""บึงกาฬ!J143"")"),0.0)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IFERROR(__xludf.DUMMYFUNCTION("IMPORTRANGE(""https://docs.google.com/spreadsheets/d/1XL5vhW3sbDhbH9Cz0tuDiY8C3ctxq1tqvaCgkFb8cCA/edit?usp=sharing"",""บึงกาฬ!I144"")"),14.0)</f>
        <v>14</v>
      </c>
      <c r="J219" s="301">
        <f>IFERROR(__xludf.DUMMYFUNCTION("IMPORTRANGE(""https://docs.google.com/spreadsheets/d/1XL5vhW3sbDhbH9Cz0tuDiY8C3ctxq1tqvaCgkFb8cCA/edit?usp=sharing"",""บึงกาฬ!J144"")"),0.0)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IFERROR(__xludf.DUMMYFUNCTION("IMPORTRANGE(""https://docs.google.com/spreadsheets/d/1Yj_ptqi66GCucihVvJfMjLAmec39IyEx_6qawtMGysU/edit?usp=sharing"",""สบก!BS43"")"),20210.0)</f>
        <v>20210</v>
      </c>
      <c r="N224" s="202">
        <f>IFERROR(__xludf.DUMMYFUNCTION("IMPORTRANGE(""https://docs.google.com/spreadsheets/d/1Yj_ptqi66GCucihVvJfMjLAmec39IyEx_6qawtMGysU/edit?usp=sharing"",""สบก!BT43"")"),0.0)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IFERROR(__xludf.DUMMYFUNCTION("IMPORTRANGE(""https://docs.google.com/spreadsheets/d/1Yj_ptqi66GCucihVvJfMjLAmec39IyEx_6qawtMGysU/edit?usp=sharing"",""สบก!BO43"")"),0.0)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IFERROR(__xludf.DUMMYFUNCTION("IMPORTRANGE(""https://docs.google.com/spreadsheets/d/1Yj_ptqi66GCucihVvJfMjLAmec39IyEx_6qawtMGysU/edit?usp=sharing"",""สบก!BP43"")"),20210.0)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IFERROR(__xludf.DUMMYFUNCTION("IMPORTRANGE(""https://docs.google.com/spreadsheets/d/1Yj_ptqi66GCucihVvJfMjLAmec39IyEx_6qawtMGysU/edit?usp=sharing"",""สบก!BQ43"")"),0.0)</f>
        <v>0</v>
      </c>
      <c r="M228" s="125"/>
      <c r="N228" s="115">
        <f>IFERROR(__xludf.DUMMYFUNCTION("IMPORTRANGE(""https://docs.google.com/spreadsheets/d/1Yj_ptqi66GCucihVvJfMjLAmec39IyEx_6qawtMGysU/edit?usp=sharing"",""สบก!BU43"")"),0.0)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IFERROR(__xludf.DUMMYFUNCTION("IMPORTRANGE(""https://docs.google.com/spreadsheets/d/1XL5vhW3sbDhbH9Cz0tuDiY8C3ctxq1tqvaCgkFb8cCA/edit?usp=sharing"",""บึงกาฬ!I149"")"),14.0)</f>
        <v>14</v>
      </c>
      <c r="J229" s="301">
        <f>IFERROR(__xludf.DUMMYFUNCTION("IMPORTRANGE(""https://docs.google.com/spreadsheets/d/1XL5vhW3sbDhbH9Cz0tuDiY8C3ctxq1tqvaCgkFb8cCA/edit?usp=sharing"",""บึงกาฬ!J149"")"),0.0)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IFERROR(__xludf.DUMMYFUNCTION("IMPORTRANGE(""https://docs.google.com/spreadsheets/d/1XL5vhW3sbDhbH9Cz0tuDiY8C3ctxq1tqvaCgkFb8cCA/edit?usp=sharing"",""บึงกาฬ!J151"")"),0.0)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IFERROR(__xludf.DUMMYFUNCTION("IMPORTRANGE(""https://docs.google.com/spreadsheets/d/1XL5vhW3sbDhbH9Cz0tuDiY8C3ctxq1tqvaCgkFb8cCA/edit?usp=sharing"",""บึงกาฬ!J152"")"),1.0)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IFERROR(__xludf.DUMMYFUNCTION("IMPORTRANGE(""https://docs.google.com/spreadsheets/d/1XL5vhW3sbDhbH9Cz0tuDiY8C3ctxq1tqvaCgkFb8cCA/edit?usp=sharing"",""บึงกาฬ!J153"")"),1.0)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IFERROR(__xludf.DUMMYFUNCTION("IMPORTRANGE(""https://docs.google.com/spreadsheets/d/1XL5vhW3sbDhbH9Cz0tuDiY8C3ctxq1tqvaCgkFb8cCA/edit?usp=sharing"",""บึงกาฬ!J154"")"),0.0)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IFERROR(__xludf.DUMMYFUNCTION("IMPORTRANGE(""https://docs.google.com/spreadsheets/d/1XL5vhW3sbDhbH9Cz0tuDiY8C3ctxq1tqvaCgkFb8cCA/edit?usp=sharing"",""บึงกาฬ!I155"")"),14.0)</f>
        <v>14</v>
      </c>
      <c r="J235" s="223">
        <f>IFERROR(__xludf.DUMMYFUNCTION("IMPORTRANGE(""https://docs.google.com/spreadsheets/d/1XL5vhW3sbDhbH9Cz0tuDiY8C3ctxq1tqvaCgkFb8cCA/edit?usp=sharing"",""บึงกาฬ!J155"")"),0.0)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IFERROR(__xludf.DUMMYFUNCTION("IMPORTRANGE(""https://docs.google.com/spreadsheets/d/1XL5vhW3sbDhbH9Cz0tuDiY8C3ctxq1tqvaCgkFb8cCA/edit?usp=sharing"",""บึงกาฬ!J156"")"),0.0)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IFERROR(__xludf.DUMMYFUNCTION("IMPORTRANGE(""https://docs.google.com/spreadsheets/d/1XL5vhW3sbDhbH9Cz0tuDiY8C3ctxq1tqvaCgkFb8cCA/edit?usp=sharing"",""บึงกาฬ!J157"")"),0.0)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IFERROR(__xludf.DUMMYFUNCTION("IMPORTRANGE(""https://docs.google.com/spreadsheets/d/1XL5vhW3sbDhbH9Cz0tuDiY8C3ctxq1tqvaCgkFb8cCA/edit?usp=sharing"",""บึงกาฬ!I158"")"),0.0)</f>
        <v>0</v>
      </c>
      <c r="J238" s="301">
        <f>IFERROR(__xludf.DUMMYFUNCTION("IMPORTRANGE(""https://docs.google.com/spreadsheets/d/1XL5vhW3sbDhbH9Cz0tuDiY8C3ctxq1tqvaCgkFb8cCA/edit?usp=sharing"",""บึงกาฬ!J158"")"),0.0)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IFERROR(__xludf.DUMMYFUNCTION("IMPORTRANGE(""https://docs.google.com/spreadsheets/d/1XL5vhW3sbDhbH9Cz0tuDiY8C3ctxq1tqvaCgkFb8cCA/edit?usp=sharing"",""บึงกาฬ!J159"")"),"")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IFERROR(__xludf.DUMMYFUNCTION("IMPORTRANGE(""https://docs.google.com/spreadsheets/d/1XL5vhW3sbDhbH9Cz0tuDiY8C3ctxq1tqvaCgkFb8cCA/edit?usp=sharing"",""บึงกาฬ!J161"")"),0.0)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IFERROR(__xludf.DUMMYFUNCTION("IMPORTRANGE(""https://docs.google.com/spreadsheets/d/1XL5vhW3sbDhbH9Cz0tuDiY8C3ctxq1tqvaCgkFb8cCA/edit?usp=sharing"",""บึงกาฬ!J162"")"),0.0)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IFERROR(__xludf.DUMMYFUNCTION("IMPORTRANGE(""https://docs.google.com/spreadsheets/d/1XL5vhW3sbDhbH9Cz0tuDiY8C3ctxq1tqvaCgkFb8cCA/edit?usp=sharing"",""บึงกาฬ!J163"")"),0.0)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IFERROR(__xludf.DUMMYFUNCTION("IMPORTRANGE(""https://docs.google.com/spreadsheets/d/1XL5vhW3sbDhbH9Cz0tuDiY8C3ctxq1tqvaCgkFb8cCA/edit?usp=sharing"",""บึงกาฬ!I164"")"),0.0)</f>
        <v>0</v>
      </c>
      <c r="J244" s="222">
        <f>IFERROR(__xludf.DUMMYFUNCTION("IMPORTRANGE(""https://docs.google.com/spreadsheets/d/1XL5vhW3sbDhbH9Cz0tuDiY8C3ctxq1tqvaCgkFb8cCA/edit?usp=sharing"",""บึงกาฬ!J164"")"),0.0)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IFERROR(__xludf.DUMMYFUNCTION("IMPORTRANGE(""https://docs.google.com/spreadsheets/d/1XL5vhW3sbDhbH9Cz0tuDiY8C3ctxq1tqvaCgkFb8cCA/edit?usp=sharing"",""บึงกาฬ!J165"")"),0.0)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IFERROR(__xludf.DUMMYFUNCTION("IMPORTRANGE(""https://docs.google.com/spreadsheets/d/1XL5vhW3sbDhbH9Cz0tuDiY8C3ctxq1tqvaCgkFb8cCA/edit?usp=sharing"",""บึงกาฬ!J166"")"),0.0)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IFERROR(__xludf.DUMMYFUNCTION("IMPORTRANGE(""https://docs.google.com/spreadsheets/d/1XL5vhW3sbDhbH9Cz0tuDiY8C3ctxq1tqvaCgkFb8cCA/edit?usp=sharing"",""บึงกาฬ!I169"")"),0.0)</f>
        <v>0</v>
      </c>
      <c r="J249" s="349">
        <f>IFERROR(__xludf.DUMMYFUNCTION("IMPORTRANGE(""https://docs.google.com/spreadsheets/d/1XL5vhW3sbDhbH9Cz0tuDiY8C3ctxq1tqvaCgkFb8cCA/edit?usp=sharing"",""บึงกาฬ!J169"")"),0.0)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IFERROR(__xludf.DUMMYFUNCTION("IMPORTRANGE(""https://docs.google.com/spreadsheets/d/1Yj_ptqi66GCucihVvJfMjLAmec39IyEx_6qawtMGysU/edit?usp=sharing"",""สบก!CB43"")"),0.0)</f>
        <v>0</v>
      </c>
      <c r="N254" s="202">
        <f>IFERROR(__xludf.DUMMYFUNCTION("IMPORTRANGE(""https://docs.google.com/spreadsheets/d/1Yj_ptqi66GCucihVvJfMjLAmec39IyEx_6qawtMGysU/edit?usp=sharing"",""สบก!CC43"")"),0.0)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IFERROR(__xludf.DUMMYFUNCTION("IMPORTRANGE(""https://docs.google.com/spreadsheets/d/1Yj_ptqi66GCucihVvJfMjLAmec39IyEx_6qawtMGysU/edit?usp=sharing"",""สบก!BX43"")"),0.0)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IFERROR(__xludf.DUMMYFUNCTION("IMPORTRANGE(""https://docs.google.com/spreadsheets/d/1Yj_ptqi66GCucihVvJfMjLAmec39IyEx_6qawtMGysU/edit?usp=sharing"",""สบก!BY43"")"),0.0)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IFERROR(__xludf.DUMMYFUNCTION("IMPORTRANGE(""https://docs.google.com/spreadsheets/d/1Yj_ptqi66GCucihVvJfMjLAmec39IyEx_6qawtMGysU/edit?usp=sharing"",""สบก!BZ43"")"),0.0)</f>
        <v>0</v>
      </c>
      <c r="M258" s="125"/>
      <c r="N258" s="115">
        <f>IFERROR(__xludf.DUMMYFUNCTION("IMPORTRANGE(""https://docs.google.com/spreadsheets/d/1Yj_ptqi66GCucihVvJfMjLAmec39IyEx_6qawtMGysU/edit?usp=sharing"",""สบก!CD43"")"),0.0)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IFERROR(__xludf.DUMMYFUNCTION("IMPORTRANGE(""https://docs.google.com/spreadsheets/d/1XL5vhW3sbDhbH9Cz0tuDiY8C3ctxq1tqvaCgkFb8cCA/edit?usp=sharing"",""บึงกาฬ!J175"")"),0.0)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IFERROR(__xludf.DUMMYFUNCTION("IMPORTRANGE(""https://docs.google.com/spreadsheets/d/1XL5vhW3sbDhbH9Cz0tuDiY8C3ctxq1tqvaCgkFb8cCA/edit?usp=sharing"",""บึงกาฬ!J176"")"),0.0)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IFERROR(__xludf.DUMMYFUNCTION("IMPORTRANGE(""https://docs.google.com/spreadsheets/d/1XL5vhW3sbDhbH9Cz0tuDiY8C3ctxq1tqvaCgkFb8cCA/edit?usp=sharing"",""บึงกาฬ!J177"")"),0.0)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IFERROR(__xludf.DUMMYFUNCTION("IMPORTRANGE(""https://docs.google.com/spreadsheets/d/1XL5vhW3sbDhbH9Cz0tuDiY8C3ctxq1tqvaCgkFb8cCA/edit?usp=sharing"",""บึงกาฬ!J178"")"),0.0)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IFERROR(__xludf.DUMMYFUNCTION("IMPORTRANGE(""https://docs.google.com/spreadsheets/d/1XL5vhW3sbDhbH9Cz0tuDiY8C3ctxq1tqvaCgkFb8cCA/edit?usp=sharing"",""บึงกาฬ!I179"")"),0.0)</f>
        <v>0</v>
      </c>
      <c r="J264" s="223">
        <f>IFERROR(__xludf.DUMMYFUNCTION("IMPORTRANGE(""https://docs.google.com/spreadsheets/d/1XL5vhW3sbDhbH9Cz0tuDiY8C3ctxq1tqvaCgkFb8cCA/edit?usp=sharing"",""บึงกาฬ!J179"")"),0.0)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IFERROR(__xludf.DUMMYFUNCTION("IMPORTRANGE(""https://docs.google.com/spreadsheets/d/1XL5vhW3sbDhbH9Cz0tuDiY8C3ctxq1tqvaCgkFb8cCA/edit?usp=sharing"",""บึงกาฬ!I180"")"),0.0)</f>
        <v>0</v>
      </c>
      <c r="J265" s="223">
        <f>IFERROR(__xludf.DUMMYFUNCTION("IMPORTRANGE(""https://docs.google.com/spreadsheets/d/1XL5vhW3sbDhbH9Cz0tuDiY8C3ctxq1tqvaCgkFb8cCA/edit?usp=sharing"",""บึงกาฬ!J180"")"),0.0)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IFERROR(__xludf.DUMMYFUNCTION("IMPORTRANGE(""https://docs.google.com/spreadsheets/d/1XL5vhW3sbDhbH9Cz0tuDiY8C3ctxq1tqvaCgkFb8cCA/edit?usp=sharing"",""บึงกาฬ!I181"")"),0.0)</f>
        <v>0</v>
      </c>
      <c r="J266" s="223">
        <f>IFERROR(__xludf.DUMMYFUNCTION("IMPORTRANGE(""https://docs.google.com/spreadsheets/d/1XL5vhW3sbDhbH9Cz0tuDiY8C3ctxq1tqvaCgkFb8cCA/edit?usp=sharing"",""บึงกาฬ!J181"")"),0.0)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IFERROR(__xludf.DUMMYFUNCTION("IMPORTRANGE(""https://docs.google.com/spreadsheets/d/1XL5vhW3sbDhbH9Cz0tuDiY8C3ctxq1tqvaCgkFb8cCA/edit?usp=sharing"",""บึงกาฬ!I182"")"),0.0)</f>
        <v>0</v>
      </c>
      <c r="J267" s="223">
        <f>IFERROR(__xludf.DUMMYFUNCTION("IMPORTRANGE(""https://docs.google.com/spreadsheets/d/1XL5vhW3sbDhbH9Cz0tuDiY8C3ctxq1tqvaCgkFb8cCA/edit?usp=sharing"",""บึงกาฬ!J182"")"),0.0)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IFERROR(__xludf.DUMMYFUNCTION("IMPORTRANGE(""https://docs.google.com/spreadsheets/d/1XL5vhW3sbDhbH9Cz0tuDiY8C3ctxq1tqvaCgkFb8cCA/edit?usp=sharing"",""บึงกาฬ!J183"")"),0.0)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IFERROR(__xludf.DUMMYFUNCTION("IMPORTRANGE(""https://docs.google.com/spreadsheets/d/1XL5vhW3sbDhbH9Cz0tuDiY8C3ctxq1tqvaCgkFb8cCA/edit?usp=sharing"",""บึงกาฬ!J184"")"),0.0)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IFERROR(__xludf.DUMMYFUNCTION("IMPORTRANGE(""https://docs.google.com/spreadsheets/d/1XL5vhW3sbDhbH9Cz0tuDiY8C3ctxq1tqvaCgkFb8cCA/edit?usp=sharing"",""บึงกาฬ!I185"")"),0.0)</f>
        <v>0</v>
      </c>
      <c r="J270" s="349">
        <f>IFERROR(__xludf.DUMMYFUNCTION("IMPORTRANGE(""https://docs.google.com/spreadsheets/d/1XL5vhW3sbDhbH9Cz0tuDiY8C3ctxq1tqvaCgkFb8cCA/edit?usp=sharing"",""บึงกาฬ!J185"")"),0.0)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0</v>
      </c>
      <c r="M271" s="183">
        <f t="shared" si="84"/>
        <v>0</v>
      </c>
      <c r="N271" s="183">
        <f t="shared" si="84"/>
        <v>0</v>
      </c>
      <c r="O271" s="182">
        <f t="shared" ref="O271:O273" si="86">IF(L271&gt;0,N271*100/L271,0)</f>
        <v>0</v>
      </c>
      <c r="P271" s="182">
        <f t="shared" ref="P271:P273" si="87">IF(M271&gt;0,N271*100/M271,0)</f>
        <v>0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0</v>
      </c>
      <c r="M273" s="188">
        <f t="shared" si="88"/>
        <v>0</v>
      </c>
      <c r="N273" s="188">
        <f t="shared" si="88"/>
        <v>0</v>
      </c>
      <c r="O273" s="187">
        <f t="shared" si="86"/>
        <v>0</v>
      </c>
      <c r="P273" s="187">
        <f t="shared" si="87"/>
        <v>0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0</v>
      </c>
      <c r="M275" s="201">
        <f>IFERROR(__xludf.DUMMYFUNCTION("IMPORTRANGE(""https://docs.google.com/spreadsheets/d/1Yj_ptqi66GCucihVvJfMjLAmec39IyEx_6qawtMGysU/edit?usp=sharing"",""สบก!CK43"")"),0.0)</f>
        <v>0</v>
      </c>
      <c r="N275" s="202">
        <f>IFERROR(__xludf.DUMMYFUNCTION("IMPORTRANGE(""https://docs.google.com/spreadsheets/d/1Yj_ptqi66GCucihVvJfMjLAmec39IyEx_6qawtMGysU/edit?usp=sharing"",""สบก!CL43"")"),0.0)</f>
        <v>0</v>
      </c>
      <c r="O275" s="203">
        <f>IF(L275&gt;0,N275*100/L275,0)</f>
        <v>0</v>
      </c>
      <c r="P275" s="203">
        <f>IF(M275&gt;0,N275*100/M275,0)</f>
        <v>0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IFERROR(__xludf.DUMMYFUNCTION("IMPORTRANGE(""https://docs.google.com/spreadsheets/d/1Yj_ptqi66GCucihVvJfMjLAmec39IyEx_6qawtMGysU/edit?usp=sharing"",""สบก!CG43"")"),0.0)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IFERROR(__xludf.DUMMYFUNCTION("IMPORTRANGE(""https://docs.google.com/spreadsheets/d/1Yj_ptqi66GCucihVvJfMjLAmec39IyEx_6qawtMGysU/edit?usp=sharing"",""สบก!CH43"")"),0.0)</f>
        <v>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IFERROR(__xludf.DUMMYFUNCTION("IMPORTRANGE(""https://docs.google.com/spreadsheets/d/1Yj_ptqi66GCucihVvJfMjLAmec39IyEx_6qawtMGysU/edit?usp=sharing"",""สบก!CI43"")"),0.0)</f>
        <v>0</v>
      </c>
      <c r="M279" s="125"/>
      <c r="N279" s="115">
        <f>IFERROR(__xludf.DUMMYFUNCTION("IMPORTRANGE(""https://docs.google.com/spreadsheets/d/1Yj_ptqi66GCucihVvJfMjLAmec39IyEx_6qawtMGysU/edit?usp=sharing"",""สบก!CM43"")"),0.0)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IFERROR(__xludf.DUMMYFUNCTION("IMPORTRANGE(""https://docs.google.com/spreadsheets/d/1XL5vhW3sbDhbH9Cz0tuDiY8C3ctxq1tqvaCgkFb8cCA/edit?usp=sharing"",""บึงกาฬ!J191"")"),0.0)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IFERROR(__xludf.DUMMYFUNCTION("IMPORTRANGE(""https://docs.google.com/spreadsheets/d/1XL5vhW3sbDhbH9Cz0tuDiY8C3ctxq1tqvaCgkFb8cCA/edit?usp=sharing"",""บึงกาฬ!J192"")"),0.0)</f>
        <v>0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IFERROR(__xludf.DUMMYFUNCTION("IMPORTRANGE(""https://docs.google.com/spreadsheets/d/1XL5vhW3sbDhbH9Cz0tuDiY8C3ctxq1tqvaCgkFb8cCA/edit?usp=sharing"",""บึงกาฬ!J193"")"),0.0)</f>
        <v>0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IFERROR(__xludf.DUMMYFUNCTION("IMPORTRANGE(""https://docs.google.com/spreadsheets/d/1XL5vhW3sbDhbH9Cz0tuDiY8C3ctxq1tqvaCgkFb8cCA/edit?usp=sharing"",""บึงกาฬ!J194"")"),0.0)</f>
        <v>0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IFERROR(__xludf.DUMMYFUNCTION("IMPORTRANGE(""https://docs.google.com/spreadsheets/d/1XL5vhW3sbDhbH9Cz0tuDiY8C3ctxq1tqvaCgkFb8cCA/edit?usp=sharing"",""บึงกาฬ!I195"")"),0.0)</f>
        <v>0</v>
      </c>
      <c r="J285" s="223">
        <f>IFERROR(__xludf.DUMMYFUNCTION("IMPORTRANGE(""https://docs.google.com/spreadsheets/d/1XL5vhW3sbDhbH9Cz0tuDiY8C3ctxq1tqvaCgkFb8cCA/edit?usp=sharing"",""บึงกาฬ!J195"")"),0.0)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IFERROR(__xludf.DUMMYFUNCTION("IMPORTRANGE(""https://docs.google.com/spreadsheets/d/1XL5vhW3sbDhbH9Cz0tuDiY8C3ctxq1tqvaCgkFb8cCA/edit?usp=sharing"",""บึงกาฬ!J196"")"),0.0)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IFERROR(__xludf.DUMMYFUNCTION("IMPORTRANGE(""https://docs.google.com/spreadsheets/d/1XL5vhW3sbDhbH9Cz0tuDiY8C3ctxq1tqvaCgkFb8cCA/edit?usp=sharing"",""บึงกาฬ!J197"")"),0.0)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IFERROR(__xludf.DUMMYFUNCTION("IMPORTRANGE(""https://docs.google.com/spreadsheets/d/1XL5vhW3sbDhbH9Cz0tuDiY8C3ctxq1tqvaCgkFb8cCA/edit?usp=sharing"",""บึงกาฬ!I199"")"),0.0)</f>
        <v>0</v>
      </c>
      <c r="J289" s="349">
        <f>IFERROR(__xludf.DUMMYFUNCTION("IMPORTRANGE(""https://docs.google.com/spreadsheets/d/1XL5vhW3sbDhbH9Cz0tuDiY8C3ctxq1tqvaCgkFb8cCA/edit?usp=sharing"",""บึงกาฬ!J199"")"),0.0)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IFERROR(__xludf.DUMMYFUNCTION("IMPORTRANGE(""https://docs.google.com/spreadsheets/d/1Yj_ptqi66GCucihVvJfMjLAmec39IyEx_6qawtMGysU/edit?usp=sharing"",""สบก!CT43"")"),0.0)</f>
        <v>0</v>
      </c>
      <c r="N294" s="202">
        <f>IFERROR(__xludf.DUMMYFUNCTION("IMPORTRANGE(""https://docs.google.com/spreadsheets/d/1Yj_ptqi66GCucihVvJfMjLAmec39IyEx_6qawtMGysU/edit?usp=sharing"",""สบก!CU43"")"),0.0)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IFERROR(__xludf.DUMMYFUNCTION("IMPORTRANGE(""https://docs.google.com/spreadsheets/d/1Yj_ptqi66GCucihVvJfMjLAmec39IyEx_6qawtMGysU/edit?usp=sharing"",""สบก!CP43"")"),0.0)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IFERROR(__xludf.DUMMYFUNCTION("IMPORTRANGE(""https://docs.google.com/spreadsheets/d/1Yj_ptqi66GCucihVvJfMjLAmec39IyEx_6qawtMGysU/edit?usp=sharing"",""สบก!CQ43"")"),0.0)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IFERROR(__xludf.DUMMYFUNCTION("IMPORTRANGE(""https://docs.google.com/spreadsheets/d/1Yj_ptqi66GCucihVvJfMjLAmec39IyEx_6qawtMGysU/edit?usp=sharing"",""สบก!CR43"")"),0.0)</f>
        <v>0</v>
      </c>
      <c r="M298" s="125"/>
      <c r="N298" s="115">
        <f>IFERROR(__xludf.DUMMYFUNCTION("IMPORTRANGE(""https://docs.google.com/spreadsheets/d/1Yj_ptqi66GCucihVvJfMjLAmec39IyEx_6qawtMGysU/edit?usp=sharing"",""สบก!CV43"")"),0.0)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IFERROR(__xludf.DUMMYFUNCTION("IMPORTRANGE(""https://docs.google.com/spreadsheets/d/1XL5vhW3sbDhbH9Cz0tuDiY8C3ctxq1tqvaCgkFb8cCA/edit?usp=sharing"",""บึงกาฬ!J205"")"),0.0)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IFERROR(__xludf.DUMMYFUNCTION("IMPORTRANGE(""https://docs.google.com/spreadsheets/d/1XL5vhW3sbDhbH9Cz0tuDiY8C3ctxq1tqvaCgkFb8cCA/edit?usp=sharing"",""บึงกาฬ!J206"")"),0.0)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IFERROR(__xludf.DUMMYFUNCTION("IMPORTRANGE(""https://docs.google.com/spreadsheets/d/1XL5vhW3sbDhbH9Cz0tuDiY8C3ctxq1tqvaCgkFb8cCA/edit?usp=sharing"",""บึงกาฬ!J207"")"),0.0)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IFERROR(__xludf.DUMMYFUNCTION("IMPORTRANGE(""https://docs.google.com/spreadsheets/d/1XL5vhW3sbDhbH9Cz0tuDiY8C3ctxq1tqvaCgkFb8cCA/edit?usp=sharing"",""บึงกาฬ!J208"")"),0.0)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IFERROR(__xludf.DUMMYFUNCTION("IMPORTRANGE(""https://docs.google.com/spreadsheets/d/1XL5vhW3sbDhbH9Cz0tuDiY8C3ctxq1tqvaCgkFb8cCA/edit?usp=sharing"",""บึงกาฬ!I209"")"),0.0)</f>
        <v>0</v>
      </c>
      <c r="J304" s="238">
        <f>IFERROR(__xludf.DUMMYFUNCTION("IMPORTRANGE(""https://docs.google.com/spreadsheets/d/1XL5vhW3sbDhbH9Cz0tuDiY8C3ctxq1tqvaCgkFb8cCA/edit?usp=sharing"",""บึงกาฬ!J209"")"),0.0)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IFERROR(__xludf.DUMMYFUNCTION("IMPORTRANGE(""https://docs.google.com/spreadsheets/d/1XL5vhW3sbDhbH9Cz0tuDiY8C3ctxq1tqvaCgkFb8cCA/edit?usp=sharing"",""บึงกาฬ!I211"")"),0.0)</f>
        <v>0</v>
      </c>
      <c r="J306" s="238">
        <f>IFERROR(__xludf.DUMMYFUNCTION("IMPORTRANGE(""https://docs.google.com/spreadsheets/d/1XL5vhW3sbDhbH9Cz0tuDiY8C3ctxq1tqvaCgkFb8cCA/edit?usp=sharing"",""บึงกาฬ!J211"")"),0.0)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IFERROR(__xludf.DUMMYFUNCTION("IMPORTRANGE(""https://docs.google.com/spreadsheets/d/1XL5vhW3sbDhbH9Cz0tuDiY8C3ctxq1tqvaCgkFb8cCA/edit?usp=sharing"",""บึงกาฬ!J212"")"),0.0)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IFERROR(__xludf.DUMMYFUNCTION("IMPORTRANGE(""https://docs.google.com/spreadsheets/d/1XL5vhW3sbDhbH9Cz0tuDiY8C3ctxq1tqvaCgkFb8cCA/edit?usp=sharing"",""บึงกาฬ!J213"")"),0.0)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IFERROR(__xludf.DUMMYFUNCTION("IMPORTRANGE(""https://docs.google.com/spreadsheets/d/1XL5vhW3sbDhbH9Cz0tuDiY8C3ctxq1tqvaCgkFb8cCA/edit?usp=sharing"",""บึงกาฬ!I214"")"),0.0)</f>
        <v>0</v>
      </c>
      <c r="J309" s="366">
        <f>IFERROR(__xludf.DUMMYFUNCTION("IMPORTRANGE(""https://docs.google.com/spreadsheets/d/1XL5vhW3sbDhbH9Cz0tuDiY8C3ctxq1tqvaCgkFb8cCA/edit?usp=sharing"",""บึงกาฬ!J214"")"),0.0)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IFERROR(__xludf.DUMMYFUNCTION("IMPORTRANGE(""https://docs.google.com/spreadsheets/d/1Yj_ptqi66GCucihVvJfMjLAmec39IyEx_6qawtMGysU/edit?usp=sharing"",""สบก!DC43"")"),0.0)</f>
        <v>0</v>
      </c>
      <c r="N314" s="202">
        <f>IFERROR(__xludf.DUMMYFUNCTION("IMPORTRANGE(""https://docs.google.com/spreadsheets/d/1Yj_ptqi66GCucihVvJfMjLAmec39IyEx_6qawtMGysU/edit?usp=sharing"",""สบก!DD43"")"),0.0)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IFERROR(__xludf.DUMMYFUNCTION("IMPORTRANGE(""https://docs.google.com/spreadsheets/d/1Yj_ptqi66GCucihVvJfMjLAmec39IyEx_6qawtMGysU/edit?usp=sharing"",""สบก!CY43"")"),0.0)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IFERROR(__xludf.DUMMYFUNCTION("IMPORTRANGE(""https://docs.google.com/spreadsheets/d/1Yj_ptqi66GCucihVvJfMjLAmec39IyEx_6qawtMGysU/edit?usp=sharing"",""สบก!CZ43"")"),0.0)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IFERROR(__xludf.DUMMYFUNCTION("IMPORTRANGE(""https://docs.google.com/spreadsheets/d/1Yj_ptqi66GCucihVvJfMjLAmec39IyEx_6qawtMGysU/edit?usp=sharing"",""สบก!DA43"")"),0.0)</f>
        <v>0</v>
      </c>
      <c r="M318" s="125"/>
      <c r="N318" s="115">
        <f>IFERROR(__xludf.DUMMYFUNCTION("IMPORTRANGE(""https://docs.google.com/spreadsheets/d/1Yj_ptqi66GCucihVvJfMjLAmec39IyEx_6qawtMGysU/edit?usp=sharing"",""สบก!DE43"")"),0.0)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IFERROR(__xludf.DUMMYFUNCTION("IMPORTRANGE(""https://docs.google.com/spreadsheets/d/1XL5vhW3sbDhbH9Cz0tuDiY8C3ctxq1tqvaCgkFb8cCA/edit?usp=sharing"",""บึงกาฬ!J220"")"),0.0)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IFERROR(__xludf.DUMMYFUNCTION("IMPORTRANGE(""https://docs.google.com/spreadsheets/d/1XL5vhW3sbDhbH9Cz0tuDiY8C3ctxq1tqvaCgkFb8cCA/edit?usp=sharing"",""บึงกาฬ!J221"")"),0.0)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IFERROR(__xludf.DUMMYFUNCTION("IMPORTRANGE(""https://docs.google.com/spreadsheets/d/1XL5vhW3sbDhbH9Cz0tuDiY8C3ctxq1tqvaCgkFb8cCA/edit?usp=sharing"",""บึงกาฬ!J222"")"),0.0)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IFERROR(__xludf.DUMMYFUNCTION("IMPORTRANGE(""https://docs.google.com/spreadsheets/d/1XL5vhW3sbDhbH9Cz0tuDiY8C3ctxq1tqvaCgkFb8cCA/edit?usp=sharing"",""บึงกาฬ!J223"")"),0.0)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IFERROR(__xludf.DUMMYFUNCTION("IMPORTRANGE(""https://docs.google.com/spreadsheets/d/1XL5vhW3sbDhbH9Cz0tuDiY8C3ctxq1tqvaCgkFb8cCA/edit?usp=sharing"",""บึงกาฬ!I224"")"),0.0)</f>
        <v>0</v>
      </c>
      <c r="J324" s="238">
        <f>IFERROR(__xludf.DUMMYFUNCTION("IMPORTRANGE(""https://docs.google.com/spreadsheets/d/1XL5vhW3sbDhbH9Cz0tuDiY8C3ctxq1tqvaCgkFb8cCA/edit?usp=sharing"",""บึงกาฬ!J224"")"),0.0)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IFERROR(__xludf.DUMMYFUNCTION("IMPORTRANGE(""https://docs.google.com/spreadsheets/d/1XL5vhW3sbDhbH9Cz0tuDiY8C3ctxq1tqvaCgkFb8cCA/edit?usp=sharing"",""บึงกาฬ!J225"")"),0.0)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IFERROR(__xludf.DUMMYFUNCTION("IMPORTRANGE(""https://docs.google.com/spreadsheets/d/1XL5vhW3sbDhbH9Cz0tuDiY8C3ctxq1tqvaCgkFb8cCA/edit?usp=sharing"",""บึงกาฬ!J226"")"),0.0)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IFERROR(__xludf.DUMMYFUNCTION("IMPORTRANGE(""https://docs.google.com/spreadsheets/d/1XL5vhW3sbDhbH9Cz0tuDiY8C3ctxq1tqvaCgkFb8cCA/edit?usp=sharing"",""บึงกาฬ!I228"")"),640.0)</f>
        <v>640</v>
      </c>
      <c r="J328" s="372">
        <f>IFERROR(__xludf.DUMMYFUNCTION("IMPORTRANGE(""https://docs.google.com/spreadsheets/d/1XL5vhW3sbDhbH9Cz0tuDiY8C3ctxq1tqvaCgkFb8cCA/edit?usp=sharing"",""บึงกาฬ!J228"")"),13.0)</f>
        <v>13</v>
      </c>
      <c r="K328" s="350">
        <f>IF(I328&gt;0,J328*100/I328,0)</f>
        <v>2.03125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1501900</v>
      </c>
      <c r="M329" s="183">
        <f t="shared" si="99"/>
        <v>801400</v>
      </c>
      <c r="N329" s="183">
        <f t="shared" si="99"/>
        <v>601139</v>
      </c>
      <c r="O329" s="182">
        <f t="shared" ref="O329:O331" si="101">IF(L329&gt;0,N329*100/L329,0)</f>
        <v>40.0252347</v>
      </c>
      <c r="P329" s="182">
        <f t="shared" ref="P329:P331" si="102">IF(M329&gt;0,N329*100/M329,0)</f>
        <v>75.01110557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1501900</v>
      </c>
      <c r="M331" s="188">
        <f t="shared" si="103"/>
        <v>801400</v>
      </c>
      <c r="N331" s="188">
        <f t="shared" si="103"/>
        <v>601139</v>
      </c>
      <c r="O331" s="187">
        <f t="shared" si="101"/>
        <v>40.0252347</v>
      </c>
      <c r="P331" s="187">
        <f t="shared" si="102"/>
        <v>75.01110557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1409300</v>
      </c>
      <c r="M333" s="201">
        <f>IFERROR(__xludf.DUMMYFUNCTION("IMPORTRANGE(""https://docs.google.com/spreadsheets/d/1Yj_ptqi66GCucihVvJfMjLAmec39IyEx_6qawtMGysU/edit?usp=sharing"",""สบก!DL43"")"),801400.0)</f>
        <v>801400</v>
      </c>
      <c r="N333" s="202">
        <f>IFERROR(__xludf.DUMMYFUNCTION("IMPORTRANGE(""https://docs.google.com/spreadsheets/d/1Yj_ptqi66GCucihVvJfMjLAmec39IyEx_6qawtMGysU/edit?usp=sharing"",""สบก!DM43"")"),509039.0)</f>
        <v>509039</v>
      </c>
      <c r="O333" s="203">
        <f>IF(L333&gt;0,N333*100/L333,0)</f>
        <v>36.11998865</v>
      </c>
      <c r="P333" s="203">
        <f>IF(M333&gt;0,N333*100/M333,0)</f>
        <v>63.51871724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IFERROR(__xludf.DUMMYFUNCTION("IMPORTRANGE(""https://docs.google.com/spreadsheets/d/1Yj_ptqi66GCucihVvJfMjLAmec39IyEx_6qawtMGysU/edit?usp=sharing"",""สบก!DH43"")"),510300.0)</f>
        <v>510300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IFERROR(__xludf.DUMMYFUNCTION("IMPORTRANGE(""https://docs.google.com/spreadsheets/d/1Yj_ptqi66GCucihVvJfMjLAmec39IyEx_6qawtMGysU/edit?usp=sharing"",""สบก!DI43"")"),899000.0)</f>
        <v>899000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IFERROR(__xludf.DUMMYFUNCTION("IMPORTRANGE(""https://docs.google.com/spreadsheets/d/1Yj_ptqi66GCucihVvJfMjLAmec39IyEx_6qawtMGysU/edit?usp=sharing"",""สบก!DJ43"")"),92600.0)</f>
        <v>92600</v>
      </c>
      <c r="M337" s="125"/>
      <c r="N337" s="115">
        <f>IFERROR(__xludf.DUMMYFUNCTION("IMPORTRANGE(""https://docs.google.com/spreadsheets/d/1Yj_ptqi66GCucihVvJfMjLAmec39IyEx_6qawtMGysU/edit?usp=sharing"",""สบก!DN43"")"),92100.0)</f>
        <v>92100</v>
      </c>
      <c r="O337" s="125">
        <f>IF(L337&gt;0,N337*100/L337,0)</f>
        <v>99.4600432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IFERROR(__xludf.DUMMYFUNCTION("IMPORTRANGE(""https://docs.google.com/spreadsheets/d/1XL5vhW3sbDhbH9Cz0tuDiY8C3ctxq1tqvaCgkFb8cCA/edit?usp=sharing"",""บึงกาฬ!I234"")"),0.0)</f>
        <v>0</v>
      </c>
      <c r="J339" s="222">
        <f>IFERROR(__xludf.DUMMYFUNCTION("IMPORTRANGE(""https://docs.google.com/spreadsheets/d/1XL5vhW3sbDhbH9Cz0tuDiY8C3ctxq1tqvaCgkFb8cCA/edit?usp=sharing"",""บึงกาฬ!J234"")"),260.0)</f>
        <v>260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IFERROR(__xludf.DUMMYFUNCTION("IMPORTRANGE(""https://docs.google.com/spreadsheets/d/1XL5vhW3sbDhbH9Cz0tuDiY8C3ctxq1tqvaCgkFb8cCA/edit?usp=sharing"",""บึงกาฬ!I235"")"),6000.0)</f>
        <v>6000</v>
      </c>
      <c r="J340" s="222">
        <f>IFERROR(__xludf.DUMMYFUNCTION("IMPORTRANGE(""https://docs.google.com/spreadsheets/d/1XL5vhW3sbDhbH9Cz0tuDiY8C3ctxq1tqvaCgkFb8cCA/edit?usp=sharing"",""บึงกาฬ!J235"")"),3103.0699999999997)</f>
        <v>3103.07</v>
      </c>
      <c r="K340" s="375">
        <f t="shared" si="104"/>
        <v>51.71783333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IFERROR(__xludf.DUMMYFUNCTION("IMPORTRANGE(""https://docs.google.com/spreadsheets/d/1XL5vhW3sbDhbH9Cz0tuDiY8C3ctxq1tqvaCgkFb8cCA/edit?usp=sharing"",""บึงกาฬ!I236"")"),640.0)</f>
        <v>640</v>
      </c>
      <c r="J341" s="222">
        <f>IFERROR(__xludf.DUMMYFUNCTION("IMPORTRANGE(""https://docs.google.com/spreadsheets/d/1XL5vhW3sbDhbH9Cz0tuDiY8C3ctxq1tqvaCgkFb8cCA/edit?usp=sharing"",""บึงกาฬ!J236"")"),123.0)</f>
        <v>123</v>
      </c>
      <c r="K341" s="375">
        <f t="shared" si="104"/>
        <v>19.21875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IFERROR(__xludf.DUMMYFUNCTION("IMPORTRANGE(""https://docs.google.com/spreadsheets/d/1XL5vhW3sbDhbH9Cz0tuDiY8C3ctxq1tqvaCgkFb8cCA/edit?usp=sharing"",""บึงกาฬ!I237"")"),0.0)</f>
        <v>0</v>
      </c>
      <c r="J342" s="222">
        <f>IFERROR(__xludf.DUMMYFUNCTION("IMPORTRANGE(""https://docs.google.com/spreadsheets/d/1XL5vhW3sbDhbH9Cz0tuDiY8C3ctxq1tqvaCgkFb8cCA/edit?usp=sharing"",""บึงกาฬ!J237"")"),1520.99)</f>
        <v>1520.99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IFERROR(__xludf.DUMMYFUNCTION("IMPORTRANGE(""https://docs.google.com/spreadsheets/d/1XL5vhW3sbDhbH9Cz0tuDiY8C3ctxq1tqvaCgkFb8cCA/edit?usp=sharing"",""บึงกาฬ!I238"")"),640.0)</f>
        <v>640</v>
      </c>
      <c r="J343" s="222">
        <f>IFERROR(__xludf.DUMMYFUNCTION("IMPORTRANGE(""https://docs.google.com/spreadsheets/d/1XL5vhW3sbDhbH9Cz0tuDiY8C3ctxq1tqvaCgkFb8cCA/edit?usp=sharing"",""บึงกาฬ!J238"")"),0.0)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IFERROR(__xludf.DUMMYFUNCTION("IMPORTRANGE(""https://docs.google.com/spreadsheets/d/1XL5vhW3sbDhbH9Cz0tuDiY8C3ctxq1tqvaCgkFb8cCA/edit?usp=sharing"",""บึงกาฬ!I239"")"),0.0)</f>
        <v>0</v>
      </c>
      <c r="J344" s="222">
        <f>IFERROR(__xludf.DUMMYFUNCTION("IMPORTRANGE(""https://docs.google.com/spreadsheets/d/1XL5vhW3sbDhbH9Cz0tuDiY8C3ctxq1tqvaCgkFb8cCA/edit?usp=sharing"",""บึงกาฬ!J239"")"),0.0)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IFERROR(__xludf.DUMMYFUNCTION("IMPORTRANGE(""https://docs.google.com/spreadsheets/d/1XL5vhW3sbDhbH9Cz0tuDiY8C3ctxq1tqvaCgkFb8cCA/edit?usp=sharing"",""บึงกาฬ!I240"")"),640.0)</f>
        <v>640</v>
      </c>
      <c r="J345" s="222">
        <f>IFERROR(__xludf.DUMMYFUNCTION("IMPORTRANGE(""https://docs.google.com/spreadsheets/d/1XL5vhW3sbDhbH9Cz0tuDiY8C3ctxq1tqvaCgkFb8cCA/edit?usp=sharing"",""บึงกาฬ!J240"")"),13.0)</f>
        <v>13</v>
      </c>
      <c r="K345" s="375">
        <f t="shared" si="104"/>
        <v>2.03125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IFERROR(__xludf.DUMMYFUNCTION("IMPORTRANGE(""https://docs.google.com/spreadsheets/d/1XL5vhW3sbDhbH9Cz0tuDiY8C3ctxq1tqvaCgkFb8cCA/edit?usp=sharing"",""บึงกาฬ!I241"")"),0.0)</f>
        <v>0</v>
      </c>
      <c r="J346" s="222">
        <f>IFERROR(__xludf.DUMMYFUNCTION("IMPORTRANGE(""https://docs.google.com/spreadsheets/d/1XL5vhW3sbDhbH9Cz0tuDiY8C3ctxq1tqvaCgkFb8cCA/edit?usp=sharing"",""บึงกาฬ!J241"")"),237.24)</f>
        <v>237.24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IFERROR(__xludf.DUMMYFUNCTION("IMPORTRANGE(""https://docs.google.com/spreadsheets/d/1XL5vhW3sbDhbH9Cz0tuDiY8C3ctxq1tqvaCgkFb8cCA/edit?usp=sharing"",""บึงกาฬ!L242"")"),2783445.0)</f>
        <v>2783445</v>
      </c>
      <c r="M347" s="391"/>
      <c r="N347" s="391">
        <f>IFERROR(__xludf.DUMMYFUNCTION("IMPORTRANGE(""https://docs.google.com/spreadsheets/d/1XL5vhW3sbDhbH9Cz0tuDiY8C3ctxq1tqvaCgkFb8cCA/edit?usp=sharing"",""บึงกาฬ!M242"")"),275816.0)</f>
        <v>275816</v>
      </c>
      <c r="O347" s="391">
        <f>+IF(L347&gt;0,N347*100/L347,0)</f>
        <v>9.909159333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IFERROR(__xludf.DUMMYFUNCTION("IMPORTRANGE(""https://docs.google.com/spreadsheets/d/1XL5vhW3sbDhbH9Cz0tuDiY8C3ctxq1tqvaCgkFb8cCA/edit?usp=sharing"",""บึงกาฬ!I244"")"),150.0)</f>
        <v>150</v>
      </c>
      <c r="J349" s="404">
        <f>IFERROR(__xludf.DUMMYFUNCTION("IMPORTRANGE(""https://docs.google.com/spreadsheets/d/1XL5vhW3sbDhbH9Cz0tuDiY8C3ctxq1tqvaCgkFb8cCA/edit?usp=sharing"",""บึงกาฬ!J244"")"),0.0)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IFERROR(__xludf.DUMMYFUNCTION("IMPORTRANGE(""https://docs.google.com/spreadsheets/d/1XL5vhW3sbDhbH9Cz0tuDiY8C3ctxq1tqvaCgkFb8cCA/edit?usp=sharing"",""บึงกาฬ!L244"")"),452180.0)</f>
        <v>452180</v>
      </c>
      <c r="M349" s="406"/>
      <c r="N349" s="406">
        <f>IFERROR(__xludf.DUMMYFUNCTION("IMPORTRANGE(""https://docs.google.com/spreadsheets/d/1XL5vhW3sbDhbH9Cz0tuDiY8C3ctxq1tqvaCgkFb8cCA/edit?usp=sharing"",""บึงกาฬ!M244"")"),60219.0)</f>
        <v>60219</v>
      </c>
      <c r="O349" s="406">
        <f>+IF(L349&gt;0,N349*100/L349,0)</f>
        <v>13.31748419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IFERROR(__xludf.DUMMYFUNCTION("IMPORTRANGE(""https://docs.google.com/spreadsheets/d/1XL5vhW3sbDhbH9Cz0tuDiY8C3ctxq1tqvaCgkFb8cCA/edit?usp=sharing"",""บึงกาฬ!I245"")"),90.0)</f>
        <v>90</v>
      </c>
      <c r="J350" s="404">
        <f>IFERROR(__xludf.DUMMYFUNCTION("IMPORTRANGE(""https://docs.google.com/spreadsheets/d/1XL5vhW3sbDhbH9Cz0tuDiY8C3ctxq1tqvaCgkFb8cCA/edit?usp=sharing"",""บึงกาฬ!J245"")"),0.0)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IFERROR(__xludf.DUMMYFUNCTION("IMPORTRANGE(""https://docs.google.com/spreadsheets/d/1XL5vhW3sbDhbH9Cz0tuDiY8C3ctxq1tqvaCgkFb8cCA/edit?usp=sharing"",""บึงกาฬ!L246"")"),0.0)</f>
        <v>0</v>
      </c>
      <c r="M351" s="197"/>
      <c r="N351" s="197">
        <f>IFERROR(__xludf.DUMMYFUNCTION("IMPORTRANGE(""https://docs.google.com/spreadsheets/d/1XL5vhW3sbDhbH9Cz0tuDiY8C3ctxq1tqvaCgkFb8cCA/edit?usp=sharing"",""บึงกาฬ!M246"")"),0.0)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IFERROR(__xludf.DUMMYFUNCTION("IMPORTRANGE(""https://docs.google.com/spreadsheets/d/1XL5vhW3sbDhbH9Cz0tuDiY8C3ctxq1tqvaCgkFb8cCA/edit?usp=sharing"",""บึงกาฬ!L247"")"),452180.0)</f>
        <v>452180</v>
      </c>
      <c r="M352" s="198"/>
      <c r="N352" s="197">
        <f>IFERROR(__xludf.DUMMYFUNCTION("IMPORTRANGE(""https://docs.google.com/spreadsheets/d/1XL5vhW3sbDhbH9Cz0tuDiY8C3ctxq1tqvaCgkFb8cCA/edit?usp=sharing"",""บึงกาฬ!M247"")"),60219.0)</f>
        <v>60219</v>
      </c>
      <c r="O352" s="198">
        <f t="shared" si="106"/>
        <v>13.31748419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IFERROR(__xludf.DUMMYFUNCTION("IMPORTRANGE(""https://docs.google.com/spreadsheets/d/1XL5vhW3sbDhbH9Cz0tuDiY8C3ctxq1tqvaCgkFb8cCA/edit?usp=sharing"",""บึงกาฬ!L248"")"),0.0)</f>
        <v>0</v>
      </c>
      <c r="M353" s="203"/>
      <c r="N353" s="203">
        <f>IFERROR(__xludf.DUMMYFUNCTION("IMPORTRANGE(""https://docs.google.com/spreadsheets/d/1XL5vhW3sbDhbH9Cz0tuDiY8C3ctxq1tqvaCgkFb8cCA/edit?usp=sharing"",""บึงกาฬ!M248"")"),0.0)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IFERROR(__xludf.DUMMYFUNCTION("IMPORTRANGE(""https://docs.google.com/spreadsheets/d/1XL5vhW3sbDhbH9Cz0tuDiY8C3ctxq1tqvaCgkFb8cCA/edit?usp=sharing"",""บึงกาฬ!L249"")"),452180.0)</f>
        <v>452180</v>
      </c>
      <c r="M354" s="203"/>
      <c r="N354" s="200">
        <f>IFERROR(__xludf.DUMMYFUNCTION("IMPORTRANGE(""https://docs.google.com/spreadsheets/d/1XL5vhW3sbDhbH9Cz0tuDiY8C3ctxq1tqvaCgkFb8cCA/edit?usp=sharing"",""บึงกาฬ!M249"")"),60219.0)</f>
        <v>60219</v>
      </c>
      <c r="O354" s="203">
        <f t="shared" si="106"/>
        <v>13.31748419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IFERROR(__xludf.DUMMYFUNCTION("IMPORTRANGE(""https://docs.google.com/spreadsheets/d/1XL5vhW3sbDhbH9Cz0tuDiY8C3ctxq1tqvaCgkFb8cCA/edit?usp=sharing"",""บึงกาฬ!M250"")"),18610.0)</f>
        <v>18610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IFERROR(__xludf.DUMMYFUNCTION("IMPORTRANGE(""https://docs.google.com/spreadsheets/d/1XL5vhW3sbDhbH9Cz0tuDiY8C3ctxq1tqvaCgkFb8cCA/edit?usp=sharing"",""บึงกาฬ!M251"")"),0.0)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IFERROR(__xludf.DUMMYFUNCTION("IMPORTRANGE(""https://docs.google.com/spreadsheets/d/1XL5vhW3sbDhbH9Cz0tuDiY8C3ctxq1tqvaCgkFb8cCA/edit?usp=sharing"",""บึงกาฬ!M252"")"),23200.0)</f>
        <v>23200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IFERROR(__xludf.DUMMYFUNCTION("IMPORTRANGE(""https://docs.google.com/spreadsheets/d/1XL5vhW3sbDhbH9Cz0tuDiY8C3ctxq1tqvaCgkFb8cCA/edit?usp=sharing"",""บึงกาฬ!M253"")"),18409.0)</f>
        <v>18409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IFERROR(__xludf.DUMMYFUNCTION("IMPORTRANGE(""https://docs.google.com/spreadsheets/d/1XL5vhW3sbDhbH9Cz0tuDiY8C3ctxq1tqvaCgkFb8cCA/edit?usp=sharing"",""บึงกาฬ!J255"")"),0.0)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IFERROR(__xludf.DUMMYFUNCTION("IMPORTRANGE(""https://docs.google.com/spreadsheets/d/1XL5vhW3sbDhbH9Cz0tuDiY8C3ctxq1tqvaCgkFb8cCA/edit?usp=sharing"",""บึงกาฬ!J256"")"),1.0)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IFERROR(__xludf.DUMMYFUNCTION("IMPORTRANGE(""https://docs.google.com/spreadsheets/d/1XL5vhW3sbDhbH9Cz0tuDiY8C3ctxq1tqvaCgkFb8cCA/edit?usp=sharing"",""บึงกาฬ!J257"")"),1.0)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IFERROR(__xludf.DUMMYFUNCTION("IMPORTRANGE(""https://docs.google.com/spreadsheets/d/1XL5vhW3sbDhbH9Cz0tuDiY8C3ctxq1tqvaCgkFb8cCA/edit?usp=sharing"",""บึงกาฬ!J258"")"),1.0)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IFERROR(__xludf.DUMMYFUNCTION("IMPORTRANGE(""https://docs.google.com/spreadsheets/d/1XL5vhW3sbDhbH9Cz0tuDiY8C3ctxq1tqvaCgkFb8cCA/edit?usp=sharing"",""บึงกาฬ!J166"")"),0.0)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IFERROR(__xludf.DUMMYFUNCTION("IMPORTRANGE(""https://docs.google.com/spreadsheets/d/1XL5vhW3sbDhbH9Cz0tuDiY8C3ctxq1tqvaCgkFb8cCA/edit?usp=sharing"",""บึงกาฬ!J166"")"),0.0)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IFERROR(__xludf.DUMMYFUNCTION("IMPORTRANGE(""https://docs.google.com/spreadsheets/d/1XL5vhW3sbDhbH9Cz0tuDiY8C3ctxq1tqvaCgkFb8cCA/edit?usp=sharing"",""บึงกาฬ!J166"")"),0.0)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IFERROR(__xludf.DUMMYFUNCTION("IMPORTRANGE(""https://docs.google.com/spreadsheets/d/1XL5vhW3sbDhbH9Cz0tuDiY8C3ctxq1tqvaCgkFb8cCA/edit?usp=sharing"",""บึงกาฬ!J166"")"),0.0)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IFERROR(__xludf.DUMMYFUNCTION("IMPORTRANGE(""https://docs.google.com/spreadsheets/d/1XL5vhW3sbDhbH9Cz0tuDiY8C3ctxq1tqvaCgkFb8cCA/edit?usp=sharing"",""บึงกาฬ!I263"")"),90.0)</f>
        <v>90</v>
      </c>
      <c r="J368" s="222">
        <f>IFERROR(__xludf.DUMMYFUNCTION("IMPORTRANGE(""https://docs.google.com/spreadsheets/d/1XL5vhW3sbDhbH9Cz0tuDiY8C3ctxq1tqvaCgkFb8cCA/edit?usp=sharing"",""บึงกาฬ!J263"")"),0.0)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IFERROR(__xludf.DUMMYFUNCTION("IMPORTRANGE(""https://docs.google.com/spreadsheets/d/1XL5vhW3sbDhbH9Cz0tuDiY8C3ctxq1tqvaCgkFb8cCA/edit?usp=sharing"",""บึงกาฬ!I164"")"),0.0)</f>
        <v>0</v>
      </c>
      <c r="J369" s="238">
        <f>IFERROR(__xludf.DUMMYFUNCTION("IMPORTRANGE(""https://docs.google.com/spreadsheets/d/1XL5vhW3sbDhbH9Cz0tuDiY8C3ctxq1tqvaCgkFb8cCA/edit?usp=sharing"",""บึงกาฬ!J164"")"),0.0)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IFERROR(__xludf.DUMMYFUNCTION("IMPORTRANGE(""https://docs.google.com/spreadsheets/d/1XL5vhW3sbDhbH9Cz0tuDiY8C3ctxq1tqvaCgkFb8cCA/edit?usp=sharing"",""บึงกาฬ!I265"")"),90.0)</f>
        <v>90</v>
      </c>
      <c r="J370" s="238">
        <f>IFERROR(__xludf.DUMMYFUNCTION("IMPORTRANGE(""https://docs.google.com/spreadsheets/d/1XL5vhW3sbDhbH9Cz0tuDiY8C3ctxq1tqvaCgkFb8cCA/edit?usp=sharing"",""บึงกาฬ!J265"")"),34.0)</f>
        <v>34</v>
      </c>
      <c r="K370" s="196">
        <f t="shared" si="107"/>
        <v>37.77777778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IFERROR(__xludf.DUMMYFUNCTION("IMPORTRANGE(""https://docs.google.com/spreadsheets/d/1XL5vhW3sbDhbH9Cz0tuDiY8C3ctxq1tqvaCgkFb8cCA/edit?usp=sharing"",""บึงกาฬ!I164"")"),0.0)</f>
        <v>0</v>
      </c>
      <c r="J371" s="223">
        <f>IFERROR(__xludf.DUMMYFUNCTION("IMPORTRANGE(""https://docs.google.com/spreadsheets/d/1XL5vhW3sbDhbH9Cz0tuDiY8C3ctxq1tqvaCgkFb8cCA/edit?usp=sharing"",""บึงกาฬ!J164"")"),0.0)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IFERROR(__xludf.DUMMYFUNCTION("IMPORTRANGE(""https://docs.google.com/spreadsheets/d/1XL5vhW3sbDhbH9Cz0tuDiY8C3ctxq1tqvaCgkFb8cCA/edit?usp=sharing"",""บึงกาฬ!I267"")"),90.0)</f>
        <v>90</v>
      </c>
      <c r="J372" s="223">
        <f>IFERROR(__xludf.DUMMYFUNCTION("IMPORTRANGE(""https://docs.google.com/spreadsheets/d/1XL5vhW3sbDhbH9Cz0tuDiY8C3ctxq1tqvaCgkFb8cCA/edit?usp=sharing"",""บึงกาฬ!J267"")"),0.0)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IFERROR(__xludf.DUMMYFUNCTION("IMPORTRANGE(""https://docs.google.com/spreadsheets/d/1XL5vhW3sbDhbH9Cz0tuDiY8C3ctxq1tqvaCgkFb8cCA/edit?usp=sharing"",""บึงกาฬ!I164"")"),0.0)</f>
        <v>0</v>
      </c>
      <c r="J373" s="238">
        <f>IFERROR(__xludf.DUMMYFUNCTION("IMPORTRANGE(""https://docs.google.com/spreadsheets/d/1XL5vhW3sbDhbH9Cz0tuDiY8C3ctxq1tqvaCgkFb8cCA/edit?usp=sharing"",""บึงกาฬ!J164"")"),0.0)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IFERROR(__xludf.DUMMYFUNCTION("IMPORTRANGE(""https://docs.google.com/spreadsheets/d/1XL5vhW3sbDhbH9Cz0tuDiY8C3ctxq1tqvaCgkFb8cCA/edit?usp=sharing"",""บึงกาฬ!I164"")"),0.0)</f>
        <v>0</v>
      </c>
      <c r="J374" s="222">
        <f>IFERROR(__xludf.DUMMYFUNCTION("IMPORTRANGE(""https://docs.google.com/spreadsheets/d/1XL5vhW3sbDhbH9Cz0tuDiY8C3ctxq1tqvaCgkFb8cCA/edit?usp=sharing"",""บึงกาฬ!J164"")"),0.0)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IFERROR(__xludf.DUMMYFUNCTION("IMPORTRANGE(""https://docs.google.com/spreadsheets/d/1XL5vhW3sbDhbH9Cz0tuDiY8C3ctxq1tqvaCgkFb8cCA/edit?usp=sharing"",""บึงกาฬ!I270"")"),150.0)</f>
        <v>150</v>
      </c>
      <c r="J375" s="222">
        <f>IFERROR(__xludf.DUMMYFUNCTION("IMPORTRANGE(""https://docs.google.com/spreadsheets/d/1XL5vhW3sbDhbH9Cz0tuDiY8C3ctxq1tqvaCgkFb8cCA/edit?usp=sharing"",""บึงกาฬ!J270"")"),0.0)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IFERROR(__xludf.DUMMYFUNCTION("IMPORTRANGE(""https://docs.google.com/spreadsheets/d/1XL5vhW3sbDhbH9Cz0tuDiY8C3ctxq1tqvaCgkFb8cCA/edit?usp=sharing"",""บึงกาฬ!I271"")"),90.0)</f>
        <v>90</v>
      </c>
      <c r="J376" s="223">
        <f>IFERROR(__xludf.DUMMYFUNCTION("IMPORTRANGE(""https://docs.google.com/spreadsheets/d/1XL5vhW3sbDhbH9Cz0tuDiY8C3ctxq1tqvaCgkFb8cCA/edit?usp=sharing"",""บึงกาฬ!J271"")"),0.0)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IFERROR(__xludf.DUMMYFUNCTION("IMPORTRANGE(""https://docs.google.com/spreadsheets/d/1XL5vhW3sbDhbH9Cz0tuDiY8C3ctxq1tqvaCgkFb8cCA/edit?usp=sharing"",""บึงกาฬ!I272"")"),60.0)</f>
        <v>60</v>
      </c>
      <c r="J377" s="238">
        <f>IFERROR(__xludf.DUMMYFUNCTION("IMPORTRANGE(""https://docs.google.com/spreadsheets/d/1XL5vhW3sbDhbH9Cz0tuDiY8C3ctxq1tqvaCgkFb8cCA/edit?usp=sharing"",""บึงกาฬ!J272"")"),0.0)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IFERROR(__xludf.DUMMYFUNCTION("IMPORTRANGE(""https://docs.google.com/spreadsheets/d/1XL5vhW3sbDhbH9Cz0tuDiY8C3ctxq1tqvaCgkFb8cCA/edit?usp=sharing"",""บึงกาฬ!J273"")"),0.0)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IFERROR(__xludf.DUMMYFUNCTION("IMPORTRANGE(""https://docs.google.com/spreadsheets/d/1XL5vhW3sbDhbH9Cz0tuDiY8C3ctxq1tqvaCgkFb8cCA/edit?usp=sharing"",""บึงกาฬ!J274"")"),0.0)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IFERROR(__xludf.DUMMYFUNCTION("IMPORTRANGE(""https://docs.google.com/spreadsheets/d/1XL5vhW3sbDhbH9Cz0tuDiY8C3ctxq1tqvaCgkFb8cCA/edit?usp=sharing"",""บึงกาฬ!I275"")"),1000.0)</f>
        <v>1000</v>
      </c>
      <c r="J380" s="404">
        <f>IFERROR(__xludf.DUMMYFUNCTION("IMPORTRANGE(""https://docs.google.com/spreadsheets/d/1XL5vhW3sbDhbH9Cz0tuDiY8C3ctxq1tqvaCgkFb8cCA/edit?usp=sharing"",""บึงกาฬ!J275"")"),0.0)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IFERROR(__xludf.DUMMYFUNCTION("IMPORTRANGE(""https://docs.google.com/spreadsheets/d/1XL5vhW3sbDhbH9Cz0tuDiY8C3ctxq1tqvaCgkFb8cCA/edit?usp=sharing"",""บึงกาฬ!L275"")"),1028520.0)</f>
        <v>1028520</v>
      </c>
      <c r="M380" s="406"/>
      <c r="N380" s="406">
        <f>IFERROR(__xludf.DUMMYFUNCTION("IMPORTRANGE(""https://docs.google.com/spreadsheets/d/1XL5vhW3sbDhbH9Cz0tuDiY8C3ctxq1tqvaCgkFb8cCA/edit?usp=sharing"",""บึงกาฬ!M275"")"),106305.0)</f>
        <v>106305</v>
      </c>
      <c r="O380" s="406">
        <f>+IF(L380&gt;0,N380*100/L380,0)</f>
        <v>10.33572512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IFERROR(__xludf.DUMMYFUNCTION("IMPORTRANGE(""https://docs.google.com/spreadsheets/d/1XL5vhW3sbDhbH9Cz0tuDiY8C3ctxq1tqvaCgkFb8cCA/edit?usp=sharing"",""บึงกาฬ!I276"")"),100.0)</f>
        <v>100</v>
      </c>
      <c r="J381" s="404">
        <f>IFERROR(__xludf.DUMMYFUNCTION("IMPORTRANGE(""https://docs.google.com/spreadsheets/d/1XL5vhW3sbDhbH9Cz0tuDiY8C3ctxq1tqvaCgkFb8cCA/edit?usp=sharing"",""บึงกาฬ!J276"")"),100.0)</f>
        <v>100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IFERROR(__xludf.DUMMYFUNCTION("IMPORTRANGE(""https://docs.google.com/spreadsheets/d/1XL5vhW3sbDhbH9Cz0tuDiY8C3ctxq1tqvaCgkFb8cCA/edit?usp=sharing"",""บึงกาฬ!L277"")"),0.0)</f>
        <v>0</v>
      </c>
      <c r="M382" s="197"/>
      <c r="N382" s="197">
        <f>IFERROR(__xludf.DUMMYFUNCTION("IMPORTRANGE(""https://docs.google.com/spreadsheets/d/1XL5vhW3sbDhbH9Cz0tuDiY8C3ctxq1tqvaCgkFb8cCA/edit?usp=sharing"",""บึงกาฬ!M277"")"),0.0)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IFERROR(__xludf.DUMMYFUNCTION("IMPORTRANGE(""https://docs.google.com/spreadsheets/d/1XL5vhW3sbDhbH9Cz0tuDiY8C3ctxq1tqvaCgkFb8cCA/edit?usp=sharing"",""บึงกาฬ!L278"")"),1028520.0)</f>
        <v>1028520</v>
      </c>
      <c r="M383" s="198"/>
      <c r="N383" s="198">
        <f>IFERROR(__xludf.DUMMYFUNCTION("IMPORTRANGE(""https://docs.google.com/spreadsheets/d/1XL5vhW3sbDhbH9Cz0tuDiY8C3ctxq1tqvaCgkFb8cCA/edit?usp=sharing"",""บึงกาฬ!M278"")"),106305.0)</f>
        <v>106305</v>
      </c>
      <c r="O383" s="198">
        <f t="shared" si="110"/>
        <v>10.33572512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IFERROR(__xludf.DUMMYFUNCTION("IMPORTRANGE(""https://docs.google.com/spreadsheets/d/1XL5vhW3sbDhbH9Cz0tuDiY8C3ctxq1tqvaCgkFb8cCA/edit?usp=sharing"",""บึงกาฬ!L279"")"),0.0)</f>
        <v>0</v>
      </c>
      <c r="M384" s="203"/>
      <c r="N384" s="203">
        <f>IFERROR(__xludf.DUMMYFUNCTION("IMPORTRANGE(""https://docs.google.com/spreadsheets/d/1XL5vhW3sbDhbH9Cz0tuDiY8C3ctxq1tqvaCgkFb8cCA/edit?usp=sharing"",""บึงกาฬ!M279"")"),0.0)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IFERROR(__xludf.DUMMYFUNCTION("IMPORTRANGE(""https://docs.google.com/spreadsheets/d/1XL5vhW3sbDhbH9Cz0tuDiY8C3ctxq1tqvaCgkFb8cCA/edit?usp=sharing"",""บึงกาฬ!L280"")"),1028520.0)</f>
        <v>1028520</v>
      </c>
      <c r="M385" s="203"/>
      <c r="N385" s="200">
        <f>IFERROR(__xludf.DUMMYFUNCTION("IMPORTRANGE(""https://docs.google.com/spreadsheets/d/1XL5vhW3sbDhbH9Cz0tuDiY8C3ctxq1tqvaCgkFb8cCA/edit?usp=sharing"",""บึงกาฬ!M280"")"),106305.0)</f>
        <v>106305</v>
      </c>
      <c r="O385" s="203">
        <f t="shared" si="110"/>
        <v>10.33572512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IFERROR(__xludf.DUMMYFUNCTION("IMPORTRANGE(""https://docs.google.com/spreadsheets/d/1XL5vhW3sbDhbH9Cz0tuDiY8C3ctxq1tqvaCgkFb8cCA/edit?usp=sharing"",""บึงกาฬ!M281"")"),55795.0)</f>
        <v>55795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IFERROR(__xludf.DUMMYFUNCTION("IMPORTRANGE(""https://docs.google.com/spreadsheets/d/1XL5vhW3sbDhbH9Cz0tuDiY8C3ctxq1tqvaCgkFb8cCA/edit?usp=sharing"",""บึงกาฬ!M282"")"),0.0)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IFERROR(__xludf.DUMMYFUNCTION("IMPORTRANGE(""https://docs.google.com/spreadsheets/d/1XL5vhW3sbDhbH9Cz0tuDiY8C3ctxq1tqvaCgkFb8cCA/edit?usp=sharing"",""บึงกาฬ!M283"")"),39000.0)</f>
        <v>39000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IFERROR(__xludf.DUMMYFUNCTION("IMPORTRANGE(""https://docs.google.com/spreadsheets/d/1XL5vhW3sbDhbH9Cz0tuDiY8C3ctxq1tqvaCgkFb8cCA/edit?usp=sharing"",""บึงกาฬ!M284"")"),11510.0)</f>
        <v>11510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IFERROR(__xludf.DUMMYFUNCTION("IMPORTRANGE(""https://docs.google.com/spreadsheets/d/1XL5vhW3sbDhbH9Cz0tuDiY8C3ctxq1tqvaCgkFb8cCA/edit?usp=sharing"",""บึงกาฬ!J286"")"),0.0)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IFERROR(__xludf.DUMMYFUNCTION("IMPORTRANGE(""https://docs.google.com/spreadsheets/d/1XL5vhW3sbDhbH9Cz0tuDiY8C3ctxq1tqvaCgkFb8cCA/edit?usp=sharing"",""บึงกาฬ!J287"")"),1.0)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IFERROR(__xludf.DUMMYFUNCTION("IMPORTRANGE(""https://docs.google.com/spreadsheets/d/1XL5vhW3sbDhbH9Cz0tuDiY8C3ctxq1tqvaCgkFb8cCA/edit?usp=sharing"",""บึงกาฬ!J288"")"),0.0)</f>
        <v>0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IFERROR(__xludf.DUMMYFUNCTION("IMPORTRANGE(""https://docs.google.com/spreadsheets/d/1XL5vhW3sbDhbH9Cz0tuDiY8C3ctxq1tqvaCgkFb8cCA/edit?usp=sharing"",""บึงกาฬ!J289"")"),0.0)</f>
        <v>0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IFERROR(__xludf.DUMMYFUNCTION("IMPORTRANGE(""https://docs.google.com/spreadsheets/d/1XL5vhW3sbDhbH9Cz0tuDiY8C3ctxq1tqvaCgkFb8cCA/edit?usp=sharing"",""บึงกาฬ!I291"")"),100.0)</f>
        <v>100</v>
      </c>
      <c r="J396" s="232">
        <f>IFERROR(__xludf.DUMMYFUNCTION("IMPORTRANGE(""https://docs.google.com/spreadsheets/d/1XL5vhW3sbDhbH9Cz0tuDiY8C3ctxq1tqvaCgkFb8cCA/edit?usp=sharing"",""บึงกาฬ!J291"")"),100.0)</f>
        <v>100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IFERROR(__xludf.DUMMYFUNCTION("IMPORTRANGE(""https://docs.google.com/spreadsheets/d/1XL5vhW3sbDhbH9Cz0tuDiY8C3ctxq1tqvaCgkFb8cCA/edit?usp=sharing"",""บึงกาฬ!I292"")"),1000.0)</f>
        <v>1000</v>
      </c>
      <c r="J397" s="232">
        <f>IFERROR(__xludf.DUMMYFUNCTION("IMPORTRANGE(""https://docs.google.com/spreadsheets/d/1XL5vhW3sbDhbH9Cz0tuDiY8C3ctxq1tqvaCgkFb8cCA/edit?usp=sharing"",""บึงกาฬ!J292"")"),0.0)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IFERROR(__xludf.DUMMYFUNCTION("IMPORTRANGE(""https://docs.google.com/spreadsheets/d/1XL5vhW3sbDhbH9Cz0tuDiY8C3ctxq1tqvaCgkFb8cCA/edit?usp=sharing"",""บึงกาฬ!I293"")"),100.0)</f>
        <v>100</v>
      </c>
      <c r="J398" s="232">
        <f>IFERROR(__xludf.DUMMYFUNCTION("IMPORTRANGE(""https://docs.google.com/spreadsheets/d/1XL5vhW3sbDhbH9Cz0tuDiY8C3ctxq1tqvaCgkFb8cCA/edit?usp=sharing"",""บึงกาฬ!J293"")"),0.0)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IFERROR(__xludf.DUMMYFUNCTION("IMPORTRANGE(""https://docs.google.com/spreadsheets/d/1XL5vhW3sbDhbH9Cz0tuDiY8C3ctxq1tqvaCgkFb8cCA/edit?usp=sharing"",""บึงกาฬ!J294"")"),0.0)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IFERROR(__xludf.DUMMYFUNCTION("IMPORTRANGE(""https://docs.google.com/spreadsheets/d/1XL5vhW3sbDhbH9Cz0tuDiY8C3ctxq1tqvaCgkFb8cCA/edit?usp=sharing"",""บึงกาฬ!J295"")"),0.0)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IFERROR(__xludf.DUMMYFUNCTION("IMPORTRANGE(""https://docs.google.com/spreadsheets/d/1XL5vhW3sbDhbH9Cz0tuDiY8C3ctxq1tqvaCgkFb8cCA/edit?usp=sharing"",""บึงกาฬ!I296"")"),120.0)</f>
        <v>120</v>
      </c>
      <c r="J401" s="404">
        <f>IFERROR(__xludf.DUMMYFUNCTION("IMPORTRANGE(""https://docs.google.com/spreadsheets/d/1XL5vhW3sbDhbH9Cz0tuDiY8C3ctxq1tqvaCgkFb8cCA/edit?usp=sharing"",""บึงกาฬ!J296"")"),0.0)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IFERROR(__xludf.DUMMYFUNCTION("IMPORTRANGE(""https://docs.google.com/spreadsheets/d/1XL5vhW3sbDhbH9Cz0tuDiY8C3ctxq1tqvaCgkFb8cCA/edit?usp=sharing"",""บึงกาฬ!L296"")"),144560.0)</f>
        <v>144560</v>
      </c>
      <c r="M401" s="406"/>
      <c r="N401" s="406">
        <f>IFERROR(__xludf.DUMMYFUNCTION("IMPORTRANGE(""https://docs.google.com/spreadsheets/d/1XL5vhW3sbDhbH9Cz0tuDiY8C3ctxq1tqvaCgkFb8cCA/edit?usp=sharing"",""บึงกาฬ!M296"")"),0.0)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IFERROR(__xludf.DUMMYFUNCTION("IMPORTRANGE(""https://docs.google.com/spreadsheets/d/1XL5vhW3sbDhbH9Cz0tuDiY8C3ctxq1tqvaCgkFb8cCA/edit?usp=sharing"",""บึงกาฬ!I297"")"),40.0)</f>
        <v>40</v>
      </c>
      <c r="J402" s="404">
        <f>IFERROR(__xludf.DUMMYFUNCTION("IMPORTRANGE(""https://docs.google.com/spreadsheets/d/1XL5vhW3sbDhbH9Cz0tuDiY8C3ctxq1tqvaCgkFb8cCA/edit?usp=sharing"",""บึงกาฬ!J297"")"),0.0)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IFERROR(__xludf.DUMMYFUNCTION("IMPORTRANGE(""https://docs.google.com/spreadsheets/d/1XL5vhW3sbDhbH9Cz0tuDiY8C3ctxq1tqvaCgkFb8cCA/edit?usp=sharing"",""บึงกาฬ!L298"")"),0.0)</f>
        <v>0</v>
      </c>
      <c r="M403" s="197"/>
      <c r="N403" s="203">
        <f>IFERROR(__xludf.DUMMYFUNCTION("IMPORTRANGE(""https://docs.google.com/spreadsheets/d/1XL5vhW3sbDhbH9Cz0tuDiY8C3ctxq1tqvaCgkFb8cCA/edit?usp=sharing"",""บึงกาฬ!M298"")"),0.0)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IFERROR(__xludf.DUMMYFUNCTION("IMPORTRANGE(""https://docs.google.com/spreadsheets/d/1XL5vhW3sbDhbH9Cz0tuDiY8C3ctxq1tqvaCgkFb8cCA/edit?usp=sharing"",""บึงกาฬ!L299"")"),144560.0)</f>
        <v>144560</v>
      </c>
      <c r="M404" s="198"/>
      <c r="N404" s="203">
        <f>IFERROR(__xludf.DUMMYFUNCTION("IMPORTRANGE(""https://docs.google.com/spreadsheets/d/1XL5vhW3sbDhbH9Cz0tuDiY8C3ctxq1tqvaCgkFb8cCA/edit?usp=sharing"",""บึงกาฬ!M299"")"),0.0)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IFERROR(__xludf.DUMMYFUNCTION("IMPORTRANGE(""https://docs.google.com/spreadsheets/d/1XL5vhW3sbDhbH9Cz0tuDiY8C3ctxq1tqvaCgkFb8cCA/edit?usp=sharing"",""บึงกาฬ!L300"")"),0.0)</f>
        <v>0</v>
      </c>
      <c r="M405" s="203"/>
      <c r="N405" s="203">
        <f>IFERROR(__xludf.DUMMYFUNCTION("IMPORTRANGE(""https://docs.google.com/spreadsheets/d/1XL5vhW3sbDhbH9Cz0tuDiY8C3ctxq1tqvaCgkFb8cCA/edit?usp=sharing"",""บึงกาฬ!M300"")"),0.0)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IFERROR(__xludf.DUMMYFUNCTION("IMPORTRANGE(""https://docs.google.com/spreadsheets/d/1XL5vhW3sbDhbH9Cz0tuDiY8C3ctxq1tqvaCgkFb8cCA/edit?usp=sharing"",""บึงกาฬ!L301"")"),144560.0)</f>
        <v>144560</v>
      </c>
      <c r="M406" s="203"/>
      <c r="N406" s="203">
        <f>IFERROR(__xludf.DUMMYFUNCTION("IMPORTRANGE(""https://docs.google.com/spreadsheets/d/1XL5vhW3sbDhbH9Cz0tuDiY8C3ctxq1tqvaCgkFb8cCA/edit?usp=sharing"",""บึงกาฬ!M301"")"),0.0)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IFERROR(__xludf.DUMMYFUNCTION("IMPORTRANGE(""https://docs.google.com/spreadsheets/d/1XL5vhW3sbDhbH9Cz0tuDiY8C3ctxq1tqvaCgkFb8cCA/edit?usp=sharing"",""บึงกาฬ!M302"")"),0.0)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IFERROR(__xludf.DUMMYFUNCTION("IMPORTRANGE(""https://docs.google.com/spreadsheets/d/1XL5vhW3sbDhbH9Cz0tuDiY8C3ctxq1tqvaCgkFb8cCA/edit?usp=sharing"",""บึงกาฬ!M303"")"),0.0)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IFERROR(__xludf.DUMMYFUNCTION("IMPORTRANGE(""https://docs.google.com/spreadsheets/d/1XL5vhW3sbDhbH9Cz0tuDiY8C3ctxq1tqvaCgkFb8cCA/edit?usp=sharing"",""บึงกาฬ!M304"")"),0.0)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IFERROR(__xludf.DUMMYFUNCTION("IMPORTRANGE(""https://docs.google.com/spreadsheets/d/1XL5vhW3sbDhbH9Cz0tuDiY8C3ctxq1tqvaCgkFb8cCA/edit?usp=sharing"",""บึงกาฬ!M305"")"),0.0)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IFERROR(__xludf.DUMMYFUNCTION("IMPORTRANGE(""https://docs.google.com/spreadsheets/d/1XL5vhW3sbDhbH9Cz0tuDiY8C3ctxq1tqvaCgkFb8cCA/edit?usp=sharing"",""บึงกาฬ!J307"")"),0.0)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IFERROR(__xludf.DUMMYFUNCTION("IMPORTRANGE(""https://docs.google.com/spreadsheets/d/1XL5vhW3sbDhbH9Cz0tuDiY8C3ctxq1tqvaCgkFb8cCA/edit?usp=sharing"",""บึงกาฬ!J308"")"),1.0)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IFERROR(__xludf.DUMMYFUNCTION("IMPORTRANGE(""https://docs.google.com/spreadsheets/d/1XL5vhW3sbDhbH9Cz0tuDiY8C3ctxq1tqvaCgkFb8cCA/edit?usp=sharing"",""บึงกาฬ!J309"")"),1.0)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IFERROR(__xludf.DUMMYFUNCTION("IMPORTRANGE(""https://docs.google.com/spreadsheets/d/1XL5vhW3sbDhbH9Cz0tuDiY8C3ctxq1tqvaCgkFb8cCA/edit?usp=sharing"",""บึงกาฬ!J310"")"),0.0)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IFERROR(__xludf.DUMMYFUNCTION("IMPORTRANGE(""https://docs.google.com/spreadsheets/d/1XL5vhW3sbDhbH9Cz0tuDiY8C3ctxq1tqvaCgkFb8cCA/edit?usp=sharing"",""บึงกาฬ!I311"")"),40.0)</f>
        <v>40</v>
      </c>
      <c r="J416" s="235">
        <f>IFERROR(__xludf.DUMMYFUNCTION("IMPORTRANGE(""https://docs.google.com/spreadsheets/d/1XL5vhW3sbDhbH9Cz0tuDiY8C3ctxq1tqvaCgkFb8cCA/edit?usp=sharing"",""บึงกาฬ!J311"")"),0.0)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IFERROR(__xludf.DUMMYFUNCTION("IMPORTRANGE(""https://docs.google.com/spreadsheets/d/1XL5vhW3sbDhbH9Cz0tuDiY8C3ctxq1tqvaCgkFb8cCA/edit?usp=sharing"",""บึงกาฬ!I312"")"),10.0)</f>
        <v>10</v>
      </c>
      <c r="J417" s="425">
        <f>IFERROR(__xludf.DUMMYFUNCTION("IMPORTRANGE(""https://docs.google.com/spreadsheets/d/1XL5vhW3sbDhbH9Cz0tuDiY8C3ctxq1tqvaCgkFb8cCA/edit?usp=sharing"",""บึงกาฬ!J312"")"),0.0)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IFERROR(__xludf.DUMMYFUNCTION("IMPORTRANGE(""https://docs.google.com/spreadsheets/d/1XL5vhW3sbDhbH9Cz0tuDiY8C3ctxq1tqvaCgkFb8cCA/edit?usp=sharing"",""บึงกาฬ!I313"")"),30.0)</f>
        <v>30</v>
      </c>
      <c r="J418" s="426">
        <f>IFERROR(__xludf.DUMMYFUNCTION("IMPORTRANGE(""https://docs.google.com/spreadsheets/d/1XL5vhW3sbDhbH9Cz0tuDiY8C3ctxq1tqvaCgkFb8cCA/edit?usp=sharing"",""บึงกาฬ!J313"")"),0.0)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IFERROR(__xludf.DUMMYFUNCTION("IMPORTRANGE(""https://docs.google.com/spreadsheets/d/1XL5vhW3sbDhbH9Cz0tuDiY8C3ctxq1tqvaCgkFb8cCA/edit?usp=sharing"",""บึงกาฬ!I314"")"),10.0)</f>
        <v>10</v>
      </c>
      <c r="J419" s="427">
        <f>IFERROR(__xludf.DUMMYFUNCTION("IMPORTRANGE(""https://docs.google.com/spreadsheets/d/1XL5vhW3sbDhbH9Cz0tuDiY8C3ctxq1tqvaCgkFb8cCA/edit?usp=sharing"",""บึงกาฬ!J314"")"),0.0)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IFERROR(__xludf.DUMMYFUNCTION("IMPORTRANGE(""https://docs.google.com/spreadsheets/d/1XL5vhW3sbDhbH9Cz0tuDiY8C3ctxq1tqvaCgkFb8cCA/edit?usp=sharing"",""บึงกาฬ!I315"")"),10.0)</f>
        <v>10</v>
      </c>
      <c r="J420" s="427">
        <f>IFERROR(__xludf.DUMMYFUNCTION("IMPORTRANGE(""https://docs.google.com/spreadsheets/d/1XL5vhW3sbDhbH9Cz0tuDiY8C3ctxq1tqvaCgkFb8cCA/edit?usp=sharing"",""บึงกาฬ!J315"")"),0.0)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IFERROR(__xludf.DUMMYFUNCTION("IMPORTRANGE(""https://docs.google.com/spreadsheets/d/1XL5vhW3sbDhbH9Cz0tuDiY8C3ctxq1tqvaCgkFb8cCA/edit?usp=sharing"",""บึงกาฬ!I316"")"),20.0)</f>
        <v>20</v>
      </c>
      <c r="J421" s="425">
        <f>IFERROR(__xludf.DUMMYFUNCTION("IMPORTRANGE(""https://docs.google.com/spreadsheets/d/1XL5vhW3sbDhbH9Cz0tuDiY8C3ctxq1tqvaCgkFb8cCA/edit?usp=sharing"",""บึงกาฬ!J316"")"),0.0)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IFERROR(__xludf.DUMMYFUNCTION("IMPORTRANGE(""https://docs.google.com/spreadsheets/d/1XL5vhW3sbDhbH9Cz0tuDiY8C3ctxq1tqvaCgkFb8cCA/edit?usp=sharing"",""บึงกาฬ!I317"")"),60.0)</f>
        <v>60</v>
      </c>
      <c r="J422" s="426">
        <f>IFERROR(__xludf.DUMMYFUNCTION("IMPORTRANGE(""https://docs.google.com/spreadsheets/d/1XL5vhW3sbDhbH9Cz0tuDiY8C3ctxq1tqvaCgkFb8cCA/edit?usp=sharing"",""บึงกาฬ!J317"")"),0.0)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IFERROR(__xludf.DUMMYFUNCTION("IMPORTRANGE(""https://docs.google.com/spreadsheets/d/1XL5vhW3sbDhbH9Cz0tuDiY8C3ctxq1tqvaCgkFb8cCA/edit?usp=sharing"",""บึงกาฬ!I318"")"),20.0)</f>
        <v>20</v>
      </c>
      <c r="J423" s="427">
        <f>IFERROR(__xludf.DUMMYFUNCTION("IMPORTRANGE(""https://docs.google.com/spreadsheets/d/1XL5vhW3sbDhbH9Cz0tuDiY8C3ctxq1tqvaCgkFb8cCA/edit?usp=sharing"",""บึงกาฬ!J318"")"),0.0)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IFERROR(__xludf.DUMMYFUNCTION("IMPORTRANGE(""https://docs.google.com/spreadsheets/d/1XL5vhW3sbDhbH9Cz0tuDiY8C3ctxq1tqvaCgkFb8cCA/edit?usp=sharing"",""บึงกาฬ!I319"")"),20.0)</f>
        <v>20</v>
      </c>
      <c r="J424" s="427">
        <f>IFERROR(__xludf.DUMMYFUNCTION("IMPORTRANGE(""https://docs.google.com/spreadsheets/d/1XL5vhW3sbDhbH9Cz0tuDiY8C3ctxq1tqvaCgkFb8cCA/edit?usp=sharing"",""บึงกาฬ!J319"")"),0.0)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IFERROR(__xludf.DUMMYFUNCTION("IMPORTRANGE(""https://docs.google.com/spreadsheets/d/1XL5vhW3sbDhbH9Cz0tuDiY8C3ctxq1tqvaCgkFb8cCA/edit?usp=sharing"",""บึงกาฬ!I320"")"),20.0)</f>
        <v>20</v>
      </c>
      <c r="J425" s="427">
        <f>IFERROR(__xludf.DUMMYFUNCTION("IMPORTRANGE(""https://docs.google.com/spreadsheets/d/1XL5vhW3sbDhbH9Cz0tuDiY8C3ctxq1tqvaCgkFb8cCA/edit?usp=sharing"",""บึงกาฬ!J320"")"),0.0)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IFERROR(__xludf.DUMMYFUNCTION("IMPORTRANGE(""https://docs.google.com/spreadsheets/d/1XL5vhW3sbDhbH9Cz0tuDiY8C3ctxq1tqvaCgkFb8cCA/edit?usp=sharing"",""บึงกาฬ!I321"")"),10.0)</f>
        <v>10</v>
      </c>
      <c r="J426" s="425">
        <f>IFERROR(__xludf.DUMMYFUNCTION("IMPORTRANGE(""https://docs.google.com/spreadsheets/d/1XL5vhW3sbDhbH9Cz0tuDiY8C3ctxq1tqvaCgkFb8cCA/edit?usp=sharing"",""บึงกาฬ!J321"")"),0.0)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IFERROR(__xludf.DUMMYFUNCTION("IMPORTRANGE(""https://docs.google.com/spreadsheets/d/1XL5vhW3sbDhbH9Cz0tuDiY8C3ctxq1tqvaCgkFb8cCA/edit?usp=sharing"",""บึงกาฬ!I322"")"),30.0)</f>
        <v>30</v>
      </c>
      <c r="J427" s="426">
        <f>IFERROR(__xludf.DUMMYFUNCTION("IMPORTRANGE(""https://docs.google.com/spreadsheets/d/1XL5vhW3sbDhbH9Cz0tuDiY8C3ctxq1tqvaCgkFb8cCA/edit?usp=sharing"",""บึงกาฬ!J322"")"),0.0)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IFERROR(__xludf.DUMMYFUNCTION("IMPORTRANGE(""https://docs.google.com/spreadsheets/d/1XL5vhW3sbDhbH9Cz0tuDiY8C3ctxq1tqvaCgkFb8cCA/edit?usp=sharing"",""บึงกาฬ!I323"")"),10.0)</f>
        <v>10</v>
      </c>
      <c r="J428" s="427">
        <f>IFERROR(__xludf.DUMMYFUNCTION("IMPORTRANGE(""https://docs.google.com/spreadsheets/d/1XL5vhW3sbDhbH9Cz0tuDiY8C3ctxq1tqvaCgkFb8cCA/edit?usp=sharing"",""บึงกาฬ!J323"")"),0.0)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IFERROR(__xludf.DUMMYFUNCTION("IMPORTRANGE(""https://docs.google.com/spreadsheets/d/1XL5vhW3sbDhbH9Cz0tuDiY8C3ctxq1tqvaCgkFb8cCA/edit?usp=sharing"",""บึงกาฬ!I324"")"),10.0)</f>
        <v>10</v>
      </c>
      <c r="J429" s="427">
        <f>IFERROR(__xludf.DUMMYFUNCTION("IMPORTRANGE(""https://docs.google.com/spreadsheets/d/1XL5vhW3sbDhbH9Cz0tuDiY8C3ctxq1tqvaCgkFb8cCA/edit?usp=sharing"",""บึงกาฬ!J324"")"),0.0)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IFERROR(__xludf.DUMMYFUNCTION("IMPORTRANGE(""https://docs.google.com/spreadsheets/d/1XL5vhW3sbDhbH9Cz0tuDiY8C3ctxq1tqvaCgkFb8cCA/edit?usp=sharing"",""บึงกาฬ!I325"")"),30.0)</f>
        <v>30</v>
      </c>
      <c r="J430" s="425">
        <f>IFERROR(__xludf.DUMMYFUNCTION("IMPORTRANGE(""https://docs.google.com/spreadsheets/d/1XL5vhW3sbDhbH9Cz0tuDiY8C3ctxq1tqvaCgkFb8cCA/edit?usp=sharing"",""บึงกาฬ!J325"")"),0.0)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IFERROR(__xludf.DUMMYFUNCTION("IMPORTRANGE(""https://docs.google.com/spreadsheets/d/1XL5vhW3sbDhbH9Cz0tuDiY8C3ctxq1tqvaCgkFb8cCA/edit?usp=sharing"",""บึงกาฬ!I326"")"),10.0)</f>
        <v>10</v>
      </c>
      <c r="J431" s="427">
        <f>IFERROR(__xludf.DUMMYFUNCTION("IMPORTRANGE(""https://docs.google.com/spreadsheets/d/1XL5vhW3sbDhbH9Cz0tuDiY8C3ctxq1tqvaCgkFb8cCA/edit?usp=sharing"",""บึงกาฬ!J326"")"),0.0)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IFERROR(__xludf.DUMMYFUNCTION("IMPORTRANGE(""https://docs.google.com/spreadsheets/d/1XL5vhW3sbDhbH9Cz0tuDiY8C3ctxq1tqvaCgkFb8cCA/edit?usp=sharing"",""บึงกาฬ!I327"")"),20.0)</f>
        <v>20</v>
      </c>
      <c r="J432" s="427">
        <f>IFERROR(__xludf.DUMMYFUNCTION("IMPORTRANGE(""https://docs.google.com/spreadsheets/d/1XL5vhW3sbDhbH9Cz0tuDiY8C3ctxq1tqvaCgkFb8cCA/edit?usp=sharing"",""บึงกาฬ!J327"")"),0.0)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IFERROR(__xludf.DUMMYFUNCTION("IMPORTRANGE(""https://docs.google.com/spreadsheets/d/1XL5vhW3sbDhbH9Cz0tuDiY8C3ctxq1tqvaCgkFb8cCA/edit?usp=sharing"",""บึงกาฬ!J328"")"),0.0)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IFERROR(__xludf.DUMMYFUNCTION("IMPORTRANGE(""https://docs.google.com/spreadsheets/d/1XL5vhW3sbDhbH9Cz0tuDiY8C3ctxq1tqvaCgkFb8cCA/edit?usp=sharing"",""บึงกาฬ!J329"")"),0.0)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IFERROR(__xludf.DUMMYFUNCTION("IMPORTRANGE(""https://docs.google.com/spreadsheets/d/1XL5vhW3sbDhbH9Cz0tuDiY8C3ctxq1tqvaCgkFb8cCA/edit?usp=sharing"",""บึงกาฬ!I330"")"),25.0)</f>
        <v>25</v>
      </c>
      <c r="J435" s="443">
        <f>IFERROR(__xludf.DUMMYFUNCTION("IMPORTRANGE(""https://docs.google.com/spreadsheets/d/1XL5vhW3sbDhbH9Cz0tuDiY8C3ctxq1tqvaCgkFb8cCA/edit?usp=sharing"",""บึงกาฬ!J330"")"),0.0)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IFERROR(__xludf.DUMMYFUNCTION("IMPORTRANGE(""https://docs.google.com/spreadsheets/d/1XL5vhW3sbDhbH9Cz0tuDiY8C3ctxq1tqvaCgkFb8cCA/edit?usp=sharing"",""บึงกาฬ!L330"")"),105500.0)</f>
        <v>105500</v>
      </c>
      <c r="M435" s="445"/>
      <c r="N435" s="445">
        <f>IFERROR(__xludf.DUMMYFUNCTION("IMPORTRANGE(""https://docs.google.com/spreadsheets/d/1XL5vhW3sbDhbH9Cz0tuDiY8C3ctxq1tqvaCgkFb8cCA/edit?usp=sharing"",""บึงกาฬ!M330"")"),0.0)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IFERROR(__xludf.DUMMYFUNCTION("IMPORTRANGE(""https://docs.google.com/spreadsheets/d/1XL5vhW3sbDhbH9Cz0tuDiY8C3ctxq1tqvaCgkFb8cCA/edit?usp=sharing"",""บึงกาฬ!L331"")"),0.0)</f>
        <v>0</v>
      </c>
      <c r="M436" s="197"/>
      <c r="N436" s="203">
        <f>IFERROR(__xludf.DUMMYFUNCTION("IMPORTRANGE(""https://docs.google.com/spreadsheets/d/1XL5vhW3sbDhbH9Cz0tuDiY8C3ctxq1tqvaCgkFb8cCA/edit?usp=sharing"",""บึงกาฬ!M331"")"),0.0)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IFERROR(__xludf.DUMMYFUNCTION("IMPORTRANGE(""https://docs.google.com/spreadsheets/d/1XL5vhW3sbDhbH9Cz0tuDiY8C3ctxq1tqvaCgkFb8cCA/edit?usp=sharing"",""บึงกาฬ!L332"")"),105500.0)</f>
        <v>105500</v>
      </c>
      <c r="M437" s="198"/>
      <c r="N437" s="203">
        <f>IFERROR(__xludf.DUMMYFUNCTION("IMPORTRANGE(""https://docs.google.com/spreadsheets/d/1XL5vhW3sbDhbH9Cz0tuDiY8C3ctxq1tqvaCgkFb8cCA/edit?usp=sharing"",""บึงกาฬ!M332"")"),0.0)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IFERROR(__xludf.DUMMYFUNCTION("IMPORTRANGE(""https://docs.google.com/spreadsheets/d/1XL5vhW3sbDhbH9Cz0tuDiY8C3ctxq1tqvaCgkFb8cCA/edit?usp=sharing"",""บึงกาฬ!L333"")"),0.0)</f>
        <v>0</v>
      </c>
      <c r="M438" s="203"/>
      <c r="N438" s="203">
        <f>IFERROR(__xludf.DUMMYFUNCTION("IMPORTRANGE(""https://docs.google.com/spreadsheets/d/1XL5vhW3sbDhbH9Cz0tuDiY8C3ctxq1tqvaCgkFb8cCA/edit?usp=sharing"",""บึงกาฬ!M333"")"),0.0)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IFERROR(__xludf.DUMMYFUNCTION("IMPORTRANGE(""https://docs.google.com/spreadsheets/d/1XL5vhW3sbDhbH9Cz0tuDiY8C3ctxq1tqvaCgkFb8cCA/edit?usp=sharing"",""บึงกาฬ!L334"")"),105500.0)</f>
        <v>105500</v>
      </c>
      <c r="M439" s="203"/>
      <c r="N439" s="203">
        <f>IFERROR(__xludf.DUMMYFUNCTION("IMPORTRANGE(""https://docs.google.com/spreadsheets/d/1XL5vhW3sbDhbH9Cz0tuDiY8C3ctxq1tqvaCgkFb8cCA/edit?usp=sharing"",""บึงกาฬ!M334"")"),0.0)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IFERROR(__xludf.DUMMYFUNCTION("IMPORTRANGE(""https://docs.google.com/spreadsheets/d/1XL5vhW3sbDhbH9Cz0tuDiY8C3ctxq1tqvaCgkFb8cCA/edit?usp=sharing"",""บึงกาฬ!M335"")"),0.0)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IFERROR(__xludf.DUMMYFUNCTION("IMPORTRANGE(""https://docs.google.com/spreadsheets/d/1XL5vhW3sbDhbH9Cz0tuDiY8C3ctxq1tqvaCgkFb8cCA/edit?usp=sharing"",""บึงกาฬ!M336"")"),0.0)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IFERROR(__xludf.DUMMYFUNCTION("IMPORTRANGE(""https://docs.google.com/spreadsheets/d/1XL5vhW3sbDhbH9Cz0tuDiY8C3ctxq1tqvaCgkFb8cCA/edit?usp=sharing"",""บึงกาฬ!M337"")"),0.0)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IFERROR(__xludf.DUMMYFUNCTION("IMPORTRANGE(""https://docs.google.com/spreadsheets/d/1XL5vhW3sbDhbH9Cz0tuDiY8C3ctxq1tqvaCgkFb8cCA/edit?usp=sharing"",""บึงกาฬ!M338"")"),0.0)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IFERROR(__xludf.DUMMYFUNCTION("IMPORTRANGE(""https://docs.google.com/spreadsheets/d/1XL5vhW3sbDhbH9Cz0tuDiY8C3ctxq1tqvaCgkFb8cCA/edit?usp=sharing"",""บึงกาฬ!J340"")"),0.0)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IFERROR(__xludf.DUMMYFUNCTION("IMPORTRANGE(""https://docs.google.com/spreadsheets/d/1XL5vhW3sbDhbH9Cz0tuDiY8C3ctxq1tqvaCgkFb8cCA/edit?usp=sharing"",""บึงกาฬ!J341"")"),1.0)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IFERROR(__xludf.DUMMYFUNCTION("IMPORTRANGE(""https://docs.google.com/spreadsheets/d/1XL5vhW3sbDhbH9Cz0tuDiY8C3ctxq1tqvaCgkFb8cCA/edit?usp=sharing"",""บึงกาฬ!J342"")"),0.0)</f>
        <v>0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IFERROR(__xludf.DUMMYFUNCTION("IMPORTRANGE(""https://docs.google.com/spreadsheets/d/1XL5vhW3sbDhbH9Cz0tuDiY8C3ctxq1tqvaCgkFb8cCA/edit?usp=sharing"",""บึงกาฬ!J343"")"),0.0)</f>
        <v>0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IFERROR(__xludf.DUMMYFUNCTION("IMPORTRANGE(""https://docs.google.com/spreadsheets/d/1XL5vhW3sbDhbH9Cz0tuDiY8C3ctxq1tqvaCgkFb8cCA/edit?usp=sharing"",""บึงกาฬ!I344"")"),25.0)</f>
        <v>25</v>
      </c>
      <c r="J449" s="235">
        <f>IFERROR(__xludf.DUMMYFUNCTION("IMPORTRANGE(""https://docs.google.com/spreadsheets/d/1XL5vhW3sbDhbH9Cz0tuDiY8C3ctxq1tqvaCgkFb8cCA/edit?usp=sharing"",""บึงกาฬ!J344"")"),0.0)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IFERROR(__xludf.DUMMYFUNCTION("IMPORTRANGE(""https://docs.google.com/spreadsheets/d/1XL5vhW3sbDhbH9Cz0tuDiY8C3ctxq1tqvaCgkFb8cCA/edit?usp=sharing"",""บึงกาฬ!I345"")"),25.0)</f>
        <v>25</v>
      </c>
      <c r="J450" s="223">
        <f>IFERROR(__xludf.DUMMYFUNCTION("IMPORTRANGE(""https://docs.google.com/spreadsheets/d/1XL5vhW3sbDhbH9Cz0tuDiY8C3ctxq1tqvaCgkFb8cCA/edit?usp=sharing"",""บึงกาฬ!J345"")"),0.0)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IFERROR(__xludf.DUMMYFUNCTION("IMPORTRANGE(""https://docs.google.com/spreadsheets/d/1XL5vhW3sbDhbH9Cz0tuDiY8C3ctxq1tqvaCgkFb8cCA/edit?usp=sharing"",""บึงกาฬ!I346"")"),0.0)</f>
        <v>0</v>
      </c>
      <c r="J451" s="222">
        <f>IFERROR(__xludf.DUMMYFUNCTION("IMPORTRANGE(""https://docs.google.com/spreadsheets/d/1XL5vhW3sbDhbH9Cz0tuDiY8C3ctxq1tqvaCgkFb8cCA/edit?usp=sharing"",""บึงกาฬ!J346"")"),0.0)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IFERROR(__xludf.DUMMYFUNCTION("IMPORTRANGE(""https://docs.google.com/spreadsheets/d/1XL5vhW3sbDhbH9Cz0tuDiY8C3ctxq1tqvaCgkFb8cCA/edit?usp=sharing"",""บึงกาฬ!I347"")"),0.0)</f>
        <v>0</v>
      </c>
      <c r="J452" s="222">
        <f>IFERROR(__xludf.DUMMYFUNCTION("IMPORTRANGE(""https://docs.google.com/spreadsheets/d/1XL5vhW3sbDhbH9Cz0tuDiY8C3ctxq1tqvaCgkFb8cCA/edit?usp=sharing"",""บึงกาฬ!J347"")"),0.0)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IFERROR(__xludf.DUMMYFUNCTION("IMPORTRANGE(""https://docs.google.com/spreadsheets/d/1XL5vhW3sbDhbH9Cz0tuDiY8C3ctxq1tqvaCgkFb8cCA/edit?usp=sharing"",""บึงกาฬ!J348"")"),0.0)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IFERROR(__xludf.DUMMYFUNCTION("IMPORTRANGE(""https://docs.google.com/spreadsheets/d/1XL5vhW3sbDhbH9Cz0tuDiY8C3ctxq1tqvaCgkFb8cCA/edit?usp=sharing"",""บึงกาฬ!J349"")"),0.0)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IFERROR(__xludf.DUMMYFUNCTION("IMPORTRANGE(""https://docs.google.com/spreadsheets/d/1XL5vhW3sbDhbH9Cz0tuDiY8C3ctxq1tqvaCgkFb8cCA/edit?usp=sharing"",""บึงกาฬ!I350"")"),37568.0)</f>
        <v>37568</v>
      </c>
      <c r="J455" s="404">
        <f>IFERROR(__xludf.DUMMYFUNCTION("IMPORTRANGE(""https://docs.google.com/spreadsheets/d/1XL5vhW3sbDhbH9Cz0tuDiY8C3ctxq1tqvaCgkFb8cCA/edit?usp=sharing"",""บึงกาฬ!J350"")"),0.0)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IFERROR(__xludf.DUMMYFUNCTION("IMPORTRANGE(""https://docs.google.com/spreadsheets/d/1XL5vhW3sbDhbH9Cz0tuDiY8C3ctxq1tqvaCgkFb8cCA/edit?usp=sharing"",""บึงกาฬ!L350"")"),381845.0)</f>
        <v>381845</v>
      </c>
      <c r="M455" s="406"/>
      <c r="N455" s="406">
        <f>IFERROR(__xludf.DUMMYFUNCTION("IMPORTRANGE(""https://docs.google.com/spreadsheets/d/1XL5vhW3sbDhbH9Cz0tuDiY8C3ctxq1tqvaCgkFb8cCA/edit?usp=sharing"",""บึงกาฬ!M350"")"),720.0)</f>
        <v>720</v>
      </c>
      <c r="O455" s="406">
        <f t="shared" ref="O455:O459" si="117">+IF(L455&gt;0,N455*100/L455,0)</f>
        <v>0.1885581846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IFERROR(__xludf.DUMMYFUNCTION("IMPORTRANGE(""https://docs.google.com/spreadsheets/d/1XL5vhW3sbDhbH9Cz0tuDiY8C3ctxq1tqvaCgkFb8cCA/edit?usp=sharing"",""บึงกาฬ!L351"")"),0.0)</f>
        <v>0</v>
      </c>
      <c r="M456" s="197"/>
      <c r="N456" s="203">
        <f>IFERROR(__xludf.DUMMYFUNCTION("IMPORTRANGE(""https://docs.google.com/spreadsheets/d/1XL5vhW3sbDhbH9Cz0tuDiY8C3ctxq1tqvaCgkFb8cCA/edit?usp=sharing"",""บึงกาฬ!M351"")"),0.0)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IFERROR(__xludf.DUMMYFUNCTION("IMPORTRANGE(""https://docs.google.com/spreadsheets/d/1XL5vhW3sbDhbH9Cz0tuDiY8C3ctxq1tqvaCgkFb8cCA/edit?usp=sharing"",""บึงกาฬ!L352"")"),381845.0)</f>
        <v>381845</v>
      </c>
      <c r="M457" s="198"/>
      <c r="N457" s="203">
        <f>IFERROR(__xludf.DUMMYFUNCTION("IMPORTRANGE(""https://docs.google.com/spreadsheets/d/1XL5vhW3sbDhbH9Cz0tuDiY8C3ctxq1tqvaCgkFb8cCA/edit?usp=sharing"",""บึงกาฬ!M352"")"),720.0)</f>
        <v>720</v>
      </c>
      <c r="O457" s="203">
        <f t="shared" si="117"/>
        <v>0.1885581846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IFERROR(__xludf.DUMMYFUNCTION("IMPORTRANGE(""https://docs.google.com/spreadsheets/d/1XL5vhW3sbDhbH9Cz0tuDiY8C3ctxq1tqvaCgkFb8cCA/edit?usp=sharing"",""บึงกาฬ!L353"")"),0.0)</f>
        <v>0</v>
      </c>
      <c r="M458" s="203"/>
      <c r="N458" s="203">
        <f>IFERROR(__xludf.DUMMYFUNCTION("IMPORTRANGE(""https://docs.google.com/spreadsheets/d/1XL5vhW3sbDhbH9Cz0tuDiY8C3ctxq1tqvaCgkFb8cCA/edit?usp=sharing"",""บึงกาฬ!M353"")"),0.0)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IFERROR(__xludf.DUMMYFUNCTION("IMPORTRANGE(""https://docs.google.com/spreadsheets/d/1XL5vhW3sbDhbH9Cz0tuDiY8C3ctxq1tqvaCgkFb8cCA/edit?usp=sharing"",""บึงกาฬ!L354"")"),381845.0)</f>
        <v>381845</v>
      </c>
      <c r="M459" s="203"/>
      <c r="N459" s="203">
        <f>IFERROR(__xludf.DUMMYFUNCTION("IMPORTRANGE(""https://docs.google.com/spreadsheets/d/1XL5vhW3sbDhbH9Cz0tuDiY8C3ctxq1tqvaCgkFb8cCA/edit?usp=sharing"",""บึงกาฬ!M354"")"),720.0)</f>
        <v>720</v>
      </c>
      <c r="O459" s="203">
        <f t="shared" si="117"/>
        <v>0.1885581846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IFERROR(__xludf.DUMMYFUNCTION("IMPORTRANGE(""https://docs.google.com/spreadsheets/d/1XL5vhW3sbDhbH9Cz0tuDiY8C3ctxq1tqvaCgkFb8cCA/edit?usp=sharing"",""บึงกาฬ!M355"")"),0.0)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IFERROR(__xludf.DUMMYFUNCTION("IMPORTRANGE(""https://docs.google.com/spreadsheets/d/1XL5vhW3sbDhbH9Cz0tuDiY8C3ctxq1tqvaCgkFb8cCA/edit?usp=sharing"",""บึงกาฬ!M356"")"),0.0)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IFERROR(__xludf.DUMMYFUNCTION("IMPORTRANGE(""https://docs.google.com/spreadsheets/d/1XL5vhW3sbDhbH9Cz0tuDiY8C3ctxq1tqvaCgkFb8cCA/edit?usp=sharing"",""บึงกาฬ!M357"")"),0.0)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IFERROR(__xludf.DUMMYFUNCTION("IMPORTRANGE(""https://docs.google.com/spreadsheets/d/1XL5vhW3sbDhbH9Cz0tuDiY8C3ctxq1tqvaCgkFb8cCA/edit?usp=sharing"",""บึงกาฬ!M358"")"),720.0)</f>
        <v>720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IFERROR(__xludf.DUMMYFUNCTION("IMPORTRANGE(""https://docs.google.com/spreadsheets/d/1XL5vhW3sbDhbH9Cz0tuDiY8C3ctxq1tqvaCgkFb8cCA/edit?usp=sharing"",""บึงกาฬ!I359"")"),37568.0)</f>
        <v>37568</v>
      </c>
      <c r="J464" s="301">
        <f>IFERROR(__xludf.DUMMYFUNCTION("IMPORTRANGE(""https://docs.google.com/spreadsheets/d/1XL5vhW3sbDhbH9Cz0tuDiY8C3ctxq1tqvaCgkFb8cCA/edit?usp=sharing"",""บึงกาฬ!J359"")"),0.0)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IFERROR(__xludf.DUMMYFUNCTION("IMPORTRANGE(""https://docs.google.com/spreadsheets/d/1XL5vhW3sbDhbH9Cz0tuDiY8C3ctxq1tqvaCgkFb8cCA/edit?usp=sharing"",""บึงกาฬ!I360"")"),37568.0)</f>
        <v>37568</v>
      </c>
      <c r="J465" s="453">
        <f>IFERROR(__xludf.DUMMYFUNCTION("IMPORTRANGE(""https://docs.google.com/spreadsheets/d/1XL5vhW3sbDhbH9Cz0tuDiY8C3ctxq1tqvaCgkFb8cCA/edit?usp=sharing"",""บึงกาฬ!J360"")"),0.0)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IFERROR(__xludf.DUMMYFUNCTION("IMPORTRANGE(""https://docs.google.com/spreadsheets/d/1XL5vhW3sbDhbH9Cz0tuDiY8C3ctxq1tqvaCgkFb8cCA/edit?usp=sharing"",""บึงกาฬ!I361"")"),2619.0)</f>
        <v>2619</v>
      </c>
      <c r="J466" s="453">
        <f>IFERROR(__xludf.DUMMYFUNCTION("IMPORTRANGE(""https://docs.google.com/spreadsheets/d/1XL5vhW3sbDhbH9Cz0tuDiY8C3ctxq1tqvaCgkFb8cCA/edit?usp=sharing"",""บึงกาฬ!J361"")"),0.0)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IFERROR(__xludf.DUMMYFUNCTION("IMPORTRANGE(""https://docs.google.com/spreadsheets/d/1XL5vhW3sbDhbH9Cz0tuDiY8C3ctxq1tqvaCgkFb8cCA/edit?usp=sharing"",""บึงกาฬ!I362"")"),0.0)</f>
        <v>0</v>
      </c>
      <c r="J467" s="223">
        <f>IFERROR(__xludf.DUMMYFUNCTION("IMPORTRANGE(""https://docs.google.com/spreadsheets/d/1XL5vhW3sbDhbH9Cz0tuDiY8C3ctxq1tqvaCgkFb8cCA/edit?usp=sharing"",""บึงกาฬ!J362"")"),0.0)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IFERROR(__xludf.DUMMYFUNCTION("IMPORTRANGE(""https://docs.google.com/spreadsheets/d/1XL5vhW3sbDhbH9Cz0tuDiY8C3ctxq1tqvaCgkFb8cCA/edit?usp=sharing"",""บึงกาฬ!I363"")"),0.0)</f>
        <v>0</v>
      </c>
      <c r="J468" s="223">
        <f>IFERROR(__xludf.DUMMYFUNCTION("IMPORTRANGE(""https://docs.google.com/spreadsheets/d/1XL5vhW3sbDhbH9Cz0tuDiY8C3ctxq1tqvaCgkFb8cCA/edit?usp=sharing"",""บึงกาฬ!J363"")"),0.0)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IFERROR(__xludf.DUMMYFUNCTION("IMPORTRANGE(""https://docs.google.com/spreadsheets/d/1XL5vhW3sbDhbH9Cz0tuDiY8C3ctxq1tqvaCgkFb8cCA/edit?usp=sharing"",""บึงกาฬ!I364"")"),0.0)</f>
        <v>0</v>
      </c>
      <c r="J469" s="223">
        <f>IFERROR(__xludf.DUMMYFUNCTION("IMPORTRANGE(""https://docs.google.com/spreadsheets/d/1XL5vhW3sbDhbH9Cz0tuDiY8C3ctxq1tqvaCgkFb8cCA/edit?usp=sharing"",""บึงกาฬ!J364"")"),0.0)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IFERROR(__xludf.DUMMYFUNCTION("IMPORTRANGE(""https://docs.google.com/spreadsheets/d/1XL5vhW3sbDhbH9Cz0tuDiY8C3ctxq1tqvaCgkFb8cCA/edit?usp=sharing"",""บึงกาฬ!I365"")"),0.0)</f>
        <v>0</v>
      </c>
      <c r="J470" s="223">
        <f>IFERROR(__xludf.DUMMYFUNCTION("IMPORTRANGE(""https://docs.google.com/spreadsheets/d/1XL5vhW3sbDhbH9Cz0tuDiY8C3ctxq1tqvaCgkFb8cCA/edit?usp=sharing"",""บึงกาฬ!J365"")"),0.0)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IFERROR(__xludf.DUMMYFUNCTION("IMPORTRANGE(""https://docs.google.com/spreadsheets/d/1XL5vhW3sbDhbH9Cz0tuDiY8C3ctxq1tqvaCgkFb8cCA/edit?usp=sharing"",""บึงกาฬ!I366"")"),0.0)</f>
        <v>0</v>
      </c>
      <c r="J471" s="223">
        <f>IFERROR(__xludf.DUMMYFUNCTION("IMPORTRANGE(""https://docs.google.com/spreadsheets/d/1XL5vhW3sbDhbH9Cz0tuDiY8C3ctxq1tqvaCgkFb8cCA/edit?usp=sharing"",""บึงกาฬ!J366"")"),0.0)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IFERROR(__xludf.DUMMYFUNCTION("IMPORTRANGE(""https://docs.google.com/spreadsheets/d/1XL5vhW3sbDhbH9Cz0tuDiY8C3ctxq1tqvaCgkFb8cCA/edit?usp=sharing"",""บึงกาฬ!I367"")"),0.0)</f>
        <v>0</v>
      </c>
      <c r="J472" s="223">
        <f>IFERROR(__xludf.DUMMYFUNCTION("IMPORTRANGE(""https://docs.google.com/spreadsheets/d/1XL5vhW3sbDhbH9Cz0tuDiY8C3ctxq1tqvaCgkFb8cCA/edit?usp=sharing"",""บึงกาฬ!J367"")"),0.0)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IFERROR(__xludf.DUMMYFUNCTION("IMPORTRANGE(""https://docs.google.com/spreadsheets/d/1XL5vhW3sbDhbH9Cz0tuDiY8C3ctxq1tqvaCgkFb8cCA/edit?usp=sharing"",""บึงกาฬ!I368"")"),37568.0)</f>
        <v>37568</v>
      </c>
      <c r="J473" s="453">
        <f>IFERROR(__xludf.DUMMYFUNCTION("IMPORTRANGE(""https://docs.google.com/spreadsheets/d/1XL5vhW3sbDhbH9Cz0tuDiY8C3ctxq1tqvaCgkFb8cCA/edit?usp=sharing"",""บึงกาฬ!J368"")"),0.0)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IFERROR(__xludf.DUMMYFUNCTION("IMPORTRANGE(""https://docs.google.com/spreadsheets/d/1XL5vhW3sbDhbH9Cz0tuDiY8C3ctxq1tqvaCgkFb8cCA/edit?usp=sharing"",""บึงกาฬ!I369"")"),2619.0)</f>
        <v>2619</v>
      </c>
      <c r="J474" s="453">
        <f>IFERROR(__xludf.DUMMYFUNCTION("IMPORTRANGE(""https://docs.google.com/spreadsheets/d/1XL5vhW3sbDhbH9Cz0tuDiY8C3ctxq1tqvaCgkFb8cCA/edit?usp=sharing"",""บึงกาฬ!J369"")"),0.0)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IFERROR(__xludf.DUMMYFUNCTION("IMPORTRANGE(""https://docs.google.com/spreadsheets/d/1XL5vhW3sbDhbH9Cz0tuDiY8C3ctxq1tqvaCgkFb8cCA/edit?usp=sharing"",""บึงกาฬ!I370"")"),0.0)</f>
        <v>0</v>
      </c>
      <c r="J475" s="223">
        <f>IFERROR(__xludf.DUMMYFUNCTION("IMPORTRANGE(""https://docs.google.com/spreadsheets/d/1XL5vhW3sbDhbH9Cz0tuDiY8C3ctxq1tqvaCgkFb8cCA/edit?usp=sharing"",""บึงกาฬ!J370"")"),0.0)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IFERROR(__xludf.DUMMYFUNCTION("IMPORTRANGE(""https://docs.google.com/spreadsheets/d/1XL5vhW3sbDhbH9Cz0tuDiY8C3ctxq1tqvaCgkFb8cCA/edit?usp=sharing"",""บึงกาฬ!I371"")"),0.0)</f>
        <v>0</v>
      </c>
      <c r="J476" s="223">
        <f>IFERROR(__xludf.DUMMYFUNCTION("IMPORTRANGE(""https://docs.google.com/spreadsheets/d/1XL5vhW3sbDhbH9Cz0tuDiY8C3ctxq1tqvaCgkFb8cCA/edit?usp=sharing"",""บึงกาฬ!J371"")"),0.0)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IFERROR(__xludf.DUMMYFUNCTION("IMPORTRANGE(""https://docs.google.com/spreadsheets/d/1XL5vhW3sbDhbH9Cz0tuDiY8C3ctxq1tqvaCgkFb8cCA/edit?usp=sharing"",""บึงกาฬ!I372"")"),0.0)</f>
        <v>0</v>
      </c>
      <c r="J477" s="223">
        <f>IFERROR(__xludf.DUMMYFUNCTION("IMPORTRANGE(""https://docs.google.com/spreadsheets/d/1XL5vhW3sbDhbH9Cz0tuDiY8C3ctxq1tqvaCgkFb8cCA/edit?usp=sharing"",""บึงกาฬ!J372"")"),0.0)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IFERROR(__xludf.DUMMYFUNCTION("IMPORTRANGE(""https://docs.google.com/spreadsheets/d/1XL5vhW3sbDhbH9Cz0tuDiY8C3ctxq1tqvaCgkFb8cCA/edit?usp=sharing"",""บึงกาฬ!I373"")"),0.0)</f>
        <v>0</v>
      </c>
      <c r="J478" s="223">
        <f>IFERROR(__xludf.DUMMYFUNCTION("IMPORTRANGE(""https://docs.google.com/spreadsheets/d/1XL5vhW3sbDhbH9Cz0tuDiY8C3ctxq1tqvaCgkFb8cCA/edit?usp=sharing"",""บึงกาฬ!J373"")"),0.0)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IFERROR(__xludf.DUMMYFUNCTION("IMPORTRANGE(""https://docs.google.com/spreadsheets/d/1XL5vhW3sbDhbH9Cz0tuDiY8C3ctxq1tqvaCgkFb8cCA/edit?usp=sharing"",""บึงกาฬ!I374"")"),0.0)</f>
        <v>0</v>
      </c>
      <c r="J479" s="223">
        <f>IFERROR(__xludf.DUMMYFUNCTION("IMPORTRANGE(""https://docs.google.com/spreadsheets/d/1XL5vhW3sbDhbH9Cz0tuDiY8C3ctxq1tqvaCgkFb8cCA/edit?usp=sharing"",""บึงกาฬ!J374"")"),0.0)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IFERROR(__xludf.DUMMYFUNCTION("IMPORTRANGE(""https://docs.google.com/spreadsheets/d/1XL5vhW3sbDhbH9Cz0tuDiY8C3ctxq1tqvaCgkFb8cCA/edit?usp=sharing"",""บึงกาฬ!I375"")"),0.0)</f>
        <v>0</v>
      </c>
      <c r="J480" s="223">
        <f>IFERROR(__xludf.DUMMYFUNCTION("IMPORTRANGE(""https://docs.google.com/spreadsheets/d/1XL5vhW3sbDhbH9Cz0tuDiY8C3ctxq1tqvaCgkFb8cCA/edit?usp=sharing"",""บึงกาฬ!J375"")"),0.0)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IFERROR(__xludf.DUMMYFUNCTION("IMPORTRANGE(""https://docs.google.com/spreadsheets/d/1XL5vhW3sbDhbH9Cz0tuDiY8C3ctxq1tqvaCgkFb8cCA/edit?usp=sharing"",""บึงกาฬ!I376"")"),37568.0)</f>
        <v>37568</v>
      </c>
      <c r="J481" s="453">
        <f>IFERROR(__xludf.DUMMYFUNCTION("IMPORTRANGE(""https://docs.google.com/spreadsheets/d/1XL5vhW3sbDhbH9Cz0tuDiY8C3ctxq1tqvaCgkFb8cCA/edit?usp=sharing"",""บึงกาฬ!J376"")"),0.0)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IFERROR(__xludf.DUMMYFUNCTION("IMPORTRANGE(""https://docs.google.com/spreadsheets/d/1XL5vhW3sbDhbH9Cz0tuDiY8C3ctxq1tqvaCgkFb8cCA/edit?usp=sharing"",""บึงกาฬ!I377"")"),2619.0)</f>
        <v>2619</v>
      </c>
      <c r="J482" s="453">
        <f>IFERROR(__xludf.DUMMYFUNCTION("IMPORTRANGE(""https://docs.google.com/spreadsheets/d/1XL5vhW3sbDhbH9Cz0tuDiY8C3ctxq1tqvaCgkFb8cCA/edit?usp=sharing"",""บึงกาฬ!J377"")"),0.0)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IFERROR(__xludf.DUMMYFUNCTION("IMPORTRANGE(""https://docs.google.com/spreadsheets/d/1XL5vhW3sbDhbH9Cz0tuDiY8C3ctxq1tqvaCgkFb8cCA/edit?usp=sharing"",""บึงกาฬ!I378"")"),0.0)</f>
        <v>0</v>
      </c>
      <c r="J483" s="223">
        <f>IFERROR(__xludf.DUMMYFUNCTION("IMPORTRANGE(""https://docs.google.com/spreadsheets/d/1XL5vhW3sbDhbH9Cz0tuDiY8C3ctxq1tqvaCgkFb8cCA/edit?usp=sharing"",""บึงกาฬ!J378"")"),0.0)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IFERROR(__xludf.DUMMYFUNCTION("IMPORTRANGE(""https://docs.google.com/spreadsheets/d/1XL5vhW3sbDhbH9Cz0tuDiY8C3ctxq1tqvaCgkFb8cCA/edit?usp=sharing"",""บึงกาฬ!I379"")"),0.0)</f>
        <v>0</v>
      </c>
      <c r="J484" s="223">
        <f>IFERROR(__xludf.DUMMYFUNCTION("IMPORTRANGE(""https://docs.google.com/spreadsheets/d/1XL5vhW3sbDhbH9Cz0tuDiY8C3ctxq1tqvaCgkFb8cCA/edit?usp=sharing"",""บึงกาฬ!J379"")"),0.0)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IFERROR(__xludf.DUMMYFUNCTION("IMPORTRANGE(""https://docs.google.com/spreadsheets/d/1XL5vhW3sbDhbH9Cz0tuDiY8C3ctxq1tqvaCgkFb8cCA/edit?usp=sharing"",""บึงกาฬ!I380"")"),0.0)</f>
        <v>0</v>
      </c>
      <c r="J485" s="223">
        <f>IFERROR(__xludf.DUMMYFUNCTION("IMPORTRANGE(""https://docs.google.com/spreadsheets/d/1XL5vhW3sbDhbH9Cz0tuDiY8C3ctxq1tqvaCgkFb8cCA/edit?usp=sharing"",""บึงกาฬ!J380"")"),0.0)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IFERROR(__xludf.DUMMYFUNCTION("IMPORTRANGE(""https://docs.google.com/spreadsheets/d/1XL5vhW3sbDhbH9Cz0tuDiY8C3ctxq1tqvaCgkFb8cCA/edit?usp=sharing"",""บึงกาฬ!I381"")"),0.0)</f>
        <v>0</v>
      </c>
      <c r="J486" s="223">
        <f>IFERROR(__xludf.DUMMYFUNCTION("IMPORTRANGE(""https://docs.google.com/spreadsheets/d/1XL5vhW3sbDhbH9Cz0tuDiY8C3ctxq1tqvaCgkFb8cCA/edit?usp=sharing"",""บึงกาฬ!J381"")"),0.0)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IFERROR(__xludf.DUMMYFUNCTION("IMPORTRANGE(""https://docs.google.com/spreadsheets/d/1XL5vhW3sbDhbH9Cz0tuDiY8C3ctxq1tqvaCgkFb8cCA/edit?usp=sharing"",""บึงกาฬ!I382"")"),0.0)</f>
        <v>0</v>
      </c>
      <c r="J487" s="453">
        <f>IFERROR(__xludf.DUMMYFUNCTION("IMPORTRANGE(""https://docs.google.com/spreadsheets/d/1XL5vhW3sbDhbH9Cz0tuDiY8C3ctxq1tqvaCgkFb8cCA/edit?usp=sharing"",""บึงกาฬ!J382"")"),0.0)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IFERROR(__xludf.DUMMYFUNCTION("IMPORTRANGE(""https://docs.google.com/spreadsheets/d/1XL5vhW3sbDhbH9Cz0tuDiY8C3ctxq1tqvaCgkFb8cCA/edit?usp=sharing"",""บึงกาฬ!I383"")"),0.0)</f>
        <v>0</v>
      </c>
      <c r="J488" s="453">
        <f>IFERROR(__xludf.DUMMYFUNCTION("IMPORTRANGE(""https://docs.google.com/spreadsheets/d/1XL5vhW3sbDhbH9Cz0tuDiY8C3ctxq1tqvaCgkFb8cCA/edit?usp=sharing"",""บึงกาฬ!J383"")"),0.0)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IFERROR(__xludf.DUMMYFUNCTION("IMPORTRANGE(""https://docs.google.com/spreadsheets/d/1XL5vhW3sbDhbH9Cz0tuDiY8C3ctxq1tqvaCgkFb8cCA/edit?usp=sharing"",""บึงกาฬ!I384"")"),0.0)</f>
        <v>0</v>
      </c>
      <c r="J489" s="223">
        <f>IFERROR(__xludf.DUMMYFUNCTION("IMPORTRANGE(""https://docs.google.com/spreadsheets/d/1XL5vhW3sbDhbH9Cz0tuDiY8C3ctxq1tqvaCgkFb8cCA/edit?usp=sharing"",""บึงกาฬ!J384"")"),0.0)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IFERROR(__xludf.DUMMYFUNCTION("IMPORTRANGE(""https://docs.google.com/spreadsheets/d/1XL5vhW3sbDhbH9Cz0tuDiY8C3ctxq1tqvaCgkFb8cCA/edit?usp=sharing"",""บึงกาฬ!I385"")"),0.0)</f>
        <v>0</v>
      </c>
      <c r="J490" s="223">
        <f>IFERROR(__xludf.DUMMYFUNCTION("IMPORTRANGE(""https://docs.google.com/spreadsheets/d/1XL5vhW3sbDhbH9Cz0tuDiY8C3ctxq1tqvaCgkFb8cCA/edit?usp=sharing"",""บึงกาฬ!J385"")"),0.0)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IFERROR(__xludf.DUMMYFUNCTION("IMPORTRANGE(""https://docs.google.com/spreadsheets/d/1XL5vhW3sbDhbH9Cz0tuDiY8C3ctxq1tqvaCgkFb8cCA/edit?usp=sharing"",""บึงกาฬ!I386"")"),0.0)</f>
        <v>0</v>
      </c>
      <c r="J491" s="223">
        <f>IFERROR(__xludf.DUMMYFUNCTION("IMPORTRANGE(""https://docs.google.com/spreadsheets/d/1XL5vhW3sbDhbH9Cz0tuDiY8C3ctxq1tqvaCgkFb8cCA/edit?usp=sharing"",""บึงกาฬ!J386"")"),0.0)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IFERROR(__xludf.DUMMYFUNCTION("IMPORTRANGE(""https://docs.google.com/spreadsheets/d/1XL5vhW3sbDhbH9Cz0tuDiY8C3ctxq1tqvaCgkFb8cCA/edit?usp=sharing"",""บึงกาฬ!I387"")"),0.0)</f>
        <v>0</v>
      </c>
      <c r="J492" s="223">
        <f>IFERROR(__xludf.DUMMYFUNCTION("IMPORTRANGE(""https://docs.google.com/spreadsheets/d/1XL5vhW3sbDhbH9Cz0tuDiY8C3ctxq1tqvaCgkFb8cCA/edit?usp=sharing"",""บึงกาฬ!J387"")"),0.0)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IFERROR(__xludf.DUMMYFUNCTION("IMPORTRANGE(""https://docs.google.com/spreadsheets/d/1XL5vhW3sbDhbH9Cz0tuDiY8C3ctxq1tqvaCgkFb8cCA/edit?usp=sharing"",""บึงกาฬ!I388"")"),0.0)</f>
        <v>0</v>
      </c>
      <c r="J493" s="223">
        <f>IFERROR(__xludf.DUMMYFUNCTION("IMPORTRANGE(""https://docs.google.com/spreadsheets/d/1XL5vhW3sbDhbH9Cz0tuDiY8C3ctxq1tqvaCgkFb8cCA/edit?usp=sharing"",""บึงกาฬ!J388"")"),0.0)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IFERROR(__xludf.DUMMYFUNCTION("IMPORTRANGE(""https://docs.google.com/spreadsheets/d/1XL5vhW3sbDhbH9Cz0tuDiY8C3ctxq1tqvaCgkFb8cCA/edit?usp=sharing"",""บึงกาฬ!I389"")"),0.0)</f>
        <v>0</v>
      </c>
      <c r="J494" s="469">
        <f>IFERROR(__xludf.DUMMYFUNCTION("IMPORTRANGE(""https://docs.google.com/spreadsheets/d/1XL5vhW3sbDhbH9Cz0tuDiY8C3ctxq1tqvaCgkFb8cCA/edit?usp=sharing"",""บึงกาฬ!J389"")"),0.0)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IFERROR(__xludf.DUMMYFUNCTION("IMPORTRANGE(""https://docs.google.com/spreadsheets/d/1XL5vhW3sbDhbH9Cz0tuDiY8C3ctxq1tqvaCgkFb8cCA/edit?usp=sharing"",""บึงกาฬ!I390"")"),0.0)</f>
        <v>0</v>
      </c>
      <c r="J495" s="469">
        <f>IFERROR(__xludf.DUMMYFUNCTION("IMPORTRANGE(""https://docs.google.com/spreadsheets/d/1XL5vhW3sbDhbH9Cz0tuDiY8C3ctxq1tqvaCgkFb8cCA/edit?usp=sharing"",""บึงกาฬ!J390"")"),0.0)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IFERROR(__xludf.DUMMYFUNCTION("IMPORTRANGE(""https://docs.google.com/spreadsheets/d/1XL5vhW3sbDhbH9Cz0tuDiY8C3ctxq1tqvaCgkFb8cCA/edit?usp=sharing"",""บึงกาฬ!I391"")"),0.0)</f>
        <v>0</v>
      </c>
      <c r="J496" s="469">
        <f>IFERROR(__xludf.DUMMYFUNCTION("IMPORTRANGE(""https://docs.google.com/spreadsheets/d/1XL5vhW3sbDhbH9Cz0tuDiY8C3ctxq1tqvaCgkFb8cCA/edit?usp=sharing"",""บึงกาฬ!J391"")"),0.0)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IFERROR(__xludf.DUMMYFUNCTION("IMPORTRANGE(""https://docs.google.com/spreadsheets/d/1XL5vhW3sbDhbH9Cz0tuDiY8C3ctxq1tqvaCgkFb8cCA/edit?usp=sharing"",""บึงกาฬ!I392"")"),7102.0)</f>
        <v>7102</v>
      </c>
      <c r="J497" s="476">
        <f>IFERROR(__xludf.DUMMYFUNCTION("IMPORTRANGE(""https://docs.google.com/spreadsheets/d/1XL5vhW3sbDhbH9Cz0tuDiY8C3ctxq1tqvaCgkFb8cCA/edit?usp=sharing"",""บึงกาฬ!J392"")"),0.0)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IFERROR(__xludf.DUMMYFUNCTION("IMPORTRANGE(""https://docs.google.com/spreadsheets/d/1XL5vhW3sbDhbH9Cz0tuDiY8C3ctxq1tqvaCgkFb8cCA/edit?usp=sharing"",""บึงกาฬ!I393"")"),7102.0)</f>
        <v>7102</v>
      </c>
      <c r="J498" s="453">
        <f>IFERROR(__xludf.DUMMYFUNCTION("IMPORTRANGE(""https://docs.google.com/spreadsheets/d/1XL5vhW3sbDhbH9Cz0tuDiY8C3ctxq1tqvaCgkFb8cCA/edit?usp=sharing"",""บึงกาฬ!J393"")"),0.0)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IFERROR(__xludf.DUMMYFUNCTION("IMPORTRANGE(""https://docs.google.com/spreadsheets/d/1XL5vhW3sbDhbH9Cz0tuDiY8C3ctxq1tqvaCgkFb8cCA/edit?usp=sharing"",""บึงกาฬ!I394"")"),504.0)</f>
        <v>504</v>
      </c>
      <c r="J499" s="453">
        <f>IFERROR(__xludf.DUMMYFUNCTION("IMPORTRANGE(""https://docs.google.com/spreadsheets/d/1XL5vhW3sbDhbH9Cz0tuDiY8C3ctxq1tqvaCgkFb8cCA/edit?usp=sharing"",""บึงกาฬ!J394"")"),0.0)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IFERROR(__xludf.DUMMYFUNCTION("IMPORTRANGE(""https://docs.google.com/spreadsheets/d/1XL5vhW3sbDhbH9Cz0tuDiY8C3ctxq1tqvaCgkFb8cCA/edit?usp=sharing"",""บึงกาฬ!I395"")"),0.0)</f>
        <v>0</v>
      </c>
      <c r="J500" s="195">
        <f>IFERROR(__xludf.DUMMYFUNCTION("IMPORTRANGE(""https://docs.google.com/spreadsheets/d/1XL5vhW3sbDhbH9Cz0tuDiY8C3ctxq1tqvaCgkFb8cCA/edit?usp=sharing"",""บึงกาฬ!J395"")"),0.0)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IFERROR(__xludf.DUMMYFUNCTION("IMPORTRANGE(""https://docs.google.com/spreadsheets/d/1XL5vhW3sbDhbH9Cz0tuDiY8C3ctxq1tqvaCgkFb8cCA/edit?usp=sharing"",""บึงกาฬ!I396"")"),0.0)</f>
        <v>0</v>
      </c>
      <c r="J501" s="195">
        <f>IFERROR(__xludf.DUMMYFUNCTION("IMPORTRANGE(""https://docs.google.com/spreadsheets/d/1XL5vhW3sbDhbH9Cz0tuDiY8C3ctxq1tqvaCgkFb8cCA/edit?usp=sharing"",""บึงกาฬ!J396"")"),0.0)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IFERROR(__xludf.DUMMYFUNCTION("IMPORTRANGE(""https://docs.google.com/spreadsheets/d/1XL5vhW3sbDhbH9Cz0tuDiY8C3ctxq1tqvaCgkFb8cCA/edit?usp=sharing"",""บึงกาฬ!I397"")"),0.0)</f>
        <v>0</v>
      </c>
      <c r="J502" s="223">
        <f>IFERROR(__xludf.DUMMYFUNCTION("IMPORTRANGE(""https://docs.google.com/spreadsheets/d/1XL5vhW3sbDhbH9Cz0tuDiY8C3ctxq1tqvaCgkFb8cCA/edit?usp=sharing"",""บึงกาฬ!J397"")"),0.0)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IFERROR(__xludf.DUMMYFUNCTION("IMPORTRANGE(""https://docs.google.com/spreadsheets/d/1XL5vhW3sbDhbH9Cz0tuDiY8C3ctxq1tqvaCgkFb8cCA/edit?usp=sharing"",""บึงกาฬ!I398"")"),0.0)</f>
        <v>0</v>
      </c>
      <c r="J503" s="232">
        <f>IFERROR(__xludf.DUMMYFUNCTION("IMPORTRANGE(""https://docs.google.com/spreadsheets/d/1XL5vhW3sbDhbH9Cz0tuDiY8C3ctxq1tqvaCgkFb8cCA/edit?usp=sharing"",""บึงกาฬ!J398"")"),0.0)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IFERROR(__xludf.DUMMYFUNCTION("IMPORTRANGE(""https://docs.google.com/spreadsheets/d/1XL5vhW3sbDhbH9Cz0tuDiY8C3ctxq1tqvaCgkFb8cCA/edit?usp=sharing"",""บึงกาฬ!I399"")"),0.0)</f>
        <v>0</v>
      </c>
      <c r="J504" s="223">
        <f>IFERROR(__xludf.DUMMYFUNCTION("IMPORTRANGE(""https://docs.google.com/spreadsheets/d/1XL5vhW3sbDhbH9Cz0tuDiY8C3ctxq1tqvaCgkFb8cCA/edit?usp=sharing"",""บึงกาฬ!J399"")"),0.0)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IFERROR(__xludf.DUMMYFUNCTION("IMPORTRANGE(""https://docs.google.com/spreadsheets/d/1XL5vhW3sbDhbH9Cz0tuDiY8C3ctxq1tqvaCgkFb8cCA/edit?usp=sharing"",""บึงกาฬ!I400"")"),0.0)</f>
        <v>0</v>
      </c>
      <c r="J505" s="232">
        <f>IFERROR(__xludf.DUMMYFUNCTION("IMPORTRANGE(""https://docs.google.com/spreadsheets/d/1XL5vhW3sbDhbH9Cz0tuDiY8C3ctxq1tqvaCgkFb8cCA/edit?usp=sharing"",""บึงกาฬ!J400"")"),0.0)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IFERROR(__xludf.DUMMYFUNCTION("IMPORTRANGE(""https://docs.google.com/spreadsheets/d/1XL5vhW3sbDhbH9Cz0tuDiY8C3ctxq1tqvaCgkFb8cCA/edit?usp=sharing"",""บึงกาฬ!I401"")"),0.0)</f>
        <v>0</v>
      </c>
      <c r="J506" s="223">
        <f>IFERROR(__xludf.DUMMYFUNCTION("IMPORTRANGE(""https://docs.google.com/spreadsheets/d/1XL5vhW3sbDhbH9Cz0tuDiY8C3ctxq1tqvaCgkFb8cCA/edit?usp=sharing"",""บึงกาฬ!J401"")"),0.0)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IFERROR(__xludf.DUMMYFUNCTION("IMPORTRANGE(""https://docs.google.com/spreadsheets/d/1XL5vhW3sbDhbH9Cz0tuDiY8C3ctxq1tqvaCgkFb8cCA/edit?usp=sharing"",""บึงกาฬ!I402"")"),0.0)</f>
        <v>0</v>
      </c>
      <c r="J507" s="232">
        <f>IFERROR(__xludf.DUMMYFUNCTION("IMPORTRANGE(""https://docs.google.com/spreadsheets/d/1XL5vhW3sbDhbH9Cz0tuDiY8C3ctxq1tqvaCgkFb8cCA/edit?usp=sharing"",""บึงกาฬ!J402"")"),0.0)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IFERROR(__xludf.DUMMYFUNCTION("IMPORTRANGE(""https://docs.google.com/spreadsheets/d/1XL5vhW3sbDhbH9Cz0tuDiY8C3ctxq1tqvaCgkFb8cCA/edit?usp=sharing"",""บึงกาฬ!I403"")"),0.0)</f>
        <v>0</v>
      </c>
      <c r="J508" s="195">
        <f>IFERROR(__xludf.DUMMYFUNCTION("IMPORTRANGE(""https://docs.google.com/spreadsheets/d/1XL5vhW3sbDhbH9Cz0tuDiY8C3ctxq1tqvaCgkFb8cCA/edit?usp=sharing"",""บึงกาฬ!J403"")"),0.0)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IFERROR(__xludf.DUMMYFUNCTION("IMPORTRANGE(""https://docs.google.com/spreadsheets/d/1XL5vhW3sbDhbH9Cz0tuDiY8C3ctxq1tqvaCgkFb8cCA/edit?usp=sharing"",""บึงกาฬ!I404"")"),0.0)</f>
        <v>0</v>
      </c>
      <c r="J509" s="195">
        <f>IFERROR(__xludf.DUMMYFUNCTION("IMPORTRANGE(""https://docs.google.com/spreadsheets/d/1XL5vhW3sbDhbH9Cz0tuDiY8C3ctxq1tqvaCgkFb8cCA/edit?usp=sharing"",""บึงกาฬ!J404"")"),0.0)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IFERROR(__xludf.DUMMYFUNCTION("IMPORTRANGE(""https://docs.google.com/spreadsheets/d/1XL5vhW3sbDhbH9Cz0tuDiY8C3ctxq1tqvaCgkFb8cCA/edit?usp=sharing"",""บึงกาฬ!I405"")"),0.0)</f>
        <v>0</v>
      </c>
      <c r="J510" s="232">
        <f>IFERROR(__xludf.DUMMYFUNCTION("IMPORTRANGE(""https://docs.google.com/spreadsheets/d/1XL5vhW3sbDhbH9Cz0tuDiY8C3ctxq1tqvaCgkFb8cCA/edit?usp=sharing"",""บึงกาฬ!J405"")"),0.0)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IFERROR(__xludf.DUMMYFUNCTION("IMPORTRANGE(""https://docs.google.com/spreadsheets/d/1XL5vhW3sbDhbH9Cz0tuDiY8C3ctxq1tqvaCgkFb8cCA/edit?usp=sharing"",""บึงกาฬ!I406"")"),0.0)</f>
        <v>0</v>
      </c>
      <c r="J511" s="232">
        <f>IFERROR(__xludf.DUMMYFUNCTION("IMPORTRANGE(""https://docs.google.com/spreadsheets/d/1XL5vhW3sbDhbH9Cz0tuDiY8C3ctxq1tqvaCgkFb8cCA/edit?usp=sharing"",""บึงกาฬ!J406"")"),0.0)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IFERROR(__xludf.DUMMYFUNCTION("IMPORTRANGE(""https://docs.google.com/spreadsheets/d/1XL5vhW3sbDhbH9Cz0tuDiY8C3ctxq1tqvaCgkFb8cCA/edit?usp=sharing"",""บึงกาฬ!I407"")"),0.0)</f>
        <v>0</v>
      </c>
      <c r="J512" s="232">
        <f>IFERROR(__xludf.DUMMYFUNCTION("IMPORTRANGE(""https://docs.google.com/spreadsheets/d/1XL5vhW3sbDhbH9Cz0tuDiY8C3ctxq1tqvaCgkFb8cCA/edit?usp=sharing"",""บึงกาฬ!J407"")"),0.0)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IFERROR(__xludf.DUMMYFUNCTION("IMPORTRANGE(""https://docs.google.com/spreadsheets/d/1XL5vhW3sbDhbH9Cz0tuDiY8C3ctxq1tqvaCgkFb8cCA/edit?usp=sharing"",""บึงกาฬ!I408"")"),0.0)</f>
        <v>0</v>
      </c>
      <c r="J513" s="232">
        <f>IFERROR(__xludf.DUMMYFUNCTION("IMPORTRANGE(""https://docs.google.com/spreadsheets/d/1XL5vhW3sbDhbH9Cz0tuDiY8C3ctxq1tqvaCgkFb8cCA/edit?usp=sharing"",""บึงกาฬ!J408"")"),0.0)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IFERROR(__xludf.DUMMYFUNCTION("IMPORTRANGE(""https://docs.google.com/spreadsheets/d/1XL5vhW3sbDhbH9Cz0tuDiY8C3ctxq1tqvaCgkFb8cCA/edit?usp=sharing"",""บึงกาฬ!I409"")"),0.0)</f>
        <v>0</v>
      </c>
      <c r="J514" s="232">
        <f>IFERROR(__xludf.DUMMYFUNCTION("IMPORTRANGE(""https://docs.google.com/spreadsheets/d/1XL5vhW3sbDhbH9Cz0tuDiY8C3ctxq1tqvaCgkFb8cCA/edit?usp=sharing"",""บึงกาฬ!J409"")"),0.0)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IFERROR(__xludf.DUMMYFUNCTION("IMPORTRANGE(""https://docs.google.com/spreadsheets/d/1XL5vhW3sbDhbH9Cz0tuDiY8C3ctxq1tqvaCgkFb8cCA/edit?usp=sharing"",""บึงกาฬ!I410"")"),0.0)</f>
        <v>0</v>
      </c>
      <c r="J515" s="232">
        <f>IFERROR(__xludf.DUMMYFUNCTION("IMPORTRANGE(""https://docs.google.com/spreadsheets/d/1XL5vhW3sbDhbH9Cz0tuDiY8C3ctxq1tqvaCgkFb8cCA/edit?usp=sharing"",""บึงกาฬ!J410"")"),0.0)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IFERROR(__xludf.DUMMYFUNCTION("IMPORTRANGE(""https://docs.google.com/spreadsheets/d/1XL5vhW3sbDhbH9Cz0tuDiY8C3ctxq1tqvaCgkFb8cCA/edit?usp=sharing"",""บึงกาฬ!I411"")"),0.0)</f>
        <v>0</v>
      </c>
      <c r="J516" s="301">
        <f>IFERROR(__xludf.DUMMYFUNCTION("IMPORTRANGE(""https://docs.google.com/spreadsheets/d/1XL5vhW3sbDhbH9Cz0tuDiY8C3ctxq1tqvaCgkFb8cCA/edit?usp=sharing"",""บึงกาฬ!J411"")"),0.0)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IFERROR(__xludf.DUMMYFUNCTION("IMPORTRANGE(""https://docs.google.com/spreadsheets/d/1XL5vhW3sbDhbH9Cz0tuDiY8C3ctxq1tqvaCgkFb8cCA/edit?usp=sharing"",""บึงกาฬ!I412"")"),0.0)</f>
        <v>0</v>
      </c>
      <c r="J517" s="317">
        <f>IFERROR(__xludf.DUMMYFUNCTION("IMPORTRANGE(""https://docs.google.com/spreadsheets/d/1XL5vhW3sbDhbH9Cz0tuDiY8C3ctxq1tqvaCgkFb8cCA/edit?usp=sharing"",""บึงกาฬ!J412"")"),0.0)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IFERROR(__xludf.DUMMYFUNCTION("IMPORTRANGE(""https://docs.google.com/spreadsheets/d/1XL5vhW3sbDhbH9Cz0tuDiY8C3ctxq1tqvaCgkFb8cCA/edit?usp=sharing"",""บึงกาฬ!I413"")"),0.0)</f>
        <v>0</v>
      </c>
      <c r="J518" s="317">
        <f>IFERROR(__xludf.DUMMYFUNCTION("IMPORTRANGE(""https://docs.google.com/spreadsheets/d/1XL5vhW3sbDhbH9Cz0tuDiY8C3ctxq1tqvaCgkFb8cCA/edit?usp=sharing"",""บึงกาฬ!J413"")"),0.0)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IFERROR(__xludf.DUMMYFUNCTION("IMPORTRANGE(""https://docs.google.com/spreadsheets/d/1XL5vhW3sbDhbH9Cz0tuDiY8C3ctxq1tqvaCgkFb8cCA/edit?usp=sharing"",""บึงกาฬ!I414"")"),0.0)</f>
        <v>0</v>
      </c>
      <c r="J519" s="222">
        <f>IFERROR(__xludf.DUMMYFUNCTION("IMPORTRANGE(""https://docs.google.com/spreadsheets/d/1XL5vhW3sbDhbH9Cz0tuDiY8C3ctxq1tqvaCgkFb8cCA/edit?usp=sharing"",""บึงกาฬ!J414"")"),0.0)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IFERROR(__xludf.DUMMYFUNCTION("IMPORTRANGE(""https://docs.google.com/spreadsheets/d/1XL5vhW3sbDhbH9Cz0tuDiY8C3ctxq1tqvaCgkFb8cCA/edit?usp=sharing"",""บึงกาฬ!I415"")"),0.0)</f>
        <v>0</v>
      </c>
      <c r="J520" s="222">
        <f>IFERROR(__xludf.DUMMYFUNCTION("IMPORTRANGE(""https://docs.google.com/spreadsheets/d/1XL5vhW3sbDhbH9Cz0tuDiY8C3ctxq1tqvaCgkFb8cCA/edit?usp=sharing"",""บึงกาฬ!J415"")"),0.0)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IFERROR(__xludf.DUMMYFUNCTION("IMPORTRANGE(""https://docs.google.com/spreadsheets/d/1XL5vhW3sbDhbH9Cz0tuDiY8C3ctxq1tqvaCgkFb8cCA/edit?usp=sharing"",""บึงกาฬ!I416"")"),0.0)</f>
        <v>0</v>
      </c>
      <c r="J521" s="222">
        <f>IFERROR(__xludf.DUMMYFUNCTION("IMPORTRANGE(""https://docs.google.com/spreadsheets/d/1XL5vhW3sbDhbH9Cz0tuDiY8C3ctxq1tqvaCgkFb8cCA/edit?usp=sharing"",""บึงกาฬ!J416"")"),0.0)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IFERROR(__xludf.DUMMYFUNCTION("IMPORTRANGE(""https://docs.google.com/spreadsheets/d/1XL5vhW3sbDhbH9Cz0tuDiY8C3ctxq1tqvaCgkFb8cCA/edit?usp=sharing"",""บึงกาฬ!I417"")"),0.0)</f>
        <v>0</v>
      </c>
      <c r="J522" s="222">
        <f>IFERROR(__xludf.DUMMYFUNCTION("IMPORTRANGE(""https://docs.google.com/spreadsheets/d/1XL5vhW3sbDhbH9Cz0tuDiY8C3ctxq1tqvaCgkFb8cCA/edit?usp=sharing"",""บึงกาฬ!J417"")"),0.0)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IFERROR(__xludf.DUMMYFUNCTION("IMPORTRANGE(""https://docs.google.com/spreadsheets/d/1XL5vhW3sbDhbH9Cz0tuDiY8C3ctxq1tqvaCgkFb8cCA/edit?usp=sharing"",""บึงกาฬ!I418"")"),0.0)</f>
        <v>0</v>
      </c>
      <c r="J523" s="222">
        <f>IFERROR(__xludf.DUMMYFUNCTION("IMPORTRANGE(""https://docs.google.com/spreadsheets/d/1XL5vhW3sbDhbH9Cz0tuDiY8C3ctxq1tqvaCgkFb8cCA/edit?usp=sharing"",""บึงกาฬ!J418"")"),0.0)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IFERROR(__xludf.DUMMYFUNCTION("IMPORTRANGE(""https://docs.google.com/spreadsheets/d/1XL5vhW3sbDhbH9Cz0tuDiY8C3ctxq1tqvaCgkFb8cCA/edit?usp=sharing"",""บึงกาฬ!I419"")"),0.0)</f>
        <v>0</v>
      </c>
      <c r="J524" s="222">
        <f>IFERROR(__xludf.DUMMYFUNCTION("IMPORTRANGE(""https://docs.google.com/spreadsheets/d/1XL5vhW3sbDhbH9Cz0tuDiY8C3ctxq1tqvaCgkFb8cCA/edit?usp=sharing"",""บึงกาฬ!J419"")"),0.0)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IFERROR(__xludf.DUMMYFUNCTION("IMPORTRANGE(""https://docs.google.com/spreadsheets/d/1XL5vhW3sbDhbH9Cz0tuDiY8C3ctxq1tqvaCgkFb8cCA/edit?usp=sharing"",""บึงกาฬ!I420"")"),0.0)</f>
        <v>0</v>
      </c>
      <c r="J525" s="317">
        <f>IFERROR(__xludf.DUMMYFUNCTION("IMPORTRANGE(""https://docs.google.com/spreadsheets/d/1XL5vhW3sbDhbH9Cz0tuDiY8C3ctxq1tqvaCgkFb8cCA/edit?usp=sharing"",""บึงกาฬ!J420"")"),0.0)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IFERROR(__xludf.DUMMYFUNCTION("IMPORTRANGE(""https://docs.google.com/spreadsheets/d/1XL5vhW3sbDhbH9Cz0tuDiY8C3ctxq1tqvaCgkFb8cCA/edit?usp=sharing"",""บึงกาฬ!I421"")"),0.0)</f>
        <v>0</v>
      </c>
      <c r="J526" s="317">
        <f>IFERROR(__xludf.DUMMYFUNCTION("IMPORTRANGE(""https://docs.google.com/spreadsheets/d/1XL5vhW3sbDhbH9Cz0tuDiY8C3ctxq1tqvaCgkFb8cCA/edit?usp=sharing"",""บึงกาฬ!J421"")"),0.0)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IFERROR(__xludf.DUMMYFUNCTION("IMPORTRANGE(""https://docs.google.com/spreadsheets/d/1XL5vhW3sbDhbH9Cz0tuDiY8C3ctxq1tqvaCgkFb8cCA/edit?usp=sharing"",""บึงกาฬ!I422"")"),0.0)</f>
        <v>0</v>
      </c>
      <c r="J527" s="232">
        <f>IFERROR(__xludf.DUMMYFUNCTION("IMPORTRANGE(""https://docs.google.com/spreadsheets/d/1XL5vhW3sbDhbH9Cz0tuDiY8C3ctxq1tqvaCgkFb8cCA/edit?usp=sharing"",""บึงกาฬ!J422"")"),0.0)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IFERROR(__xludf.DUMMYFUNCTION("IMPORTRANGE(""https://docs.google.com/spreadsheets/d/1XL5vhW3sbDhbH9Cz0tuDiY8C3ctxq1tqvaCgkFb8cCA/edit?usp=sharing"",""บึงกาฬ!I423"")"),0.0)</f>
        <v>0</v>
      </c>
      <c r="J528" s="232">
        <f>IFERROR(__xludf.DUMMYFUNCTION("IMPORTRANGE(""https://docs.google.com/spreadsheets/d/1XL5vhW3sbDhbH9Cz0tuDiY8C3ctxq1tqvaCgkFb8cCA/edit?usp=sharing"",""บึงกาฬ!J423"")"),0.0)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IFERROR(__xludf.DUMMYFUNCTION("IMPORTRANGE(""https://docs.google.com/spreadsheets/d/1XL5vhW3sbDhbH9Cz0tuDiY8C3ctxq1tqvaCgkFb8cCA/edit?usp=sharing"",""บึงกาฬ!I424"")"),0.0)</f>
        <v>0</v>
      </c>
      <c r="J529" s="232">
        <f>IFERROR(__xludf.DUMMYFUNCTION("IMPORTRANGE(""https://docs.google.com/spreadsheets/d/1XL5vhW3sbDhbH9Cz0tuDiY8C3ctxq1tqvaCgkFb8cCA/edit?usp=sharing"",""บึงกาฬ!J424"")"),0.0)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IFERROR(__xludf.DUMMYFUNCTION("IMPORTRANGE(""https://docs.google.com/spreadsheets/d/1XL5vhW3sbDhbH9Cz0tuDiY8C3ctxq1tqvaCgkFb8cCA/edit?usp=sharing"",""บึงกาฬ!I425"")"),0.0)</f>
        <v>0</v>
      </c>
      <c r="J530" s="232">
        <f>IFERROR(__xludf.DUMMYFUNCTION("IMPORTRANGE(""https://docs.google.com/spreadsheets/d/1XL5vhW3sbDhbH9Cz0tuDiY8C3ctxq1tqvaCgkFb8cCA/edit?usp=sharing"",""บึงกาฬ!J425"")"),0.0)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IFERROR(__xludf.DUMMYFUNCTION("IMPORTRANGE(""https://docs.google.com/spreadsheets/d/1XL5vhW3sbDhbH9Cz0tuDiY8C3ctxq1tqvaCgkFb8cCA/edit?usp=sharing"",""บึงกาฬ!I426"")"),0.0)</f>
        <v>0</v>
      </c>
      <c r="J531" s="232">
        <f>IFERROR(__xludf.DUMMYFUNCTION("IMPORTRANGE(""https://docs.google.com/spreadsheets/d/1XL5vhW3sbDhbH9Cz0tuDiY8C3ctxq1tqvaCgkFb8cCA/edit?usp=sharing"",""บึงกาฬ!J426"")"),0.0)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IFERROR(__xludf.DUMMYFUNCTION("IMPORTRANGE(""https://docs.google.com/spreadsheets/d/1XL5vhW3sbDhbH9Cz0tuDiY8C3ctxq1tqvaCgkFb8cCA/edit?usp=sharing"",""บึงกาฬ!I427"")"),0.0)</f>
        <v>0</v>
      </c>
      <c r="J532" s="499">
        <f>IFERROR(__xludf.DUMMYFUNCTION("IMPORTRANGE(""https://docs.google.com/spreadsheets/d/1XL5vhW3sbDhbH9Cz0tuDiY8C3ctxq1tqvaCgkFb8cCA/edit?usp=sharing"",""บึงกาฬ!J427"")"),0.0)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IFERROR(__xludf.DUMMYFUNCTION("IMPORTRANGE(""https://docs.google.com/spreadsheets/d/1XL5vhW3sbDhbH9Cz0tuDiY8C3ctxq1tqvaCgkFb8cCA/edit?usp=sharing"",""บึงกาฬ!I428"")"),30.0)</f>
        <v>30</v>
      </c>
      <c r="J533" s="443">
        <f>IFERROR(__xludf.DUMMYFUNCTION("IMPORTRANGE(""https://docs.google.com/spreadsheets/d/1XL5vhW3sbDhbH9Cz0tuDiY8C3ctxq1tqvaCgkFb8cCA/edit?usp=sharing"",""บึงกาฬ!J428"")"),30.0)</f>
        <v>30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IFERROR(__xludf.DUMMYFUNCTION("IMPORTRANGE(""https://docs.google.com/spreadsheets/d/1XL5vhW3sbDhbH9Cz0tuDiY8C3ctxq1tqvaCgkFb8cCA/edit?usp=sharing"",""บึงกาฬ!L428"")"),41140.0)</f>
        <v>41140</v>
      </c>
      <c r="M533" s="445"/>
      <c r="N533" s="445">
        <f>IFERROR(__xludf.DUMMYFUNCTION("IMPORTRANGE(""https://docs.google.com/spreadsheets/d/1XL5vhW3sbDhbH9Cz0tuDiY8C3ctxq1tqvaCgkFb8cCA/edit?usp=sharing"",""บึงกาฬ!M428"")"),34512.0)</f>
        <v>34512</v>
      </c>
      <c r="O533" s="445">
        <f t="shared" ref="O533:O537" si="119">+IF(L533&gt;0,N533*100/L533,0)</f>
        <v>83.88915897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IFERROR(__xludf.DUMMYFUNCTION("IMPORTRANGE(""https://docs.google.com/spreadsheets/d/1XL5vhW3sbDhbH9Cz0tuDiY8C3ctxq1tqvaCgkFb8cCA/edit?usp=sharing"",""บึงกาฬ!L429"")"),0.0)</f>
        <v>0</v>
      </c>
      <c r="M534" s="197"/>
      <c r="N534" s="203">
        <f>IFERROR(__xludf.DUMMYFUNCTION("IMPORTRANGE(""https://docs.google.com/spreadsheets/d/1XL5vhW3sbDhbH9Cz0tuDiY8C3ctxq1tqvaCgkFb8cCA/edit?usp=sharing"",""บึงกาฬ!M429"")"),0.0)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IFERROR(__xludf.DUMMYFUNCTION("IMPORTRANGE(""https://docs.google.com/spreadsheets/d/1XL5vhW3sbDhbH9Cz0tuDiY8C3ctxq1tqvaCgkFb8cCA/edit?usp=sharing"",""บึงกาฬ!L430"")"),41140.0)</f>
        <v>41140</v>
      </c>
      <c r="M535" s="198"/>
      <c r="N535" s="203">
        <f>IFERROR(__xludf.DUMMYFUNCTION("IMPORTRANGE(""https://docs.google.com/spreadsheets/d/1XL5vhW3sbDhbH9Cz0tuDiY8C3ctxq1tqvaCgkFb8cCA/edit?usp=sharing"",""บึงกาฬ!M430"")"),34512.0)</f>
        <v>34512</v>
      </c>
      <c r="O535" s="203">
        <f t="shared" si="119"/>
        <v>83.88915897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IFERROR(__xludf.DUMMYFUNCTION("IMPORTRANGE(""https://docs.google.com/spreadsheets/d/1XL5vhW3sbDhbH9Cz0tuDiY8C3ctxq1tqvaCgkFb8cCA/edit?usp=sharing"",""บึงกาฬ!L431"")"),0.0)</f>
        <v>0</v>
      </c>
      <c r="M536" s="203"/>
      <c r="N536" s="203">
        <f>IFERROR(__xludf.DUMMYFUNCTION("IMPORTRANGE(""https://docs.google.com/spreadsheets/d/1XL5vhW3sbDhbH9Cz0tuDiY8C3ctxq1tqvaCgkFb8cCA/edit?usp=sharing"",""บึงกาฬ!M431"")"),0.0)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IFERROR(__xludf.DUMMYFUNCTION("IMPORTRANGE(""https://docs.google.com/spreadsheets/d/1XL5vhW3sbDhbH9Cz0tuDiY8C3ctxq1tqvaCgkFb8cCA/edit?usp=sharing"",""บึงกาฬ!L432"")"),41140.0)</f>
        <v>41140</v>
      </c>
      <c r="M537" s="203"/>
      <c r="N537" s="203">
        <f>IFERROR(__xludf.DUMMYFUNCTION("IMPORTRANGE(""https://docs.google.com/spreadsheets/d/1XL5vhW3sbDhbH9Cz0tuDiY8C3ctxq1tqvaCgkFb8cCA/edit?usp=sharing"",""บึงกาฬ!M432"")"),34512.0)</f>
        <v>34512</v>
      </c>
      <c r="O537" s="203">
        <f t="shared" si="119"/>
        <v>83.88915897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IFERROR(__xludf.DUMMYFUNCTION("IMPORTRANGE(""https://docs.google.com/spreadsheets/d/1XL5vhW3sbDhbH9Cz0tuDiY8C3ctxq1tqvaCgkFb8cCA/edit?usp=sharing"",""บึงกาฬ!M433"")"),34512.0)</f>
        <v>34512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IFERROR(__xludf.DUMMYFUNCTION("IMPORTRANGE(""https://docs.google.com/spreadsheets/d/1XL5vhW3sbDhbH9Cz0tuDiY8C3ctxq1tqvaCgkFb8cCA/edit?usp=sharing"",""บึงกาฬ!M434"")"),0.0)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IFERROR(__xludf.DUMMYFUNCTION("IMPORTRANGE(""https://docs.google.com/spreadsheets/d/1XL5vhW3sbDhbH9Cz0tuDiY8C3ctxq1tqvaCgkFb8cCA/edit?usp=sharing"",""บึงกาฬ!M435"")"),0.0)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IFERROR(__xludf.DUMMYFUNCTION("IMPORTRANGE(""https://docs.google.com/spreadsheets/d/1XL5vhW3sbDhbH9Cz0tuDiY8C3ctxq1tqvaCgkFb8cCA/edit?usp=sharing"",""บึงกาฬ!M436"")"),0.0)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IFERROR(__xludf.DUMMYFUNCTION("IMPORTRANGE(""https://docs.google.com/spreadsheets/d/1XL5vhW3sbDhbH9Cz0tuDiY8C3ctxq1tqvaCgkFb8cCA/edit?usp=sharing"",""บึงกาฬ!J438"")"),0.0)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IFERROR(__xludf.DUMMYFUNCTION("IMPORTRANGE(""https://docs.google.com/spreadsheets/d/1XL5vhW3sbDhbH9Cz0tuDiY8C3ctxq1tqvaCgkFb8cCA/edit?usp=sharing"",""บึงกาฬ!J439"")"),1.0)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IFERROR(__xludf.DUMMYFUNCTION("IMPORTRANGE(""https://docs.google.com/spreadsheets/d/1XL5vhW3sbDhbH9Cz0tuDiY8C3ctxq1tqvaCgkFb8cCA/edit?usp=sharing"",""บึงกาฬ!J440"")"),0.0)</f>
        <v>0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IFERROR(__xludf.DUMMYFUNCTION("IMPORTRANGE(""https://docs.google.com/spreadsheets/d/1XL5vhW3sbDhbH9Cz0tuDiY8C3ctxq1tqvaCgkFb8cCA/edit?usp=sharing"",""บึงกาฬ!J441"")"),0.0)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IFERROR(__xludf.DUMMYFUNCTION("IMPORTRANGE(""https://docs.google.com/spreadsheets/d/1XL5vhW3sbDhbH9Cz0tuDiY8C3ctxq1tqvaCgkFb8cCA/edit?usp=sharing"",""บึงกาฬ!I442"")"),30.0)</f>
        <v>30</v>
      </c>
      <c r="J547" s="223">
        <f>IFERROR(__xludf.DUMMYFUNCTION("IMPORTRANGE(""https://docs.google.com/spreadsheets/d/1XL5vhW3sbDhbH9Cz0tuDiY8C3ctxq1tqvaCgkFb8cCA/edit?usp=sharing"",""บึงกาฬ!J442"")"),30.0)</f>
        <v>30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IFERROR(__xludf.DUMMYFUNCTION("IMPORTRANGE(""https://docs.google.com/spreadsheets/d/1XL5vhW3sbDhbH9Cz0tuDiY8C3ctxq1tqvaCgkFb8cCA/edit?usp=sharing"",""บึงกาฬ!J166"")"),0.0)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IFERROR(__xludf.DUMMYFUNCTION("IMPORTRANGE(""https://docs.google.com/spreadsheets/d/1XL5vhW3sbDhbH9Cz0tuDiY8C3ctxq1tqvaCgkFb8cCA/edit?usp=sharing"",""บึงกาฬ!J444"")"),0.0)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IFERROR(__xludf.DUMMYFUNCTION("IMPORTRANGE(""https://docs.google.com/spreadsheets/d/1XL5vhW3sbDhbH9Cz0tuDiY8C3ctxq1tqvaCgkFb8cCA/edit?usp=sharing"",""บึงกาฬ!J445"")"),0.0)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IFERROR(__xludf.DUMMYFUNCTION("IMPORTRANGE(""https://docs.google.com/spreadsheets/d/1XL5vhW3sbDhbH9Cz0tuDiY8C3ctxq1tqvaCgkFb8cCA/edit?usp=sharing"",""บึงกาฬ!I446"")"),5000.0)</f>
        <v>5000</v>
      </c>
      <c r="J551" s="443">
        <f>IFERROR(__xludf.DUMMYFUNCTION("IMPORTRANGE(""https://docs.google.com/spreadsheets/d/1XL5vhW3sbDhbH9Cz0tuDiY8C3ctxq1tqvaCgkFb8cCA/edit?usp=sharing"",""บึงกาฬ!J446"")"),0.0)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IFERROR(__xludf.DUMMYFUNCTION("IMPORTRANGE(""https://docs.google.com/spreadsheets/d/1XL5vhW3sbDhbH9Cz0tuDiY8C3ctxq1tqvaCgkFb8cCA/edit?usp=sharing"",""บึงกาฬ!L446"")"),320000.0)</f>
        <v>320000</v>
      </c>
      <c r="M551" s="445"/>
      <c r="N551" s="445">
        <f>IFERROR(__xludf.DUMMYFUNCTION("IMPORTRANGE(""https://docs.google.com/spreadsheets/d/1XL5vhW3sbDhbH9Cz0tuDiY8C3ctxq1tqvaCgkFb8cCA/edit?usp=sharing"",""บึงกาฬ!M446"")"),63060.0)</f>
        <v>63060</v>
      </c>
      <c r="O551" s="445">
        <f t="shared" ref="O551:O555" si="121">+IF(L551&gt;0,N551*100/L551,0)</f>
        <v>19.70625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IFERROR(__xludf.DUMMYFUNCTION("IMPORTRANGE(""https://docs.google.com/spreadsheets/d/1XL5vhW3sbDhbH9Cz0tuDiY8C3ctxq1tqvaCgkFb8cCA/edit?usp=sharing"",""บึงกาฬ!L447"")"),0.0)</f>
        <v>0</v>
      </c>
      <c r="M552" s="197"/>
      <c r="N552" s="203">
        <f>IFERROR(__xludf.DUMMYFUNCTION("IMPORTRANGE(""https://docs.google.com/spreadsheets/d/1XL5vhW3sbDhbH9Cz0tuDiY8C3ctxq1tqvaCgkFb8cCA/edit?usp=sharing"",""บึงกาฬ!M447"")"),0.0)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IFERROR(__xludf.DUMMYFUNCTION("IMPORTRANGE(""https://docs.google.com/spreadsheets/d/1XL5vhW3sbDhbH9Cz0tuDiY8C3ctxq1tqvaCgkFb8cCA/edit?usp=sharing"",""บึงกาฬ!L448"")"),320000.0)</f>
        <v>320000</v>
      </c>
      <c r="M553" s="198"/>
      <c r="N553" s="203">
        <f>IFERROR(__xludf.DUMMYFUNCTION("IMPORTRANGE(""https://docs.google.com/spreadsheets/d/1XL5vhW3sbDhbH9Cz0tuDiY8C3ctxq1tqvaCgkFb8cCA/edit?usp=sharing"",""บึงกาฬ!M448"")"),63060.0)</f>
        <v>63060</v>
      </c>
      <c r="O553" s="203">
        <f t="shared" si="121"/>
        <v>19.70625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IFERROR(__xludf.DUMMYFUNCTION("IMPORTRANGE(""https://docs.google.com/spreadsheets/d/1XL5vhW3sbDhbH9Cz0tuDiY8C3ctxq1tqvaCgkFb8cCA/edit?usp=sharing"",""บึงกาฬ!L449"")"),0.0)</f>
        <v>0</v>
      </c>
      <c r="M554" s="203"/>
      <c r="N554" s="203">
        <f>IFERROR(__xludf.DUMMYFUNCTION("IMPORTRANGE(""https://docs.google.com/spreadsheets/d/1XL5vhW3sbDhbH9Cz0tuDiY8C3ctxq1tqvaCgkFb8cCA/edit?usp=sharing"",""บึงกาฬ!M449"")"),0.0)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IFERROR(__xludf.DUMMYFUNCTION("IMPORTRANGE(""https://docs.google.com/spreadsheets/d/1XL5vhW3sbDhbH9Cz0tuDiY8C3ctxq1tqvaCgkFb8cCA/edit?usp=sharing"",""บึงกาฬ!L450"")"),320000.0)</f>
        <v>320000</v>
      </c>
      <c r="M555" s="203"/>
      <c r="N555" s="203">
        <f>IFERROR(__xludf.DUMMYFUNCTION("IMPORTRANGE(""https://docs.google.com/spreadsheets/d/1XL5vhW3sbDhbH9Cz0tuDiY8C3ctxq1tqvaCgkFb8cCA/edit?usp=sharing"",""บึงกาฬ!M450"")"),63060.0)</f>
        <v>63060</v>
      </c>
      <c r="O555" s="203">
        <f t="shared" si="121"/>
        <v>19.70625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IFERROR(__xludf.DUMMYFUNCTION("IMPORTRANGE(""https://docs.google.com/spreadsheets/d/1XL5vhW3sbDhbH9Cz0tuDiY8C3ctxq1tqvaCgkFb8cCA/edit?usp=sharing"",""บึงกาฬ!M451"")"),0.0)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IFERROR(__xludf.DUMMYFUNCTION("IMPORTRANGE(""https://docs.google.com/spreadsheets/d/1XL5vhW3sbDhbH9Cz0tuDiY8C3ctxq1tqvaCgkFb8cCA/edit?usp=sharing"",""บึงกาฬ!M452"")"),0.0)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IFERROR(__xludf.DUMMYFUNCTION("IMPORTRANGE(""https://docs.google.com/spreadsheets/d/1XL5vhW3sbDhbH9Cz0tuDiY8C3ctxq1tqvaCgkFb8cCA/edit?usp=sharing"",""บึงกาฬ!M453"")"),0.0)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IFERROR(__xludf.DUMMYFUNCTION("IMPORTRANGE(""https://docs.google.com/spreadsheets/d/1XL5vhW3sbDhbH9Cz0tuDiY8C3ctxq1tqvaCgkFb8cCA/edit?usp=sharing"",""บึงกาฬ!M454"")"),63060.0)</f>
        <v>63060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IFERROR(__xludf.DUMMYFUNCTION("IMPORTRANGE(""https://docs.google.com/spreadsheets/d/1XL5vhW3sbDhbH9Cz0tuDiY8C3ctxq1tqvaCgkFb8cCA/edit?usp=sharing"",""บึงกาฬ!I455"")"),5000.0)</f>
        <v>5000</v>
      </c>
      <c r="J560" s="195">
        <f>IFERROR(__xludf.DUMMYFUNCTION("IMPORTRANGE(""https://docs.google.com/spreadsheets/d/1XL5vhW3sbDhbH9Cz0tuDiY8C3ctxq1tqvaCgkFb8cCA/edit?usp=sharing"",""บึงกาฬ!J455"")"),0.0)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IFERROR(__xludf.DUMMYFUNCTION("IMPORTRANGE(""https://docs.google.com/spreadsheets/d/1XL5vhW3sbDhbH9Cz0tuDiY8C3ctxq1tqvaCgkFb8cCA/edit?usp=sharing"",""บึงกาฬ!I456"")"),0.0)</f>
        <v>0</v>
      </c>
      <c r="J561" s="238">
        <f>IFERROR(__xludf.DUMMYFUNCTION("IMPORTRANGE(""https://docs.google.com/spreadsheets/d/1XL5vhW3sbDhbH9Cz0tuDiY8C3ctxq1tqvaCgkFb8cCA/edit?usp=sharing"",""บึงกาฬ!J456"")"),0.0)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IFERROR(__xludf.DUMMYFUNCTION("IMPORTRANGE(""https://docs.google.com/spreadsheets/d/1XL5vhW3sbDhbH9Cz0tuDiY8C3ctxq1tqvaCgkFb8cCA/edit?usp=sharing"",""บึงกาฬ!I457"")"),"")</f>
        <v/>
      </c>
      <c r="J562" s="238" t="str">
        <f>IFERROR(__xludf.DUMMYFUNCTION("IMPORTRANGE(""https://docs.google.com/spreadsheets/d/1XL5vhW3sbDhbH9Cz0tuDiY8C3ctxq1tqvaCgkFb8cCA/edit?usp=sharing"",""บึงกาฬ!J457"")"),"")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IFERROR(__xludf.DUMMYFUNCTION("IMPORTRANGE(""https://docs.google.com/spreadsheets/d/1XL5vhW3sbDhbH9Cz0tuDiY8C3ctxq1tqvaCgkFb8cCA/edit?usp=sharing"",""บึงกาฬ!I458"")"),"")</f>
        <v/>
      </c>
      <c r="J563" s="222" t="str">
        <f>IFERROR(__xludf.DUMMYFUNCTION("IMPORTRANGE(""https://docs.google.com/spreadsheets/d/1XL5vhW3sbDhbH9Cz0tuDiY8C3ctxq1tqvaCgkFb8cCA/edit?usp=sharing"",""บึงกาฬ!J458"")"),"")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IFERROR(__xludf.DUMMYFUNCTION("IMPORTRANGE(""https://docs.google.com/spreadsheets/d/1XL5vhW3sbDhbH9Cz0tuDiY8C3ctxq1tqvaCgkFb8cCA/edit?usp=sharing"",""บึงกาฬ!I459"")"),3500.0)</f>
        <v>3500</v>
      </c>
      <c r="J564" s="404">
        <f>IFERROR(__xludf.DUMMYFUNCTION("IMPORTRANGE(""https://docs.google.com/spreadsheets/d/1XL5vhW3sbDhbH9Cz0tuDiY8C3ctxq1tqvaCgkFb8cCA/edit?usp=sharing"",""บึงกาฬ!J459"")"),0.0)</f>
        <v>0</v>
      </c>
      <c r="K564" s="405">
        <f t="shared" si="122"/>
        <v>0</v>
      </c>
      <c r="L564" s="406">
        <f>IFERROR(__xludf.DUMMYFUNCTION("IMPORTRANGE(""https://docs.google.com/spreadsheets/d/1XL5vhW3sbDhbH9Cz0tuDiY8C3ctxq1tqvaCgkFb8cCA/edit?usp=sharing"",""บึงกาฬ!L459"")"),160000.0)</f>
        <v>160000</v>
      </c>
      <c r="M564" s="406"/>
      <c r="N564" s="406">
        <f>IFERROR(__xludf.DUMMYFUNCTION("IMPORTRANGE(""https://docs.google.com/spreadsheets/d/1XL5vhW3sbDhbH9Cz0tuDiY8C3ctxq1tqvaCgkFb8cCA/edit?usp=sharing"",""บึงกาฬ!M459"")"),11000.0)</f>
        <v>11000</v>
      </c>
      <c r="O564" s="406">
        <f t="shared" ref="O564:O568" si="123">+IF(L564&gt;0,N564*100/L564,0)</f>
        <v>6.875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IFERROR(__xludf.DUMMYFUNCTION("IMPORTRANGE(""https://docs.google.com/spreadsheets/d/1XL5vhW3sbDhbH9Cz0tuDiY8C3ctxq1tqvaCgkFb8cCA/edit?usp=sharing"",""บึงกาฬ!L460"")"),0.0)</f>
        <v>0</v>
      </c>
      <c r="M565" s="197"/>
      <c r="N565" s="203">
        <f>IFERROR(__xludf.DUMMYFUNCTION("IMPORTRANGE(""https://docs.google.com/spreadsheets/d/1XL5vhW3sbDhbH9Cz0tuDiY8C3ctxq1tqvaCgkFb8cCA/edit?usp=sharing"",""บึงกาฬ!M460"")"),0.0)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IFERROR(__xludf.DUMMYFUNCTION("IMPORTRANGE(""https://docs.google.com/spreadsheets/d/1XL5vhW3sbDhbH9Cz0tuDiY8C3ctxq1tqvaCgkFb8cCA/edit?usp=sharing"",""บึงกาฬ!L461"")"),160000.0)</f>
        <v>160000</v>
      </c>
      <c r="M566" s="198"/>
      <c r="N566" s="203">
        <f>IFERROR(__xludf.DUMMYFUNCTION("IMPORTRANGE(""https://docs.google.com/spreadsheets/d/1XL5vhW3sbDhbH9Cz0tuDiY8C3ctxq1tqvaCgkFb8cCA/edit?usp=sharing"",""บึงกาฬ!M461"")"),11000.0)</f>
        <v>11000</v>
      </c>
      <c r="O566" s="203">
        <f t="shared" si="123"/>
        <v>6.875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IFERROR(__xludf.DUMMYFUNCTION("IMPORTRANGE(""https://docs.google.com/spreadsheets/d/1XL5vhW3sbDhbH9Cz0tuDiY8C3ctxq1tqvaCgkFb8cCA/edit?usp=sharing"",""บึงกาฬ!L462"")"),0.0)</f>
        <v>0</v>
      </c>
      <c r="M567" s="203"/>
      <c r="N567" s="203">
        <f>IFERROR(__xludf.DUMMYFUNCTION("IMPORTRANGE(""https://docs.google.com/spreadsheets/d/1XL5vhW3sbDhbH9Cz0tuDiY8C3ctxq1tqvaCgkFb8cCA/edit?usp=sharing"",""บึงกาฬ!M462"")"),0.0)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IFERROR(__xludf.DUMMYFUNCTION("IMPORTRANGE(""https://docs.google.com/spreadsheets/d/1XL5vhW3sbDhbH9Cz0tuDiY8C3ctxq1tqvaCgkFb8cCA/edit?usp=sharing"",""บึงกาฬ!L463"")"),160000.0)</f>
        <v>160000</v>
      </c>
      <c r="M568" s="203"/>
      <c r="N568" s="203">
        <f>IFERROR(__xludf.DUMMYFUNCTION("IMPORTRANGE(""https://docs.google.com/spreadsheets/d/1XL5vhW3sbDhbH9Cz0tuDiY8C3ctxq1tqvaCgkFb8cCA/edit?usp=sharing"",""บึงกาฬ!M463"")"),11000.0)</f>
        <v>11000</v>
      </c>
      <c r="O568" s="203">
        <f t="shared" si="123"/>
        <v>6.875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IFERROR(__xludf.DUMMYFUNCTION("IMPORTRANGE(""https://docs.google.com/spreadsheets/d/1XL5vhW3sbDhbH9Cz0tuDiY8C3ctxq1tqvaCgkFb8cCA/edit?usp=sharing"",""บึงกาฬ!M464"")"),0.0)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IFERROR(__xludf.DUMMYFUNCTION("IMPORTRANGE(""https://docs.google.com/spreadsheets/d/1XL5vhW3sbDhbH9Cz0tuDiY8C3ctxq1tqvaCgkFb8cCA/edit?usp=sharing"",""บึงกาฬ!M465"")"),0.0)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IFERROR(__xludf.DUMMYFUNCTION("IMPORTRANGE(""https://docs.google.com/spreadsheets/d/1XL5vhW3sbDhbH9Cz0tuDiY8C3ctxq1tqvaCgkFb8cCA/edit?usp=sharing"",""บึงกาฬ!M466"")"),11000.0)</f>
        <v>11000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IFERROR(__xludf.DUMMYFUNCTION("IMPORTRANGE(""https://docs.google.com/spreadsheets/d/1XL5vhW3sbDhbH9Cz0tuDiY8C3ctxq1tqvaCgkFb8cCA/edit?usp=sharing"",""บึงกาฬ!M467"")"),0.0)</f>
        <v>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IFERROR(__xludf.DUMMYFUNCTION("IMPORTRANGE(""https://docs.google.com/spreadsheets/d/1XL5vhW3sbDhbH9Cz0tuDiY8C3ctxq1tqvaCgkFb8cCA/edit?usp=sharing"",""บึงกาฬ!I468"")"),3500.0)</f>
        <v>3500</v>
      </c>
      <c r="J573" s="453">
        <f>IFERROR(__xludf.DUMMYFUNCTION("IMPORTRANGE(""https://docs.google.com/spreadsheets/d/1XL5vhW3sbDhbH9Cz0tuDiY8C3ctxq1tqvaCgkFb8cCA/edit?usp=sharing"",""บึงกาฬ!J468"")"),0.0)</f>
        <v>0</v>
      </c>
      <c r="K573" s="236">
        <f>IF(I573&gt;0,J573*100/I573,0)</f>
        <v>0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IFERROR(__xludf.DUMMYFUNCTION("IMPORTRANGE(""https://docs.google.com/spreadsheets/d/1XL5vhW3sbDhbH9Cz0tuDiY8C3ctxq1tqvaCgkFb8cCA/edit?usp=sharing"",""บึงกาฬ!I470"")"),0.0)</f>
        <v>0</v>
      </c>
      <c r="J575" s="232">
        <f>IFERROR(__xludf.DUMMYFUNCTION("IMPORTRANGE(""https://docs.google.com/spreadsheets/d/1XL5vhW3sbDhbH9Cz0tuDiY8C3ctxq1tqvaCgkFb8cCA/edit?usp=sharing"",""บึงกาฬ!J470"")"),0.0)</f>
        <v>0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IFERROR(__xludf.DUMMYFUNCTION("IMPORTRANGE(""https://docs.google.com/spreadsheets/d/1XL5vhW3sbDhbH9Cz0tuDiY8C3ctxq1tqvaCgkFb8cCA/edit?usp=sharing"",""บึงกาฬ!I471"")"),0.0)</f>
        <v>0</v>
      </c>
      <c r="J576" s="232">
        <f>IFERROR(__xludf.DUMMYFUNCTION("IMPORTRANGE(""https://docs.google.com/spreadsheets/d/1XL5vhW3sbDhbH9Cz0tuDiY8C3ctxq1tqvaCgkFb8cCA/edit?usp=sharing"",""บึงกาฬ!J471"")"),0.0)</f>
        <v>0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IFERROR(__xludf.DUMMYFUNCTION("IMPORTRANGE(""https://docs.google.com/spreadsheets/d/1XL5vhW3sbDhbH9Cz0tuDiY8C3ctxq1tqvaCgkFb8cCA/edit?usp=sharing"",""บึงกาฬ!I472"")"),0.0)</f>
        <v>0</v>
      </c>
      <c r="J577" s="223">
        <f>IFERROR(__xludf.DUMMYFUNCTION("IMPORTRANGE(""https://docs.google.com/spreadsheets/d/1XL5vhW3sbDhbH9Cz0tuDiY8C3ctxq1tqvaCgkFb8cCA/edit?usp=sharing"",""บึงกาฬ!J472"")"),0.0)</f>
        <v>0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IFERROR(__xludf.DUMMYFUNCTION("IMPORTRANGE(""https://docs.google.com/spreadsheets/d/1XL5vhW3sbDhbH9Cz0tuDiY8C3ctxq1tqvaCgkFb8cCA/edit?usp=sharing"",""บึงกาฬ!I473"")"),0.0)</f>
        <v>0</v>
      </c>
      <c r="J578" s="232">
        <f>IFERROR(__xludf.DUMMYFUNCTION("IMPORTRANGE(""https://docs.google.com/spreadsheets/d/1XL5vhW3sbDhbH9Cz0tuDiY8C3ctxq1tqvaCgkFb8cCA/edit?usp=sharing"",""บึงกาฬ!J473"")"),0.0)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IFERROR(__xludf.DUMMYFUNCTION("IMPORTRANGE(""https://docs.google.com/spreadsheets/d/1XL5vhW3sbDhbH9Cz0tuDiY8C3ctxq1tqvaCgkFb8cCA/edit?usp=sharing"",""บึงกาฬ!I474"")"),0.0)</f>
        <v>0</v>
      </c>
      <c r="J579" s="232">
        <f>IFERROR(__xludf.DUMMYFUNCTION("IMPORTRANGE(""https://docs.google.com/spreadsheets/d/1XL5vhW3sbDhbH9Cz0tuDiY8C3ctxq1tqvaCgkFb8cCA/edit?usp=sharing"",""บึงกาฬ!J474"")"),0.0)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IFERROR(__xludf.DUMMYFUNCTION("IMPORTRANGE(""https://docs.google.com/spreadsheets/d/1XL5vhW3sbDhbH9Cz0tuDiY8C3ctxq1tqvaCgkFb8cCA/edit?usp=sharing"",""บึงกาฬ!I475"")"),50.0)</f>
        <v>50</v>
      </c>
      <c r="J580" s="404">
        <f>IFERROR(__xludf.DUMMYFUNCTION("IMPORTRANGE(""https://docs.google.com/spreadsheets/d/1XL5vhW3sbDhbH9Cz0tuDiY8C3ctxq1tqvaCgkFb8cCA/edit?usp=sharing"",""บึงกาฬ!J475"")"),1.0)</f>
        <v>1</v>
      </c>
      <c r="K580" s="405">
        <f>IF(I580&gt;0,J580*100/I580,0)</f>
        <v>2</v>
      </c>
      <c r="L580" s="406">
        <f>IFERROR(__xludf.DUMMYFUNCTION("IMPORTRANGE(""https://docs.google.com/spreadsheets/d/1XL5vhW3sbDhbH9Cz0tuDiY8C3ctxq1tqvaCgkFb8cCA/edit?usp=sharing"",""บึงกาฬ!L475"")"),144350.0)</f>
        <v>144350</v>
      </c>
      <c r="M580" s="406"/>
      <c r="N580" s="406">
        <f>IFERROR(__xludf.DUMMYFUNCTION("IMPORTRANGE(""https://docs.google.com/spreadsheets/d/1XL5vhW3sbDhbH9Cz0tuDiY8C3ctxq1tqvaCgkFb8cCA/edit?usp=sharing"",""บึงกาฬ!M475"")"),0.0)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IFERROR(__xludf.DUMMYFUNCTION("IMPORTRANGE(""https://docs.google.com/spreadsheets/d/1XL5vhW3sbDhbH9Cz0tuDiY8C3ctxq1tqvaCgkFb8cCA/edit?usp=sharing"",""บึงกาฬ!L476"")"),0.0)</f>
        <v>0</v>
      </c>
      <c r="M581" s="197"/>
      <c r="N581" s="203">
        <f>IFERROR(__xludf.DUMMYFUNCTION("IMPORTRANGE(""https://docs.google.com/spreadsheets/d/1XL5vhW3sbDhbH9Cz0tuDiY8C3ctxq1tqvaCgkFb8cCA/edit?usp=sharing"",""บึงกาฬ!M476"")"),0.0)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IFERROR(__xludf.DUMMYFUNCTION("IMPORTRANGE(""https://docs.google.com/spreadsheets/d/1XL5vhW3sbDhbH9Cz0tuDiY8C3ctxq1tqvaCgkFb8cCA/edit?usp=sharing"",""บึงกาฬ!L477"")"),144350.0)</f>
        <v>144350</v>
      </c>
      <c r="M582" s="198"/>
      <c r="N582" s="203">
        <f>IFERROR(__xludf.DUMMYFUNCTION("IMPORTRANGE(""https://docs.google.com/spreadsheets/d/1XL5vhW3sbDhbH9Cz0tuDiY8C3ctxq1tqvaCgkFb8cCA/edit?usp=sharing"",""บึงกาฬ!M477"")"),0.0)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IFERROR(__xludf.DUMMYFUNCTION("IMPORTRANGE(""https://docs.google.com/spreadsheets/d/1XL5vhW3sbDhbH9Cz0tuDiY8C3ctxq1tqvaCgkFb8cCA/edit?usp=sharing"",""บึงกาฬ!L478"")"),0.0)</f>
        <v>0</v>
      </c>
      <c r="M583" s="203"/>
      <c r="N583" s="203">
        <f>IFERROR(__xludf.DUMMYFUNCTION("IMPORTRANGE(""https://docs.google.com/spreadsheets/d/1XL5vhW3sbDhbH9Cz0tuDiY8C3ctxq1tqvaCgkFb8cCA/edit?usp=sharing"",""บึงกาฬ!M478"")"),0.0)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IFERROR(__xludf.DUMMYFUNCTION("IMPORTRANGE(""https://docs.google.com/spreadsheets/d/1XL5vhW3sbDhbH9Cz0tuDiY8C3ctxq1tqvaCgkFb8cCA/edit?usp=sharing"",""บึงกาฬ!L479"")"),144350.0)</f>
        <v>144350</v>
      </c>
      <c r="M584" s="203"/>
      <c r="N584" s="203">
        <f>IFERROR(__xludf.DUMMYFUNCTION("IMPORTRANGE(""https://docs.google.com/spreadsheets/d/1XL5vhW3sbDhbH9Cz0tuDiY8C3ctxq1tqvaCgkFb8cCA/edit?usp=sharing"",""บึงกาฬ!M479"")"),0.0)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IFERROR(__xludf.DUMMYFUNCTION("IMPORTRANGE(""https://docs.google.com/spreadsheets/d/1XL5vhW3sbDhbH9Cz0tuDiY8C3ctxq1tqvaCgkFb8cCA/edit?usp=sharing"",""บึงกาฬ!M480"")"),0.0)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IFERROR(__xludf.DUMMYFUNCTION("IMPORTRANGE(""https://docs.google.com/spreadsheets/d/1XL5vhW3sbDhbH9Cz0tuDiY8C3ctxq1tqvaCgkFb8cCA/edit?usp=sharing"",""บึงกาฬ!M481"")"),0.0)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IFERROR(__xludf.DUMMYFUNCTION("IMPORTRANGE(""https://docs.google.com/spreadsheets/d/1XL5vhW3sbDhbH9Cz0tuDiY8C3ctxq1tqvaCgkFb8cCA/edit?usp=sharing"",""บึงกาฬ!M482"")"),0.0)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IFERROR(__xludf.DUMMYFUNCTION("IMPORTRANGE(""https://docs.google.com/spreadsheets/d/1XL5vhW3sbDhbH9Cz0tuDiY8C3ctxq1tqvaCgkFb8cCA/edit?usp=sharing"",""บึงกาฬ!M483"")"),0.0)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IFERROR(__xludf.DUMMYFUNCTION("IMPORTRANGE(""https://docs.google.com/spreadsheets/d/1XL5vhW3sbDhbH9Cz0tuDiY8C3ctxq1tqvaCgkFb8cCA/edit?usp=sharing"",""บึงกาฬ!I484"")"),50.0)</f>
        <v>50</v>
      </c>
      <c r="J589" s="222">
        <f>IFERROR(__xludf.DUMMYFUNCTION("IMPORTRANGE(""https://docs.google.com/spreadsheets/d/1XL5vhW3sbDhbH9Cz0tuDiY8C3ctxq1tqvaCgkFb8cCA/edit?usp=sharing"",""บึงกาฬ!J484"")"),6.0)</f>
        <v>6</v>
      </c>
      <c r="K589" s="196">
        <f t="shared" ref="K589:K596" si="126">IF(I589&gt;0,J589*100/I589,0)</f>
        <v>12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IFERROR(__xludf.DUMMYFUNCTION("IMPORTRANGE(""https://docs.google.com/spreadsheets/d/1XL5vhW3sbDhbH9Cz0tuDiY8C3ctxq1tqvaCgkFb8cCA/edit?usp=sharing"",""บึงกาฬ!I485"")"),0.0)</f>
        <v>0</v>
      </c>
      <c r="J590" s="222">
        <f>IFERROR(__xludf.DUMMYFUNCTION("IMPORTRANGE(""https://docs.google.com/spreadsheets/d/1XL5vhW3sbDhbH9Cz0tuDiY8C3ctxq1tqvaCgkFb8cCA/edit?usp=sharing"",""บึงกาฬ!J485"")"),56.71)</f>
        <v>56.71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IFERROR(__xludf.DUMMYFUNCTION("IMPORTRANGE(""https://docs.google.com/spreadsheets/d/1XL5vhW3sbDhbH9Cz0tuDiY8C3ctxq1tqvaCgkFb8cCA/edit?usp=sharing"",""บึงกาฬ!I486"")"),50.0)</f>
        <v>50</v>
      </c>
      <c r="J591" s="222">
        <f>IFERROR(__xludf.DUMMYFUNCTION("IMPORTRANGE(""https://docs.google.com/spreadsheets/d/1XL5vhW3sbDhbH9Cz0tuDiY8C3ctxq1tqvaCgkFb8cCA/edit?usp=sharing"",""บึงกาฬ!J486"")"),5.0)</f>
        <v>5</v>
      </c>
      <c r="K591" s="196">
        <f t="shared" si="126"/>
        <v>10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IFERROR(__xludf.DUMMYFUNCTION("IMPORTRANGE(""https://docs.google.com/spreadsheets/d/1XL5vhW3sbDhbH9Cz0tuDiY8C3ctxq1tqvaCgkFb8cCA/edit?usp=sharing"",""บึงกาฬ!I487"")"),0.0)</f>
        <v>0</v>
      </c>
      <c r="J592" s="222">
        <f>IFERROR(__xludf.DUMMYFUNCTION("IMPORTRANGE(""https://docs.google.com/spreadsheets/d/1XL5vhW3sbDhbH9Cz0tuDiY8C3ctxq1tqvaCgkFb8cCA/edit?usp=sharing"",""บึงกาฬ!J487"")"),18.27)</f>
        <v>18.27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IFERROR(__xludf.DUMMYFUNCTION("IMPORTRANGE(""https://docs.google.com/spreadsheets/d/1XL5vhW3sbDhbH9Cz0tuDiY8C3ctxq1tqvaCgkFb8cCA/edit?usp=sharing"",""บึงกาฬ!I488"")"),50.0)</f>
        <v>50</v>
      </c>
      <c r="J593" s="222">
        <f>IFERROR(__xludf.DUMMYFUNCTION("IMPORTRANGE(""https://docs.google.com/spreadsheets/d/1XL5vhW3sbDhbH9Cz0tuDiY8C3ctxq1tqvaCgkFb8cCA/edit?usp=sharing"",""บึงกาฬ!J488"")"),0.0)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IFERROR(__xludf.DUMMYFUNCTION("IMPORTRANGE(""https://docs.google.com/spreadsheets/d/1XL5vhW3sbDhbH9Cz0tuDiY8C3ctxq1tqvaCgkFb8cCA/edit?usp=sharing"",""บึงกาฬ!I489"")"),0.0)</f>
        <v>0</v>
      </c>
      <c r="J594" s="222">
        <f>IFERROR(__xludf.DUMMYFUNCTION("IMPORTRANGE(""https://docs.google.com/spreadsheets/d/1XL5vhW3sbDhbH9Cz0tuDiY8C3ctxq1tqvaCgkFb8cCA/edit?usp=sharing"",""บึงกาฬ!J489"")"),0.0)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IFERROR(__xludf.DUMMYFUNCTION("IMPORTRANGE(""https://docs.google.com/spreadsheets/d/1XL5vhW3sbDhbH9Cz0tuDiY8C3ctxq1tqvaCgkFb8cCA/edit?usp=sharing"",""บึงกาฬ!I490"")"),50.0)</f>
        <v>50</v>
      </c>
      <c r="J595" s="222">
        <f>IFERROR(__xludf.DUMMYFUNCTION("IMPORTRANGE(""https://docs.google.com/spreadsheets/d/1XL5vhW3sbDhbH9Cz0tuDiY8C3ctxq1tqvaCgkFb8cCA/edit?usp=sharing"",""บึงกาฬ!J490"")"),1.0)</f>
        <v>1</v>
      </c>
      <c r="K595" s="196">
        <f t="shared" si="126"/>
        <v>2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IFERROR(__xludf.DUMMYFUNCTION("IMPORTRANGE(""https://docs.google.com/spreadsheets/d/1XL5vhW3sbDhbH9Cz0tuDiY8C3ctxq1tqvaCgkFb8cCA/edit?usp=sharing"",""บึงกาฬ!I491"")"),0.0)</f>
        <v>0</v>
      </c>
      <c r="J596" s="275">
        <f>IFERROR(__xludf.DUMMYFUNCTION("IMPORTRANGE(""https://docs.google.com/spreadsheets/d/1XL5vhW3sbDhbH9Cz0tuDiY8C3ctxq1tqvaCgkFb8cCA/edit?usp=sharing"",""บึงกาฬ!J491"")"),0.6)</f>
        <v>0.6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IFERROR(__xludf.DUMMYFUNCTION("IMPORTRANGE(""https://docs.google.com/spreadsheets/d/1XL5vhW3sbDhbH9Cz0tuDiY8C3ctxq1tqvaCgkFb8cCA/edit?usp=sharing"",""บึงกาฬ!I492"")"),50.0)</f>
        <v>50</v>
      </c>
      <c r="J597" s="520">
        <f>IFERROR(__xludf.DUMMYFUNCTION("IMPORTRANGE(""https://docs.google.com/spreadsheets/d/1XL5vhW3sbDhbH9Cz0tuDiY8C3ctxq1tqvaCgkFb8cCA/edit?usp=sharing"",""บึงกาฬ!J492"")"),0.0)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IFERROR(__xludf.DUMMYFUNCTION("IMPORTRANGE(""https://docs.google.com/spreadsheets/d/1XL5vhW3sbDhbH9Cz0tuDiY8C3ctxq1tqvaCgkFb8cCA/edit?usp=sharing"",""บึงกาฬ!L492"")"),5350.0)</f>
        <v>5350</v>
      </c>
      <c r="M597" s="445"/>
      <c r="N597" s="445">
        <f>IFERROR(__xludf.DUMMYFUNCTION("IMPORTRANGE(""https://docs.google.com/spreadsheets/d/1XL5vhW3sbDhbH9Cz0tuDiY8C3ctxq1tqvaCgkFb8cCA/edit?usp=sharing"",""บึงกาฬ!M492"")"),0.0)</f>
        <v>0</v>
      </c>
      <c r="O597" s="445">
        <f t="shared" ref="O597:O601" si="127">+IF(L597&gt;0,N597*100/L597,0)</f>
        <v>0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IFERROR(__xludf.DUMMYFUNCTION("IMPORTRANGE(""https://docs.google.com/spreadsheets/d/1XL5vhW3sbDhbH9Cz0tuDiY8C3ctxq1tqvaCgkFb8cCA/edit?usp=sharing"",""บึงกาฬ!L493"")"),0.0)</f>
        <v>0</v>
      </c>
      <c r="M598" s="197"/>
      <c r="N598" s="203">
        <f>IFERROR(__xludf.DUMMYFUNCTION("IMPORTRANGE(""https://docs.google.com/spreadsheets/d/1XL5vhW3sbDhbH9Cz0tuDiY8C3ctxq1tqvaCgkFb8cCA/edit?usp=sharing"",""บึงกาฬ!M493"")"),0.0)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IFERROR(__xludf.DUMMYFUNCTION("IMPORTRANGE(""https://docs.google.com/spreadsheets/d/1XL5vhW3sbDhbH9Cz0tuDiY8C3ctxq1tqvaCgkFb8cCA/edit?usp=sharing"",""บึงกาฬ!L494"")"),5350.0)</f>
        <v>5350</v>
      </c>
      <c r="M599" s="198"/>
      <c r="N599" s="203">
        <f>IFERROR(__xludf.DUMMYFUNCTION("IMPORTRANGE(""https://docs.google.com/spreadsheets/d/1XL5vhW3sbDhbH9Cz0tuDiY8C3ctxq1tqvaCgkFb8cCA/edit?usp=sharing"",""บึงกาฬ!M494"")"),0.0)</f>
        <v>0</v>
      </c>
      <c r="O599" s="203">
        <f t="shared" si="127"/>
        <v>0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IFERROR(__xludf.DUMMYFUNCTION("IMPORTRANGE(""https://docs.google.com/spreadsheets/d/1XL5vhW3sbDhbH9Cz0tuDiY8C3ctxq1tqvaCgkFb8cCA/edit?usp=sharing"",""บึงกาฬ!L495"")"),0.0)</f>
        <v>0</v>
      </c>
      <c r="M600" s="203"/>
      <c r="N600" s="203">
        <f>IFERROR(__xludf.DUMMYFUNCTION("IMPORTRANGE(""https://docs.google.com/spreadsheets/d/1XL5vhW3sbDhbH9Cz0tuDiY8C3ctxq1tqvaCgkFb8cCA/edit?usp=sharing"",""บึงกาฬ!M495"")"),0.0)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IFERROR(__xludf.DUMMYFUNCTION("IMPORTRANGE(""https://docs.google.com/spreadsheets/d/1XL5vhW3sbDhbH9Cz0tuDiY8C3ctxq1tqvaCgkFb8cCA/edit?usp=sharing"",""บึงกาฬ!L496"")"),5350.0)</f>
        <v>5350</v>
      </c>
      <c r="M601" s="203"/>
      <c r="N601" s="203">
        <f>IFERROR(__xludf.DUMMYFUNCTION("IMPORTRANGE(""https://docs.google.com/spreadsheets/d/1XL5vhW3sbDhbH9Cz0tuDiY8C3ctxq1tqvaCgkFb8cCA/edit?usp=sharing"",""บึงกาฬ!M496"")"),0.0)</f>
        <v>0</v>
      </c>
      <c r="O601" s="203">
        <f t="shared" si="127"/>
        <v>0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IFERROR(__xludf.DUMMYFUNCTION("IMPORTRANGE(""https://docs.google.com/spreadsheets/d/1XL5vhW3sbDhbH9Cz0tuDiY8C3ctxq1tqvaCgkFb8cCA/edit?usp=sharing"",""บึงกาฬ!M497"")"),0.0)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IFERROR(__xludf.DUMMYFUNCTION("IMPORTRANGE(""https://docs.google.com/spreadsheets/d/1XL5vhW3sbDhbH9Cz0tuDiY8C3ctxq1tqvaCgkFb8cCA/edit?usp=sharing"",""บึงกาฬ!M498"")"),0.0)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IFERROR(__xludf.DUMMYFUNCTION("IMPORTRANGE(""https://docs.google.com/spreadsheets/d/1XL5vhW3sbDhbH9Cz0tuDiY8C3ctxq1tqvaCgkFb8cCA/edit?usp=sharing"",""บึงกาฬ!M499"")"),0.0)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IFERROR(__xludf.DUMMYFUNCTION("IMPORTRANGE(""https://docs.google.com/spreadsheets/d/1XL5vhW3sbDhbH9Cz0tuDiY8C3ctxq1tqvaCgkFb8cCA/edit?usp=sharing"",""บึงกาฬ!M500"")"),0.0)</f>
        <v>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IFERROR(__xludf.DUMMYFUNCTION("IMPORTRANGE(""https://docs.google.com/spreadsheets/d/1XL5vhW3sbDhbH9Cz0tuDiY8C3ctxq1tqvaCgkFb8cCA/edit?usp=sharing"",""บึงกาฬ!J502"")"),0.0)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IFERROR(__xludf.DUMMYFUNCTION("IMPORTRANGE(""https://docs.google.com/spreadsheets/d/1XL5vhW3sbDhbH9Cz0tuDiY8C3ctxq1tqvaCgkFb8cCA/edit?usp=sharing"",""บึงกาฬ!J503"")"),0.0)</f>
        <v>0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IFERROR(__xludf.DUMMYFUNCTION("IMPORTRANGE(""https://docs.google.com/spreadsheets/d/1XL5vhW3sbDhbH9Cz0tuDiY8C3ctxq1tqvaCgkFb8cCA/edit?usp=sharing"",""บึงกาฬ!J166"")"),0.0)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IFERROR(__xludf.DUMMYFUNCTION("IMPORTRANGE(""https://docs.google.com/spreadsheets/d/1XL5vhW3sbDhbH9Cz0tuDiY8C3ctxq1tqvaCgkFb8cCA/edit?usp=sharing"",""บึงกาฬ!J166"")"),0.0)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IFERROR(__xludf.DUMMYFUNCTION("IMPORTRANGE(""https://docs.google.com/spreadsheets/d/1XL5vhW3sbDhbH9Cz0tuDiY8C3ctxq1tqvaCgkFb8cCA/edit?usp=sharing"",""บึงกาฬ!I506"")"),50.0)</f>
        <v>50</v>
      </c>
      <c r="J611" s="195">
        <f>IFERROR(__xludf.DUMMYFUNCTION("IMPORTRANGE(""https://docs.google.com/spreadsheets/d/1XL5vhW3sbDhbH9Cz0tuDiY8C3ctxq1tqvaCgkFb8cCA/edit?usp=sharing"",""บึงกาฬ!J506"")"),0.0)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IFERROR(__xludf.DUMMYFUNCTION("IMPORTRANGE(""https://docs.google.com/spreadsheets/d/1XL5vhW3sbDhbH9Cz0tuDiY8C3ctxq1tqvaCgkFb8cCA/edit?usp=sharing"",""บึงกาฬ!I507"")"),0.0)</f>
        <v>0</v>
      </c>
      <c r="J612" s="232">
        <f>IFERROR(__xludf.DUMMYFUNCTION("IMPORTRANGE(""https://docs.google.com/spreadsheets/d/1XL5vhW3sbDhbH9Cz0tuDiY8C3ctxq1tqvaCgkFb8cCA/edit?usp=sharing"",""บึงกาฬ!J507"")"),0.0)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IFERROR(__xludf.DUMMYFUNCTION("IMPORTRANGE(""https://docs.google.com/spreadsheets/d/1XL5vhW3sbDhbH9Cz0tuDiY8C3ctxq1tqvaCgkFb8cCA/edit?usp=sharing"",""บึงกาฬ!I508"")"),0.0)</f>
        <v>0</v>
      </c>
      <c r="J613" s="232">
        <f>IFERROR(__xludf.DUMMYFUNCTION("IMPORTRANGE(""https://docs.google.com/spreadsheets/d/1XL5vhW3sbDhbH9Cz0tuDiY8C3ctxq1tqvaCgkFb8cCA/edit?usp=sharing"",""บึงกาฬ!J508"")"),0.0)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IFERROR(__xludf.DUMMYFUNCTION("IMPORTRANGE(""https://docs.google.com/spreadsheets/d/1XL5vhW3sbDhbH9Cz0tuDiY8C3ctxq1tqvaCgkFb8cCA/edit?usp=sharing"",""บึงกาฬ!I509"")"),0.0)</f>
        <v>0</v>
      </c>
      <c r="J614" s="232">
        <f>IFERROR(__xludf.DUMMYFUNCTION("IMPORTRANGE(""https://docs.google.com/spreadsheets/d/1XL5vhW3sbDhbH9Cz0tuDiY8C3ctxq1tqvaCgkFb8cCA/edit?usp=sharing"",""บึงกาฬ!J509"")"),0.0)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IFERROR(__xludf.DUMMYFUNCTION("IMPORTRANGE(""https://docs.google.com/spreadsheets/d/1XL5vhW3sbDhbH9Cz0tuDiY8C3ctxq1tqvaCgkFb8cCA/edit?usp=sharing"",""บึงกาฬ!I510"")"),0.0)</f>
        <v>0</v>
      </c>
      <c r="J615" s="232">
        <f>IFERROR(__xludf.DUMMYFUNCTION("IMPORTRANGE(""https://docs.google.com/spreadsheets/d/1XL5vhW3sbDhbH9Cz0tuDiY8C3ctxq1tqvaCgkFb8cCA/edit?usp=sharing"",""บึงกาฬ!J510"")"),0.0)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IFERROR(__xludf.DUMMYFUNCTION("IMPORTRANGE(""https://docs.google.com/spreadsheets/d/1XL5vhW3sbDhbH9Cz0tuDiY8C3ctxq1tqvaCgkFb8cCA/edit?usp=sharing"",""บึงกาฬ!I511"")"),0.0)</f>
        <v>0</v>
      </c>
      <c r="J616" s="232">
        <f>IFERROR(__xludf.DUMMYFUNCTION("IMPORTRANGE(""https://docs.google.com/spreadsheets/d/1XL5vhW3sbDhbH9Cz0tuDiY8C3ctxq1tqvaCgkFb8cCA/edit?usp=sharing"",""บึงกาฬ!J511"")"),0.0)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IFERROR(__xludf.DUMMYFUNCTION("IMPORTRANGE(""https://docs.google.com/spreadsheets/d/1XL5vhW3sbDhbH9Cz0tuDiY8C3ctxq1tqvaCgkFb8cCA/edit?usp=sharing"",""บึงกาฬ!I512"")"),0.0)</f>
        <v>0</v>
      </c>
      <c r="J617" s="222">
        <f>IFERROR(__xludf.DUMMYFUNCTION("IMPORTRANGE(""https://docs.google.com/spreadsheets/d/1XL5vhW3sbDhbH9Cz0tuDiY8C3ctxq1tqvaCgkFb8cCA/edit?usp=sharing"",""บึงกาฬ!J512"")"),0.0)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IFERROR(__xludf.DUMMYFUNCTION("IMPORTRANGE(""https://docs.google.com/spreadsheets/d/1XL5vhW3sbDhbH9Cz0tuDiY8C3ctxq1tqvaCgkFb8cCA/edit?usp=sharing"",""บึงกาฬ!I513"")"),0.0)</f>
        <v>0</v>
      </c>
      <c r="J618" s="223">
        <f>IFERROR(__xludf.DUMMYFUNCTION("IMPORTRANGE(""https://docs.google.com/spreadsheets/d/1XL5vhW3sbDhbH9Cz0tuDiY8C3ctxq1tqvaCgkFb8cCA/edit?usp=sharing"",""บึงกาฬ!J513"")"),0.0)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IFERROR(__xludf.DUMMYFUNCTION("IMPORTRANGE(""https://docs.google.com/spreadsheets/d/1XL5vhW3sbDhbH9Cz0tuDiY8C3ctxq1tqvaCgkFb8cCA/edit?usp=sharing"",""บึงกาฬ!I514"")"),0.0)</f>
        <v>0</v>
      </c>
      <c r="J619" s="223">
        <f>IFERROR(__xludf.DUMMYFUNCTION("IMPORTRANGE(""https://docs.google.com/spreadsheets/d/1XL5vhW3sbDhbH9Cz0tuDiY8C3ctxq1tqvaCgkFb8cCA/edit?usp=sharing"",""บึงกาฬ!J514"")"),0.0)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IFERROR(__xludf.DUMMYFUNCTION("IMPORTRANGE(""https://docs.google.com/spreadsheets/d/1XL5vhW3sbDhbH9Cz0tuDiY8C3ctxq1tqvaCgkFb8cCA/edit?usp=sharing"",""บึงกาฬ!I515"")"),0.0)</f>
        <v>0</v>
      </c>
      <c r="J620" s="237">
        <f>IFERROR(__xludf.DUMMYFUNCTION("IMPORTRANGE(""https://docs.google.com/spreadsheets/d/1XL5vhW3sbDhbH9Cz0tuDiY8C3ctxq1tqvaCgkFb8cCA/edit?usp=sharing"",""บึงกาฬ!J515"")"),0.0)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IFERROR(__xludf.DUMMYFUNCTION("IMPORTRANGE(""https://docs.google.com/spreadsheets/d/1XL5vhW3sbDhbH9Cz0tuDiY8C3ctxq1tqvaCgkFb8cCA/edit?usp=sharing"",""บึงกาฬ!I516"")"),0.0)</f>
        <v>0</v>
      </c>
      <c r="J621" s="237">
        <f>IFERROR(__xludf.DUMMYFUNCTION("IMPORTRANGE(""https://docs.google.com/spreadsheets/d/1XL5vhW3sbDhbH9Cz0tuDiY8C3ctxq1tqvaCgkFb8cCA/edit?usp=sharing"",""บึงกาฬ!J516"")"),0.0)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IFERROR(__xludf.DUMMYFUNCTION("IMPORTRANGE(""https://docs.google.com/spreadsheets/d/1XL5vhW3sbDhbH9Cz0tuDiY8C3ctxq1tqvaCgkFb8cCA/edit?usp=sharing"",""บึงกาฬ!I517"")"),0.0)</f>
        <v>0</v>
      </c>
      <c r="J622" s="223">
        <f>IFERROR(__xludf.DUMMYFUNCTION("IMPORTRANGE(""https://docs.google.com/spreadsheets/d/1XL5vhW3sbDhbH9Cz0tuDiY8C3ctxq1tqvaCgkFb8cCA/edit?usp=sharing"",""บึงกาฬ!J517"")"),0.0)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IFERROR(__xludf.DUMMYFUNCTION("IMPORTRANGE(""https://docs.google.com/spreadsheets/d/1XL5vhW3sbDhbH9Cz0tuDiY8C3ctxq1tqvaCgkFb8cCA/edit?usp=sharing"",""บึงกาฬ!I518"")"),0.0)</f>
        <v>0</v>
      </c>
      <c r="J623" s="223">
        <f>IFERROR(__xludf.DUMMYFUNCTION("IMPORTRANGE(""https://docs.google.com/spreadsheets/d/1XL5vhW3sbDhbH9Cz0tuDiY8C3ctxq1tqvaCgkFb8cCA/edit?usp=sharing"",""บึงกาฬ!J518"")"),0.0)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IFERROR(__xludf.DUMMYFUNCTION("IMPORTRANGE(""https://docs.google.com/spreadsheets/d/1XL5vhW3sbDhbH9Cz0tuDiY8C3ctxq1tqvaCgkFb8cCA/edit?usp=sharing"",""บึงกาฬ!I519"")"),0.0)</f>
        <v>0</v>
      </c>
      <c r="J624" s="222">
        <f>IFERROR(__xludf.DUMMYFUNCTION("IMPORTRANGE(""https://docs.google.com/spreadsheets/d/1XL5vhW3sbDhbH9Cz0tuDiY8C3ctxq1tqvaCgkFb8cCA/edit?usp=sharing"",""บึงกาฬ!J519"")"),0.0)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IFERROR(__xludf.DUMMYFUNCTION("IMPORTRANGE(""https://docs.google.com/spreadsheets/d/1XL5vhW3sbDhbH9Cz0tuDiY8C3ctxq1tqvaCgkFb8cCA/edit?usp=sharing"",""บึงกาฬ!I520"")"),0.0)</f>
        <v>0</v>
      </c>
      <c r="J625" s="223">
        <f>IFERROR(__xludf.DUMMYFUNCTION("IMPORTRANGE(""https://docs.google.com/spreadsheets/d/1XL5vhW3sbDhbH9Cz0tuDiY8C3ctxq1tqvaCgkFb8cCA/edit?usp=sharing"",""บึงกาฬ!J520"")"),0.0)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IFERROR(__xludf.DUMMYFUNCTION("IMPORTRANGE(""https://docs.google.com/spreadsheets/d/1XL5vhW3sbDhbH9Cz0tuDiY8C3ctxq1tqvaCgkFb8cCA/edit?usp=sharing"",""บึงกาฬ!I521"")"),0.0)</f>
        <v>0</v>
      </c>
      <c r="J626" s="223">
        <f>IFERROR(__xludf.DUMMYFUNCTION("IMPORTRANGE(""https://docs.google.com/spreadsheets/d/1XL5vhW3sbDhbH9Cz0tuDiY8C3ctxq1tqvaCgkFb8cCA/edit?usp=sharing"",""บึงกาฬ!J521"")"),0.0)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IFERROR(__xludf.DUMMYFUNCTION("IMPORTRANGE(""https://docs.google.com/spreadsheets/d/1XL5vhW3sbDhbH9Cz0tuDiY8C3ctxq1tqvaCgkFb8cCA/edit?usp=sharing"",""บึงกาฬ!I523"")"),4326111.44)</f>
        <v>4326111.44</v>
      </c>
      <c r="J628" s="374">
        <f>IFERROR(__xludf.DUMMYFUNCTION("IMPORTRANGE(""https://docs.google.com/spreadsheets/d/1XL5vhW3sbDhbH9Cz0tuDiY8C3ctxq1tqvaCgkFb8cCA/edit?usp=sharing"",""บึงกาฬ!J523"")"),269549.47)</f>
        <v>269549.47</v>
      </c>
      <c r="K628" s="375">
        <f t="shared" ref="K628:K635" si="130">IF(I628&gt;0,J628*100/I628,0)</f>
        <v>6.230756506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IFERROR(__xludf.DUMMYFUNCTION("IMPORTRANGE(""https://docs.google.com/spreadsheets/d/1XL5vhW3sbDhbH9Cz0tuDiY8C3ctxq1tqvaCgkFb8cCA/edit?usp=sharing"",""บึงกาฬ!I524"")"),284.0)</f>
        <v>284</v>
      </c>
      <c r="J629" s="374">
        <f>IFERROR(__xludf.DUMMYFUNCTION("IMPORTRANGE(""https://docs.google.com/spreadsheets/d/1XL5vhW3sbDhbH9Cz0tuDiY8C3ctxq1tqvaCgkFb8cCA/edit?usp=sharing"",""บึงกาฬ!J524"")"),18.0)</f>
        <v>18</v>
      </c>
      <c r="K629" s="375">
        <f t="shared" si="130"/>
        <v>6.338028169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IFERROR(__xludf.DUMMYFUNCTION("IMPORTRANGE(""https://docs.google.com/spreadsheets/d/1XL5vhW3sbDhbH9Cz0tuDiY8C3ctxq1tqvaCgkFb8cCA/edit?usp=sharing"",""บึงกาฬ!I525"")"),1444097.44)</f>
        <v>1444097.44</v>
      </c>
      <c r="J630" s="374">
        <f>IFERROR(__xludf.DUMMYFUNCTION("IMPORTRANGE(""https://docs.google.com/spreadsheets/d/1XL5vhW3sbDhbH9Cz0tuDiY8C3ctxq1tqvaCgkFb8cCA/edit?usp=sharing"",""บึงกาฬ!J525"")"),164036.25)</f>
        <v>164036.25</v>
      </c>
      <c r="K630" s="375">
        <f t="shared" si="130"/>
        <v>11.35908461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IFERROR(__xludf.DUMMYFUNCTION("IMPORTRANGE(""https://docs.google.com/spreadsheets/d/1XL5vhW3sbDhbH9Cz0tuDiY8C3ctxq1tqvaCgkFb8cCA/edit?usp=sharing"",""บึงกาฬ!I526"")"),67.0)</f>
        <v>67</v>
      </c>
      <c r="J631" s="374">
        <f>IFERROR(__xludf.DUMMYFUNCTION("IMPORTRANGE(""https://docs.google.com/spreadsheets/d/1XL5vhW3sbDhbH9Cz0tuDiY8C3ctxq1tqvaCgkFb8cCA/edit?usp=sharing"",""บึงกาฬ!J526"")"),35.0)</f>
        <v>35</v>
      </c>
      <c r="K631" s="375">
        <f t="shared" si="130"/>
        <v>52.23880597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IFERROR(__xludf.DUMMYFUNCTION("IMPORTRANGE(""https://docs.google.com/spreadsheets/d/1XL5vhW3sbDhbH9Cz0tuDiY8C3ctxq1tqvaCgkFb8cCA/edit?usp=sharing"",""บึงกาฬ!I527"")"),5947.5)</f>
        <v>5947.5</v>
      </c>
      <c r="J632" s="374">
        <f>IFERROR(__xludf.DUMMYFUNCTION("IMPORTRANGE(""https://docs.google.com/spreadsheets/d/1XL5vhW3sbDhbH9Cz0tuDiY8C3ctxq1tqvaCgkFb8cCA/edit?usp=sharing"",""บึงกาฬ!J527"")"),0.0)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IFERROR(__xludf.DUMMYFUNCTION("IMPORTRANGE(""https://docs.google.com/spreadsheets/d/1XL5vhW3sbDhbH9Cz0tuDiY8C3ctxq1tqvaCgkFb8cCA/edit?usp=sharing"",""บึงกาฬ!I528"")"),2.0)</f>
        <v>2</v>
      </c>
      <c r="J633" s="374">
        <f>IFERROR(__xludf.DUMMYFUNCTION("IMPORTRANGE(""https://docs.google.com/spreadsheets/d/1XL5vhW3sbDhbH9Cz0tuDiY8C3ctxq1tqvaCgkFb8cCA/edit?usp=sharing"",""บึงกาฬ!J528"")"),0.0)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IFERROR(__xludf.DUMMYFUNCTION("IMPORTRANGE(""https://docs.google.com/spreadsheets/d/1XL5vhW3sbDhbH9Cz0tuDiY8C3ctxq1tqvaCgkFb8cCA/edit?usp=sharing"",""บึงกาฬ!I529"")"),2400000.0)</f>
        <v>2400000</v>
      </c>
      <c r="J634" s="374">
        <f>IFERROR(__xludf.DUMMYFUNCTION("IMPORTRANGE(""https://docs.google.com/spreadsheets/d/1XL5vhW3sbDhbH9Cz0tuDiY8C3ctxq1tqvaCgkFb8cCA/edit?usp=sharing"",""บึงกาฬ!J529"")"),0.0)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IFERROR(__xludf.DUMMYFUNCTION("IMPORTRANGE(""https://docs.google.com/spreadsheets/d/1XL5vhW3sbDhbH9Cz0tuDiY8C3ctxq1tqvaCgkFb8cCA/edit?usp=sharing"",""บึงกาฬ!I530"")"),60.0)</f>
        <v>60</v>
      </c>
      <c r="J635" s="544">
        <f>IFERROR(__xludf.DUMMYFUNCTION("IMPORTRANGE(""https://docs.google.com/spreadsheets/d/1XL5vhW3sbDhbH9Cz0tuDiY8C3ctxq1tqvaCgkFb8cCA/edit?usp=sharing"",""บึงกาฬ!J530"")"),0.0)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251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9211562</v>
      </c>
      <c r="M8" s="41">
        <f t="shared" si="1"/>
        <v>2436235</v>
      </c>
      <c r="N8" s="41">
        <f t="shared" si="1"/>
        <v>2404369.75</v>
      </c>
      <c r="O8" s="40">
        <f t="shared" ref="O8:O16" si="3">IF(L8&gt;0,N8*100/L8,0)</f>
        <v>26.10165084</v>
      </c>
      <c r="P8" s="40">
        <f t="shared" ref="P8:P16" si="4">IF(M8&gt;0,N8*100/M8,0)</f>
        <v>98.69202889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9211562</v>
      </c>
      <c r="M10" s="48">
        <f t="shared" si="5"/>
        <v>2436235</v>
      </c>
      <c r="N10" s="48">
        <f t="shared" si="5"/>
        <v>2404369.75</v>
      </c>
      <c r="O10" s="47">
        <f t="shared" si="3"/>
        <v>26.10165084</v>
      </c>
      <c r="P10" s="47">
        <f t="shared" si="4"/>
        <v>98.69202889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8352162</v>
      </c>
      <c r="M12" s="58">
        <f t="shared" si="7"/>
        <v>2436235</v>
      </c>
      <c r="N12" s="58">
        <f t="shared" si="7"/>
        <v>1545469.75</v>
      </c>
      <c r="O12" s="58">
        <f t="shared" si="3"/>
        <v>18.50382871</v>
      </c>
      <c r="P12" s="58">
        <f t="shared" si="4"/>
        <v>63.43680926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2402800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5949362</v>
      </c>
      <c r="M14" s="58">
        <f t="shared" si="9"/>
        <v>0</v>
      </c>
      <c r="N14" s="58">
        <f t="shared" si="9"/>
        <v>317798.75</v>
      </c>
      <c r="O14" s="61">
        <f t="shared" si="3"/>
        <v>5.341728239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859400</v>
      </c>
      <c r="M16" s="58">
        <f t="shared" si="11"/>
        <v>0</v>
      </c>
      <c r="N16" s="58">
        <f t="shared" si="11"/>
        <v>858900</v>
      </c>
      <c r="O16" s="70">
        <f t="shared" si="3"/>
        <v>99.94181987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5320365</v>
      </c>
      <c r="M18" s="41">
        <f t="shared" si="12"/>
        <v>2436235</v>
      </c>
      <c r="N18" s="41">
        <f t="shared" si="12"/>
        <v>2086571</v>
      </c>
      <c r="O18" s="40">
        <f t="shared" ref="O18:O20" si="14">IF(L18&gt;0,N18*100/L18,0)</f>
        <v>39.21856865</v>
      </c>
      <c r="P18" s="40">
        <f t="shared" ref="P18:P26" si="15">IF(M18&gt;0,N18*100/M18,0)</f>
        <v>85.64736161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5320365</v>
      </c>
      <c r="M20" s="48">
        <f t="shared" si="16"/>
        <v>2436235</v>
      </c>
      <c r="N20" s="48">
        <f t="shared" si="16"/>
        <v>2086571</v>
      </c>
      <c r="O20" s="47">
        <f t="shared" si="14"/>
        <v>39.21856865</v>
      </c>
      <c r="P20" s="47">
        <f t="shared" si="15"/>
        <v>85.64736161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4460965</v>
      </c>
      <c r="M22" s="62">
        <f t="shared" si="18"/>
        <v>2436235</v>
      </c>
      <c r="N22" s="61">
        <f t="shared" si="18"/>
        <v>1227671</v>
      </c>
      <c r="O22" s="61">
        <f t="shared" si="19"/>
        <v>27.5203011</v>
      </c>
      <c r="P22" s="61">
        <f t="shared" si="15"/>
        <v>50.39214197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2402800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2058165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859400</v>
      </c>
      <c r="M26" s="70">
        <f t="shared" si="23"/>
        <v>0</v>
      </c>
      <c r="N26" s="70">
        <f t="shared" si="23"/>
        <v>858900</v>
      </c>
      <c r="O26" s="70">
        <f t="shared" si="19"/>
        <v>99.94181987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3891197</v>
      </c>
      <c r="M28" s="41">
        <f t="shared" si="24"/>
        <v>0</v>
      </c>
      <c r="N28" s="41">
        <f t="shared" si="24"/>
        <v>317798.75</v>
      </c>
      <c r="O28" s="40">
        <f t="shared" ref="O28:O30" si="26">IF(L28&gt;0,N28*100/L28,0)</f>
        <v>8.167120554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3891197</v>
      </c>
      <c r="M30" s="48">
        <f t="shared" si="28"/>
        <v>0</v>
      </c>
      <c r="N30" s="48">
        <f t="shared" si="28"/>
        <v>317798.75</v>
      </c>
      <c r="O30" s="47">
        <f t="shared" si="26"/>
        <v>8.167120554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3891197</v>
      </c>
      <c r="M32" s="61">
        <f t="shared" si="30"/>
        <v>0</v>
      </c>
      <c r="N32" s="61">
        <f t="shared" si="30"/>
        <v>317798.75</v>
      </c>
      <c r="O32" s="61">
        <f t="shared" si="31"/>
        <v>8.167120554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3891197</v>
      </c>
      <c r="M34" s="61">
        <f t="shared" si="33"/>
        <v>0</v>
      </c>
      <c r="N34" s="61">
        <f t="shared" si="33"/>
        <v>317798.75</v>
      </c>
      <c r="O34" s="61">
        <f t="shared" si="31"/>
        <v>8.167120554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5320365</v>
      </c>
      <c r="M37" s="75">
        <f t="shared" si="34"/>
        <v>2436235</v>
      </c>
      <c r="N37" s="75">
        <f t="shared" si="34"/>
        <v>2086571</v>
      </c>
      <c r="O37" s="76">
        <f t="shared" si="31"/>
        <v>39.21856865</v>
      </c>
      <c r="P37" s="76">
        <f t="shared" si="27"/>
        <v>85.64736161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1578100</v>
      </c>
      <c r="M41" s="102">
        <f t="shared" si="35"/>
        <v>362000</v>
      </c>
      <c r="N41" s="102">
        <f t="shared" si="35"/>
        <v>1054968</v>
      </c>
      <c r="O41" s="101">
        <f t="shared" ref="O41:O43" si="37">IF(L41&gt;0,N41*100/L41,0)</f>
        <v>66.85051644</v>
      </c>
      <c r="P41" s="101">
        <f t="shared" ref="P41:P43" si="38">IF(M41&gt;0,N41*100/M41,0)</f>
        <v>291.4276243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1578100</v>
      </c>
      <c r="M43" s="102">
        <f t="shared" si="39"/>
        <v>362000</v>
      </c>
      <c r="N43" s="102">
        <f t="shared" si="39"/>
        <v>1054968</v>
      </c>
      <c r="O43" s="101">
        <f t="shared" si="37"/>
        <v>66.85051644</v>
      </c>
      <c r="P43" s="101">
        <f t="shared" si="38"/>
        <v>291.4276243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724100</v>
      </c>
      <c r="M45" s="115">
        <f>IFERROR(__xludf.DUMMYFUNCTION("IMPORTRANGE(""https://docs.google.com/spreadsheets/d/1Yj_ptqi66GCucihVvJfMjLAmec39IyEx_6qawtMGysU/edit?usp=sharing"",""สบก!Q44"")"),362000.0)</f>
        <v>362000</v>
      </c>
      <c r="N45" s="115">
        <f>IFERROR(__xludf.DUMMYFUNCTION("IMPORTRANGE(""https://docs.google.com/spreadsheets/d/1Yj_ptqi66GCucihVvJfMjLAmec39IyEx_6qawtMGysU/edit?usp=sharing"",""สบก!R44"")"),201468.0)</f>
        <v>201468</v>
      </c>
      <c r="O45" s="116">
        <f>IF(L45&gt;0,N45*100/L45,0)</f>
        <v>27.82322884</v>
      </c>
      <c r="P45" s="116">
        <f>IF(M45&gt;0,N45*100/M45,0)</f>
        <v>55.65414365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IFERROR(__xludf.DUMMYFUNCTION("IMPORTRANGE(""https://docs.google.com/spreadsheets/d/1Yj_ptqi66GCucihVvJfMjLAmec39IyEx_6qawtMGysU/edit?usp=sharing"",""สบก!M44"")"),724100.0)</f>
        <v>724100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IFERROR(__xludf.DUMMYFUNCTION("IMPORTRANGE(""https://docs.google.com/spreadsheets/d/1Yj_ptqi66GCucihVvJfMjLAmec39IyEx_6qawtMGysU/edit?usp=sharing"",""สบก!N44"")"),0.0)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IFERROR(__xludf.DUMMYFUNCTION("IMPORTRANGE(""https://docs.google.com/spreadsheets/d/1Yj_ptqi66GCucihVvJfMjLAmec39IyEx_6qawtMGysU/edit?usp=sharing"",""สบก!O44"")"),854000.0)</f>
        <v>854000</v>
      </c>
      <c r="M49" s="125"/>
      <c r="N49" s="115">
        <f>IFERROR(__xludf.DUMMYFUNCTION("IMPORTRANGE(""https://docs.google.com/spreadsheets/d/1Yj_ptqi66GCucihVvJfMjLAmec39IyEx_6qawtMGysU/edit?usp=sharing"",""สบก!S44"")"),853500.0)</f>
        <v>853500</v>
      </c>
      <c r="O49" s="125">
        <f>IF(L49&gt;0,N49*100/L49,0)</f>
        <v>99.94145199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782400</v>
      </c>
      <c r="M53" s="151">
        <f t="shared" si="40"/>
        <v>399840</v>
      </c>
      <c r="N53" s="151">
        <f t="shared" si="40"/>
        <v>296800</v>
      </c>
      <c r="O53" s="150">
        <f t="shared" ref="O53:O55" si="42">IF(L53&gt;0,N53*100/L53,0)</f>
        <v>37.93456033</v>
      </c>
      <c r="P53" s="150">
        <f t="shared" ref="P53:P55" si="43">IF(M53&gt;0,N53*100/M53,0)</f>
        <v>74.22969188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782400</v>
      </c>
      <c r="M55" s="151">
        <f t="shared" si="44"/>
        <v>399840</v>
      </c>
      <c r="N55" s="151">
        <f t="shared" si="44"/>
        <v>296800</v>
      </c>
      <c r="O55" s="150">
        <f t="shared" si="42"/>
        <v>37.93456033</v>
      </c>
      <c r="P55" s="150">
        <f t="shared" si="43"/>
        <v>74.22969188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782400</v>
      </c>
      <c r="M57" s="115">
        <f>IFERROR(__xludf.DUMMYFUNCTION("IMPORTRANGE(""https://docs.google.com/spreadsheets/d/1Yj_ptqi66GCucihVvJfMjLAmec39IyEx_6qawtMGysU/edit?usp=sharing"",""สบก!Z44"")"),399840.0)</f>
        <v>399840</v>
      </c>
      <c r="N57" s="115">
        <f>IFERROR(__xludf.DUMMYFUNCTION("IMPORTRANGE(""https://docs.google.com/spreadsheets/d/1Yj_ptqi66GCucihVvJfMjLAmec39IyEx_6qawtMGysU/edit?usp=sharing"",""สบก!AA44"")"),296800.0)</f>
        <v>296800</v>
      </c>
      <c r="O57" s="116">
        <f>IF(L57&gt;0,N57*100/L57,0)</f>
        <v>37.93456033</v>
      </c>
      <c r="P57" s="116">
        <f>IF(M57&gt;0,N57*100/M57,0)</f>
        <v>74.22969188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IFERROR(__xludf.DUMMYFUNCTION("IMPORTRANGE(""https://docs.google.com/spreadsheets/d/1Yj_ptqi66GCucihVvJfMjLAmec39IyEx_6qawtMGysU/edit?usp=sharing"",""สบก!V44"")"),782400.0)</f>
        <v>782400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IFERROR(__xludf.DUMMYFUNCTION("IMPORTRANGE(""https://docs.google.com/spreadsheets/d/1Yj_ptqi66GCucihVvJfMjLAmec39IyEx_6qawtMGysU/edit?usp=sharing"",""สบก!W44"")"),0.0)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IFERROR(__xludf.DUMMYFUNCTION("IMPORTRANGE(""https://docs.google.com/spreadsheets/d/1Yj_ptqi66GCucihVvJfMjLAmec39IyEx_6qawtMGysU/edit?usp=sharing"",""สบก!X44"")"),0.0)</f>
        <v>0</v>
      </c>
      <c r="M61" s="125"/>
      <c r="N61" s="115">
        <f>IFERROR(__xludf.DUMMYFUNCTION("IMPORTRANGE(""https://docs.google.com/spreadsheets/d/1Yj_ptqi66GCucihVvJfMjLAmec39IyEx_6qawtMGysU/edit?usp=sharing"",""สบก!AB44"")"),0.0)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IFERROR(__xludf.DUMMYFUNCTION("IMPORTRANGE(""https://docs.google.com/spreadsheets/d/1XL5vhW3sbDhbH9Cz0tuDiY8C3ctxq1tqvaCgkFb8cCA/edit?usp=sharing"",""บุรีรัมย์!I9"")"),1.0)</f>
        <v>1</v>
      </c>
      <c r="J64" s="172">
        <f>IFERROR(__xludf.DUMMYFUNCTION("IMPORTRANGE(""https://docs.google.com/spreadsheets/d/1XL5vhW3sbDhbH9Cz0tuDiY8C3ctxq1tqvaCgkFb8cCA/edit?usp=sharing"",""บุรีรัมย์!J9"")"),1.0)</f>
        <v>1</v>
      </c>
      <c r="K64" s="173">
        <f t="shared" ref="K64:K65" si="45">IF(I64&gt;0,J64*100/I64,0)</f>
        <v>100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IFERROR(__xludf.DUMMYFUNCTION("IMPORTRANGE(""https://docs.google.com/spreadsheets/d/1XL5vhW3sbDhbH9Cz0tuDiY8C3ctxq1tqvaCgkFb8cCA/edit?usp=sharing"",""บุรีรัมย์!I10"")"),63.0)</f>
        <v>63</v>
      </c>
      <c r="J65" s="172">
        <f>IFERROR(__xludf.DUMMYFUNCTION("IMPORTRANGE(""https://docs.google.com/spreadsheets/d/1XL5vhW3sbDhbH9Cz0tuDiY8C3ctxq1tqvaCgkFb8cCA/edit?usp=sharing"",""บุรีรัมย์!J10"")"),63.0)</f>
        <v>63</v>
      </c>
      <c r="K65" s="173">
        <f t="shared" si="45"/>
        <v>100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753100</v>
      </c>
      <c r="M66" s="183">
        <f t="shared" si="46"/>
        <v>413220</v>
      </c>
      <c r="N66" s="183">
        <f t="shared" si="46"/>
        <v>166270</v>
      </c>
      <c r="O66" s="182">
        <f t="shared" ref="O66:O68" si="48">IF(L66&gt;0,N66*100/L66,0)</f>
        <v>22.07807728</v>
      </c>
      <c r="P66" s="182">
        <f t="shared" ref="P66:P68" si="49">IF(M66&gt;0,N66*100/M66,0)</f>
        <v>40.23764581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753100</v>
      </c>
      <c r="M68" s="188">
        <f t="shared" si="50"/>
        <v>413220</v>
      </c>
      <c r="N68" s="188">
        <f t="shared" si="50"/>
        <v>166270</v>
      </c>
      <c r="O68" s="187">
        <f t="shared" si="48"/>
        <v>22.07807728</v>
      </c>
      <c r="P68" s="187">
        <f t="shared" si="49"/>
        <v>40.23764581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753100</v>
      </c>
      <c r="M70" s="201">
        <f>IFERROR(__xludf.DUMMYFUNCTION("IMPORTRANGE(""https://docs.google.com/spreadsheets/d/1Yj_ptqi66GCucihVvJfMjLAmec39IyEx_6qawtMGysU/edit?usp=sharing"",""สบก!AI44"")"),413220.0)</f>
        <v>413220</v>
      </c>
      <c r="N70" s="202">
        <f>IFERROR(__xludf.DUMMYFUNCTION("IMPORTRANGE(""https://docs.google.com/spreadsheets/d/1Yj_ptqi66GCucihVvJfMjLAmec39IyEx_6qawtMGysU/edit?usp=sharing"",""สบก!AJ44"")"),166270.0)</f>
        <v>166270</v>
      </c>
      <c r="O70" s="203">
        <f>IF(L70&gt;0,N70*100/L70,0)</f>
        <v>22.07807728</v>
      </c>
      <c r="P70" s="203">
        <f>IF(M70&gt;0,N70*100/M70,0)</f>
        <v>40.23764581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IFERROR(__xludf.DUMMYFUNCTION("IMPORTRANGE(""https://docs.google.com/spreadsheets/d/1Yj_ptqi66GCucihVvJfMjLAmec39IyEx_6qawtMGysU/edit?usp=sharing"",""สบก!AE44"")"),189500.0)</f>
        <v>189500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IFERROR(__xludf.DUMMYFUNCTION("IMPORTRANGE(""https://docs.google.com/spreadsheets/d/1Yj_ptqi66GCucihVvJfMjLAmec39IyEx_6qawtMGysU/edit?usp=sharing"",""สบก!AF44"")"),563600.0)</f>
        <v>563600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IFERROR(__xludf.DUMMYFUNCTION("IMPORTRANGE(""https://docs.google.com/spreadsheets/d/1Yj_ptqi66GCucihVvJfMjLAmec39IyEx_6qawtMGysU/edit?usp=sharing"",""สบก!AG44"")"),0.0)</f>
        <v>0</v>
      </c>
      <c r="M74" s="125"/>
      <c r="N74" s="115">
        <f>IFERROR(__xludf.DUMMYFUNCTION("IMPORTRANGE(""https://docs.google.com/spreadsheets/d/1Yj_ptqi66GCucihVvJfMjLAmec39IyEx_6qawtMGysU/edit?usp=sharing"",""สบก!AK44"")"),0.0)</f>
        <v>0</v>
      </c>
      <c r="O74" s="125">
        <f>IF(L74&gt;0,N74*100/L74,0)</f>
        <v>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IFERROR(__xludf.DUMMYFUNCTION("IMPORTRANGE(""https://docs.google.com/spreadsheets/d/1XL5vhW3sbDhbH9Cz0tuDiY8C3ctxq1tqvaCgkFb8cCA/edit?usp=sharing"",""บุรีรัมย์!J16"")"),0.0)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IFERROR(__xludf.DUMMYFUNCTION("IMPORTRANGE(""https://docs.google.com/spreadsheets/d/1XL5vhW3sbDhbH9Cz0tuDiY8C3ctxq1tqvaCgkFb8cCA/edit?usp=sharing"",""บุรีรัมย์!J17"")"),1.0)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IFERROR(__xludf.DUMMYFUNCTION("IMPORTRANGE(""https://docs.google.com/spreadsheets/d/1XL5vhW3sbDhbH9Cz0tuDiY8C3ctxq1tqvaCgkFb8cCA/edit?usp=sharing"",""บุรีรัมย์!J18"")"),1.0)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IFERROR(__xludf.DUMMYFUNCTION("IMPORTRANGE(""https://docs.google.com/spreadsheets/d/1XL5vhW3sbDhbH9Cz0tuDiY8C3ctxq1tqvaCgkFb8cCA/edit?usp=sharing"",""บุรีรัมย์!J19"")"),1.0)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IFERROR(__xludf.DUMMYFUNCTION("IMPORTRANGE(""https://docs.google.com/spreadsheets/d/1XL5vhW3sbDhbH9Cz0tuDiY8C3ctxq1tqvaCgkFb8cCA/edit?usp=sharing"",""บุรีรัมย์!I20"")"),1.0)</f>
        <v>1</v>
      </c>
      <c r="J80" s="235">
        <f>IFERROR(__xludf.DUMMYFUNCTION("IMPORTRANGE(""https://docs.google.com/spreadsheets/d/1XL5vhW3sbDhbH9Cz0tuDiY8C3ctxq1tqvaCgkFb8cCA/edit?usp=sharing"",""บุรีรัมย์!J20"")"),1.0)</f>
        <v>1</v>
      </c>
      <c r="K80" s="236">
        <f t="shared" ref="K80:K88" si="51">IF(I80&gt;0,J80*100/I80,0)</f>
        <v>100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IFERROR(__xludf.DUMMYFUNCTION("IMPORTRANGE(""https://docs.google.com/spreadsheets/d/1XL5vhW3sbDhbH9Cz0tuDiY8C3ctxq1tqvaCgkFb8cCA/edit?usp=sharing"",""บุรีรัมย์!I21"")"),63.0)</f>
        <v>63</v>
      </c>
      <c r="J81" s="235">
        <f>IFERROR(__xludf.DUMMYFUNCTION("IMPORTRANGE(""https://docs.google.com/spreadsheets/d/1XL5vhW3sbDhbH9Cz0tuDiY8C3ctxq1tqvaCgkFb8cCA/edit?usp=sharing"",""บุรีรัมย์!J21"")"),63.0)</f>
        <v>63</v>
      </c>
      <c r="K81" s="236">
        <f t="shared" si="51"/>
        <v>100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IFERROR(__xludf.DUMMYFUNCTION("IMPORTRANGE(""https://docs.google.com/spreadsheets/d/1XL5vhW3sbDhbH9Cz0tuDiY8C3ctxq1tqvaCgkFb8cCA/edit?usp=sharing"",""บุรีรัมย์!I22"")"),1.0)</f>
        <v>1</v>
      </c>
      <c r="J82" s="238">
        <f>IFERROR(__xludf.DUMMYFUNCTION("IMPORTRANGE(""https://docs.google.com/spreadsheets/d/1XL5vhW3sbDhbH9Cz0tuDiY8C3ctxq1tqvaCgkFb8cCA/edit?usp=sharing"",""บุรีรัมย์!J22"")"),1.0)</f>
        <v>1</v>
      </c>
      <c r="K82" s="196">
        <f t="shared" si="51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IFERROR(__xludf.DUMMYFUNCTION("IMPORTRANGE(""https://docs.google.com/spreadsheets/d/1XL5vhW3sbDhbH9Cz0tuDiY8C3ctxq1tqvaCgkFb8cCA/edit?usp=sharing"",""บุรีรัมย์!I23"")"),63.0)</f>
        <v>63</v>
      </c>
      <c r="J83" s="238">
        <f>IFERROR(__xludf.DUMMYFUNCTION("IMPORTRANGE(""https://docs.google.com/spreadsheets/d/1XL5vhW3sbDhbH9Cz0tuDiY8C3ctxq1tqvaCgkFb8cCA/edit?usp=sharing"",""บุรีรัมย์!J23"")"),63.0)</f>
        <v>63</v>
      </c>
      <c r="K83" s="196">
        <f t="shared" si="51"/>
        <v>100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IFERROR(__xludf.DUMMYFUNCTION("IMPORTRANGE(""https://docs.google.com/spreadsheets/d/1XL5vhW3sbDhbH9Cz0tuDiY8C3ctxq1tqvaCgkFb8cCA/edit?usp=sharing"",""บุรีรัมย์!I24"")"),0.0)</f>
        <v>0</v>
      </c>
      <c r="J84" s="223">
        <f>IFERROR(__xludf.DUMMYFUNCTION("IMPORTRANGE(""https://docs.google.com/spreadsheets/d/1XL5vhW3sbDhbH9Cz0tuDiY8C3ctxq1tqvaCgkFb8cCA/edit?usp=sharing"",""บุรีรัมย์!J24"")"),0.0)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IFERROR(__xludf.DUMMYFUNCTION("IMPORTRANGE(""https://docs.google.com/spreadsheets/d/1XL5vhW3sbDhbH9Cz0tuDiY8C3ctxq1tqvaCgkFb8cCA/edit?usp=sharing"",""บุรีรัมย์!I25"")"),0.0)</f>
        <v>0</v>
      </c>
      <c r="J85" s="223">
        <f>IFERROR(__xludf.DUMMYFUNCTION("IMPORTRANGE(""https://docs.google.com/spreadsheets/d/1XL5vhW3sbDhbH9Cz0tuDiY8C3ctxq1tqvaCgkFb8cCA/edit?usp=sharing"",""บุรีรัมย์!J25"")"),0.0)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IFERROR(__xludf.DUMMYFUNCTION("IMPORTRANGE(""https://docs.google.com/spreadsheets/d/1XL5vhW3sbDhbH9Cz0tuDiY8C3ctxq1tqvaCgkFb8cCA/edit?usp=sharing"",""บุรีรัมย์!I26"")"),0.0)</f>
        <v>0</v>
      </c>
      <c r="J86" s="238">
        <f>IFERROR(__xludf.DUMMYFUNCTION("IMPORTRANGE(""https://docs.google.com/spreadsheets/d/1XL5vhW3sbDhbH9Cz0tuDiY8C3ctxq1tqvaCgkFb8cCA/edit?usp=sharing"",""บุรีรัมย์!J26"")"),0.0)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IFERROR(__xludf.DUMMYFUNCTION("IMPORTRANGE(""https://docs.google.com/spreadsheets/d/1XL5vhW3sbDhbH9Cz0tuDiY8C3ctxq1tqvaCgkFb8cCA/edit?usp=sharing"",""บุรีรัมย์!I27"")"),0.0)</f>
        <v>0</v>
      </c>
      <c r="J87" s="238">
        <f>IFERROR(__xludf.DUMMYFUNCTION("IMPORTRANGE(""https://docs.google.com/spreadsheets/d/1XL5vhW3sbDhbH9Cz0tuDiY8C3ctxq1tqvaCgkFb8cCA/edit?usp=sharing"",""บุรีรัมย์!J27"")"),0.0)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IFERROR(__xludf.DUMMYFUNCTION("IMPORTRANGE(""https://docs.google.com/spreadsheets/d/1XL5vhW3sbDhbH9Cz0tuDiY8C3ctxq1tqvaCgkFb8cCA/edit?usp=sharing"",""บุรีรัมย์!I28"")"),63.0)</f>
        <v>63</v>
      </c>
      <c r="J88" s="238">
        <f>IFERROR(__xludf.DUMMYFUNCTION("IMPORTRANGE(""https://docs.google.com/spreadsheets/d/1XL5vhW3sbDhbH9Cz0tuDiY8C3ctxq1tqvaCgkFb8cCA/edit?usp=sharing"",""บุรีรัมย์!J28"")"),0.0)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IFERROR(__xludf.DUMMYFUNCTION("IMPORTRANGE(""https://docs.google.com/spreadsheets/d/1XL5vhW3sbDhbH9Cz0tuDiY8C3ctxq1tqvaCgkFb8cCA/edit?usp=sharing"",""บุรีรัมย์!J29"")"),0.0)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IFERROR(__xludf.DUMMYFUNCTION("IMPORTRANGE(""https://docs.google.com/spreadsheets/d/1XL5vhW3sbDhbH9Cz0tuDiY8C3ctxq1tqvaCgkFb8cCA/edit?usp=sharing"",""บุรีรัมย์!J30"")"),0.0)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IFERROR(__xludf.DUMMYFUNCTION("IMPORTRANGE(""https://docs.google.com/spreadsheets/d/1XL5vhW3sbDhbH9Cz0tuDiY8C3ctxq1tqvaCgkFb8cCA/edit?usp=sharing"",""บุรีรัมย์!I32"")"),0.0)</f>
        <v>0</v>
      </c>
      <c r="J92" s="172">
        <f>IFERROR(__xludf.DUMMYFUNCTION("IMPORTRANGE(""https://docs.google.com/spreadsheets/d/1XL5vhW3sbDhbH9Cz0tuDiY8C3ctxq1tqvaCgkFb8cCA/edit?usp=sharing"",""บุรีรัมย์!J32"")"),0.0)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IFERROR(__xludf.DUMMYFUNCTION("IMPORTRANGE(""https://docs.google.com/spreadsheets/d/1XL5vhW3sbDhbH9Cz0tuDiY8C3ctxq1tqvaCgkFb8cCA/edit?usp=sharing"",""บุรีรัมย์!I33"")"),0.0)</f>
        <v>0</v>
      </c>
      <c r="J93" s="172">
        <f>IFERROR(__xludf.DUMMYFUNCTION("IMPORTRANGE(""https://docs.google.com/spreadsheets/d/1XL5vhW3sbDhbH9Cz0tuDiY8C3ctxq1tqvaCgkFb8cCA/edit?usp=sharing"",""บุรีรัมย์!J33"")"),0.0)</f>
        <v>0</v>
      </c>
      <c r="K93" s="173">
        <f t="shared" si="52"/>
        <v>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0</v>
      </c>
      <c r="M94" s="183">
        <f t="shared" si="53"/>
        <v>0</v>
      </c>
      <c r="N94" s="183">
        <f t="shared" si="53"/>
        <v>0</v>
      </c>
      <c r="O94" s="182">
        <f t="shared" ref="O94:O96" si="55">IF(L94&gt;0,N94*100/L94,0)</f>
        <v>0</v>
      </c>
      <c r="P94" s="182">
        <f t="shared" ref="P94:P96" si="56">IF(M94&gt;0,N94*100/M94,0)</f>
        <v>0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0</v>
      </c>
      <c r="M96" s="188">
        <f t="shared" si="57"/>
        <v>0</v>
      </c>
      <c r="N96" s="188">
        <f t="shared" si="57"/>
        <v>0</v>
      </c>
      <c r="O96" s="187">
        <f t="shared" si="55"/>
        <v>0</v>
      </c>
      <c r="P96" s="187">
        <f t="shared" si="56"/>
        <v>0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0</v>
      </c>
      <c r="M98" s="201">
        <f>IFERROR(__xludf.DUMMYFUNCTION("IMPORTRANGE(""https://docs.google.com/spreadsheets/d/1Yj_ptqi66GCucihVvJfMjLAmec39IyEx_6qawtMGysU/edit?usp=sharing"",""สบก!AR44"")"),0.0)</f>
        <v>0</v>
      </c>
      <c r="N98" s="202">
        <f>IFERROR(__xludf.DUMMYFUNCTION("IMPORTRANGE(""https://docs.google.com/spreadsheets/d/1Yj_ptqi66GCucihVvJfMjLAmec39IyEx_6qawtMGysU/edit?usp=sharing"",""สบก!AS44"")"),0.0)</f>
        <v>0</v>
      </c>
      <c r="O98" s="203">
        <f>IF(L98&gt;0,N98*100/L98,0)</f>
        <v>0</v>
      </c>
      <c r="P98" s="203">
        <f>IF(M98&gt;0,N98*100/M98,0)</f>
        <v>0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IFERROR(__xludf.DUMMYFUNCTION("IMPORTRANGE(""https://docs.google.com/spreadsheets/d/1Yj_ptqi66GCucihVvJfMjLAmec39IyEx_6qawtMGysU/edit?usp=sharing"",""สบก!AN44"")"),0.0)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IFERROR(__xludf.DUMMYFUNCTION("IMPORTRANGE(""https://docs.google.com/spreadsheets/d/1Yj_ptqi66GCucihVvJfMjLAmec39IyEx_6qawtMGysU/edit?usp=sharing"",""สบก!AO44"")"),0.0)</f>
        <v>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IFERROR(__xludf.DUMMYFUNCTION("IMPORTRANGE(""https://docs.google.com/spreadsheets/d/1Yj_ptqi66GCucihVvJfMjLAmec39IyEx_6qawtMGysU/edit?usp=sharing"",""สบก!AP44"")"),0.0)</f>
        <v>0</v>
      </c>
      <c r="M102" s="125"/>
      <c r="N102" s="115">
        <f>IFERROR(__xludf.DUMMYFUNCTION("IMPORTRANGE(""https://docs.google.com/spreadsheets/d/1Yj_ptqi66GCucihVvJfMjLAmec39IyEx_6qawtMGysU/edit?usp=sharing"",""สบก!AT44"")"),0.0)</f>
        <v>0</v>
      </c>
      <c r="O102" s="125">
        <f>IF(L102&gt;0,N102*100/L102,0)</f>
        <v>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IFERROR(__xludf.DUMMYFUNCTION("IMPORTRANGE(""https://docs.google.com/spreadsheets/d/1XL5vhW3sbDhbH9Cz0tuDiY8C3ctxq1tqvaCgkFb8cCA/edit?usp=sharing"",""บุรีรัมย์!J39"")"),0.0)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IFERROR(__xludf.DUMMYFUNCTION("IMPORTRANGE(""https://docs.google.com/spreadsheets/d/1XL5vhW3sbDhbH9Cz0tuDiY8C3ctxq1tqvaCgkFb8cCA/edit?usp=sharing"",""บุรีรัมย์!J40"")"),0.0)</f>
        <v>0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IFERROR(__xludf.DUMMYFUNCTION("IMPORTRANGE(""https://docs.google.com/spreadsheets/d/1XL5vhW3sbDhbH9Cz0tuDiY8C3ctxq1tqvaCgkFb8cCA/edit?usp=sharing"",""บุรีรัมย์!J41"")"),0.0)</f>
        <v>0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IFERROR(__xludf.DUMMYFUNCTION("IMPORTRANGE(""https://docs.google.com/spreadsheets/d/1XL5vhW3sbDhbH9Cz0tuDiY8C3ctxq1tqvaCgkFb8cCA/edit?usp=sharing"",""บุรีรัมย์!J42"")"),0.0)</f>
        <v>0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IFERROR(__xludf.DUMMYFUNCTION("IMPORTRANGE(""https://docs.google.com/spreadsheets/d/1XL5vhW3sbDhbH9Cz0tuDiY8C3ctxq1tqvaCgkFb8cCA/edit?usp=sharing"",""บุรีรัมย์!I43"")"),0.0)</f>
        <v>0</v>
      </c>
      <c r="J108" s="238">
        <f>IFERROR(__xludf.DUMMYFUNCTION("IMPORTRANGE(""https://docs.google.com/spreadsheets/d/1XL5vhW3sbDhbH9Cz0tuDiY8C3ctxq1tqvaCgkFb8cCA/edit?usp=sharing"",""บุรีรัมย์!J43"")"),0.0)</f>
        <v>0</v>
      </c>
      <c r="K108" s="258">
        <f t="shared" ref="K108:K113" si="58">IF(I108&gt;0,J108*100/I108,0)</f>
        <v>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IFERROR(__xludf.DUMMYFUNCTION("IMPORTRANGE(""https://docs.google.com/spreadsheets/d/1XL5vhW3sbDhbH9Cz0tuDiY8C3ctxq1tqvaCgkFb8cCA/edit?usp=sharing"",""บุรีรัมย์!I44"")"),0.0)</f>
        <v>0</v>
      </c>
      <c r="J109" s="238">
        <f>IFERROR(__xludf.DUMMYFUNCTION("IMPORTRANGE(""https://docs.google.com/spreadsheets/d/1XL5vhW3sbDhbH9Cz0tuDiY8C3ctxq1tqvaCgkFb8cCA/edit?usp=sharing"",""บุรีรัมย์!J44"")"),0.0)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IFERROR(__xludf.DUMMYFUNCTION("IMPORTRANGE(""https://docs.google.com/spreadsheets/d/1XL5vhW3sbDhbH9Cz0tuDiY8C3ctxq1tqvaCgkFb8cCA/edit?usp=sharing"",""บุรีรัมย์!I45"")"),0.0)</f>
        <v>0</v>
      </c>
      <c r="J110" s="238">
        <f>IFERROR(__xludf.DUMMYFUNCTION("IMPORTRANGE(""https://docs.google.com/spreadsheets/d/1XL5vhW3sbDhbH9Cz0tuDiY8C3ctxq1tqvaCgkFb8cCA/edit?usp=sharing"",""บุรีรัมย์!J45"")"),0.0)</f>
        <v>0</v>
      </c>
      <c r="K110" s="258">
        <f t="shared" si="58"/>
        <v>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IFERROR(__xludf.DUMMYFUNCTION("IMPORTRANGE(""https://docs.google.com/spreadsheets/d/1XL5vhW3sbDhbH9Cz0tuDiY8C3ctxq1tqvaCgkFb8cCA/edit?usp=sharing"",""บุรีรัมย์!I46"")"),0.0)</f>
        <v>0</v>
      </c>
      <c r="J111" s="238">
        <f>IFERROR(__xludf.DUMMYFUNCTION("IMPORTRANGE(""https://docs.google.com/spreadsheets/d/1XL5vhW3sbDhbH9Cz0tuDiY8C3ctxq1tqvaCgkFb8cCA/edit?usp=sharing"",""บุรีรัมย์!J46"")"),0.0)</f>
        <v>0</v>
      </c>
      <c r="K111" s="258">
        <f t="shared" si="58"/>
        <v>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IFERROR(__xludf.DUMMYFUNCTION("IMPORTRANGE(""https://docs.google.com/spreadsheets/d/1XL5vhW3sbDhbH9Cz0tuDiY8C3ctxq1tqvaCgkFb8cCA/edit?usp=sharing"",""บุรีรัมย์!I47"")"),0.0)</f>
        <v>0</v>
      </c>
      <c r="J112" s="238">
        <f>IFERROR(__xludf.DUMMYFUNCTION("IMPORTRANGE(""https://docs.google.com/spreadsheets/d/1XL5vhW3sbDhbH9Cz0tuDiY8C3ctxq1tqvaCgkFb8cCA/edit?usp=sharing"",""บุรีรัมย์!J47"")"),0.0)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IFERROR(__xludf.DUMMYFUNCTION("IMPORTRANGE(""https://docs.google.com/spreadsheets/d/1XL5vhW3sbDhbH9Cz0tuDiY8C3ctxq1tqvaCgkFb8cCA/edit?usp=sharing"",""บุรีรัมย์!I48"")"),0.0)</f>
        <v>0</v>
      </c>
      <c r="J113" s="238">
        <f>IFERROR(__xludf.DUMMYFUNCTION("IMPORTRANGE(""https://docs.google.com/spreadsheets/d/1XL5vhW3sbDhbH9Cz0tuDiY8C3ctxq1tqvaCgkFb8cCA/edit?usp=sharing"",""บุรีรัมย์!J48"")"),0.0)</f>
        <v>0</v>
      </c>
      <c r="K113" s="258">
        <f t="shared" si="58"/>
        <v>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IFERROR(__xludf.DUMMYFUNCTION("IMPORTRANGE(""https://docs.google.com/spreadsheets/d/1XL5vhW3sbDhbH9Cz0tuDiY8C3ctxq1tqvaCgkFb8cCA/edit?usp=sharing"",""บุรีรัมย์!J49"")"),0.0)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IFERROR(__xludf.DUMMYFUNCTION("IMPORTRANGE(""https://docs.google.com/spreadsheets/d/1XL5vhW3sbDhbH9Cz0tuDiY8C3ctxq1tqvaCgkFb8cCA/edit?usp=sharing"",""บุรีรัมย์!J50"")"),0.0)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IFERROR(__xludf.DUMMYFUNCTION("IMPORTRANGE(""https://docs.google.com/spreadsheets/d/1XL5vhW3sbDhbH9Cz0tuDiY8C3ctxq1tqvaCgkFb8cCA/edit?usp=sharing"",""บุรีรัมย์!I52"")"),20.0)</f>
        <v>20</v>
      </c>
      <c r="J117" s="172">
        <f>IFERROR(__xludf.DUMMYFUNCTION("IMPORTRANGE(""https://docs.google.com/spreadsheets/d/1XL5vhW3sbDhbH9Cz0tuDiY8C3ctxq1tqvaCgkFb8cCA/edit?usp=sharing"",""บุรีรัมย์!J52"")"),0.0)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82440</v>
      </c>
      <c r="M118" s="183">
        <f t="shared" si="59"/>
        <v>66440</v>
      </c>
      <c r="N118" s="183">
        <f t="shared" si="59"/>
        <v>15500</v>
      </c>
      <c r="O118" s="182">
        <f t="shared" ref="O118:O120" si="61">IF(L118&gt;0,N118*100/L118,0)</f>
        <v>18.80155264</v>
      </c>
      <c r="P118" s="182">
        <f t="shared" ref="P118:P120" si="62">IF(M118&gt;0,N118*100/M118,0)</f>
        <v>23.32931969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82440</v>
      </c>
      <c r="M120" s="188">
        <f t="shared" si="63"/>
        <v>66440</v>
      </c>
      <c r="N120" s="188">
        <f t="shared" si="63"/>
        <v>15500</v>
      </c>
      <c r="O120" s="187">
        <f t="shared" si="61"/>
        <v>18.80155264</v>
      </c>
      <c r="P120" s="187">
        <f t="shared" si="62"/>
        <v>23.32931969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82440</v>
      </c>
      <c r="M122" s="201">
        <f>IFERROR(__xludf.DUMMYFUNCTION("IMPORTRANGE(""https://docs.google.com/spreadsheets/d/1Yj_ptqi66GCucihVvJfMjLAmec39IyEx_6qawtMGysU/edit?usp=sharing"",""สบก!BA44"")"),66440.0)</f>
        <v>66440</v>
      </c>
      <c r="N122" s="202">
        <f>IFERROR(__xludf.DUMMYFUNCTION("IMPORTRANGE(""https://docs.google.com/spreadsheets/d/1Yj_ptqi66GCucihVvJfMjLAmec39IyEx_6qawtMGysU/edit?usp=sharing"",""สบก!BB44"")"),15500.0)</f>
        <v>15500</v>
      </c>
      <c r="O122" s="203">
        <f>IF(L122&gt;0,N122*100/L122,0)</f>
        <v>18.80155264</v>
      </c>
      <c r="P122" s="203">
        <f>IF(M122&gt;0,N122*100/M122,0)</f>
        <v>23.32931969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IFERROR(__xludf.DUMMYFUNCTION("IMPORTRANGE(""https://docs.google.com/spreadsheets/d/1Yj_ptqi66GCucihVvJfMjLAmec39IyEx_6qawtMGysU/edit?usp=sharing"",""สบก!AW44"")"),0.0)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IFERROR(__xludf.DUMMYFUNCTION("IMPORTRANGE(""https://docs.google.com/spreadsheets/d/1Yj_ptqi66GCucihVvJfMjLAmec39IyEx_6qawtMGysU/edit?usp=sharing"",""สบก!AX44"")"),82440.0)</f>
        <v>82440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IFERROR(__xludf.DUMMYFUNCTION("IMPORTRANGE(""https://docs.google.com/spreadsheets/d/1Yj_ptqi66GCucihVvJfMjLAmec39IyEx_6qawtMGysU/edit?usp=sharing"",""สบก!AY44"")"),0.0)</f>
        <v>0</v>
      </c>
      <c r="M126" s="125"/>
      <c r="N126" s="115">
        <f>IFERROR(__xludf.DUMMYFUNCTION("IMPORTRANGE(""https://docs.google.com/spreadsheets/d/1Yj_ptqi66GCucihVvJfMjLAmec39IyEx_6qawtMGysU/edit?usp=sharing"",""สบก!BC44"")"),0.0)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252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IFERROR(__xludf.DUMMYFUNCTION("IMPORTRANGE(""https://docs.google.com/spreadsheets/d/1XL5vhW3sbDhbH9Cz0tuDiY8C3ctxq1tqvaCgkFb8cCA/edit?usp=sharing"",""บุรีรัมย์!J58"")"),0.0)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IFERROR(__xludf.DUMMYFUNCTION("IMPORTRANGE(""https://docs.google.com/spreadsheets/d/1XL5vhW3sbDhbH9Cz0tuDiY8C3ctxq1tqvaCgkFb8cCA/edit?usp=sharing"",""บุรีรัมย์!J59"")"),1.0)</f>
        <v>1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IFERROR(__xludf.DUMMYFUNCTION("IMPORTRANGE(""https://docs.google.com/spreadsheets/d/1XL5vhW3sbDhbH9Cz0tuDiY8C3ctxq1tqvaCgkFb8cCA/edit?usp=sharing"",""บุรีรัมย์!J60"")"),1.0)</f>
        <v>1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IFERROR(__xludf.DUMMYFUNCTION("IMPORTRANGE(""https://docs.google.com/spreadsheets/d/1XL5vhW3sbDhbH9Cz0tuDiY8C3ctxq1tqvaCgkFb8cCA/edit?usp=sharing"",""บุรีรัมย์!J61"")"),0.0)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IFERROR(__xludf.DUMMYFUNCTION("IMPORTRANGE(""https://docs.google.com/spreadsheets/d/1XL5vhW3sbDhbH9Cz0tuDiY8C3ctxq1tqvaCgkFb8cCA/edit?usp=sharing"",""บุรีรัมย์!I62"")"),20.0)</f>
        <v>20</v>
      </c>
      <c r="J132" s="238">
        <f>IFERROR(__xludf.DUMMYFUNCTION("IMPORTRANGE(""https://docs.google.com/spreadsheets/d/1XL5vhW3sbDhbH9Cz0tuDiY8C3ctxq1tqvaCgkFb8cCA/edit?usp=sharing"",""บุรีรัมย์!J62"")"),0.0)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IFERROR(__xludf.DUMMYFUNCTION("IMPORTRANGE(""https://docs.google.com/spreadsheets/d/1XL5vhW3sbDhbH9Cz0tuDiY8C3ctxq1tqvaCgkFb8cCA/edit?usp=sharing"",""บุรีรัมย์!I63"")"),20.0)</f>
        <v>20</v>
      </c>
      <c r="J133" s="238">
        <f>IFERROR(__xludf.DUMMYFUNCTION("IMPORTRANGE(""https://docs.google.com/spreadsheets/d/1XL5vhW3sbDhbH9Cz0tuDiY8C3ctxq1tqvaCgkFb8cCA/edit?usp=sharing"",""บุรีรัมย์!J63"")"),0.0)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IFERROR(__xludf.DUMMYFUNCTION("IMPORTRANGE(""https://docs.google.com/spreadsheets/d/1XL5vhW3sbDhbH9Cz0tuDiY8C3ctxq1tqvaCgkFb8cCA/edit?usp=sharing"",""บุรีรัมย์!J64"")"),0.0)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IFERROR(__xludf.DUMMYFUNCTION("IMPORTRANGE(""https://docs.google.com/spreadsheets/d/1XL5vhW3sbDhbH9Cz0tuDiY8C3ctxq1tqvaCgkFb8cCA/edit?usp=sharing"",""บุรีรัมย์!J65"")"),0.0)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IFERROR(__xludf.DUMMYFUNCTION("IMPORTRANGE(""https://docs.google.com/spreadsheets/d/1XL5vhW3sbDhbH9Cz0tuDiY8C3ctxq1tqvaCgkFb8cCA/edit?usp=sharing"",""บุรีรัมย์!I68"")"),0.0)</f>
        <v>0</v>
      </c>
      <c r="J138" s="301">
        <f>IFERROR(__xludf.DUMMYFUNCTION("IMPORTRANGE(""https://docs.google.com/spreadsheets/d/1XL5vhW3sbDhbH9Cz0tuDiY8C3ctxq1tqvaCgkFb8cCA/edit?usp=sharing"",""บุรีรัมย์!J68"")"),0.0)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98500</v>
      </c>
      <c r="M140" s="183">
        <f t="shared" si="65"/>
        <v>55750</v>
      </c>
      <c r="N140" s="183">
        <f t="shared" si="65"/>
        <v>11480</v>
      </c>
      <c r="O140" s="182">
        <f t="shared" ref="O140:O142" si="67">IF(L140&gt;0,N140*100/L140,0)</f>
        <v>11.65482234</v>
      </c>
      <c r="P140" s="182">
        <f t="shared" ref="P140:P142" si="68">IF(M140&gt;0,N140*100/M140,0)</f>
        <v>20.59192825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98500</v>
      </c>
      <c r="M142" s="188">
        <f t="shared" si="69"/>
        <v>55750</v>
      </c>
      <c r="N142" s="188">
        <f t="shared" si="69"/>
        <v>11480</v>
      </c>
      <c r="O142" s="187">
        <f t="shared" si="67"/>
        <v>11.65482234</v>
      </c>
      <c r="P142" s="187">
        <f t="shared" si="68"/>
        <v>20.59192825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98500</v>
      </c>
      <c r="M144" s="201">
        <f>IFERROR(__xludf.DUMMYFUNCTION("IMPORTRANGE(""https://docs.google.com/spreadsheets/d/1Yj_ptqi66GCucihVvJfMjLAmec39IyEx_6qawtMGysU/edit?usp=sharing"",""สบก!BJ44"")"),55750.0)</f>
        <v>55750</v>
      </c>
      <c r="N144" s="202">
        <f>IFERROR(__xludf.DUMMYFUNCTION("IMPORTRANGE(""https://docs.google.com/spreadsheets/d/1Yj_ptqi66GCucihVvJfMjLAmec39IyEx_6qawtMGysU/edit?usp=sharing"",""สบก!BK44"")"),11480.0)</f>
        <v>11480</v>
      </c>
      <c r="O144" s="203">
        <f>IF(L144&gt;0,N144*100/L144,0)</f>
        <v>11.65482234</v>
      </c>
      <c r="P144" s="203">
        <f>IF(M144&gt;0,N144*100/M144,0)</f>
        <v>20.59192825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IFERROR(__xludf.DUMMYFUNCTION("IMPORTRANGE(""https://docs.google.com/spreadsheets/d/1Yj_ptqi66GCucihVvJfMjLAmec39IyEx_6qawtMGysU/edit?usp=sharing"",""สบก!BF44"")"),0.0)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IFERROR(__xludf.DUMMYFUNCTION("IMPORTRANGE(""https://docs.google.com/spreadsheets/d/1Yj_ptqi66GCucihVvJfMjLAmec39IyEx_6qawtMGysU/edit?usp=sharing"",""สบก!BG44"")"),98500.0)</f>
        <v>98500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IFERROR(__xludf.DUMMYFUNCTION("IMPORTRANGE(""https://docs.google.com/spreadsheets/d/1Yj_ptqi66GCucihVvJfMjLAmec39IyEx_6qawtMGysU/edit?usp=sharing"",""สบก!BH44"")"),0.0)</f>
        <v>0</v>
      </c>
      <c r="M148" s="125"/>
      <c r="N148" s="115">
        <f>IFERROR(__xludf.DUMMYFUNCTION("IMPORTRANGE(""https://docs.google.com/spreadsheets/d/1Yj_ptqi66GCucihVvJfMjLAmec39IyEx_6qawtMGysU/edit?usp=sharing"",""สบก!BL44"")"),0.0)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IFERROR(__xludf.DUMMYFUNCTION("IMPORTRANGE(""https://docs.google.com/spreadsheets/d/1XL5vhW3sbDhbH9Cz0tuDiY8C3ctxq1tqvaCgkFb8cCA/edit?usp=sharing"",""บุรีรัมย์!I74"")"),4.0)</f>
        <v>4</v>
      </c>
      <c r="J149" s="309">
        <f>IFERROR(__xludf.DUMMYFUNCTION("IMPORTRANGE(""https://docs.google.com/spreadsheets/d/1XL5vhW3sbDhbH9Cz0tuDiY8C3ctxq1tqvaCgkFb8cCA/edit?usp=sharing"",""บุรีรัมย์!J74"")"),1.0)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IFERROR(__xludf.DUMMYFUNCTION("IMPORTRANGE(""https://docs.google.com/spreadsheets/d/1XL5vhW3sbDhbH9Cz0tuDiY8C3ctxq1tqvaCgkFb8cCA/edit?usp=sharing"",""บุรีรัมย์!J79"")"),0.0)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IFERROR(__xludf.DUMMYFUNCTION("IMPORTRANGE(""https://docs.google.com/spreadsheets/d/1XL5vhW3sbDhbH9Cz0tuDiY8C3ctxq1tqvaCgkFb8cCA/edit?usp=sharing"",""บุรีรัมย์!J80"")"),1.0)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IFERROR(__xludf.DUMMYFUNCTION("IMPORTRANGE(""https://docs.google.com/spreadsheets/d/1XL5vhW3sbDhbH9Cz0tuDiY8C3ctxq1tqvaCgkFb8cCA/edit?usp=sharing"",""บุรีรัมย์!J81"")"),1.0)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IFERROR(__xludf.DUMMYFUNCTION("IMPORTRANGE(""https://docs.google.com/spreadsheets/d/1XL5vhW3sbDhbH9Cz0tuDiY8C3ctxq1tqvaCgkFb8cCA/edit?usp=sharing"",""บุรีรัมย์!J82"")"),1.0)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IFERROR(__xludf.DUMMYFUNCTION("IMPORTRANGE(""https://docs.google.com/spreadsheets/d/1XL5vhW3sbDhbH9Cz0tuDiY8C3ctxq1tqvaCgkFb8cCA/edit?usp=sharing"",""บุรีรัมย์!I83"")"),4.0)</f>
        <v>4</v>
      </c>
      <c r="J158" s="223">
        <f>IFERROR(__xludf.DUMMYFUNCTION("IMPORTRANGE(""https://docs.google.com/spreadsheets/d/1XL5vhW3sbDhbH9Cz0tuDiY8C3ctxq1tqvaCgkFb8cCA/edit?usp=sharing"",""บุรีรัมย์!J83"")"),1.0)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IFERROR(__xludf.DUMMYFUNCTION("IMPORTRANGE(""https://docs.google.com/spreadsheets/d/1XL5vhW3sbDhbH9Cz0tuDiY8C3ctxq1tqvaCgkFb8cCA/edit?usp=sharing"",""บุรีรัมย์!J84"")"),0.0)</f>
        <v>0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IFERROR(__xludf.DUMMYFUNCTION("IMPORTRANGE(""https://docs.google.com/spreadsheets/d/1XL5vhW3sbDhbH9Cz0tuDiY8C3ctxq1tqvaCgkFb8cCA/edit?usp=sharing"",""บุรีรัมย์!J85"")"),0.0)</f>
        <v>0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IFERROR(__xludf.DUMMYFUNCTION("IMPORTRANGE(""https://docs.google.com/spreadsheets/d/1XL5vhW3sbDhbH9Cz0tuDiY8C3ctxq1tqvaCgkFb8cCA/edit?usp=sharing"",""บุรีรัมย์!J86"")"),0.0)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IFERROR(__xludf.DUMMYFUNCTION("IMPORTRANGE(""https://docs.google.com/spreadsheets/d/1XL5vhW3sbDhbH9Cz0tuDiY8C3ctxq1tqvaCgkFb8cCA/edit?usp=sharing"",""บุรีรัมย์!J87"")"),0.0)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IFERROR(__xludf.DUMMYFUNCTION("IMPORTRANGE(""https://docs.google.com/spreadsheets/d/1XL5vhW3sbDhbH9Cz0tuDiY8C3ctxq1tqvaCgkFb8cCA/edit?usp=sharing"",""บุรีรัมย์!J88"")"),0.0)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IFERROR(__xludf.DUMMYFUNCTION("IMPORTRANGE(""https://docs.google.com/spreadsheets/d/1XL5vhW3sbDhbH9Cz0tuDiY8C3ctxq1tqvaCgkFb8cCA/edit?usp=sharing"",""บุรีรัมย์!I89"")"),3.0)</f>
        <v>3</v>
      </c>
      <c r="J164" s="317">
        <f>IFERROR(__xludf.DUMMYFUNCTION("IMPORTRANGE(""https://docs.google.com/spreadsheets/d/1XL5vhW3sbDhbH9Cz0tuDiY8C3ctxq1tqvaCgkFb8cCA/edit?usp=sharing"",""บุรีรัมย์!J89"")"),0.0)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IFERROR(__xludf.DUMMYFUNCTION("IMPORTRANGE(""https://docs.google.com/spreadsheets/d/1XL5vhW3sbDhbH9Cz0tuDiY8C3ctxq1tqvaCgkFb8cCA/edit?usp=sharing"",""บุรีรัมย์!J94"")"),0.0)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IFERROR(__xludf.DUMMYFUNCTION("IMPORTRANGE(""https://docs.google.com/spreadsheets/d/1XL5vhW3sbDhbH9Cz0tuDiY8C3ctxq1tqvaCgkFb8cCA/edit?usp=sharing"",""บุรีรัมย์!J95"")"),1.0)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IFERROR(__xludf.DUMMYFUNCTION("IMPORTRANGE(""https://docs.google.com/spreadsheets/d/1XL5vhW3sbDhbH9Cz0tuDiY8C3ctxq1tqvaCgkFb8cCA/edit?usp=sharing"",""บุรีรัมย์!J96"")"),1.0)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IFERROR(__xludf.DUMMYFUNCTION("IMPORTRANGE(""https://docs.google.com/spreadsheets/d/1XL5vhW3sbDhbH9Cz0tuDiY8C3ctxq1tqvaCgkFb8cCA/edit?usp=sharing"",""บุรีรัมย์!J97"")"),0.0)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IFERROR(__xludf.DUMMYFUNCTION("IMPORTRANGE(""https://docs.google.com/spreadsheets/d/1XL5vhW3sbDhbH9Cz0tuDiY8C3ctxq1tqvaCgkFb8cCA/edit?usp=sharing"",""บุรีรัมย์!I98"")"),3.0)</f>
        <v>3</v>
      </c>
      <c r="J173" s="223">
        <f>IFERROR(__xludf.DUMMYFUNCTION("IMPORTRANGE(""https://docs.google.com/spreadsheets/d/1XL5vhW3sbDhbH9Cz0tuDiY8C3ctxq1tqvaCgkFb8cCA/edit?usp=sharing"",""บุรีรัมย์!J98"")"),0.0)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IFERROR(__xludf.DUMMYFUNCTION("IMPORTRANGE(""https://docs.google.com/spreadsheets/d/1XL5vhW3sbDhbH9Cz0tuDiY8C3ctxq1tqvaCgkFb8cCA/edit?usp=sharing"",""บุรีรัมย์!J99"")"),0.0)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IFERROR(__xludf.DUMMYFUNCTION("IMPORTRANGE(""https://docs.google.com/spreadsheets/d/1XL5vhW3sbDhbH9Cz0tuDiY8C3ctxq1tqvaCgkFb8cCA/edit?usp=sharing"",""บุรีรัมย์!J100"")"),0.0)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IFERROR(__xludf.DUMMYFUNCTION("IMPORTRANGE(""https://docs.google.com/spreadsheets/d/1XL5vhW3sbDhbH9Cz0tuDiY8C3ctxq1tqvaCgkFb8cCA/edit?usp=sharing"",""บุรีรัมย์!I101"")"),1.0)</f>
        <v>1</v>
      </c>
      <c r="J176" s="317">
        <f>IFERROR(__xludf.DUMMYFUNCTION("IMPORTRANGE(""https://docs.google.com/spreadsheets/d/1XL5vhW3sbDhbH9Cz0tuDiY8C3ctxq1tqvaCgkFb8cCA/edit?usp=sharing"",""บุรีรัมย์!J101"")"),1.0)</f>
        <v>1</v>
      </c>
      <c r="K176" s="318">
        <f>IF(I176&gt;0,J176*100/I176,0)</f>
        <v>100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IFERROR(__xludf.DUMMYFUNCTION("IMPORTRANGE(""https://docs.google.com/spreadsheets/d/1XL5vhW3sbDhbH9Cz0tuDiY8C3ctxq1tqvaCgkFb8cCA/edit?usp=sharing"",""บุรีรัมย์!J106"")"),0.0)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IFERROR(__xludf.DUMMYFUNCTION("IMPORTRANGE(""https://docs.google.com/spreadsheets/d/1XL5vhW3sbDhbH9Cz0tuDiY8C3ctxq1tqvaCgkFb8cCA/edit?usp=sharing"",""บุรีรัมย์!J107"")"),1.0)</f>
        <v>1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IFERROR(__xludf.DUMMYFUNCTION("IMPORTRANGE(""https://docs.google.com/spreadsheets/d/1XL5vhW3sbDhbH9Cz0tuDiY8C3ctxq1tqvaCgkFb8cCA/edit?usp=sharing"",""บุรีรัมย์!J108"")"),1.0)</f>
        <v>1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IFERROR(__xludf.DUMMYFUNCTION("IMPORTRANGE(""https://docs.google.com/spreadsheets/d/1XL5vhW3sbDhbH9Cz0tuDiY8C3ctxq1tqvaCgkFb8cCA/edit?usp=sharing"",""บุรีรัมย์!J109"")"),0.0)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IFERROR(__xludf.DUMMYFUNCTION("IMPORTRANGE(""https://docs.google.com/spreadsheets/d/1XL5vhW3sbDhbH9Cz0tuDiY8C3ctxq1tqvaCgkFb8cCA/edit?usp=sharing"",""บุรีรัมย์!I110"")"),1.0)</f>
        <v>1</v>
      </c>
      <c r="J185" s="238">
        <f>IFERROR(__xludf.DUMMYFUNCTION("IMPORTRANGE(""https://docs.google.com/spreadsheets/d/1XL5vhW3sbDhbH9Cz0tuDiY8C3ctxq1tqvaCgkFb8cCA/edit?usp=sharing"",""บุรีรัมย์!J110"")"),0.0)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IFERROR(__xludf.DUMMYFUNCTION("IMPORTRANGE(""https://docs.google.com/spreadsheets/d/1XL5vhW3sbDhbH9Cz0tuDiY8C3ctxq1tqvaCgkFb8cCA/edit?usp=sharing"",""บุรีรัมย์!I111"")"),1.0)</f>
        <v>1</v>
      </c>
      <c r="J186" s="238">
        <f>IFERROR(__xludf.DUMMYFUNCTION("IMPORTRANGE(""https://docs.google.com/spreadsheets/d/1XL5vhW3sbDhbH9Cz0tuDiY8C3ctxq1tqvaCgkFb8cCA/edit?usp=sharing"",""บุรีรัมย์!J111"")"),1.0)</f>
        <v>1</v>
      </c>
      <c r="K186" s="258">
        <f t="shared" si="70"/>
        <v>100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IFERROR(__xludf.DUMMYFUNCTION("IMPORTRANGE(""https://docs.google.com/spreadsheets/d/1XL5vhW3sbDhbH9Cz0tuDiY8C3ctxq1tqvaCgkFb8cCA/edit?usp=sharing"",""บุรีรัมย์!J112"")"),0.0)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IFERROR(__xludf.DUMMYFUNCTION("IMPORTRANGE(""https://docs.google.com/spreadsheets/d/1XL5vhW3sbDhbH9Cz0tuDiY8C3ctxq1tqvaCgkFb8cCA/edit?usp=sharing"",""บุรีรัมย์!J113"")"),0.0)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IFERROR(__xludf.DUMMYFUNCTION("IMPORTRANGE(""https://docs.google.com/spreadsheets/d/1XL5vhW3sbDhbH9Cz0tuDiY8C3ctxq1tqvaCgkFb8cCA/edit?usp=sharing"",""บุรีรัมย์!I114"")"),100000.0)</f>
        <v>100000</v>
      </c>
      <c r="J189" s="317">
        <f>IFERROR(__xludf.DUMMYFUNCTION("IMPORTRANGE(""https://docs.google.com/spreadsheets/d/1XL5vhW3sbDhbH9Cz0tuDiY8C3ctxq1tqvaCgkFb8cCA/edit?usp=sharing"",""บุรีรัมย์!J114"")"),0.0)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>
        <f>IFERROR(__xludf.DUMMYFUNCTION("IMPORTRANGE(""https://docs.google.com/spreadsheets/d/1XL5vhW3sbDhbH9Cz0tuDiY8C3ctxq1tqvaCgkFb8cCA/edit?usp=sharing"",""บุรีรัมย์!J119"")"),1.0)</f>
        <v>1</v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IFERROR(__xludf.DUMMYFUNCTION("IMPORTRANGE(""https://docs.google.com/spreadsheets/d/1XL5vhW3sbDhbH9Cz0tuDiY8C3ctxq1tqvaCgkFb8cCA/edit?usp=sharing"",""บุรีรัมย์!J120"")"),0.0)</f>
        <v>0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IFERROR(__xludf.DUMMYFUNCTION("IMPORTRANGE(""https://docs.google.com/spreadsheets/d/1XL5vhW3sbDhbH9Cz0tuDiY8C3ctxq1tqvaCgkFb8cCA/edit?usp=sharing"",""บุรีรัมย์!J121"")"),0.0)</f>
        <v>0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IFERROR(__xludf.DUMMYFUNCTION("IMPORTRANGE(""https://docs.google.com/spreadsheets/d/1XL5vhW3sbDhbH9Cz0tuDiY8C3ctxq1tqvaCgkFb8cCA/edit?usp=sharing"",""บุรีรัมย์!J122"")"),0.0)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IFERROR(__xludf.DUMMYFUNCTION("IMPORTRANGE(""https://docs.google.com/spreadsheets/d/1XL5vhW3sbDhbH9Cz0tuDiY8C3ctxq1tqvaCgkFb8cCA/edit?usp=sharing"",""บุรีรัมย์!I124"")"),100000.0)</f>
        <v>100000</v>
      </c>
      <c r="J199" s="223">
        <f>IFERROR(__xludf.DUMMYFUNCTION("IMPORTRANGE(""https://docs.google.com/spreadsheets/d/1XL5vhW3sbDhbH9Cz0tuDiY8C3ctxq1tqvaCgkFb8cCA/edit?usp=sharing"",""บุรีรัมย์!J124"")"),0.0)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IFERROR(__xludf.DUMMYFUNCTION("IMPORTRANGE(""https://docs.google.com/spreadsheets/d/1XL5vhW3sbDhbH9Cz0tuDiY8C3ctxq1tqvaCgkFb8cCA/edit?usp=sharing"",""บุรีรัมย์!I125"")"),100000.0)</f>
        <v>100000</v>
      </c>
      <c r="J200" s="223">
        <f>IFERROR(__xludf.DUMMYFUNCTION("IMPORTRANGE(""https://docs.google.com/spreadsheets/d/1XL5vhW3sbDhbH9Cz0tuDiY8C3ctxq1tqvaCgkFb8cCA/edit?usp=sharing"",""บุรีรัมย์!J125"")"),0.0)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IFERROR(__xludf.DUMMYFUNCTION("IMPORTRANGE(""https://docs.google.com/spreadsheets/d/1XL5vhW3sbDhbH9Cz0tuDiY8C3ctxq1tqvaCgkFb8cCA/edit?usp=sharing"",""บุรีรัมย์!I126"")"),0.0)</f>
        <v>0</v>
      </c>
      <c r="J201" s="223">
        <f>IFERROR(__xludf.DUMMYFUNCTION("IMPORTRANGE(""https://docs.google.com/spreadsheets/d/1XL5vhW3sbDhbH9Cz0tuDiY8C3ctxq1tqvaCgkFb8cCA/edit?usp=sharing"",""บุรีรัมย์!J126"")"),0.0)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IFERROR(__xludf.DUMMYFUNCTION("IMPORTRANGE(""https://docs.google.com/spreadsheets/d/1XL5vhW3sbDhbH9Cz0tuDiY8C3ctxq1tqvaCgkFb8cCA/edit?usp=sharing"",""บุรีรัมย์!J127"")"),0.0)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IFERROR(__xludf.DUMMYFUNCTION("IMPORTRANGE(""https://docs.google.com/spreadsheets/d/1XL5vhW3sbDhbH9Cz0tuDiY8C3ctxq1tqvaCgkFb8cCA/edit?usp=sharing"",""บุรีรัมย์!J128"")"),0.0)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IFERROR(__xludf.DUMMYFUNCTION("IMPORTRANGE(""https://docs.google.com/spreadsheets/d/1XL5vhW3sbDhbH9Cz0tuDiY8C3ctxq1tqvaCgkFb8cCA/edit?usp=sharing"",""บุรีรัมย์!I129"")"),0.0)</f>
        <v>0</v>
      </c>
      <c r="J204" s="317">
        <f>IFERROR(__xludf.DUMMYFUNCTION("IMPORTRANGE(""https://docs.google.com/spreadsheets/d/1XL5vhW3sbDhbH9Cz0tuDiY8C3ctxq1tqvaCgkFb8cCA/edit?usp=sharing"",""บุรีรัมย์!J129"")"),0.0)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IFERROR(__xludf.DUMMYFUNCTION("IMPORTRANGE(""https://docs.google.com/spreadsheets/d/1XL5vhW3sbDhbH9Cz0tuDiY8C3ctxq1tqvaCgkFb8cCA/edit?usp=sharing"",""บุรีรัมย์!J134"")"),0.0)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IFERROR(__xludf.DUMMYFUNCTION("IMPORTRANGE(""https://docs.google.com/spreadsheets/d/1XL5vhW3sbDhbH9Cz0tuDiY8C3ctxq1tqvaCgkFb8cCA/edit?usp=sharing"",""บุรีรัมย์!J135"")"),0.0)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IFERROR(__xludf.DUMMYFUNCTION("IMPORTRANGE(""https://docs.google.com/spreadsheets/d/1XL5vhW3sbDhbH9Cz0tuDiY8C3ctxq1tqvaCgkFb8cCA/edit?usp=sharing"",""บุรีรัมย์!J136"")"),0.0)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IFERROR(__xludf.DUMMYFUNCTION("IMPORTRANGE(""https://docs.google.com/spreadsheets/d/1XL5vhW3sbDhbH9Cz0tuDiY8C3ctxq1tqvaCgkFb8cCA/edit?usp=sharing"",""บุรีรัมย์!J137"")"),0.0)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IFERROR(__xludf.DUMMYFUNCTION("IMPORTRANGE(""https://docs.google.com/spreadsheets/d/1XL5vhW3sbDhbH9Cz0tuDiY8C3ctxq1tqvaCgkFb8cCA/edit?usp=sharing"",""บุรีรัมย์!I138"")"),0.0)</f>
        <v>0</v>
      </c>
      <c r="J213" s="238">
        <f>IFERROR(__xludf.DUMMYFUNCTION("IMPORTRANGE(""https://docs.google.com/spreadsheets/d/1XL5vhW3sbDhbH9Cz0tuDiY8C3ctxq1tqvaCgkFb8cCA/edit?usp=sharing"",""บุรีรัมย์!J138"")"),0.0)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IFERROR(__xludf.DUMMYFUNCTION("IMPORTRANGE(""https://docs.google.com/spreadsheets/d/1XL5vhW3sbDhbH9Cz0tuDiY8C3ctxq1tqvaCgkFb8cCA/edit?usp=sharing"",""บุรีรัมย์!I140"")"),0.0)</f>
        <v>0</v>
      </c>
      <c r="J215" s="238">
        <f>IFERROR(__xludf.DUMMYFUNCTION("IMPORTRANGE(""https://docs.google.com/spreadsheets/d/1XL5vhW3sbDhbH9Cz0tuDiY8C3ctxq1tqvaCgkFb8cCA/edit?usp=sharing"",""บุรีรัมย์!J140"")"),0.0)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IFERROR(__xludf.DUMMYFUNCTION("IMPORTRANGE(""https://docs.google.com/spreadsheets/d/1XL5vhW3sbDhbH9Cz0tuDiY8C3ctxq1tqvaCgkFb8cCA/edit?usp=sharing"",""บุรีรัมย์!I141"")"),0.0)</f>
        <v>0</v>
      </c>
      <c r="J216" s="238">
        <f>IFERROR(__xludf.DUMMYFUNCTION("IMPORTRANGE(""https://docs.google.com/spreadsheets/d/1XL5vhW3sbDhbH9Cz0tuDiY8C3ctxq1tqvaCgkFb8cCA/edit?usp=sharing"",""บุรีรัมย์!J141"")"),0.0)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IFERROR(__xludf.DUMMYFUNCTION("IMPORTRANGE(""https://docs.google.com/spreadsheets/d/1XL5vhW3sbDhbH9Cz0tuDiY8C3ctxq1tqvaCgkFb8cCA/edit?usp=sharing"",""บุรีรัมย์!J142"")"),0.0)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IFERROR(__xludf.DUMMYFUNCTION("IMPORTRANGE(""https://docs.google.com/spreadsheets/d/1XL5vhW3sbDhbH9Cz0tuDiY8C3ctxq1tqvaCgkFb8cCA/edit?usp=sharing"",""บุรีรัมย์!J143"")"),0.0)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IFERROR(__xludf.DUMMYFUNCTION("IMPORTRANGE(""https://docs.google.com/spreadsheets/d/1XL5vhW3sbDhbH9Cz0tuDiY8C3ctxq1tqvaCgkFb8cCA/edit?usp=sharing"",""บุรีรัมย์!I144"")"),15.0)</f>
        <v>15</v>
      </c>
      <c r="J219" s="301">
        <f>IFERROR(__xludf.DUMMYFUNCTION("IMPORTRANGE(""https://docs.google.com/spreadsheets/d/1XL5vhW3sbDhbH9Cz0tuDiY8C3ctxq1tqvaCgkFb8cCA/edit?usp=sharing"",""บุรีรัมย์!J144"")"),15.0)</f>
        <v>15</v>
      </c>
      <c r="K219" s="302">
        <f>IF(I219&gt;0,J219*100/I219,0)</f>
        <v>100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21125</v>
      </c>
      <c r="M220" s="183">
        <f t="shared" si="73"/>
        <v>21125</v>
      </c>
      <c r="N220" s="183">
        <f t="shared" si="73"/>
        <v>19732</v>
      </c>
      <c r="O220" s="182">
        <f t="shared" ref="O220:O222" si="75">IF(L220&gt;0,N220*100/L220,0)</f>
        <v>93.40591716</v>
      </c>
      <c r="P220" s="182">
        <f t="shared" ref="P220:P222" si="76">IF(M220&gt;0,N220*100/M220,0)</f>
        <v>93.40591716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21125</v>
      </c>
      <c r="M222" s="188">
        <f t="shared" si="77"/>
        <v>21125</v>
      </c>
      <c r="N222" s="188">
        <f t="shared" si="77"/>
        <v>19732</v>
      </c>
      <c r="O222" s="187">
        <f t="shared" si="75"/>
        <v>93.40591716</v>
      </c>
      <c r="P222" s="187">
        <f t="shared" si="76"/>
        <v>93.40591716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21125</v>
      </c>
      <c r="M224" s="201">
        <f>IFERROR(__xludf.DUMMYFUNCTION("IMPORTRANGE(""https://docs.google.com/spreadsheets/d/1Yj_ptqi66GCucihVvJfMjLAmec39IyEx_6qawtMGysU/edit?usp=sharing"",""สบก!BS44"")"),21125.0)</f>
        <v>21125</v>
      </c>
      <c r="N224" s="202">
        <f>IFERROR(__xludf.DUMMYFUNCTION("IMPORTRANGE(""https://docs.google.com/spreadsheets/d/1Yj_ptqi66GCucihVvJfMjLAmec39IyEx_6qawtMGysU/edit?usp=sharing"",""สบก!BT44"")"),19732.0)</f>
        <v>19732</v>
      </c>
      <c r="O224" s="203">
        <f>IF(L224&gt;0,N224*100/L224,0)</f>
        <v>93.40591716</v>
      </c>
      <c r="P224" s="203">
        <f>IF(M224&gt;0,N224*100/M224,0)</f>
        <v>93.40591716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IFERROR(__xludf.DUMMYFUNCTION("IMPORTRANGE(""https://docs.google.com/spreadsheets/d/1Yj_ptqi66GCucihVvJfMjLAmec39IyEx_6qawtMGysU/edit?usp=sharing"",""สบก!BO44"")"),0.0)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IFERROR(__xludf.DUMMYFUNCTION("IMPORTRANGE(""https://docs.google.com/spreadsheets/d/1Yj_ptqi66GCucihVvJfMjLAmec39IyEx_6qawtMGysU/edit?usp=sharing"",""สบก!BP44"")"),21125.0)</f>
        <v>21125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IFERROR(__xludf.DUMMYFUNCTION("IMPORTRANGE(""https://docs.google.com/spreadsheets/d/1Yj_ptqi66GCucihVvJfMjLAmec39IyEx_6qawtMGysU/edit?usp=sharing"",""สบก!BQ44"")"),0.0)</f>
        <v>0</v>
      </c>
      <c r="M228" s="125"/>
      <c r="N228" s="115">
        <f>IFERROR(__xludf.DUMMYFUNCTION("IMPORTRANGE(""https://docs.google.com/spreadsheets/d/1Yj_ptqi66GCucihVvJfMjLAmec39IyEx_6qawtMGysU/edit?usp=sharing"",""สบก!BU44"")"),0.0)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IFERROR(__xludf.DUMMYFUNCTION("IMPORTRANGE(""https://docs.google.com/spreadsheets/d/1XL5vhW3sbDhbH9Cz0tuDiY8C3ctxq1tqvaCgkFb8cCA/edit?usp=sharing"",""บุรีรัมย์!I149"")"),15.0)</f>
        <v>15</v>
      </c>
      <c r="J229" s="301">
        <f>IFERROR(__xludf.DUMMYFUNCTION("IMPORTRANGE(""https://docs.google.com/spreadsheets/d/1XL5vhW3sbDhbH9Cz0tuDiY8C3ctxq1tqvaCgkFb8cCA/edit?usp=sharing"",""บุรีรัมย์!J149"")"),15.0)</f>
        <v>15</v>
      </c>
      <c r="K229" s="302">
        <f>IF(I229&gt;0,J229*100/I229,0)</f>
        <v>100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IFERROR(__xludf.DUMMYFUNCTION("IMPORTRANGE(""https://docs.google.com/spreadsheets/d/1XL5vhW3sbDhbH9Cz0tuDiY8C3ctxq1tqvaCgkFb8cCA/edit?usp=sharing"",""บุรีรัมย์!J151"")"),0.0)</f>
        <v>0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IFERROR(__xludf.DUMMYFUNCTION("IMPORTRANGE(""https://docs.google.com/spreadsheets/d/1XL5vhW3sbDhbH9Cz0tuDiY8C3ctxq1tqvaCgkFb8cCA/edit?usp=sharing"",""บุรีรัมย์!J152"")"),1.0)</f>
        <v>1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IFERROR(__xludf.DUMMYFUNCTION("IMPORTRANGE(""https://docs.google.com/spreadsheets/d/1XL5vhW3sbDhbH9Cz0tuDiY8C3ctxq1tqvaCgkFb8cCA/edit?usp=sharing"",""บุรีรัมย์!J153"")"),1.0)</f>
        <v>1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IFERROR(__xludf.DUMMYFUNCTION("IMPORTRANGE(""https://docs.google.com/spreadsheets/d/1XL5vhW3sbDhbH9Cz0tuDiY8C3ctxq1tqvaCgkFb8cCA/edit?usp=sharing"",""บุรีรัมย์!J154"")"),0.0)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IFERROR(__xludf.DUMMYFUNCTION("IMPORTRANGE(""https://docs.google.com/spreadsheets/d/1XL5vhW3sbDhbH9Cz0tuDiY8C3ctxq1tqvaCgkFb8cCA/edit?usp=sharing"",""บุรีรัมย์!I155"")"),15.0)</f>
        <v>15</v>
      </c>
      <c r="J235" s="223">
        <f>IFERROR(__xludf.DUMMYFUNCTION("IMPORTRANGE(""https://docs.google.com/spreadsheets/d/1XL5vhW3sbDhbH9Cz0tuDiY8C3ctxq1tqvaCgkFb8cCA/edit?usp=sharing"",""บุรีรัมย์!J155"")"),15.0)</f>
        <v>15</v>
      </c>
      <c r="K235" s="196">
        <f>IF(I235&gt;0,J235*100/I235,0)</f>
        <v>100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IFERROR(__xludf.DUMMYFUNCTION("IMPORTRANGE(""https://docs.google.com/spreadsheets/d/1XL5vhW3sbDhbH9Cz0tuDiY8C3ctxq1tqvaCgkFb8cCA/edit?usp=sharing"",""บุรีรัมย์!J156"")"),0.0)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IFERROR(__xludf.DUMMYFUNCTION("IMPORTRANGE(""https://docs.google.com/spreadsheets/d/1XL5vhW3sbDhbH9Cz0tuDiY8C3ctxq1tqvaCgkFb8cCA/edit?usp=sharing"",""บุรีรัมย์!J157"")"),0.0)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IFERROR(__xludf.DUMMYFUNCTION("IMPORTRANGE(""https://docs.google.com/spreadsheets/d/1XL5vhW3sbDhbH9Cz0tuDiY8C3ctxq1tqvaCgkFb8cCA/edit?usp=sharing"",""บุรีรัมย์!I158"")"),0.0)</f>
        <v>0</v>
      </c>
      <c r="J238" s="301">
        <f>IFERROR(__xludf.DUMMYFUNCTION("IMPORTRANGE(""https://docs.google.com/spreadsheets/d/1XL5vhW3sbDhbH9Cz0tuDiY8C3ctxq1tqvaCgkFb8cCA/edit?usp=sharing"",""บุรีรัมย์!J158"")"),0.0)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IFERROR(__xludf.DUMMYFUNCTION("IMPORTRANGE(""https://docs.google.com/spreadsheets/d/1XL5vhW3sbDhbH9Cz0tuDiY8C3ctxq1tqvaCgkFb8cCA/edit?usp=sharing"",""บุรีรัมย์!J159"")"),"")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IFERROR(__xludf.DUMMYFUNCTION("IMPORTRANGE(""https://docs.google.com/spreadsheets/d/1XL5vhW3sbDhbH9Cz0tuDiY8C3ctxq1tqvaCgkFb8cCA/edit?usp=sharing"",""บุรีรัมย์!J161"")"),0.0)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IFERROR(__xludf.DUMMYFUNCTION("IMPORTRANGE(""https://docs.google.com/spreadsheets/d/1XL5vhW3sbDhbH9Cz0tuDiY8C3ctxq1tqvaCgkFb8cCA/edit?usp=sharing"",""บุรีรัมย์!J162"")"),0.0)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IFERROR(__xludf.DUMMYFUNCTION("IMPORTRANGE(""https://docs.google.com/spreadsheets/d/1XL5vhW3sbDhbH9Cz0tuDiY8C3ctxq1tqvaCgkFb8cCA/edit?usp=sharing"",""บุรีรัมย์!J163"")"),0.0)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IFERROR(__xludf.DUMMYFUNCTION("IMPORTRANGE(""https://docs.google.com/spreadsheets/d/1XL5vhW3sbDhbH9Cz0tuDiY8C3ctxq1tqvaCgkFb8cCA/edit?usp=sharing"",""บุรีรัมย์!I164"")"),0.0)</f>
        <v>0</v>
      </c>
      <c r="J244" s="222">
        <f>IFERROR(__xludf.DUMMYFUNCTION("IMPORTRANGE(""https://docs.google.com/spreadsheets/d/1XL5vhW3sbDhbH9Cz0tuDiY8C3ctxq1tqvaCgkFb8cCA/edit?usp=sharing"",""บุรีรัมย์!J164"")"),0.0)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IFERROR(__xludf.DUMMYFUNCTION("IMPORTRANGE(""https://docs.google.com/spreadsheets/d/1XL5vhW3sbDhbH9Cz0tuDiY8C3ctxq1tqvaCgkFb8cCA/edit?usp=sharing"",""บุรีรัมย์!J165"")"),0.0)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IFERROR(__xludf.DUMMYFUNCTION("IMPORTRANGE(""https://docs.google.com/spreadsheets/d/1XL5vhW3sbDhbH9Cz0tuDiY8C3ctxq1tqvaCgkFb8cCA/edit?usp=sharing"",""บุรีรัมย์!J166"")"),0.0)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IFERROR(__xludf.DUMMYFUNCTION("IMPORTRANGE(""https://docs.google.com/spreadsheets/d/1XL5vhW3sbDhbH9Cz0tuDiY8C3ctxq1tqvaCgkFb8cCA/edit?usp=sharing"",""บุรีรัมย์!I169"")"),25.0)</f>
        <v>25</v>
      </c>
      <c r="J249" s="349">
        <f>IFERROR(__xludf.DUMMYFUNCTION("IMPORTRANGE(""https://docs.google.com/spreadsheets/d/1XL5vhW3sbDhbH9Cz0tuDiY8C3ctxq1tqvaCgkFb8cCA/edit?usp=sharing"",""บุรีรัมย์!J169"")"),25.0)</f>
        <v>25</v>
      </c>
      <c r="K249" s="350">
        <f>IF(I249&gt;0,J249*100/I249,0)</f>
        <v>100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89000</v>
      </c>
      <c r="M250" s="183">
        <f t="shared" si="78"/>
        <v>42500</v>
      </c>
      <c r="N250" s="183">
        <f t="shared" si="78"/>
        <v>17360</v>
      </c>
      <c r="O250" s="182">
        <f t="shared" ref="O250:O252" si="80">IF(L250&gt;0,N250*100/L250,0)</f>
        <v>19.50561798</v>
      </c>
      <c r="P250" s="182">
        <f t="shared" ref="P250:P252" si="81">IF(M250&gt;0,N250*100/M250,0)</f>
        <v>40.84705882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89000</v>
      </c>
      <c r="M252" s="188">
        <f t="shared" si="82"/>
        <v>42500</v>
      </c>
      <c r="N252" s="188">
        <f t="shared" si="82"/>
        <v>17360</v>
      </c>
      <c r="O252" s="187">
        <f t="shared" si="80"/>
        <v>19.50561798</v>
      </c>
      <c r="P252" s="187">
        <f t="shared" si="81"/>
        <v>40.84705882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89000</v>
      </c>
      <c r="M254" s="201">
        <f>IFERROR(__xludf.DUMMYFUNCTION("IMPORTRANGE(""https://docs.google.com/spreadsheets/d/1Yj_ptqi66GCucihVvJfMjLAmec39IyEx_6qawtMGysU/edit?usp=sharing"",""สบก!CB44"")"),42500.0)</f>
        <v>42500</v>
      </c>
      <c r="N254" s="202">
        <f>IFERROR(__xludf.DUMMYFUNCTION("IMPORTRANGE(""https://docs.google.com/spreadsheets/d/1Yj_ptqi66GCucihVvJfMjLAmec39IyEx_6qawtMGysU/edit?usp=sharing"",""สบก!CC44"")"),17360.0)</f>
        <v>17360</v>
      </c>
      <c r="O254" s="203">
        <f>IF(L254&gt;0,N254*100/L254,0)</f>
        <v>19.50561798</v>
      </c>
      <c r="P254" s="203">
        <f>IF(M254&gt;0,N254*100/M254,0)</f>
        <v>40.84705882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IFERROR(__xludf.DUMMYFUNCTION("IMPORTRANGE(""https://docs.google.com/spreadsheets/d/1Yj_ptqi66GCucihVvJfMjLAmec39IyEx_6qawtMGysU/edit?usp=sharing"",""สบก!BX44"")"),0.0)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IFERROR(__xludf.DUMMYFUNCTION("IMPORTRANGE(""https://docs.google.com/spreadsheets/d/1Yj_ptqi66GCucihVvJfMjLAmec39IyEx_6qawtMGysU/edit?usp=sharing"",""สบก!BY44"")"),89000.0)</f>
        <v>89000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IFERROR(__xludf.DUMMYFUNCTION("IMPORTRANGE(""https://docs.google.com/spreadsheets/d/1Yj_ptqi66GCucihVvJfMjLAmec39IyEx_6qawtMGysU/edit?usp=sharing"",""สบก!BZ44"")"),0.0)</f>
        <v>0</v>
      </c>
      <c r="M258" s="125"/>
      <c r="N258" s="115">
        <f>IFERROR(__xludf.DUMMYFUNCTION("IMPORTRANGE(""https://docs.google.com/spreadsheets/d/1Yj_ptqi66GCucihVvJfMjLAmec39IyEx_6qawtMGysU/edit?usp=sharing"",""สบก!CD44"")"),0.0)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IFERROR(__xludf.DUMMYFUNCTION("IMPORTRANGE(""https://docs.google.com/spreadsheets/d/1XL5vhW3sbDhbH9Cz0tuDiY8C3ctxq1tqvaCgkFb8cCA/edit?usp=sharing"",""บุรีรัมย์!J175"")"),0.0)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IFERROR(__xludf.DUMMYFUNCTION("IMPORTRANGE(""https://docs.google.com/spreadsheets/d/1XL5vhW3sbDhbH9Cz0tuDiY8C3ctxq1tqvaCgkFb8cCA/edit?usp=sharing"",""บุรีรัมย์!J176"")"),1.0)</f>
        <v>1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IFERROR(__xludf.DUMMYFUNCTION("IMPORTRANGE(""https://docs.google.com/spreadsheets/d/1XL5vhW3sbDhbH9Cz0tuDiY8C3ctxq1tqvaCgkFb8cCA/edit?usp=sharing"",""บุรีรัมย์!J177"")"),1.0)</f>
        <v>1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IFERROR(__xludf.DUMMYFUNCTION("IMPORTRANGE(""https://docs.google.com/spreadsheets/d/1XL5vhW3sbDhbH9Cz0tuDiY8C3ctxq1tqvaCgkFb8cCA/edit?usp=sharing"",""บุรีรัมย์!J178"")"),1.0)</f>
        <v>1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IFERROR(__xludf.DUMMYFUNCTION("IMPORTRANGE(""https://docs.google.com/spreadsheets/d/1XL5vhW3sbDhbH9Cz0tuDiY8C3ctxq1tqvaCgkFb8cCA/edit?usp=sharing"",""บุรีรัมย์!I179"")"),1.0)</f>
        <v>1</v>
      </c>
      <c r="J264" s="223" t="str">
        <f>IFERROR(__xludf.DUMMYFUNCTION("IMPORTRANGE(""https://docs.google.com/spreadsheets/d/1XL5vhW3sbDhbH9Cz0tuDiY8C3ctxq1tqvaCgkFb8cCA/edit?usp=sharing"",""บุรีรัมย์!J179"")"),"")</f>
        <v/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IFERROR(__xludf.DUMMYFUNCTION("IMPORTRANGE(""https://docs.google.com/spreadsheets/d/1XL5vhW3sbDhbH9Cz0tuDiY8C3ctxq1tqvaCgkFb8cCA/edit?usp=sharing"",""บุรีรัมย์!I180"")"),25.0)</f>
        <v>25</v>
      </c>
      <c r="J265" s="223">
        <f>IFERROR(__xludf.DUMMYFUNCTION("IMPORTRANGE(""https://docs.google.com/spreadsheets/d/1XL5vhW3sbDhbH9Cz0tuDiY8C3ctxq1tqvaCgkFb8cCA/edit?usp=sharing"",""บุรีรัมย์!J180"")"),25.0)</f>
        <v>25</v>
      </c>
      <c r="K265" s="196">
        <f t="shared" si="83"/>
        <v>100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IFERROR(__xludf.DUMMYFUNCTION("IMPORTRANGE(""https://docs.google.com/spreadsheets/d/1XL5vhW3sbDhbH9Cz0tuDiY8C3ctxq1tqvaCgkFb8cCA/edit?usp=sharing"",""บุรีรัมย์!I181"")"),25.0)</f>
        <v>25</v>
      </c>
      <c r="J266" s="223">
        <f>IFERROR(__xludf.DUMMYFUNCTION("IMPORTRANGE(""https://docs.google.com/spreadsheets/d/1XL5vhW3sbDhbH9Cz0tuDiY8C3ctxq1tqvaCgkFb8cCA/edit?usp=sharing"",""บุรีรัมย์!J181"")"),0.0)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IFERROR(__xludf.DUMMYFUNCTION("IMPORTRANGE(""https://docs.google.com/spreadsheets/d/1XL5vhW3sbDhbH9Cz0tuDiY8C3ctxq1tqvaCgkFb8cCA/edit?usp=sharing"",""บุรีรัมย์!I182"")"),1.0)</f>
        <v>1</v>
      </c>
      <c r="J267" s="223">
        <f>IFERROR(__xludf.DUMMYFUNCTION("IMPORTRANGE(""https://docs.google.com/spreadsheets/d/1XL5vhW3sbDhbH9Cz0tuDiY8C3ctxq1tqvaCgkFb8cCA/edit?usp=sharing"",""บุรีรัมย์!J182"")"),1.0)</f>
        <v>1</v>
      </c>
      <c r="K267" s="196">
        <f t="shared" si="83"/>
        <v>100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IFERROR(__xludf.DUMMYFUNCTION("IMPORTRANGE(""https://docs.google.com/spreadsheets/d/1XL5vhW3sbDhbH9Cz0tuDiY8C3ctxq1tqvaCgkFb8cCA/edit?usp=sharing"",""บุรีรัมย์!J183"")"),0.0)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IFERROR(__xludf.DUMMYFUNCTION("IMPORTRANGE(""https://docs.google.com/spreadsheets/d/1XL5vhW3sbDhbH9Cz0tuDiY8C3ctxq1tqvaCgkFb8cCA/edit?usp=sharing"",""บุรีรัมย์!J184"")"),0.0)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IFERROR(__xludf.DUMMYFUNCTION("IMPORTRANGE(""https://docs.google.com/spreadsheets/d/1XL5vhW3sbDhbH9Cz0tuDiY8C3ctxq1tqvaCgkFb8cCA/edit?usp=sharing"",""บุรีรัมย์!I185"")"),20.0)</f>
        <v>20</v>
      </c>
      <c r="J270" s="349">
        <f>IFERROR(__xludf.DUMMYFUNCTION("IMPORTRANGE(""https://docs.google.com/spreadsheets/d/1XL5vhW3sbDhbH9Cz0tuDiY8C3ctxq1tqvaCgkFb8cCA/edit?usp=sharing"",""บุรีรัมย์!J185"")"),20.0)</f>
        <v>20</v>
      </c>
      <c r="K270" s="350">
        <f>IF(I270&gt;0,J270*100/I270,0)</f>
        <v>100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447600</v>
      </c>
      <c r="M271" s="183">
        <f t="shared" si="84"/>
        <v>220000</v>
      </c>
      <c r="N271" s="183">
        <f t="shared" si="84"/>
        <v>136960</v>
      </c>
      <c r="O271" s="182">
        <f t="shared" ref="O271:O273" si="86">IF(L271&gt;0,N271*100/L271,0)</f>
        <v>30.59874888</v>
      </c>
      <c r="P271" s="182">
        <f t="shared" ref="P271:P273" si="87">IF(M271&gt;0,N271*100/M271,0)</f>
        <v>62.25454545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447600</v>
      </c>
      <c r="M273" s="188">
        <f t="shared" si="88"/>
        <v>220000</v>
      </c>
      <c r="N273" s="188">
        <f t="shared" si="88"/>
        <v>136960</v>
      </c>
      <c r="O273" s="187">
        <f t="shared" si="86"/>
        <v>30.59874888</v>
      </c>
      <c r="P273" s="187">
        <f t="shared" si="87"/>
        <v>62.25454545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447600</v>
      </c>
      <c r="M275" s="201">
        <f>IFERROR(__xludf.DUMMYFUNCTION("IMPORTRANGE(""https://docs.google.com/spreadsheets/d/1Yj_ptqi66GCucihVvJfMjLAmec39IyEx_6qawtMGysU/edit?usp=sharing"",""สบก!CK44"")"),220000.0)</f>
        <v>220000</v>
      </c>
      <c r="N275" s="202">
        <f>IFERROR(__xludf.DUMMYFUNCTION("IMPORTRANGE(""https://docs.google.com/spreadsheets/d/1Yj_ptqi66GCucihVvJfMjLAmec39IyEx_6qawtMGysU/edit?usp=sharing"",""สบก!CL44"")"),136960.0)</f>
        <v>136960</v>
      </c>
      <c r="O275" s="203">
        <f>IF(L275&gt;0,N275*100/L275,0)</f>
        <v>30.59874888</v>
      </c>
      <c r="P275" s="203">
        <f>IF(M275&gt;0,N275*100/M275,0)</f>
        <v>62.25454545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IFERROR(__xludf.DUMMYFUNCTION("IMPORTRANGE(""https://docs.google.com/spreadsheets/d/1Yj_ptqi66GCucihVvJfMjLAmec39IyEx_6qawtMGysU/edit?usp=sharing"",""สบก!CG44"")"),264000.0)</f>
        <v>264000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IFERROR(__xludf.DUMMYFUNCTION("IMPORTRANGE(""https://docs.google.com/spreadsheets/d/1Yj_ptqi66GCucihVvJfMjLAmec39IyEx_6qawtMGysU/edit?usp=sharing"",""สบก!CH44"")"),183600.0)</f>
        <v>183600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IFERROR(__xludf.DUMMYFUNCTION("IMPORTRANGE(""https://docs.google.com/spreadsheets/d/1Yj_ptqi66GCucihVvJfMjLAmec39IyEx_6qawtMGysU/edit?usp=sharing"",""สบก!CI44"")"),0.0)</f>
        <v>0</v>
      </c>
      <c r="M279" s="125"/>
      <c r="N279" s="115">
        <f>IFERROR(__xludf.DUMMYFUNCTION("IMPORTRANGE(""https://docs.google.com/spreadsheets/d/1Yj_ptqi66GCucihVvJfMjLAmec39IyEx_6qawtMGysU/edit?usp=sharing"",""สบก!CM44"")"),0.0)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IFERROR(__xludf.DUMMYFUNCTION("IMPORTRANGE(""https://docs.google.com/spreadsheets/d/1XL5vhW3sbDhbH9Cz0tuDiY8C3ctxq1tqvaCgkFb8cCA/edit?usp=sharing"",""บุรีรัมย์!J191"")"),0.0)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IFERROR(__xludf.DUMMYFUNCTION("IMPORTRANGE(""https://docs.google.com/spreadsheets/d/1XL5vhW3sbDhbH9Cz0tuDiY8C3ctxq1tqvaCgkFb8cCA/edit?usp=sharing"",""บุรีรัมย์!J192"")"),1.0)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IFERROR(__xludf.DUMMYFUNCTION("IMPORTRANGE(""https://docs.google.com/spreadsheets/d/1XL5vhW3sbDhbH9Cz0tuDiY8C3ctxq1tqvaCgkFb8cCA/edit?usp=sharing"",""บุรีรัมย์!J193"")"),1.0)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IFERROR(__xludf.DUMMYFUNCTION("IMPORTRANGE(""https://docs.google.com/spreadsheets/d/1XL5vhW3sbDhbH9Cz0tuDiY8C3ctxq1tqvaCgkFb8cCA/edit?usp=sharing"",""บุรีรัมย์!J194"")"),1.0)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IFERROR(__xludf.DUMMYFUNCTION("IMPORTRANGE(""https://docs.google.com/spreadsheets/d/1XL5vhW3sbDhbH9Cz0tuDiY8C3ctxq1tqvaCgkFb8cCA/edit?usp=sharing"",""บุรีรัมย์!I195"")"),20.0)</f>
        <v>20</v>
      </c>
      <c r="J285" s="223">
        <f>IFERROR(__xludf.DUMMYFUNCTION("IMPORTRANGE(""https://docs.google.com/spreadsheets/d/1XL5vhW3sbDhbH9Cz0tuDiY8C3ctxq1tqvaCgkFb8cCA/edit?usp=sharing"",""บุรีรัมย์!J195"")"),20.0)</f>
        <v>20</v>
      </c>
      <c r="K285" s="196">
        <f>IF(I285&gt;0,J285*100/I285,0)</f>
        <v>100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IFERROR(__xludf.DUMMYFUNCTION("IMPORTRANGE(""https://docs.google.com/spreadsheets/d/1XL5vhW3sbDhbH9Cz0tuDiY8C3ctxq1tqvaCgkFb8cCA/edit?usp=sharing"",""บุรีรัมย์!J196"")"),0.0)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IFERROR(__xludf.DUMMYFUNCTION("IMPORTRANGE(""https://docs.google.com/spreadsheets/d/1XL5vhW3sbDhbH9Cz0tuDiY8C3ctxq1tqvaCgkFb8cCA/edit?usp=sharing"",""บุรีรัมย์!J197"")"),0.0)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IFERROR(__xludf.DUMMYFUNCTION("IMPORTRANGE(""https://docs.google.com/spreadsheets/d/1XL5vhW3sbDhbH9Cz0tuDiY8C3ctxq1tqvaCgkFb8cCA/edit?usp=sharing"",""บุรีรัมย์!I199"")"),0.0)</f>
        <v>0</v>
      </c>
      <c r="J289" s="349">
        <f>IFERROR(__xludf.DUMMYFUNCTION("IMPORTRANGE(""https://docs.google.com/spreadsheets/d/1XL5vhW3sbDhbH9Cz0tuDiY8C3ctxq1tqvaCgkFb8cCA/edit?usp=sharing"",""บุรีรัมย์!J199"")"),0.0)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IFERROR(__xludf.DUMMYFUNCTION("IMPORTRANGE(""https://docs.google.com/spreadsheets/d/1Yj_ptqi66GCucihVvJfMjLAmec39IyEx_6qawtMGysU/edit?usp=sharing"",""สบก!CT44"")"),0.0)</f>
        <v>0</v>
      </c>
      <c r="N294" s="202">
        <f>IFERROR(__xludf.DUMMYFUNCTION("IMPORTRANGE(""https://docs.google.com/spreadsheets/d/1Yj_ptqi66GCucihVvJfMjLAmec39IyEx_6qawtMGysU/edit?usp=sharing"",""สบก!CU44"")"),0.0)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IFERROR(__xludf.DUMMYFUNCTION("IMPORTRANGE(""https://docs.google.com/spreadsheets/d/1Yj_ptqi66GCucihVvJfMjLAmec39IyEx_6qawtMGysU/edit?usp=sharing"",""สบก!CP44"")"),0.0)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IFERROR(__xludf.DUMMYFUNCTION("IMPORTRANGE(""https://docs.google.com/spreadsheets/d/1Yj_ptqi66GCucihVvJfMjLAmec39IyEx_6qawtMGysU/edit?usp=sharing"",""สบก!CQ44"")"),0.0)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IFERROR(__xludf.DUMMYFUNCTION("IMPORTRANGE(""https://docs.google.com/spreadsheets/d/1Yj_ptqi66GCucihVvJfMjLAmec39IyEx_6qawtMGysU/edit?usp=sharing"",""สบก!CR44"")"),0.0)</f>
        <v>0</v>
      </c>
      <c r="M298" s="125"/>
      <c r="N298" s="115">
        <f>IFERROR(__xludf.DUMMYFUNCTION("IMPORTRANGE(""https://docs.google.com/spreadsheets/d/1Yj_ptqi66GCucihVvJfMjLAmec39IyEx_6qawtMGysU/edit?usp=sharing"",""สบก!CV44"")"),0.0)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IFERROR(__xludf.DUMMYFUNCTION("IMPORTRANGE(""https://docs.google.com/spreadsheets/d/1XL5vhW3sbDhbH9Cz0tuDiY8C3ctxq1tqvaCgkFb8cCA/edit?usp=sharing"",""บุรีรัมย์!J205"")"),0.0)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IFERROR(__xludf.DUMMYFUNCTION("IMPORTRANGE(""https://docs.google.com/spreadsheets/d/1XL5vhW3sbDhbH9Cz0tuDiY8C3ctxq1tqvaCgkFb8cCA/edit?usp=sharing"",""บุรีรัมย์!J206"")"),0.0)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IFERROR(__xludf.DUMMYFUNCTION("IMPORTRANGE(""https://docs.google.com/spreadsheets/d/1XL5vhW3sbDhbH9Cz0tuDiY8C3ctxq1tqvaCgkFb8cCA/edit?usp=sharing"",""บุรีรัมย์!J207"")"),0.0)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IFERROR(__xludf.DUMMYFUNCTION("IMPORTRANGE(""https://docs.google.com/spreadsheets/d/1XL5vhW3sbDhbH9Cz0tuDiY8C3ctxq1tqvaCgkFb8cCA/edit?usp=sharing"",""บุรีรัมย์!J208"")"),0.0)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IFERROR(__xludf.DUMMYFUNCTION("IMPORTRANGE(""https://docs.google.com/spreadsheets/d/1XL5vhW3sbDhbH9Cz0tuDiY8C3ctxq1tqvaCgkFb8cCA/edit?usp=sharing"",""บุรีรัมย์!I209"")"),0.0)</f>
        <v>0</v>
      </c>
      <c r="J304" s="238">
        <f>IFERROR(__xludf.DUMMYFUNCTION("IMPORTRANGE(""https://docs.google.com/spreadsheets/d/1XL5vhW3sbDhbH9Cz0tuDiY8C3ctxq1tqvaCgkFb8cCA/edit?usp=sharing"",""บุรีรัมย์!J209"")"),0.0)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IFERROR(__xludf.DUMMYFUNCTION("IMPORTRANGE(""https://docs.google.com/spreadsheets/d/1XL5vhW3sbDhbH9Cz0tuDiY8C3ctxq1tqvaCgkFb8cCA/edit?usp=sharing"",""บุรีรัมย์!I211"")"),0.0)</f>
        <v>0</v>
      </c>
      <c r="J306" s="238">
        <f>IFERROR(__xludf.DUMMYFUNCTION("IMPORTRANGE(""https://docs.google.com/spreadsheets/d/1XL5vhW3sbDhbH9Cz0tuDiY8C3ctxq1tqvaCgkFb8cCA/edit?usp=sharing"",""บุรีรัมย์!J211"")"),0.0)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IFERROR(__xludf.DUMMYFUNCTION("IMPORTRANGE(""https://docs.google.com/spreadsheets/d/1XL5vhW3sbDhbH9Cz0tuDiY8C3ctxq1tqvaCgkFb8cCA/edit?usp=sharing"",""บุรีรัมย์!J212"")"),0.0)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IFERROR(__xludf.DUMMYFUNCTION("IMPORTRANGE(""https://docs.google.com/spreadsheets/d/1XL5vhW3sbDhbH9Cz0tuDiY8C3ctxq1tqvaCgkFb8cCA/edit?usp=sharing"",""บุรีรัมย์!J213"")"),0.0)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IFERROR(__xludf.DUMMYFUNCTION("IMPORTRANGE(""https://docs.google.com/spreadsheets/d/1XL5vhW3sbDhbH9Cz0tuDiY8C3ctxq1tqvaCgkFb8cCA/edit?usp=sharing"",""บุรีรัมย์!I214"")"),0.0)</f>
        <v>0</v>
      </c>
      <c r="J309" s="366">
        <f>IFERROR(__xludf.DUMMYFUNCTION("IMPORTRANGE(""https://docs.google.com/spreadsheets/d/1XL5vhW3sbDhbH9Cz0tuDiY8C3ctxq1tqvaCgkFb8cCA/edit?usp=sharing"",""บุรีรัมย์!J214"")"),0.0)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IFERROR(__xludf.DUMMYFUNCTION("IMPORTRANGE(""https://docs.google.com/spreadsheets/d/1Yj_ptqi66GCucihVvJfMjLAmec39IyEx_6qawtMGysU/edit?usp=sharing"",""สบก!DC44"")"),0.0)</f>
        <v>0</v>
      </c>
      <c r="N314" s="202">
        <f>IFERROR(__xludf.DUMMYFUNCTION("IMPORTRANGE(""https://docs.google.com/spreadsheets/d/1Yj_ptqi66GCucihVvJfMjLAmec39IyEx_6qawtMGysU/edit?usp=sharing"",""สบก!DD44"")"),0.0)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IFERROR(__xludf.DUMMYFUNCTION("IMPORTRANGE(""https://docs.google.com/spreadsheets/d/1Yj_ptqi66GCucihVvJfMjLAmec39IyEx_6qawtMGysU/edit?usp=sharing"",""สบก!CY44"")"),0.0)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IFERROR(__xludf.DUMMYFUNCTION("IMPORTRANGE(""https://docs.google.com/spreadsheets/d/1Yj_ptqi66GCucihVvJfMjLAmec39IyEx_6qawtMGysU/edit?usp=sharing"",""สบก!CZ44"")"),0.0)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IFERROR(__xludf.DUMMYFUNCTION("IMPORTRANGE(""https://docs.google.com/spreadsheets/d/1Yj_ptqi66GCucihVvJfMjLAmec39IyEx_6qawtMGysU/edit?usp=sharing"",""สบก!DA44"")"),0.0)</f>
        <v>0</v>
      </c>
      <c r="M318" s="125"/>
      <c r="N318" s="115">
        <f>IFERROR(__xludf.DUMMYFUNCTION("IMPORTRANGE(""https://docs.google.com/spreadsheets/d/1Yj_ptqi66GCucihVvJfMjLAmec39IyEx_6qawtMGysU/edit?usp=sharing"",""สบก!DE44"")"),0.0)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IFERROR(__xludf.DUMMYFUNCTION("IMPORTRANGE(""https://docs.google.com/spreadsheets/d/1XL5vhW3sbDhbH9Cz0tuDiY8C3ctxq1tqvaCgkFb8cCA/edit?usp=sharing"",""บุรีรัมย์!J220"")"),0.0)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IFERROR(__xludf.DUMMYFUNCTION("IMPORTRANGE(""https://docs.google.com/spreadsheets/d/1XL5vhW3sbDhbH9Cz0tuDiY8C3ctxq1tqvaCgkFb8cCA/edit?usp=sharing"",""บุรีรัมย์!J221"")"),0.0)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IFERROR(__xludf.DUMMYFUNCTION("IMPORTRANGE(""https://docs.google.com/spreadsheets/d/1XL5vhW3sbDhbH9Cz0tuDiY8C3ctxq1tqvaCgkFb8cCA/edit?usp=sharing"",""บุรีรัมย์!J222"")"),0.0)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IFERROR(__xludf.DUMMYFUNCTION("IMPORTRANGE(""https://docs.google.com/spreadsheets/d/1XL5vhW3sbDhbH9Cz0tuDiY8C3ctxq1tqvaCgkFb8cCA/edit?usp=sharing"",""บุรีรัมย์!J223"")"),0.0)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IFERROR(__xludf.DUMMYFUNCTION("IMPORTRANGE(""https://docs.google.com/spreadsheets/d/1XL5vhW3sbDhbH9Cz0tuDiY8C3ctxq1tqvaCgkFb8cCA/edit?usp=sharing"",""บุรีรัมย์!I224"")"),0.0)</f>
        <v>0</v>
      </c>
      <c r="J324" s="238">
        <f>IFERROR(__xludf.DUMMYFUNCTION("IMPORTRANGE(""https://docs.google.com/spreadsheets/d/1XL5vhW3sbDhbH9Cz0tuDiY8C3ctxq1tqvaCgkFb8cCA/edit?usp=sharing"",""บุรีรัมย์!J224"")"),0.0)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IFERROR(__xludf.DUMMYFUNCTION("IMPORTRANGE(""https://docs.google.com/spreadsheets/d/1XL5vhW3sbDhbH9Cz0tuDiY8C3ctxq1tqvaCgkFb8cCA/edit?usp=sharing"",""บุรีรัมย์!J225"")"),0.0)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IFERROR(__xludf.DUMMYFUNCTION("IMPORTRANGE(""https://docs.google.com/spreadsheets/d/1XL5vhW3sbDhbH9Cz0tuDiY8C3ctxq1tqvaCgkFb8cCA/edit?usp=sharing"",""บุรีรัมย์!J226"")"),0.0)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IFERROR(__xludf.DUMMYFUNCTION("IMPORTRANGE(""https://docs.google.com/spreadsheets/d/1XL5vhW3sbDhbH9Cz0tuDiY8C3ctxq1tqvaCgkFb8cCA/edit?usp=sharing"",""บุรีรัมย์!I228"")"),880.0)</f>
        <v>880</v>
      </c>
      <c r="J328" s="372">
        <f>IFERROR(__xludf.DUMMYFUNCTION("IMPORTRANGE(""https://docs.google.com/spreadsheets/d/1XL5vhW3sbDhbH9Cz0tuDiY8C3ctxq1tqvaCgkFb8cCA/edit?usp=sharing"",""บุรีรัมย์!J228"")"),0.0)</f>
        <v>0</v>
      </c>
      <c r="K328" s="350">
        <f>IF(I328&gt;0,J328*100/I328,0)</f>
        <v>0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1468100</v>
      </c>
      <c r="M329" s="183">
        <f t="shared" si="99"/>
        <v>855360</v>
      </c>
      <c r="N329" s="183">
        <f t="shared" si="99"/>
        <v>367501</v>
      </c>
      <c r="O329" s="182">
        <f t="shared" ref="O329:O331" si="101">IF(L329&gt;0,N329*100/L329,0)</f>
        <v>25.03242286</v>
      </c>
      <c r="P329" s="182">
        <f t="shared" ref="P329:P331" si="102">IF(M329&gt;0,N329*100/M329,0)</f>
        <v>42.96448279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1468100</v>
      </c>
      <c r="M331" s="188">
        <f t="shared" si="103"/>
        <v>855360</v>
      </c>
      <c r="N331" s="188">
        <f t="shared" si="103"/>
        <v>367501</v>
      </c>
      <c r="O331" s="187">
        <f t="shared" si="101"/>
        <v>25.03242286</v>
      </c>
      <c r="P331" s="187">
        <f t="shared" si="102"/>
        <v>42.96448279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1462700</v>
      </c>
      <c r="M333" s="201">
        <f>IFERROR(__xludf.DUMMYFUNCTION("IMPORTRANGE(""https://docs.google.com/spreadsheets/d/1Yj_ptqi66GCucihVvJfMjLAmec39IyEx_6qawtMGysU/edit?usp=sharing"",""สบก!DL44"")"),855360.0)</f>
        <v>855360</v>
      </c>
      <c r="N333" s="202">
        <f>IFERROR(__xludf.DUMMYFUNCTION("IMPORTRANGE(""https://docs.google.com/spreadsheets/d/1Yj_ptqi66GCucihVvJfMjLAmec39IyEx_6qawtMGysU/edit?usp=sharing"",""สบก!DM44"")"),362101.0)</f>
        <v>362101</v>
      </c>
      <c r="O333" s="203">
        <f>IF(L333&gt;0,N333*100/L333,0)</f>
        <v>24.75565735</v>
      </c>
      <c r="P333" s="203">
        <f>IF(M333&gt;0,N333*100/M333,0)</f>
        <v>42.33316966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IFERROR(__xludf.DUMMYFUNCTION("IMPORTRANGE(""https://docs.google.com/spreadsheets/d/1Yj_ptqi66GCucihVvJfMjLAmec39IyEx_6qawtMGysU/edit?usp=sharing"",""สบก!DH44"")"),442800.0)</f>
        <v>442800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IFERROR(__xludf.DUMMYFUNCTION("IMPORTRANGE(""https://docs.google.com/spreadsheets/d/1Yj_ptqi66GCucihVvJfMjLAmec39IyEx_6qawtMGysU/edit?usp=sharing"",""สบก!DI44"")"),1019900.0)</f>
        <v>1019900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IFERROR(__xludf.DUMMYFUNCTION("IMPORTRANGE(""https://docs.google.com/spreadsheets/d/1Yj_ptqi66GCucihVvJfMjLAmec39IyEx_6qawtMGysU/edit?usp=sharing"",""สบก!DJ44"")"),5400.0)</f>
        <v>5400</v>
      </c>
      <c r="M337" s="125"/>
      <c r="N337" s="115">
        <f>IFERROR(__xludf.DUMMYFUNCTION("IMPORTRANGE(""https://docs.google.com/spreadsheets/d/1Yj_ptqi66GCucihVvJfMjLAmec39IyEx_6qawtMGysU/edit?usp=sharing"",""สบก!DN44"")"),5400.0)</f>
        <v>5400</v>
      </c>
      <c r="O337" s="125">
        <f>IF(L337&gt;0,N337*100/L337,0)</f>
        <v>100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IFERROR(__xludf.DUMMYFUNCTION("IMPORTRANGE(""https://docs.google.com/spreadsheets/d/1XL5vhW3sbDhbH9Cz0tuDiY8C3ctxq1tqvaCgkFb8cCA/edit?usp=sharing"",""บุรีรัมย์!I234"")"),0.0)</f>
        <v>0</v>
      </c>
      <c r="J339" s="222">
        <f>IFERROR(__xludf.DUMMYFUNCTION("IMPORTRANGE(""https://docs.google.com/spreadsheets/d/1XL5vhW3sbDhbH9Cz0tuDiY8C3ctxq1tqvaCgkFb8cCA/edit?usp=sharing"",""บุรีรัมย์!J234"")"),398.0)</f>
        <v>398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IFERROR(__xludf.DUMMYFUNCTION("IMPORTRANGE(""https://docs.google.com/spreadsheets/d/1XL5vhW3sbDhbH9Cz0tuDiY8C3ctxq1tqvaCgkFb8cCA/edit?usp=sharing"",""บุรีรัมย์!I235"")"),7600.0)</f>
        <v>7600</v>
      </c>
      <c r="J340" s="222">
        <f>IFERROR(__xludf.DUMMYFUNCTION("IMPORTRANGE(""https://docs.google.com/spreadsheets/d/1XL5vhW3sbDhbH9Cz0tuDiY8C3ctxq1tqvaCgkFb8cCA/edit?usp=sharing"",""บุรีรัมย์!J235"")"),2413.05)</f>
        <v>2413.05</v>
      </c>
      <c r="K340" s="375">
        <f t="shared" si="104"/>
        <v>31.75065789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IFERROR(__xludf.DUMMYFUNCTION("IMPORTRANGE(""https://docs.google.com/spreadsheets/d/1XL5vhW3sbDhbH9Cz0tuDiY8C3ctxq1tqvaCgkFb8cCA/edit?usp=sharing"",""บุรีรัมย์!I236"")"),880.0)</f>
        <v>880</v>
      </c>
      <c r="J341" s="222">
        <f>IFERROR(__xludf.DUMMYFUNCTION("IMPORTRANGE(""https://docs.google.com/spreadsheets/d/1XL5vhW3sbDhbH9Cz0tuDiY8C3ctxq1tqvaCgkFb8cCA/edit?usp=sharing"",""บุรีรัมย์!J236"")"),148.0)</f>
        <v>148</v>
      </c>
      <c r="K341" s="375">
        <f t="shared" si="104"/>
        <v>16.81818182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IFERROR(__xludf.DUMMYFUNCTION("IMPORTRANGE(""https://docs.google.com/spreadsheets/d/1XL5vhW3sbDhbH9Cz0tuDiY8C3ctxq1tqvaCgkFb8cCA/edit?usp=sharing"",""บุรีรัมย์!I237"")"),0.0)</f>
        <v>0</v>
      </c>
      <c r="J342" s="222">
        <f>IFERROR(__xludf.DUMMYFUNCTION("IMPORTRANGE(""https://docs.google.com/spreadsheets/d/1XL5vhW3sbDhbH9Cz0tuDiY8C3ctxq1tqvaCgkFb8cCA/edit?usp=sharing"",""บุรีรัมย์!J237"")"),1043.62)</f>
        <v>1043.62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IFERROR(__xludf.DUMMYFUNCTION("IMPORTRANGE(""https://docs.google.com/spreadsheets/d/1XL5vhW3sbDhbH9Cz0tuDiY8C3ctxq1tqvaCgkFb8cCA/edit?usp=sharing"",""บุรีรัมย์!I238"")"),880.0)</f>
        <v>880</v>
      </c>
      <c r="J343" s="222">
        <f>IFERROR(__xludf.DUMMYFUNCTION("IMPORTRANGE(""https://docs.google.com/spreadsheets/d/1XL5vhW3sbDhbH9Cz0tuDiY8C3ctxq1tqvaCgkFb8cCA/edit?usp=sharing"",""บุรีรัมย์!J238"")"),0.0)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IFERROR(__xludf.DUMMYFUNCTION("IMPORTRANGE(""https://docs.google.com/spreadsheets/d/1XL5vhW3sbDhbH9Cz0tuDiY8C3ctxq1tqvaCgkFb8cCA/edit?usp=sharing"",""บุรีรัมย์!I239"")"),0.0)</f>
        <v>0</v>
      </c>
      <c r="J344" s="222">
        <f>IFERROR(__xludf.DUMMYFUNCTION("IMPORTRANGE(""https://docs.google.com/spreadsheets/d/1XL5vhW3sbDhbH9Cz0tuDiY8C3ctxq1tqvaCgkFb8cCA/edit?usp=sharing"",""บุรีรัมย์!J239"")"),0.0)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IFERROR(__xludf.DUMMYFUNCTION("IMPORTRANGE(""https://docs.google.com/spreadsheets/d/1XL5vhW3sbDhbH9Cz0tuDiY8C3ctxq1tqvaCgkFb8cCA/edit?usp=sharing"",""บุรีรัมย์!I240"")"),880.0)</f>
        <v>880</v>
      </c>
      <c r="J345" s="222">
        <f>IFERROR(__xludf.DUMMYFUNCTION("IMPORTRANGE(""https://docs.google.com/spreadsheets/d/1XL5vhW3sbDhbH9Cz0tuDiY8C3ctxq1tqvaCgkFb8cCA/edit?usp=sharing"",""บุรีรัมย์!J240"")"),0.0)</f>
        <v>0</v>
      </c>
      <c r="K345" s="375">
        <f t="shared" si="104"/>
        <v>0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IFERROR(__xludf.DUMMYFUNCTION("IMPORTRANGE(""https://docs.google.com/spreadsheets/d/1XL5vhW3sbDhbH9Cz0tuDiY8C3ctxq1tqvaCgkFb8cCA/edit?usp=sharing"",""บุรีรัมย์!I241"")"),0.0)</f>
        <v>0</v>
      </c>
      <c r="J346" s="222">
        <f>IFERROR(__xludf.DUMMYFUNCTION("IMPORTRANGE(""https://docs.google.com/spreadsheets/d/1XL5vhW3sbDhbH9Cz0tuDiY8C3ctxq1tqvaCgkFb8cCA/edit?usp=sharing"",""บุรีรัมย์!J241"")"),0.0)</f>
        <v>0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IFERROR(__xludf.DUMMYFUNCTION("IMPORTRANGE(""https://docs.google.com/spreadsheets/d/1XL5vhW3sbDhbH9Cz0tuDiY8C3ctxq1tqvaCgkFb8cCA/edit?usp=sharing"",""บุรีรัมย์!L242"")"),3891197.0)</f>
        <v>3891197</v>
      </c>
      <c r="M347" s="391"/>
      <c r="N347" s="391">
        <f>IFERROR(__xludf.DUMMYFUNCTION("IMPORTRANGE(""https://docs.google.com/spreadsheets/d/1XL5vhW3sbDhbH9Cz0tuDiY8C3ctxq1tqvaCgkFb8cCA/edit?usp=sharing"",""บุรีรัมย์!M242"")"),317798.75)</f>
        <v>317798.75</v>
      </c>
      <c r="O347" s="391">
        <f>+IF(L347&gt;0,N347*100/L347,0)</f>
        <v>8.167120554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IFERROR(__xludf.DUMMYFUNCTION("IMPORTRANGE(""https://docs.google.com/spreadsheets/d/1XL5vhW3sbDhbH9Cz0tuDiY8C3ctxq1tqvaCgkFb8cCA/edit?usp=sharing"",""บุรีรัมย์!I244"")"),550.0)</f>
        <v>550</v>
      </c>
      <c r="J349" s="404">
        <f>IFERROR(__xludf.DUMMYFUNCTION("IMPORTRANGE(""https://docs.google.com/spreadsheets/d/1XL5vhW3sbDhbH9Cz0tuDiY8C3ctxq1tqvaCgkFb8cCA/edit?usp=sharing"",""บุรีรัมย์!J244"")"),0.0)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IFERROR(__xludf.DUMMYFUNCTION("IMPORTRANGE(""https://docs.google.com/spreadsheets/d/1XL5vhW3sbDhbH9Cz0tuDiY8C3ctxq1tqvaCgkFb8cCA/edit?usp=sharing"",""บุรีรัมย์!L244"")"),810030.0)</f>
        <v>810030</v>
      </c>
      <c r="M349" s="406"/>
      <c r="N349" s="406">
        <f>IFERROR(__xludf.DUMMYFUNCTION("IMPORTRANGE(""https://docs.google.com/spreadsheets/d/1XL5vhW3sbDhbH9Cz0tuDiY8C3ctxq1tqvaCgkFb8cCA/edit?usp=sharing"",""บุรีรัมย์!M244"")"),69239.99)</f>
        <v>69239.99</v>
      </c>
      <c r="O349" s="406">
        <f>+IF(L349&gt;0,N349*100/L349,0)</f>
        <v>8.547830327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IFERROR(__xludf.DUMMYFUNCTION("IMPORTRANGE(""https://docs.google.com/spreadsheets/d/1XL5vhW3sbDhbH9Cz0tuDiY8C3ctxq1tqvaCgkFb8cCA/edit?usp=sharing"",""บุรีรัมย์!I245"")"),55.0)</f>
        <v>55</v>
      </c>
      <c r="J350" s="404">
        <f>IFERROR(__xludf.DUMMYFUNCTION("IMPORTRANGE(""https://docs.google.com/spreadsheets/d/1XL5vhW3sbDhbH9Cz0tuDiY8C3ctxq1tqvaCgkFb8cCA/edit?usp=sharing"",""บุรีรัมย์!J245"")"),0.0)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IFERROR(__xludf.DUMMYFUNCTION("IMPORTRANGE(""https://docs.google.com/spreadsheets/d/1XL5vhW3sbDhbH9Cz0tuDiY8C3ctxq1tqvaCgkFb8cCA/edit?usp=sharing"",""บุรีรัมย์!L246"")"),0.0)</f>
        <v>0</v>
      </c>
      <c r="M351" s="197"/>
      <c r="N351" s="197">
        <f>IFERROR(__xludf.DUMMYFUNCTION("IMPORTRANGE(""https://docs.google.com/spreadsheets/d/1XL5vhW3sbDhbH9Cz0tuDiY8C3ctxq1tqvaCgkFb8cCA/edit?usp=sharing"",""บุรีรัมย์!M246"")"),0.0)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IFERROR(__xludf.DUMMYFUNCTION("IMPORTRANGE(""https://docs.google.com/spreadsheets/d/1XL5vhW3sbDhbH9Cz0tuDiY8C3ctxq1tqvaCgkFb8cCA/edit?usp=sharing"",""บุรีรัมย์!L247"")"),810030.0)</f>
        <v>810030</v>
      </c>
      <c r="M352" s="198"/>
      <c r="N352" s="197">
        <f>IFERROR(__xludf.DUMMYFUNCTION("IMPORTRANGE(""https://docs.google.com/spreadsheets/d/1XL5vhW3sbDhbH9Cz0tuDiY8C3ctxq1tqvaCgkFb8cCA/edit?usp=sharing"",""บุรีรัมย์!M247"")"),69239.99)</f>
        <v>69239.99</v>
      </c>
      <c r="O352" s="198">
        <f t="shared" si="106"/>
        <v>8.547830327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IFERROR(__xludf.DUMMYFUNCTION("IMPORTRANGE(""https://docs.google.com/spreadsheets/d/1XL5vhW3sbDhbH9Cz0tuDiY8C3ctxq1tqvaCgkFb8cCA/edit?usp=sharing"",""บุรีรัมย์!L248"")"),0.0)</f>
        <v>0</v>
      </c>
      <c r="M353" s="203"/>
      <c r="N353" s="203">
        <f>IFERROR(__xludf.DUMMYFUNCTION("IMPORTRANGE(""https://docs.google.com/spreadsheets/d/1XL5vhW3sbDhbH9Cz0tuDiY8C3ctxq1tqvaCgkFb8cCA/edit?usp=sharing"",""บุรีรัมย์!M248"")"),0.0)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IFERROR(__xludf.DUMMYFUNCTION("IMPORTRANGE(""https://docs.google.com/spreadsheets/d/1XL5vhW3sbDhbH9Cz0tuDiY8C3ctxq1tqvaCgkFb8cCA/edit?usp=sharing"",""บุรีรัมย์!L249"")"),810030.0)</f>
        <v>810030</v>
      </c>
      <c r="M354" s="203"/>
      <c r="N354" s="200">
        <f>IFERROR(__xludf.DUMMYFUNCTION("IMPORTRANGE(""https://docs.google.com/spreadsheets/d/1XL5vhW3sbDhbH9Cz0tuDiY8C3ctxq1tqvaCgkFb8cCA/edit?usp=sharing"",""บุรีรัมย์!M249"")"),69239.99)</f>
        <v>69239.99</v>
      </c>
      <c r="O354" s="203">
        <f t="shared" si="106"/>
        <v>8.547830327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IFERROR(__xludf.DUMMYFUNCTION("IMPORTRANGE(""https://docs.google.com/spreadsheets/d/1XL5vhW3sbDhbH9Cz0tuDiY8C3ctxq1tqvaCgkFb8cCA/edit?usp=sharing"",""บุรีรัมย์!M250"")"),0.0)</f>
        <v>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IFERROR(__xludf.DUMMYFUNCTION("IMPORTRANGE(""https://docs.google.com/spreadsheets/d/1XL5vhW3sbDhbH9Cz0tuDiY8C3ctxq1tqvaCgkFb8cCA/edit?usp=sharing"",""บุรีรัมย์!M251"")"),0.0)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IFERROR(__xludf.DUMMYFUNCTION("IMPORTRANGE(""https://docs.google.com/spreadsheets/d/1XL5vhW3sbDhbH9Cz0tuDiY8C3ctxq1tqvaCgkFb8cCA/edit?usp=sharing"",""บุรีรัมย์!M252"")"),31899.99)</f>
        <v>31899.99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IFERROR(__xludf.DUMMYFUNCTION("IMPORTRANGE(""https://docs.google.com/spreadsheets/d/1XL5vhW3sbDhbH9Cz0tuDiY8C3ctxq1tqvaCgkFb8cCA/edit?usp=sharing"",""บุรีรัมย์!M253"")"),37340.0)</f>
        <v>37340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IFERROR(__xludf.DUMMYFUNCTION("IMPORTRANGE(""https://docs.google.com/spreadsheets/d/1XL5vhW3sbDhbH9Cz0tuDiY8C3ctxq1tqvaCgkFb8cCA/edit?usp=sharing"",""บุรีรัมย์!J255"")"),0.0)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IFERROR(__xludf.DUMMYFUNCTION("IMPORTRANGE(""https://docs.google.com/spreadsheets/d/1XL5vhW3sbDhbH9Cz0tuDiY8C3ctxq1tqvaCgkFb8cCA/edit?usp=sharing"",""บุรีรัมย์!J256"")"),1.0)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IFERROR(__xludf.DUMMYFUNCTION("IMPORTRANGE(""https://docs.google.com/spreadsheets/d/1XL5vhW3sbDhbH9Cz0tuDiY8C3ctxq1tqvaCgkFb8cCA/edit?usp=sharing"",""บุรีรัมย์!J257"")"),1.0)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IFERROR(__xludf.DUMMYFUNCTION("IMPORTRANGE(""https://docs.google.com/spreadsheets/d/1XL5vhW3sbDhbH9Cz0tuDiY8C3ctxq1tqvaCgkFb8cCA/edit?usp=sharing"",""บุรีรัมย์!J258"")"),0.0)</f>
        <v>0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IFERROR(__xludf.DUMMYFUNCTION("IMPORTRANGE(""https://docs.google.com/spreadsheets/d/1XL5vhW3sbDhbH9Cz0tuDiY8C3ctxq1tqvaCgkFb8cCA/edit?usp=sharing"",""บุรีรัมย์!J166"")"),0.0)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IFERROR(__xludf.DUMMYFUNCTION("IMPORTRANGE(""https://docs.google.com/spreadsheets/d/1XL5vhW3sbDhbH9Cz0tuDiY8C3ctxq1tqvaCgkFb8cCA/edit?usp=sharing"",""บุรีรัมย์!J166"")"),0.0)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IFERROR(__xludf.DUMMYFUNCTION("IMPORTRANGE(""https://docs.google.com/spreadsheets/d/1XL5vhW3sbDhbH9Cz0tuDiY8C3ctxq1tqvaCgkFb8cCA/edit?usp=sharing"",""บุรีรัมย์!J166"")"),0.0)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IFERROR(__xludf.DUMMYFUNCTION("IMPORTRANGE(""https://docs.google.com/spreadsheets/d/1XL5vhW3sbDhbH9Cz0tuDiY8C3ctxq1tqvaCgkFb8cCA/edit?usp=sharing"",""บุรีรัมย์!J166"")"),0.0)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IFERROR(__xludf.DUMMYFUNCTION("IMPORTRANGE(""https://docs.google.com/spreadsheets/d/1XL5vhW3sbDhbH9Cz0tuDiY8C3ctxq1tqvaCgkFb8cCA/edit?usp=sharing"",""บุรีรัมย์!I263"")"),55.0)</f>
        <v>55</v>
      </c>
      <c r="J368" s="222">
        <f>IFERROR(__xludf.DUMMYFUNCTION("IMPORTRANGE(""https://docs.google.com/spreadsheets/d/1XL5vhW3sbDhbH9Cz0tuDiY8C3ctxq1tqvaCgkFb8cCA/edit?usp=sharing"",""บุรีรัมย์!J263"")"),0.0)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IFERROR(__xludf.DUMMYFUNCTION("IMPORTRANGE(""https://docs.google.com/spreadsheets/d/1XL5vhW3sbDhbH9Cz0tuDiY8C3ctxq1tqvaCgkFb8cCA/edit?usp=sharing"",""บุรีรัมย์!I164"")"),0.0)</f>
        <v>0</v>
      </c>
      <c r="J369" s="238">
        <f>IFERROR(__xludf.DUMMYFUNCTION("IMPORTRANGE(""https://docs.google.com/spreadsheets/d/1XL5vhW3sbDhbH9Cz0tuDiY8C3ctxq1tqvaCgkFb8cCA/edit?usp=sharing"",""บุรีรัมย์!J164"")"),0.0)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IFERROR(__xludf.DUMMYFUNCTION("IMPORTRANGE(""https://docs.google.com/spreadsheets/d/1XL5vhW3sbDhbH9Cz0tuDiY8C3ctxq1tqvaCgkFb8cCA/edit?usp=sharing"",""บุรีรัมย์!I265"")"),55.0)</f>
        <v>55</v>
      </c>
      <c r="J370" s="238">
        <f>IFERROR(__xludf.DUMMYFUNCTION("IMPORTRANGE(""https://docs.google.com/spreadsheets/d/1XL5vhW3sbDhbH9Cz0tuDiY8C3ctxq1tqvaCgkFb8cCA/edit?usp=sharing"",""บุรีรัมย์!J265"")"),55.0)</f>
        <v>55</v>
      </c>
      <c r="K370" s="196">
        <f t="shared" si="107"/>
        <v>100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IFERROR(__xludf.DUMMYFUNCTION("IMPORTRANGE(""https://docs.google.com/spreadsheets/d/1XL5vhW3sbDhbH9Cz0tuDiY8C3ctxq1tqvaCgkFb8cCA/edit?usp=sharing"",""บุรีรัมย์!I164"")"),0.0)</f>
        <v>0</v>
      </c>
      <c r="J371" s="223">
        <f>IFERROR(__xludf.DUMMYFUNCTION("IMPORTRANGE(""https://docs.google.com/spreadsheets/d/1XL5vhW3sbDhbH9Cz0tuDiY8C3ctxq1tqvaCgkFb8cCA/edit?usp=sharing"",""บุรีรัมย์!J164"")"),0.0)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IFERROR(__xludf.DUMMYFUNCTION("IMPORTRANGE(""https://docs.google.com/spreadsheets/d/1XL5vhW3sbDhbH9Cz0tuDiY8C3ctxq1tqvaCgkFb8cCA/edit?usp=sharing"",""บุรีรัมย์!I267"")"),55.0)</f>
        <v>55</v>
      </c>
      <c r="J372" s="223">
        <f>IFERROR(__xludf.DUMMYFUNCTION("IMPORTRANGE(""https://docs.google.com/spreadsheets/d/1XL5vhW3sbDhbH9Cz0tuDiY8C3ctxq1tqvaCgkFb8cCA/edit?usp=sharing"",""บุรีรัมย์!J267"")"),0.0)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IFERROR(__xludf.DUMMYFUNCTION("IMPORTRANGE(""https://docs.google.com/spreadsheets/d/1XL5vhW3sbDhbH9Cz0tuDiY8C3ctxq1tqvaCgkFb8cCA/edit?usp=sharing"",""บุรีรัมย์!I164"")"),0.0)</f>
        <v>0</v>
      </c>
      <c r="J373" s="238">
        <f>IFERROR(__xludf.DUMMYFUNCTION("IMPORTRANGE(""https://docs.google.com/spreadsheets/d/1XL5vhW3sbDhbH9Cz0tuDiY8C3ctxq1tqvaCgkFb8cCA/edit?usp=sharing"",""บุรีรัมย์!J164"")"),0.0)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IFERROR(__xludf.DUMMYFUNCTION("IMPORTRANGE(""https://docs.google.com/spreadsheets/d/1XL5vhW3sbDhbH9Cz0tuDiY8C3ctxq1tqvaCgkFb8cCA/edit?usp=sharing"",""บุรีรัมย์!I164"")"),0.0)</f>
        <v>0</v>
      </c>
      <c r="J374" s="222">
        <f>IFERROR(__xludf.DUMMYFUNCTION("IMPORTRANGE(""https://docs.google.com/spreadsheets/d/1XL5vhW3sbDhbH9Cz0tuDiY8C3ctxq1tqvaCgkFb8cCA/edit?usp=sharing"",""บุรีรัมย์!J164"")"),0.0)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IFERROR(__xludf.DUMMYFUNCTION("IMPORTRANGE(""https://docs.google.com/spreadsheets/d/1XL5vhW3sbDhbH9Cz0tuDiY8C3ctxq1tqvaCgkFb8cCA/edit?usp=sharing"",""บุรีรัมย์!I270"")"),550.0)</f>
        <v>550</v>
      </c>
      <c r="J375" s="222">
        <f>IFERROR(__xludf.DUMMYFUNCTION("IMPORTRANGE(""https://docs.google.com/spreadsheets/d/1XL5vhW3sbDhbH9Cz0tuDiY8C3ctxq1tqvaCgkFb8cCA/edit?usp=sharing"",""บุรีรัมย์!J270"")"),0.0)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IFERROR(__xludf.DUMMYFUNCTION("IMPORTRANGE(""https://docs.google.com/spreadsheets/d/1XL5vhW3sbDhbH9Cz0tuDiY8C3ctxq1tqvaCgkFb8cCA/edit?usp=sharing"",""บุรีรัมย์!I271"")"),550.0)</f>
        <v>550</v>
      </c>
      <c r="J376" s="223">
        <f>IFERROR(__xludf.DUMMYFUNCTION("IMPORTRANGE(""https://docs.google.com/spreadsheets/d/1XL5vhW3sbDhbH9Cz0tuDiY8C3ctxq1tqvaCgkFb8cCA/edit?usp=sharing"",""บุรีรัมย์!J271"")"),0.0)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IFERROR(__xludf.DUMMYFUNCTION("IMPORTRANGE(""https://docs.google.com/spreadsheets/d/1XL5vhW3sbDhbH9Cz0tuDiY8C3ctxq1tqvaCgkFb8cCA/edit?usp=sharing"",""บุรีรัมย์!I272"")"),0.0)</f>
        <v>0</v>
      </c>
      <c r="J377" s="238">
        <f>IFERROR(__xludf.DUMMYFUNCTION("IMPORTRANGE(""https://docs.google.com/spreadsheets/d/1XL5vhW3sbDhbH9Cz0tuDiY8C3ctxq1tqvaCgkFb8cCA/edit?usp=sharing"",""บุรีรัมย์!J272"")"),0.0)</f>
        <v>0</v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IFERROR(__xludf.DUMMYFUNCTION("IMPORTRANGE(""https://docs.google.com/spreadsheets/d/1XL5vhW3sbDhbH9Cz0tuDiY8C3ctxq1tqvaCgkFb8cCA/edit?usp=sharing"",""บุรีรัมย์!J273"")"),0.0)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IFERROR(__xludf.DUMMYFUNCTION("IMPORTRANGE(""https://docs.google.com/spreadsheets/d/1XL5vhW3sbDhbH9Cz0tuDiY8C3ctxq1tqvaCgkFb8cCA/edit?usp=sharing"",""บุรีรัมย์!J274"")"),0.0)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IFERROR(__xludf.DUMMYFUNCTION("IMPORTRANGE(""https://docs.google.com/spreadsheets/d/1XL5vhW3sbDhbH9Cz0tuDiY8C3ctxq1tqvaCgkFb8cCA/edit?usp=sharing"",""บุรีรัมย์!I275"")"),1000.0)</f>
        <v>1000</v>
      </c>
      <c r="J380" s="404">
        <f>IFERROR(__xludf.DUMMYFUNCTION("IMPORTRANGE(""https://docs.google.com/spreadsheets/d/1XL5vhW3sbDhbH9Cz0tuDiY8C3ctxq1tqvaCgkFb8cCA/edit?usp=sharing"",""บุรีรัมย์!J275"")"),0.0)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IFERROR(__xludf.DUMMYFUNCTION("IMPORTRANGE(""https://docs.google.com/spreadsheets/d/1XL5vhW3sbDhbH9Cz0tuDiY8C3ctxq1tqvaCgkFb8cCA/edit?usp=sharing"",""บุรีรัมย์!L275"")"),1028520.0)</f>
        <v>1028520</v>
      </c>
      <c r="M380" s="406"/>
      <c r="N380" s="406">
        <f>IFERROR(__xludf.DUMMYFUNCTION("IMPORTRANGE(""https://docs.google.com/spreadsheets/d/1XL5vhW3sbDhbH9Cz0tuDiY8C3ctxq1tqvaCgkFb8cCA/edit?usp=sharing"",""บุรีรัมย์!M275"")"),52609.979999999996)</f>
        <v>52609.98</v>
      </c>
      <c r="O380" s="406">
        <f>+IF(L380&gt;0,N380*100/L380,0)</f>
        <v>5.115114922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IFERROR(__xludf.DUMMYFUNCTION("IMPORTRANGE(""https://docs.google.com/spreadsheets/d/1XL5vhW3sbDhbH9Cz0tuDiY8C3ctxq1tqvaCgkFb8cCA/edit?usp=sharing"",""บุรีรัมย์!I276"")"),100.0)</f>
        <v>100</v>
      </c>
      <c r="J381" s="404">
        <f>IFERROR(__xludf.DUMMYFUNCTION("IMPORTRANGE(""https://docs.google.com/spreadsheets/d/1XL5vhW3sbDhbH9Cz0tuDiY8C3ctxq1tqvaCgkFb8cCA/edit?usp=sharing"",""บุรีรัมย์!J276"")"),100.0)</f>
        <v>100</v>
      </c>
      <c r="K381" s="405">
        <f t="shared" si="109"/>
        <v>100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IFERROR(__xludf.DUMMYFUNCTION("IMPORTRANGE(""https://docs.google.com/spreadsheets/d/1XL5vhW3sbDhbH9Cz0tuDiY8C3ctxq1tqvaCgkFb8cCA/edit?usp=sharing"",""บุรีรัมย์!L277"")"),0.0)</f>
        <v>0</v>
      </c>
      <c r="M382" s="197"/>
      <c r="N382" s="197">
        <f>IFERROR(__xludf.DUMMYFUNCTION("IMPORTRANGE(""https://docs.google.com/spreadsheets/d/1XL5vhW3sbDhbH9Cz0tuDiY8C3ctxq1tqvaCgkFb8cCA/edit?usp=sharing"",""บุรีรัมย์!M277"")"),0.0)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IFERROR(__xludf.DUMMYFUNCTION("IMPORTRANGE(""https://docs.google.com/spreadsheets/d/1XL5vhW3sbDhbH9Cz0tuDiY8C3ctxq1tqvaCgkFb8cCA/edit?usp=sharing"",""บุรีรัมย์!L278"")"),1028520.0)</f>
        <v>1028520</v>
      </c>
      <c r="M383" s="198"/>
      <c r="N383" s="198">
        <f>IFERROR(__xludf.DUMMYFUNCTION("IMPORTRANGE(""https://docs.google.com/spreadsheets/d/1XL5vhW3sbDhbH9Cz0tuDiY8C3ctxq1tqvaCgkFb8cCA/edit?usp=sharing"",""บุรีรัมย์!M278"")"),52609.979999999996)</f>
        <v>52609.98</v>
      </c>
      <c r="O383" s="198">
        <f t="shared" si="110"/>
        <v>5.115114922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IFERROR(__xludf.DUMMYFUNCTION("IMPORTRANGE(""https://docs.google.com/spreadsheets/d/1XL5vhW3sbDhbH9Cz0tuDiY8C3ctxq1tqvaCgkFb8cCA/edit?usp=sharing"",""บุรีรัมย์!L279"")"),0.0)</f>
        <v>0</v>
      </c>
      <c r="M384" s="203"/>
      <c r="N384" s="203">
        <f>IFERROR(__xludf.DUMMYFUNCTION("IMPORTRANGE(""https://docs.google.com/spreadsheets/d/1XL5vhW3sbDhbH9Cz0tuDiY8C3ctxq1tqvaCgkFb8cCA/edit?usp=sharing"",""บุรีรัมย์!M279"")"),0.0)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IFERROR(__xludf.DUMMYFUNCTION("IMPORTRANGE(""https://docs.google.com/spreadsheets/d/1XL5vhW3sbDhbH9Cz0tuDiY8C3ctxq1tqvaCgkFb8cCA/edit?usp=sharing"",""บุรีรัมย์!L280"")"),1028520.0)</f>
        <v>1028520</v>
      </c>
      <c r="M385" s="203"/>
      <c r="N385" s="200">
        <f>IFERROR(__xludf.DUMMYFUNCTION("IMPORTRANGE(""https://docs.google.com/spreadsheets/d/1XL5vhW3sbDhbH9Cz0tuDiY8C3ctxq1tqvaCgkFb8cCA/edit?usp=sharing"",""บุรีรัมย์!M280"")"),52609.979999999996)</f>
        <v>52609.98</v>
      </c>
      <c r="O385" s="203">
        <f t="shared" si="110"/>
        <v>5.115114922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IFERROR(__xludf.DUMMYFUNCTION("IMPORTRANGE(""https://docs.google.com/spreadsheets/d/1XL5vhW3sbDhbH9Cz0tuDiY8C3ctxq1tqvaCgkFb8cCA/edit?usp=sharing"",""บุรีรัมย์!M281"")"),0.0)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IFERROR(__xludf.DUMMYFUNCTION("IMPORTRANGE(""https://docs.google.com/spreadsheets/d/1XL5vhW3sbDhbH9Cz0tuDiY8C3ctxq1tqvaCgkFb8cCA/edit?usp=sharing"",""บุรีรัมย์!M282"")"),0.0)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IFERROR(__xludf.DUMMYFUNCTION("IMPORTRANGE(""https://docs.google.com/spreadsheets/d/1XL5vhW3sbDhbH9Cz0tuDiY8C3ctxq1tqvaCgkFb8cCA/edit?usp=sharing"",""บุรีรัมย์!M283"")"),30799.98)</f>
        <v>30799.98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IFERROR(__xludf.DUMMYFUNCTION("IMPORTRANGE(""https://docs.google.com/spreadsheets/d/1XL5vhW3sbDhbH9Cz0tuDiY8C3ctxq1tqvaCgkFb8cCA/edit?usp=sharing"",""บุรีรัมย์!M284"")"),21810.0)</f>
        <v>21810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IFERROR(__xludf.DUMMYFUNCTION("IMPORTRANGE(""https://docs.google.com/spreadsheets/d/1XL5vhW3sbDhbH9Cz0tuDiY8C3ctxq1tqvaCgkFb8cCA/edit?usp=sharing"",""บุรีรัมย์!J286"")"),0.0)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IFERROR(__xludf.DUMMYFUNCTION("IMPORTRANGE(""https://docs.google.com/spreadsheets/d/1XL5vhW3sbDhbH9Cz0tuDiY8C3ctxq1tqvaCgkFb8cCA/edit?usp=sharing"",""บุรีรัมย์!J287"")"),1.0)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IFERROR(__xludf.DUMMYFUNCTION("IMPORTRANGE(""https://docs.google.com/spreadsheets/d/1XL5vhW3sbDhbH9Cz0tuDiY8C3ctxq1tqvaCgkFb8cCA/edit?usp=sharing"",""บุรีรัมย์!J288"")"),1.0)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IFERROR(__xludf.DUMMYFUNCTION("IMPORTRANGE(""https://docs.google.com/spreadsheets/d/1XL5vhW3sbDhbH9Cz0tuDiY8C3ctxq1tqvaCgkFb8cCA/edit?usp=sharing"",""บุรีรัมย์!J289"")"),1.0)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IFERROR(__xludf.DUMMYFUNCTION("IMPORTRANGE(""https://docs.google.com/spreadsheets/d/1XL5vhW3sbDhbH9Cz0tuDiY8C3ctxq1tqvaCgkFb8cCA/edit?usp=sharing"",""บุรีรัมย์!I291"")"),100.0)</f>
        <v>100</v>
      </c>
      <c r="J396" s="232">
        <f>IFERROR(__xludf.DUMMYFUNCTION("IMPORTRANGE(""https://docs.google.com/spreadsheets/d/1XL5vhW3sbDhbH9Cz0tuDiY8C3ctxq1tqvaCgkFb8cCA/edit?usp=sharing"",""บุรีรัมย์!J291"")"),100.0)</f>
        <v>100</v>
      </c>
      <c r="K396" s="196">
        <f t="shared" ref="K396:K398" si="111">IF(I396&gt;0,J396*100/I396,0)</f>
        <v>100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IFERROR(__xludf.DUMMYFUNCTION("IMPORTRANGE(""https://docs.google.com/spreadsheets/d/1XL5vhW3sbDhbH9Cz0tuDiY8C3ctxq1tqvaCgkFb8cCA/edit?usp=sharing"",""บุรีรัมย์!I292"")"),1000.0)</f>
        <v>1000</v>
      </c>
      <c r="J397" s="232">
        <f>IFERROR(__xludf.DUMMYFUNCTION("IMPORTRANGE(""https://docs.google.com/spreadsheets/d/1XL5vhW3sbDhbH9Cz0tuDiY8C3ctxq1tqvaCgkFb8cCA/edit?usp=sharing"",""บุรีรัมย์!J292"")"),0.0)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IFERROR(__xludf.DUMMYFUNCTION("IMPORTRANGE(""https://docs.google.com/spreadsheets/d/1XL5vhW3sbDhbH9Cz0tuDiY8C3ctxq1tqvaCgkFb8cCA/edit?usp=sharing"",""บุรีรัมย์!I293"")"),100.0)</f>
        <v>100</v>
      </c>
      <c r="J398" s="232">
        <f>IFERROR(__xludf.DUMMYFUNCTION("IMPORTRANGE(""https://docs.google.com/spreadsheets/d/1XL5vhW3sbDhbH9Cz0tuDiY8C3ctxq1tqvaCgkFb8cCA/edit?usp=sharing"",""บุรีรัมย์!J293"")"),0.0)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IFERROR(__xludf.DUMMYFUNCTION("IMPORTRANGE(""https://docs.google.com/spreadsheets/d/1XL5vhW3sbDhbH9Cz0tuDiY8C3ctxq1tqvaCgkFb8cCA/edit?usp=sharing"",""บุรีรัมย์!J294"")"),0.0)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IFERROR(__xludf.DUMMYFUNCTION("IMPORTRANGE(""https://docs.google.com/spreadsheets/d/1XL5vhW3sbDhbH9Cz0tuDiY8C3ctxq1tqvaCgkFb8cCA/edit?usp=sharing"",""บุรีรัมย์!J295"")"),0.0)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IFERROR(__xludf.DUMMYFUNCTION("IMPORTRANGE(""https://docs.google.com/spreadsheets/d/1XL5vhW3sbDhbH9Cz0tuDiY8C3ctxq1tqvaCgkFb8cCA/edit?usp=sharing"",""บุรีรัมย์!I296"")"),225.0)</f>
        <v>225</v>
      </c>
      <c r="J401" s="404">
        <f>IFERROR(__xludf.DUMMYFUNCTION("IMPORTRANGE(""https://docs.google.com/spreadsheets/d/1XL5vhW3sbDhbH9Cz0tuDiY8C3ctxq1tqvaCgkFb8cCA/edit?usp=sharing"",""บุรีรัมย์!J296"")"),0.0)</f>
        <v>0</v>
      </c>
      <c r="K401" s="405">
        <f t="shared" ref="K401:K402" si="112">IF(I401&gt;0,J401*100/I401,0)</f>
        <v>0</v>
      </c>
      <c r="L401" s="406">
        <f>IFERROR(__xludf.DUMMYFUNCTION("IMPORTRANGE(""https://docs.google.com/spreadsheets/d/1XL5vhW3sbDhbH9Cz0tuDiY8C3ctxq1tqvaCgkFb8cCA/edit?usp=sharing"",""บุรีรัมย์!L296"")"),230070.0)</f>
        <v>230070</v>
      </c>
      <c r="M401" s="406"/>
      <c r="N401" s="406">
        <f>IFERROR(__xludf.DUMMYFUNCTION("IMPORTRANGE(""https://docs.google.com/spreadsheets/d/1XL5vhW3sbDhbH9Cz0tuDiY8C3ctxq1tqvaCgkFb8cCA/edit?usp=sharing"",""บุรีรัมย์!M296"")"),1350.0)</f>
        <v>1350</v>
      </c>
      <c r="O401" s="406">
        <f>+IF(L401&gt;0,N401*100/L401,0)</f>
        <v>0.5867779371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IFERROR(__xludf.DUMMYFUNCTION("IMPORTRANGE(""https://docs.google.com/spreadsheets/d/1XL5vhW3sbDhbH9Cz0tuDiY8C3ctxq1tqvaCgkFb8cCA/edit?usp=sharing"",""บุรีรัมย์!I297"")"),75.0)</f>
        <v>75</v>
      </c>
      <c r="J402" s="404">
        <f>IFERROR(__xludf.DUMMYFUNCTION("IMPORTRANGE(""https://docs.google.com/spreadsheets/d/1XL5vhW3sbDhbH9Cz0tuDiY8C3ctxq1tqvaCgkFb8cCA/edit?usp=sharing"",""บุรีรัมย์!J297"")"),0.0)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IFERROR(__xludf.DUMMYFUNCTION("IMPORTRANGE(""https://docs.google.com/spreadsheets/d/1XL5vhW3sbDhbH9Cz0tuDiY8C3ctxq1tqvaCgkFb8cCA/edit?usp=sharing"",""บุรีรัมย์!L298"")"),0.0)</f>
        <v>0</v>
      </c>
      <c r="M403" s="197"/>
      <c r="N403" s="203">
        <f>IFERROR(__xludf.DUMMYFUNCTION("IMPORTRANGE(""https://docs.google.com/spreadsheets/d/1XL5vhW3sbDhbH9Cz0tuDiY8C3ctxq1tqvaCgkFb8cCA/edit?usp=sharing"",""บุรีรัมย์!M298"")"),0.0)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IFERROR(__xludf.DUMMYFUNCTION("IMPORTRANGE(""https://docs.google.com/spreadsheets/d/1XL5vhW3sbDhbH9Cz0tuDiY8C3ctxq1tqvaCgkFb8cCA/edit?usp=sharing"",""บุรีรัมย์!L299"")"),230070.0)</f>
        <v>230070</v>
      </c>
      <c r="M404" s="198"/>
      <c r="N404" s="203">
        <f>IFERROR(__xludf.DUMMYFUNCTION("IMPORTRANGE(""https://docs.google.com/spreadsheets/d/1XL5vhW3sbDhbH9Cz0tuDiY8C3ctxq1tqvaCgkFb8cCA/edit?usp=sharing"",""บุรีรัมย์!M299"")"),1350.0)</f>
        <v>1350</v>
      </c>
      <c r="O404" s="203">
        <f t="shared" si="113"/>
        <v>0.5867779371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IFERROR(__xludf.DUMMYFUNCTION("IMPORTRANGE(""https://docs.google.com/spreadsheets/d/1XL5vhW3sbDhbH9Cz0tuDiY8C3ctxq1tqvaCgkFb8cCA/edit?usp=sharing"",""บุรีรัมย์!L300"")"),0.0)</f>
        <v>0</v>
      </c>
      <c r="M405" s="203"/>
      <c r="N405" s="203">
        <f>IFERROR(__xludf.DUMMYFUNCTION("IMPORTRANGE(""https://docs.google.com/spreadsheets/d/1XL5vhW3sbDhbH9Cz0tuDiY8C3ctxq1tqvaCgkFb8cCA/edit?usp=sharing"",""บุรีรัมย์!M300"")"),0.0)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IFERROR(__xludf.DUMMYFUNCTION("IMPORTRANGE(""https://docs.google.com/spreadsheets/d/1XL5vhW3sbDhbH9Cz0tuDiY8C3ctxq1tqvaCgkFb8cCA/edit?usp=sharing"",""บุรีรัมย์!L301"")"),230070.0)</f>
        <v>230070</v>
      </c>
      <c r="M406" s="203"/>
      <c r="N406" s="203">
        <f>IFERROR(__xludf.DUMMYFUNCTION("IMPORTRANGE(""https://docs.google.com/spreadsheets/d/1XL5vhW3sbDhbH9Cz0tuDiY8C3ctxq1tqvaCgkFb8cCA/edit?usp=sharing"",""บุรีรัมย์!M301"")"),1350.0)</f>
        <v>1350</v>
      </c>
      <c r="O406" s="203">
        <f t="shared" si="113"/>
        <v>0.5867779371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IFERROR(__xludf.DUMMYFUNCTION("IMPORTRANGE(""https://docs.google.com/spreadsheets/d/1XL5vhW3sbDhbH9Cz0tuDiY8C3ctxq1tqvaCgkFb8cCA/edit?usp=sharing"",""บุรีรัมย์!M302"")"),0.0)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IFERROR(__xludf.DUMMYFUNCTION("IMPORTRANGE(""https://docs.google.com/spreadsheets/d/1XL5vhW3sbDhbH9Cz0tuDiY8C3ctxq1tqvaCgkFb8cCA/edit?usp=sharing"",""บุรีรัมย์!M303"")"),0.0)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IFERROR(__xludf.DUMMYFUNCTION("IMPORTRANGE(""https://docs.google.com/spreadsheets/d/1XL5vhW3sbDhbH9Cz0tuDiY8C3ctxq1tqvaCgkFb8cCA/edit?usp=sharing"",""บุรีรัมย์!M304"")"),0.0)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IFERROR(__xludf.DUMMYFUNCTION("IMPORTRANGE(""https://docs.google.com/spreadsheets/d/1XL5vhW3sbDhbH9Cz0tuDiY8C3ctxq1tqvaCgkFb8cCA/edit?usp=sharing"",""บุรีรัมย์!M305"")"),1350.0)</f>
        <v>1350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IFERROR(__xludf.DUMMYFUNCTION("IMPORTRANGE(""https://docs.google.com/spreadsheets/d/1XL5vhW3sbDhbH9Cz0tuDiY8C3ctxq1tqvaCgkFb8cCA/edit?usp=sharing"",""บุรีรัมย์!J307"")"),0.0)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IFERROR(__xludf.DUMMYFUNCTION("IMPORTRANGE(""https://docs.google.com/spreadsheets/d/1XL5vhW3sbDhbH9Cz0tuDiY8C3ctxq1tqvaCgkFb8cCA/edit?usp=sharing"",""บุรีรัมย์!J308"")"),1.0)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IFERROR(__xludf.DUMMYFUNCTION("IMPORTRANGE(""https://docs.google.com/spreadsheets/d/1XL5vhW3sbDhbH9Cz0tuDiY8C3ctxq1tqvaCgkFb8cCA/edit?usp=sharing"",""บุรีรัมย์!J309"")"),1.0)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IFERROR(__xludf.DUMMYFUNCTION("IMPORTRANGE(""https://docs.google.com/spreadsheets/d/1XL5vhW3sbDhbH9Cz0tuDiY8C3ctxq1tqvaCgkFb8cCA/edit?usp=sharing"",""บุรีรัมย์!J310"")"),0.0)</f>
        <v>0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IFERROR(__xludf.DUMMYFUNCTION("IMPORTRANGE(""https://docs.google.com/spreadsheets/d/1XL5vhW3sbDhbH9Cz0tuDiY8C3ctxq1tqvaCgkFb8cCA/edit?usp=sharing"",""บุรีรัมย์!I311"")"),75.0)</f>
        <v>75</v>
      </c>
      <c r="J416" s="235">
        <f>IFERROR(__xludf.DUMMYFUNCTION("IMPORTRANGE(""https://docs.google.com/spreadsheets/d/1XL5vhW3sbDhbH9Cz0tuDiY8C3ctxq1tqvaCgkFb8cCA/edit?usp=sharing"",""บุรีรัมย์!J311"")"),0.0)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IFERROR(__xludf.DUMMYFUNCTION("IMPORTRANGE(""https://docs.google.com/spreadsheets/d/1XL5vhW3sbDhbH9Cz0tuDiY8C3ctxq1tqvaCgkFb8cCA/edit?usp=sharing"",""บุรีรัมย์!I312"")"),0.0)</f>
        <v>0</v>
      </c>
      <c r="J417" s="425">
        <f>IFERROR(__xludf.DUMMYFUNCTION("IMPORTRANGE(""https://docs.google.com/spreadsheets/d/1XL5vhW3sbDhbH9Cz0tuDiY8C3ctxq1tqvaCgkFb8cCA/edit?usp=sharing"",""บุรีรัมย์!J312"")"),0.0)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IFERROR(__xludf.DUMMYFUNCTION("IMPORTRANGE(""https://docs.google.com/spreadsheets/d/1XL5vhW3sbDhbH9Cz0tuDiY8C3ctxq1tqvaCgkFb8cCA/edit?usp=sharing"",""บุรีรัมย์!I313"")"),0.0)</f>
        <v>0</v>
      </c>
      <c r="J418" s="426">
        <f>IFERROR(__xludf.DUMMYFUNCTION("IMPORTRANGE(""https://docs.google.com/spreadsheets/d/1XL5vhW3sbDhbH9Cz0tuDiY8C3ctxq1tqvaCgkFb8cCA/edit?usp=sharing"",""บุรีรัมย์!J313"")"),0.0)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IFERROR(__xludf.DUMMYFUNCTION("IMPORTRANGE(""https://docs.google.com/spreadsheets/d/1XL5vhW3sbDhbH9Cz0tuDiY8C3ctxq1tqvaCgkFb8cCA/edit?usp=sharing"",""บุรีรัมย์!I314"")"),0.0)</f>
        <v>0</v>
      </c>
      <c r="J419" s="427">
        <f>IFERROR(__xludf.DUMMYFUNCTION("IMPORTRANGE(""https://docs.google.com/spreadsheets/d/1XL5vhW3sbDhbH9Cz0tuDiY8C3ctxq1tqvaCgkFb8cCA/edit?usp=sharing"",""บุรีรัมย์!J314"")"),0.0)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IFERROR(__xludf.DUMMYFUNCTION("IMPORTRANGE(""https://docs.google.com/spreadsheets/d/1XL5vhW3sbDhbH9Cz0tuDiY8C3ctxq1tqvaCgkFb8cCA/edit?usp=sharing"",""บุรีรัมย์!I315"")"),0.0)</f>
        <v>0</v>
      </c>
      <c r="J420" s="427">
        <f>IFERROR(__xludf.DUMMYFUNCTION("IMPORTRANGE(""https://docs.google.com/spreadsheets/d/1XL5vhW3sbDhbH9Cz0tuDiY8C3ctxq1tqvaCgkFb8cCA/edit?usp=sharing"",""บุรีรัมย์!J315"")"),0.0)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IFERROR(__xludf.DUMMYFUNCTION("IMPORTRANGE(""https://docs.google.com/spreadsheets/d/1XL5vhW3sbDhbH9Cz0tuDiY8C3ctxq1tqvaCgkFb8cCA/edit?usp=sharing"",""บุรีรัมย์!I316"")"),65.0)</f>
        <v>65</v>
      </c>
      <c r="J421" s="425">
        <f>IFERROR(__xludf.DUMMYFUNCTION("IMPORTRANGE(""https://docs.google.com/spreadsheets/d/1XL5vhW3sbDhbH9Cz0tuDiY8C3ctxq1tqvaCgkFb8cCA/edit?usp=sharing"",""บุรีรัมย์!J316"")"),0.0)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IFERROR(__xludf.DUMMYFUNCTION("IMPORTRANGE(""https://docs.google.com/spreadsheets/d/1XL5vhW3sbDhbH9Cz0tuDiY8C3ctxq1tqvaCgkFb8cCA/edit?usp=sharing"",""บุรีรัมย์!I317"")"),195.0)</f>
        <v>195</v>
      </c>
      <c r="J422" s="426">
        <f>IFERROR(__xludf.DUMMYFUNCTION("IMPORTRANGE(""https://docs.google.com/spreadsheets/d/1XL5vhW3sbDhbH9Cz0tuDiY8C3ctxq1tqvaCgkFb8cCA/edit?usp=sharing"",""บุรีรัมย์!J317"")"),0.0)</f>
        <v>0</v>
      </c>
      <c r="K422" s="236">
        <f t="shared" si="114"/>
        <v>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IFERROR(__xludf.DUMMYFUNCTION("IMPORTRANGE(""https://docs.google.com/spreadsheets/d/1XL5vhW3sbDhbH9Cz0tuDiY8C3ctxq1tqvaCgkFb8cCA/edit?usp=sharing"",""บุรีรัมย์!I318"")"),65.0)</f>
        <v>65</v>
      </c>
      <c r="J423" s="427">
        <f>IFERROR(__xludf.DUMMYFUNCTION("IMPORTRANGE(""https://docs.google.com/spreadsheets/d/1XL5vhW3sbDhbH9Cz0tuDiY8C3ctxq1tqvaCgkFb8cCA/edit?usp=sharing"",""บุรีรัมย์!J318"")"),0.0)</f>
        <v>0</v>
      </c>
      <c r="K423" s="196">
        <f t="shared" si="114"/>
        <v>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IFERROR(__xludf.DUMMYFUNCTION("IMPORTRANGE(""https://docs.google.com/spreadsheets/d/1XL5vhW3sbDhbH9Cz0tuDiY8C3ctxq1tqvaCgkFb8cCA/edit?usp=sharing"",""บุรีรัมย์!I319"")"),65.0)</f>
        <v>65</v>
      </c>
      <c r="J424" s="427">
        <f>IFERROR(__xludf.DUMMYFUNCTION("IMPORTRANGE(""https://docs.google.com/spreadsheets/d/1XL5vhW3sbDhbH9Cz0tuDiY8C3ctxq1tqvaCgkFb8cCA/edit?usp=sharing"",""บุรีรัมย์!J319"")"),0.0)</f>
        <v>0</v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IFERROR(__xludf.DUMMYFUNCTION("IMPORTRANGE(""https://docs.google.com/spreadsheets/d/1XL5vhW3sbDhbH9Cz0tuDiY8C3ctxq1tqvaCgkFb8cCA/edit?usp=sharing"",""บุรีรัมย์!I320"")"),65.0)</f>
        <v>65</v>
      </c>
      <c r="J425" s="427">
        <f>IFERROR(__xludf.DUMMYFUNCTION("IMPORTRANGE(""https://docs.google.com/spreadsheets/d/1XL5vhW3sbDhbH9Cz0tuDiY8C3ctxq1tqvaCgkFb8cCA/edit?usp=sharing"",""บุรีรัมย์!J320"")"),0.0)</f>
        <v>0</v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IFERROR(__xludf.DUMMYFUNCTION("IMPORTRANGE(""https://docs.google.com/spreadsheets/d/1XL5vhW3sbDhbH9Cz0tuDiY8C3ctxq1tqvaCgkFb8cCA/edit?usp=sharing"",""บุรีรัมย์!I321"")"),10.0)</f>
        <v>10</v>
      </c>
      <c r="J426" s="425">
        <f>IFERROR(__xludf.DUMMYFUNCTION("IMPORTRANGE(""https://docs.google.com/spreadsheets/d/1XL5vhW3sbDhbH9Cz0tuDiY8C3ctxq1tqvaCgkFb8cCA/edit?usp=sharing"",""บุรีรัมย์!J321"")"),0.0)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IFERROR(__xludf.DUMMYFUNCTION("IMPORTRANGE(""https://docs.google.com/spreadsheets/d/1XL5vhW3sbDhbH9Cz0tuDiY8C3ctxq1tqvaCgkFb8cCA/edit?usp=sharing"",""บุรีรัมย์!I322"")"),30.0)</f>
        <v>30</v>
      </c>
      <c r="J427" s="426">
        <f>IFERROR(__xludf.DUMMYFUNCTION("IMPORTRANGE(""https://docs.google.com/spreadsheets/d/1XL5vhW3sbDhbH9Cz0tuDiY8C3ctxq1tqvaCgkFb8cCA/edit?usp=sharing"",""บุรีรัมย์!J322"")"),0.0)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IFERROR(__xludf.DUMMYFUNCTION("IMPORTRANGE(""https://docs.google.com/spreadsheets/d/1XL5vhW3sbDhbH9Cz0tuDiY8C3ctxq1tqvaCgkFb8cCA/edit?usp=sharing"",""บุรีรัมย์!I323"")"),10.0)</f>
        <v>10</v>
      </c>
      <c r="J428" s="427">
        <f>IFERROR(__xludf.DUMMYFUNCTION("IMPORTRANGE(""https://docs.google.com/spreadsheets/d/1XL5vhW3sbDhbH9Cz0tuDiY8C3ctxq1tqvaCgkFb8cCA/edit?usp=sharing"",""บุรีรัมย์!J323"")"),0.0)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IFERROR(__xludf.DUMMYFUNCTION("IMPORTRANGE(""https://docs.google.com/spreadsheets/d/1XL5vhW3sbDhbH9Cz0tuDiY8C3ctxq1tqvaCgkFb8cCA/edit?usp=sharing"",""บุรีรัมย์!I324"")"),10.0)</f>
        <v>10</v>
      </c>
      <c r="J429" s="427">
        <f>IFERROR(__xludf.DUMMYFUNCTION("IMPORTRANGE(""https://docs.google.com/spreadsheets/d/1XL5vhW3sbDhbH9Cz0tuDiY8C3ctxq1tqvaCgkFb8cCA/edit?usp=sharing"",""บุรีรัมย์!J324"")"),0.0)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IFERROR(__xludf.DUMMYFUNCTION("IMPORTRANGE(""https://docs.google.com/spreadsheets/d/1XL5vhW3sbDhbH9Cz0tuDiY8C3ctxq1tqvaCgkFb8cCA/edit?usp=sharing"",""บุรีรัมย์!I325"")"),65.0)</f>
        <v>65</v>
      </c>
      <c r="J430" s="425">
        <f>IFERROR(__xludf.DUMMYFUNCTION("IMPORTRANGE(""https://docs.google.com/spreadsheets/d/1XL5vhW3sbDhbH9Cz0tuDiY8C3ctxq1tqvaCgkFb8cCA/edit?usp=sharing"",""บุรีรัมย์!J325"")"),0.0)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IFERROR(__xludf.DUMMYFUNCTION("IMPORTRANGE(""https://docs.google.com/spreadsheets/d/1XL5vhW3sbDhbH9Cz0tuDiY8C3ctxq1tqvaCgkFb8cCA/edit?usp=sharing"",""บุรีรัมย์!I326"")"),0.0)</f>
        <v>0</v>
      </c>
      <c r="J431" s="427">
        <f>IFERROR(__xludf.DUMMYFUNCTION("IMPORTRANGE(""https://docs.google.com/spreadsheets/d/1XL5vhW3sbDhbH9Cz0tuDiY8C3ctxq1tqvaCgkFb8cCA/edit?usp=sharing"",""บุรีรัมย์!J326"")"),0.0)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IFERROR(__xludf.DUMMYFUNCTION("IMPORTRANGE(""https://docs.google.com/spreadsheets/d/1XL5vhW3sbDhbH9Cz0tuDiY8C3ctxq1tqvaCgkFb8cCA/edit?usp=sharing"",""บุรีรัมย์!I327"")"),65.0)</f>
        <v>65</v>
      </c>
      <c r="J432" s="427">
        <f>IFERROR(__xludf.DUMMYFUNCTION("IMPORTRANGE(""https://docs.google.com/spreadsheets/d/1XL5vhW3sbDhbH9Cz0tuDiY8C3ctxq1tqvaCgkFb8cCA/edit?usp=sharing"",""บุรีรัมย์!J327"")"),0.0)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IFERROR(__xludf.DUMMYFUNCTION("IMPORTRANGE(""https://docs.google.com/spreadsheets/d/1XL5vhW3sbDhbH9Cz0tuDiY8C3ctxq1tqvaCgkFb8cCA/edit?usp=sharing"",""บุรีรัมย์!J328"")"),0.0)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IFERROR(__xludf.DUMMYFUNCTION("IMPORTRANGE(""https://docs.google.com/spreadsheets/d/1XL5vhW3sbDhbH9Cz0tuDiY8C3ctxq1tqvaCgkFb8cCA/edit?usp=sharing"",""บุรีรัมย์!J329"")"),0.0)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IFERROR(__xludf.DUMMYFUNCTION("IMPORTRANGE(""https://docs.google.com/spreadsheets/d/1XL5vhW3sbDhbH9Cz0tuDiY8C3ctxq1tqvaCgkFb8cCA/edit?usp=sharing"",""บุรีรัมย์!I330"")"),20.0)</f>
        <v>20</v>
      </c>
      <c r="J435" s="443">
        <f>IFERROR(__xludf.DUMMYFUNCTION("IMPORTRANGE(""https://docs.google.com/spreadsheets/d/1XL5vhW3sbDhbH9Cz0tuDiY8C3ctxq1tqvaCgkFb8cCA/edit?usp=sharing"",""บุรีรัมย์!J330"")"),20.0)</f>
        <v>20</v>
      </c>
      <c r="K435" s="444">
        <f>IF(I435&gt;0,J435*100/I435,0)</f>
        <v>100</v>
      </c>
      <c r="L435" s="445">
        <f>IFERROR(__xludf.DUMMYFUNCTION("IMPORTRANGE(""https://docs.google.com/spreadsheets/d/1XL5vhW3sbDhbH9Cz0tuDiY8C3ctxq1tqvaCgkFb8cCA/edit?usp=sharing"",""บุรีรัมย์!L330"")"),95000.0)</f>
        <v>95000</v>
      </c>
      <c r="M435" s="445"/>
      <c r="N435" s="445">
        <f>IFERROR(__xludf.DUMMYFUNCTION("IMPORTRANGE(""https://docs.google.com/spreadsheets/d/1XL5vhW3sbDhbH9Cz0tuDiY8C3ctxq1tqvaCgkFb8cCA/edit?usp=sharing"",""บุรีรัมย์!M330"")"),46837.8)</f>
        <v>46837.8</v>
      </c>
      <c r="O435" s="445">
        <f t="shared" ref="O435:O439" si="115">+IF(L435&gt;0,N435*100/L435,0)</f>
        <v>49.30294737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IFERROR(__xludf.DUMMYFUNCTION("IMPORTRANGE(""https://docs.google.com/spreadsheets/d/1XL5vhW3sbDhbH9Cz0tuDiY8C3ctxq1tqvaCgkFb8cCA/edit?usp=sharing"",""บุรีรัมย์!L331"")"),0.0)</f>
        <v>0</v>
      </c>
      <c r="M436" s="197"/>
      <c r="N436" s="203">
        <f>IFERROR(__xludf.DUMMYFUNCTION("IMPORTRANGE(""https://docs.google.com/spreadsheets/d/1XL5vhW3sbDhbH9Cz0tuDiY8C3ctxq1tqvaCgkFb8cCA/edit?usp=sharing"",""บุรีรัมย์!M331"")"),0.0)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IFERROR(__xludf.DUMMYFUNCTION("IMPORTRANGE(""https://docs.google.com/spreadsheets/d/1XL5vhW3sbDhbH9Cz0tuDiY8C3ctxq1tqvaCgkFb8cCA/edit?usp=sharing"",""บุรีรัมย์!L332"")"),95000.0)</f>
        <v>95000</v>
      </c>
      <c r="M437" s="198"/>
      <c r="N437" s="203">
        <f>IFERROR(__xludf.DUMMYFUNCTION("IMPORTRANGE(""https://docs.google.com/spreadsheets/d/1XL5vhW3sbDhbH9Cz0tuDiY8C3ctxq1tqvaCgkFb8cCA/edit?usp=sharing"",""บุรีรัมย์!M332"")"),46837.8)</f>
        <v>46837.8</v>
      </c>
      <c r="O437" s="203">
        <f t="shared" si="115"/>
        <v>49.30294737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IFERROR(__xludf.DUMMYFUNCTION("IMPORTRANGE(""https://docs.google.com/spreadsheets/d/1XL5vhW3sbDhbH9Cz0tuDiY8C3ctxq1tqvaCgkFb8cCA/edit?usp=sharing"",""บุรีรัมย์!L333"")"),0.0)</f>
        <v>0</v>
      </c>
      <c r="M438" s="203"/>
      <c r="N438" s="203">
        <f>IFERROR(__xludf.DUMMYFUNCTION("IMPORTRANGE(""https://docs.google.com/spreadsheets/d/1XL5vhW3sbDhbH9Cz0tuDiY8C3ctxq1tqvaCgkFb8cCA/edit?usp=sharing"",""บุรีรัมย์!M333"")"),0.0)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IFERROR(__xludf.DUMMYFUNCTION("IMPORTRANGE(""https://docs.google.com/spreadsheets/d/1XL5vhW3sbDhbH9Cz0tuDiY8C3ctxq1tqvaCgkFb8cCA/edit?usp=sharing"",""บุรีรัมย์!L334"")"),95000.0)</f>
        <v>95000</v>
      </c>
      <c r="M439" s="203"/>
      <c r="N439" s="203">
        <f>IFERROR(__xludf.DUMMYFUNCTION("IMPORTRANGE(""https://docs.google.com/spreadsheets/d/1XL5vhW3sbDhbH9Cz0tuDiY8C3ctxq1tqvaCgkFb8cCA/edit?usp=sharing"",""บุรีรัมย์!M334"")"),46837.8)</f>
        <v>46837.8</v>
      </c>
      <c r="O439" s="203">
        <f t="shared" si="115"/>
        <v>49.30294737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IFERROR(__xludf.DUMMYFUNCTION("IMPORTRANGE(""https://docs.google.com/spreadsheets/d/1XL5vhW3sbDhbH9Cz0tuDiY8C3ctxq1tqvaCgkFb8cCA/edit?usp=sharing"",""บุรีรัมย์!M335"")"),4267.0)</f>
        <v>4267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IFERROR(__xludf.DUMMYFUNCTION("IMPORTRANGE(""https://docs.google.com/spreadsheets/d/1XL5vhW3sbDhbH9Cz0tuDiY8C3ctxq1tqvaCgkFb8cCA/edit?usp=sharing"",""บุรีรัมย์!M336"")"),0.0)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IFERROR(__xludf.DUMMYFUNCTION("IMPORTRANGE(""https://docs.google.com/spreadsheets/d/1XL5vhW3sbDhbH9Cz0tuDiY8C3ctxq1tqvaCgkFb8cCA/edit?usp=sharing"",""บุรีรัมย์!M337"")"),0.0)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IFERROR(__xludf.DUMMYFUNCTION("IMPORTRANGE(""https://docs.google.com/spreadsheets/d/1XL5vhW3sbDhbH9Cz0tuDiY8C3ctxq1tqvaCgkFb8cCA/edit?usp=sharing"",""บุรีรัมย์!M338"")"),42570.8)</f>
        <v>42570.8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IFERROR(__xludf.DUMMYFUNCTION("IMPORTRANGE(""https://docs.google.com/spreadsheets/d/1XL5vhW3sbDhbH9Cz0tuDiY8C3ctxq1tqvaCgkFb8cCA/edit?usp=sharing"",""บุรีรัมย์!J340"")"),0.0)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IFERROR(__xludf.DUMMYFUNCTION("IMPORTRANGE(""https://docs.google.com/spreadsheets/d/1XL5vhW3sbDhbH9Cz0tuDiY8C3ctxq1tqvaCgkFb8cCA/edit?usp=sharing"",""บุรีรัมย์!J341"")"),1.0)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IFERROR(__xludf.DUMMYFUNCTION("IMPORTRANGE(""https://docs.google.com/spreadsheets/d/1XL5vhW3sbDhbH9Cz0tuDiY8C3ctxq1tqvaCgkFb8cCA/edit?usp=sharing"",""บุรีรัมย์!J342"")"),1.0)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IFERROR(__xludf.DUMMYFUNCTION("IMPORTRANGE(""https://docs.google.com/spreadsheets/d/1XL5vhW3sbDhbH9Cz0tuDiY8C3ctxq1tqvaCgkFb8cCA/edit?usp=sharing"",""บุรีรัมย์!J343"")"),1.0)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IFERROR(__xludf.DUMMYFUNCTION("IMPORTRANGE(""https://docs.google.com/spreadsheets/d/1XL5vhW3sbDhbH9Cz0tuDiY8C3ctxq1tqvaCgkFb8cCA/edit?usp=sharing"",""บุรีรัมย์!I344"")"),20.0)</f>
        <v>20</v>
      </c>
      <c r="J449" s="235">
        <f>IFERROR(__xludf.DUMMYFUNCTION("IMPORTRANGE(""https://docs.google.com/spreadsheets/d/1XL5vhW3sbDhbH9Cz0tuDiY8C3ctxq1tqvaCgkFb8cCA/edit?usp=sharing"",""บุรีรัมย์!J344"")"),20.0)</f>
        <v>20</v>
      </c>
      <c r="K449" s="196">
        <f t="shared" ref="K449:K452" si="116">IF(I449&gt;0,J449*100/I449,0)</f>
        <v>100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IFERROR(__xludf.DUMMYFUNCTION("IMPORTRANGE(""https://docs.google.com/spreadsheets/d/1XL5vhW3sbDhbH9Cz0tuDiY8C3ctxq1tqvaCgkFb8cCA/edit?usp=sharing"",""บุรีรัมย์!I345"")"),20.0)</f>
        <v>20</v>
      </c>
      <c r="J450" s="223">
        <f>IFERROR(__xludf.DUMMYFUNCTION("IMPORTRANGE(""https://docs.google.com/spreadsheets/d/1XL5vhW3sbDhbH9Cz0tuDiY8C3ctxq1tqvaCgkFb8cCA/edit?usp=sharing"",""บุรีรัมย์!J345"")"),20.0)</f>
        <v>20</v>
      </c>
      <c r="K450" s="196">
        <f t="shared" si="116"/>
        <v>100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IFERROR(__xludf.DUMMYFUNCTION("IMPORTRANGE(""https://docs.google.com/spreadsheets/d/1XL5vhW3sbDhbH9Cz0tuDiY8C3ctxq1tqvaCgkFb8cCA/edit?usp=sharing"",""บุรีรัมย์!I346"")"),0.0)</f>
        <v>0</v>
      </c>
      <c r="J451" s="222">
        <f>IFERROR(__xludf.DUMMYFUNCTION("IMPORTRANGE(""https://docs.google.com/spreadsheets/d/1XL5vhW3sbDhbH9Cz0tuDiY8C3ctxq1tqvaCgkFb8cCA/edit?usp=sharing"",""บุรีรัมย์!J346"")"),0.0)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IFERROR(__xludf.DUMMYFUNCTION("IMPORTRANGE(""https://docs.google.com/spreadsheets/d/1XL5vhW3sbDhbH9Cz0tuDiY8C3ctxq1tqvaCgkFb8cCA/edit?usp=sharing"",""บุรีรัมย์!I347"")"),0.0)</f>
        <v>0</v>
      </c>
      <c r="J452" s="222">
        <f>IFERROR(__xludf.DUMMYFUNCTION("IMPORTRANGE(""https://docs.google.com/spreadsheets/d/1XL5vhW3sbDhbH9Cz0tuDiY8C3ctxq1tqvaCgkFb8cCA/edit?usp=sharing"",""บุรีรัมย์!J347"")"),0.0)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IFERROR(__xludf.DUMMYFUNCTION("IMPORTRANGE(""https://docs.google.com/spreadsheets/d/1XL5vhW3sbDhbH9Cz0tuDiY8C3ctxq1tqvaCgkFb8cCA/edit?usp=sharing"",""บุรีรัมย์!J348"")"),0.0)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IFERROR(__xludf.DUMMYFUNCTION("IMPORTRANGE(""https://docs.google.com/spreadsheets/d/1XL5vhW3sbDhbH9Cz0tuDiY8C3ctxq1tqvaCgkFb8cCA/edit?usp=sharing"",""บุรีรัมย์!J349"")"),0.0)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IFERROR(__xludf.DUMMYFUNCTION("IMPORTRANGE(""https://docs.google.com/spreadsheets/d/1XL5vhW3sbDhbH9Cz0tuDiY8C3ctxq1tqvaCgkFb8cCA/edit?usp=sharing"",""บุรีรัมย์!I350"")"),30569.0)</f>
        <v>30569</v>
      </c>
      <c r="J455" s="404">
        <f>IFERROR(__xludf.DUMMYFUNCTION("IMPORTRANGE(""https://docs.google.com/spreadsheets/d/1XL5vhW3sbDhbH9Cz0tuDiY8C3ctxq1tqvaCgkFb8cCA/edit?usp=sharing"",""บุรีรัมย์!J350"")"),0.0)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IFERROR(__xludf.DUMMYFUNCTION("IMPORTRANGE(""https://docs.google.com/spreadsheets/d/1XL5vhW3sbDhbH9Cz0tuDiY8C3ctxq1tqvaCgkFb8cCA/edit?usp=sharing"",""บุรีรัมย์!L350"")"),1347897.0)</f>
        <v>1347897</v>
      </c>
      <c r="M455" s="406"/>
      <c r="N455" s="406">
        <f>IFERROR(__xludf.DUMMYFUNCTION("IMPORTRANGE(""https://docs.google.com/spreadsheets/d/1XL5vhW3sbDhbH9Cz0tuDiY8C3ctxq1tqvaCgkFb8cCA/edit?usp=sharing"",""บุรีรัมย์!M350"")"),86993.73000000001)</f>
        <v>86993.73</v>
      </c>
      <c r="O455" s="406">
        <f t="shared" ref="O455:O459" si="117">+IF(L455&gt;0,N455*100/L455,0)</f>
        <v>6.454033951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IFERROR(__xludf.DUMMYFUNCTION("IMPORTRANGE(""https://docs.google.com/spreadsheets/d/1XL5vhW3sbDhbH9Cz0tuDiY8C3ctxq1tqvaCgkFb8cCA/edit?usp=sharing"",""บุรีรัมย์!L351"")"),0.0)</f>
        <v>0</v>
      </c>
      <c r="M456" s="197"/>
      <c r="N456" s="203">
        <f>IFERROR(__xludf.DUMMYFUNCTION("IMPORTRANGE(""https://docs.google.com/spreadsheets/d/1XL5vhW3sbDhbH9Cz0tuDiY8C3ctxq1tqvaCgkFb8cCA/edit?usp=sharing"",""บุรีรัมย์!M351"")"),0.0)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IFERROR(__xludf.DUMMYFUNCTION("IMPORTRANGE(""https://docs.google.com/spreadsheets/d/1XL5vhW3sbDhbH9Cz0tuDiY8C3ctxq1tqvaCgkFb8cCA/edit?usp=sharing"",""บุรีรัมย์!L352"")"),1347897.0)</f>
        <v>1347897</v>
      </c>
      <c r="M457" s="198"/>
      <c r="N457" s="203">
        <f>IFERROR(__xludf.DUMMYFUNCTION("IMPORTRANGE(""https://docs.google.com/spreadsheets/d/1XL5vhW3sbDhbH9Cz0tuDiY8C3ctxq1tqvaCgkFb8cCA/edit?usp=sharing"",""บุรีรัมย์!M352"")"),86993.73000000001)</f>
        <v>86993.73</v>
      </c>
      <c r="O457" s="203">
        <f t="shared" si="117"/>
        <v>6.454033951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IFERROR(__xludf.DUMMYFUNCTION("IMPORTRANGE(""https://docs.google.com/spreadsheets/d/1XL5vhW3sbDhbH9Cz0tuDiY8C3ctxq1tqvaCgkFb8cCA/edit?usp=sharing"",""บุรีรัมย์!L353"")"),0.0)</f>
        <v>0</v>
      </c>
      <c r="M458" s="203"/>
      <c r="N458" s="203">
        <f>IFERROR(__xludf.DUMMYFUNCTION("IMPORTRANGE(""https://docs.google.com/spreadsheets/d/1XL5vhW3sbDhbH9Cz0tuDiY8C3ctxq1tqvaCgkFb8cCA/edit?usp=sharing"",""บุรีรัมย์!M353"")"),0.0)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IFERROR(__xludf.DUMMYFUNCTION("IMPORTRANGE(""https://docs.google.com/spreadsheets/d/1XL5vhW3sbDhbH9Cz0tuDiY8C3ctxq1tqvaCgkFb8cCA/edit?usp=sharing"",""บุรีรัมย์!L354"")"),1347897.0)</f>
        <v>1347897</v>
      </c>
      <c r="M459" s="203"/>
      <c r="N459" s="203">
        <f>IFERROR(__xludf.DUMMYFUNCTION("IMPORTRANGE(""https://docs.google.com/spreadsheets/d/1XL5vhW3sbDhbH9Cz0tuDiY8C3ctxq1tqvaCgkFb8cCA/edit?usp=sharing"",""บุรีรัมย์!M354"")"),86993.73000000001)</f>
        <v>86993.73</v>
      </c>
      <c r="O459" s="203">
        <f t="shared" si="117"/>
        <v>6.454033951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IFERROR(__xludf.DUMMYFUNCTION("IMPORTRANGE(""https://docs.google.com/spreadsheets/d/1XL5vhW3sbDhbH9Cz0tuDiY8C3ctxq1tqvaCgkFb8cCA/edit?usp=sharing"",""บุรีรัมย์!M355"")"),0.0)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IFERROR(__xludf.DUMMYFUNCTION("IMPORTRANGE(""https://docs.google.com/spreadsheets/d/1XL5vhW3sbDhbH9Cz0tuDiY8C3ctxq1tqvaCgkFb8cCA/edit?usp=sharing"",""บุรีรัมย์!M356"")"),0.0)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IFERROR(__xludf.DUMMYFUNCTION("IMPORTRANGE(""https://docs.google.com/spreadsheets/d/1XL5vhW3sbDhbH9Cz0tuDiY8C3ctxq1tqvaCgkFb8cCA/edit?usp=sharing"",""บุรีรัมย์!M357"")"),37699.98)</f>
        <v>37699.98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IFERROR(__xludf.DUMMYFUNCTION("IMPORTRANGE(""https://docs.google.com/spreadsheets/d/1XL5vhW3sbDhbH9Cz0tuDiY8C3ctxq1tqvaCgkFb8cCA/edit?usp=sharing"",""บุรีรัมย์!M358"")"),49293.75)</f>
        <v>49293.75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IFERROR(__xludf.DUMMYFUNCTION("IMPORTRANGE(""https://docs.google.com/spreadsheets/d/1XL5vhW3sbDhbH9Cz0tuDiY8C3ctxq1tqvaCgkFb8cCA/edit?usp=sharing"",""บุรีรัมย์!I359"")"),30569.0)</f>
        <v>30569</v>
      </c>
      <c r="J464" s="301">
        <f>IFERROR(__xludf.DUMMYFUNCTION("IMPORTRANGE(""https://docs.google.com/spreadsheets/d/1XL5vhW3sbDhbH9Cz0tuDiY8C3ctxq1tqvaCgkFb8cCA/edit?usp=sharing"",""บุรีรัมย์!J359"")"),0.0)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IFERROR(__xludf.DUMMYFUNCTION("IMPORTRANGE(""https://docs.google.com/spreadsheets/d/1XL5vhW3sbDhbH9Cz0tuDiY8C3ctxq1tqvaCgkFb8cCA/edit?usp=sharing"",""บุรีรัมย์!I360"")"),30569.0)</f>
        <v>30569</v>
      </c>
      <c r="J465" s="453">
        <f>IFERROR(__xludf.DUMMYFUNCTION("IMPORTRANGE(""https://docs.google.com/spreadsheets/d/1XL5vhW3sbDhbH9Cz0tuDiY8C3ctxq1tqvaCgkFb8cCA/edit?usp=sharing"",""บุรีรัมย์!J360"")"),0.0)</f>
        <v>0</v>
      </c>
      <c r="K465" s="236">
        <f t="shared" si="118"/>
        <v>0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IFERROR(__xludf.DUMMYFUNCTION("IMPORTRANGE(""https://docs.google.com/spreadsheets/d/1XL5vhW3sbDhbH9Cz0tuDiY8C3ctxq1tqvaCgkFb8cCA/edit?usp=sharing"",""บุรีรัมย์!I361"")"),5104.0)</f>
        <v>5104</v>
      </c>
      <c r="J466" s="453">
        <f>IFERROR(__xludf.DUMMYFUNCTION("IMPORTRANGE(""https://docs.google.com/spreadsheets/d/1XL5vhW3sbDhbH9Cz0tuDiY8C3ctxq1tqvaCgkFb8cCA/edit?usp=sharing"",""บุรีรัมย์!J361"")"),0.0)</f>
        <v>0</v>
      </c>
      <c r="K466" s="236">
        <f t="shared" si="118"/>
        <v>0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IFERROR(__xludf.DUMMYFUNCTION("IMPORTRANGE(""https://docs.google.com/spreadsheets/d/1XL5vhW3sbDhbH9Cz0tuDiY8C3ctxq1tqvaCgkFb8cCA/edit?usp=sharing"",""บุรีรัมย์!I362"")"),0.0)</f>
        <v>0</v>
      </c>
      <c r="J467" s="223">
        <f>IFERROR(__xludf.DUMMYFUNCTION("IMPORTRANGE(""https://docs.google.com/spreadsheets/d/1XL5vhW3sbDhbH9Cz0tuDiY8C3ctxq1tqvaCgkFb8cCA/edit?usp=sharing"",""บุรีรัมย์!J362"")"),0.0)</f>
        <v>0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IFERROR(__xludf.DUMMYFUNCTION("IMPORTRANGE(""https://docs.google.com/spreadsheets/d/1XL5vhW3sbDhbH9Cz0tuDiY8C3ctxq1tqvaCgkFb8cCA/edit?usp=sharing"",""บุรีรัมย์!I363"")"),0.0)</f>
        <v>0</v>
      </c>
      <c r="J468" s="223">
        <f>IFERROR(__xludf.DUMMYFUNCTION("IMPORTRANGE(""https://docs.google.com/spreadsheets/d/1XL5vhW3sbDhbH9Cz0tuDiY8C3ctxq1tqvaCgkFb8cCA/edit?usp=sharing"",""บุรีรัมย์!J363"")"),0.0)</f>
        <v>0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IFERROR(__xludf.DUMMYFUNCTION("IMPORTRANGE(""https://docs.google.com/spreadsheets/d/1XL5vhW3sbDhbH9Cz0tuDiY8C3ctxq1tqvaCgkFb8cCA/edit?usp=sharing"",""บุรีรัมย์!I364"")"),0.0)</f>
        <v>0</v>
      </c>
      <c r="J469" s="223">
        <f>IFERROR(__xludf.DUMMYFUNCTION("IMPORTRANGE(""https://docs.google.com/spreadsheets/d/1XL5vhW3sbDhbH9Cz0tuDiY8C3ctxq1tqvaCgkFb8cCA/edit?usp=sharing"",""บุรีรัมย์!J364"")"),0.0)</f>
        <v>0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IFERROR(__xludf.DUMMYFUNCTION("IMPORTRANGE(""https://docs.google.com/spreadsheets/d/1XL5vhW3sbDhbH9Cz0tuDiY8C3ctxq1tqvaCgkFb8cCA/edit?usp=sharing"",""บุรีรัมย์!I365"")"),0.0)</f>
        <v>0</v>
      </c>
      <c r="J470" s="223">
        <f>IFERROR(__xludf.DUMMYFUNCTION("IMPORTRANGE(""https://docs.google.com/spreadsheets/d/1XL5vhW3sbDhbH9Cz0tuDiY8C3ctxq1tqvaCgkFb8cCA/edit?usp=sharing"",""บุรีรัมย์!J365"")"),0.0)</f>
        <v>0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IFERROR(__xludf.DUMMYFUNCTION("IMPORTRANGE(""https://docs.google.com/spreadsheets/d/1XL5vhW3sbDhbH9Cz0tuDiY8C3ctxq1tqvaCgkFb8cCA/edit?usp=sharing"",""บุรีรัมย์!I366"")"),0.0)</f>
        <v>0</v>
      </c>
      <c r="J471" s="223">
        <f>IFERROR(__xludf.DUMMYFUNCTION("IMPORTRANGE(""https://docs.google.com/spreadsheets/d/1XL5vhW3sbDhbH9Cz0tuDiY8C3ctxq1tqvaCgkFb8cCA/edit?usp=sharing"",""บุรีรัมย์!J366"")"),0.0)</f>
        <v>0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IFERROR(__xludf.DUMMYFUNCTION("IMPORTRANGE(""https://docs.google.com/spreadsheets/d/1XL5vhW3sbDhbH9Cz0tuDiY8C3ctxq1tqvaCgkFb8cCA/edit?usp=sharing"",""บุรีรัมย์!I367"")"),0.0)</f>
        <v>0</v>
      </c>
      <c r="J472" s="223">
        <f>IFERROR(__xludf.DUMMYFUNCTION("IMPORTRANGE(""https://docs.google.com/spreadsheets/d/1XL5vhW3sbDhbH9Cz0tuDiY8C3ctxq1tqvaCgkFb8cCA/edit?usp=sharing"",""บุรีรัมย์!J367"")"),0.0)</f>
        <v>0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IFERROR(__xludf.DUMMYFUNCTION("IMPORTRANGE(""https://docs.google.com/spreadsheets/d/1XL5vhW3sbDhbH9Cz0tuDiY8C3ctxq1tqvaCgkFb8cCA/edit?usp=sharing"",""บุรีรัมย์!I368"")"),30569.0)</f>
        <v>30569</v>
      </c>
      <c r="J473" s="453">
        <f>IFERROR(__xludf.DUMMYFUNCTION("IMPORTRANGE(""https://docs.google.com/spreadsheets/d/1XL5vhW3sbDhbH9Cz0tuDiY8C3ctxq1tqvaCgkFb8cCA/edit?usp=sharing"",""บุรีรัมย์!J368"")"),0.0)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IFERROR(__xludf.DUMMYFUNCTION("IMPORTRANGE(""https://docs.google.com/spreadsheets/d/1XL5vhW3sbDhbH9Cz0tuDiY8C3ctxq1tqvaCgkFb8cCA/edit?usp=sharing"",""บุรีรัมย์!I369"")"),5104.0)</f>
        <v>5104</v>
      </c>
      <c r="J474" s="453">
        <f>IFERROR(__xludf.DUMMYFUNCTION("IMPORTRANGE(""https://docs.google.com/spreadsheets/d/1XL5vhW3sbDhbH9Cz0tuDiY8C3ctxq1tqvaCgkFb8cCA/edit?usp=sharing"",""บุรีรัมย์!J369"")"),0.0)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IFERROR(__xludf.DUMMYFUNCTION("IMPORTRANGE(""https://docs.google.com/spreadsheets/d/1XL5vhW3sbDhbH9Cz0tuDiY8C3ctxq1tqvaCgkFb8cCA/edit?usp=sharing"",""บุรีรัมย์!I370"")"),0.0)</f>
        <v>0</v>
      </c>
      <c r="J475" s="223">
        <f>IFERROR(__xludf.DUMMYFUNCTION("IMPORTRANGE(""https://docs.google.com/spreadsheets/d/1XL5vhW3sbDhbH9Cz0tuDiY8C3ctxq1tqvaCgkFb8cCA/edit?usp=sharing"",""บุรีรัมย์!J370"")"),0.0)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IFERROR(__xludf.DUMMYFUNCTION("IMPORTRANGE(""https://docs.google.com/spreadsheets/d/1XL5vhW3sbDhbH9Cz0tuDiY8C3ctxq1tqvaCgkFb8cCA/edit?usp=sharing"",""บุรีรัมย์!I371"")"),0.0)</f>
        <v>0</v>
      </c>
      <c r="J476" s="223">
        <f>IFERROR(__xludf.DUMMYFUNCTION("IMPORTRANGE(""https://docs.google.com/spreadsheets/d/1XL5vhW3sbDhbH9Cz0tuDiY8C3ctxq1tqvaCgkFb8cCA/edit?usp=sharing"",""บุรีรัมย์!J371"")"),0.0)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IFERROR(__xludf.DUMMYFUNCTION("IMPORTRANGE(""https://docs.google.com/spreadsheets/d/1XL5vhW3sbDhbH9Cz0tuDiY8C3ctxq1tqvaCgkFb8cCA/edit?usp=sharing"",""บุรีรัมย์!I372"")"),0.0)</f>
        <v>0</v>
      </c>
      <c r="J477" s="223">
        <f>IFERROR(__xludf.DUMMYFUNCTION("IMPORTRANGE(""https://docs.google.com/spreadsheets/d/1XL5vhW3sbDhbH9Cz0tuDiY8C3ctxq1tqvaCgkFb8cCA/edit?usp=sharing"",""บุรีรัมย์!J372"")"),0.0)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IFERROR(__xludf.DUMMYFUNCTION("IMPORTRANGE(""https://docs.google.com/spreadsheets/d/1XL5vhW3sbDhbH9Cz0tuDiY8C3ctxq1tqvaCgkFb8cCA/edit?usp=sharing"",""บุรีรัมย์!I373"")"),0.0)</f>
        <v>0</v>
      </c>
      <c r="J478" s="223">
        <f>IFERROR(__xludf.DUMMYFUNCTION("IMPORTRANGE(""https://docs.google.com/spreadsheets/d/1XL5vhW3sbDhbH9Cz0tuDiY8C3ctxq1tqvaCgkFb8cCA/edit?usp=sharing"",""บุรีรัมย์!J373"")"),0.0)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IFERROR(__xludf.DUMMYFUNCTION("IMPORTRANGE(""https://docs.google.com/spreadsheets/d/1XL5vhW3sbDhbH9Cz0tuDiY8C3ctxq1tqvaCgkFb8cCA/edit?usp=sharing"",""บุรีรัมย์!I374"")"),0.0)</f>
        <v>0</v>
      </c>
      <c r="J479" s="223">
        <f>IFERROR(__xludf.DUMMYFUNCTION("IMPORTRANGE(""https://docs.google.com/spreadsheets/d/1XL5vhW3sbDhbH9Cz0tuDiY8C3ctxq1tqvaCgkFb8cCA/edit?usp=sharing"",""บุรีรัมย์!J374"")"),0.0)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IFERROR(__xludf.DUMMYFUNCTION("IMPORTRANGE(""https://docs.google.com/spreadsheets/d/1XL5vhW3sbDhbH9Cz0tuDiY8C3ctxq1tqvaCgkFb8cCA/edit?usp=sharing"",""บุรีรัมย์!I375"")"),0.0)</f>
        <v>0</v>
      </c>
      <c r="J480" s="223">
        <f>IFERROR(__xludf.DUMMYFUNCTION("IMPORTRANGE(""https://docs.google.com/spreadsheets/d/1XL5vhW3sbDhbH9Cz0tuDiY8C3ctxq1tqvaCgkFb8cCA/edit?usp=sharing"",""บุรีรัมย์!J375"")"),0.0)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IFERROR(__xludf.DUMMYFUNCTION("IMPORTRANGE(""https://docs.google.com/spreadsheets/d/1XL5vhW3sbDhbH9Cz0tuDiY8C3ctxq1tqvaCgkFb8cCA/edit?usp=sharing"",""บุรีรัมย์!I376"")"),30569.0)</f>
        <v>30569</v>
      </c>
      <c r="J481" s="453">
        <f>IFERROR(__xludf.DUMMYFUNCTION("IMPORTRANGE(""https://docs.google.com/spreadsheets/d/1XL5vhW3sbDhbH9Cz0tuDiY8C3ctxq1tqvaCgkFb8cCA/edit?usp=sharing"",""บุรีรัมย์!J376"")"),0.0)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IFERROR(__xludf.DUMMYFUNCTION("IMPORTRANGE(""https://docs.google.com/spreadsheets/d/1XL5vhW3sbDhbH9Cz0tuDiY8C3ctxq1tqvaCgkFb8cCA/edit?usp=sharing"",""บุรีรัมย์!I377"")"),5104.0)</f>
        <v>5104</v>
      </c>
      <c r="J482" s="453">
        <f>IFERROR(__xludf.DUMMYFUNCTION("IMPORTRANGE(""https://docs.google.com/spreadsheets/d/1XL5vhW3sbDhbH9Cz0tuDiY8C3ctxq1tqvaCgkFb8cCA/edit?usp=sharing"",""บุรีรัมย์!J377"")"),0.0)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IFERROR(__xludf.DUMMYFUNCTION("IMPORTRANGE(""https://docs.google.com/spreadsheets/d/1XL5vhW3sbDhbH9Cz0tuDiY8C3ctxq1tqvaCgkFb8cCA/edit?usp=sharing"",""บุรีรัมย์!I378"")"),0.0)</f>
        <v>0</v>
      </c>
      <c r="J483" s="223">
        <f>IFERROR(__xludf.DUMMYFUNCTION("IMPORTRANGE(""https://docs.google.com/spreadsheets/d/1XL5vhW3sbDhbH9Cz0tuDiY8C3ctxq1tqvaCgkFb8cCA/edit?usp=sharing"",""บุรีรัมย์!J378"")"),0.0)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IFERROR(__xludf.DUMMYFUNCTION("IMPORTRANGE(""https://docs.google.com/spreadsheets/d/1XL5vhW3sbDhbH9Cz0tuDiY8C3ctxq1tqvaCgkFb8cCA/edit?usp=sharing"",""บุรีรัมย์!I379"")"),0.0)</f>
        <v>0</v>
      </c>
      <c r="J484" s="223">
        <f>IFERROR(__xludf.DUMMYFUNCTION("IMPORTRANGE(""https://docs.google.com/spreadsheets/d/1XL5vhW3sbDhbH9Cz0tuDiY8C3ctxq1tqvaCgkFb8cCA/edit?usp=sharing"",""บุรีรัมย์!J379"")"),0.0)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IFERROR(__xludf.DUMMYFUNCTION("IMPORTRANGE(""https://docs.google.com/spreadsheets/d/1XL5vhW3sbDhbH9Cz0tuDiY8C3ctxq1tqvaCgkFb8cCA/edit?usp=sharing"",""บุรีรัมย์!I380"")"),0.0)</f>
        <v>0</v>
      </c>
      <c r="J485" s="223">
        <f>IFERROR(__xludf.DUMMYFUNCTION("IMPORTRANGE(""https://docs.google.com/spreadsheets/d/1XL5vhW3sbDhbH9Cz0tuDiY8C3ctxq1tqvaCgkFb8cCA/edit?usp=sharing"",""บุรีรัมย์!J380"")"),0.0)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IFERROR(__xludf.DUMMYFUNCTION("IMPORTRANGE(""https://docs.google.com/spreadsheets/d/1XL5vhW3sbDhbH9Cz0tuDiY8C3ctxq1tqvaCgkFb8cCA/edit?usp=sharing"",""บุรีรัมย์!I381"")"),0.0)</f>
        <v>0</v>
      </c>
      <c r="J486" s="223">
        <f>IFERROR(__xludf.DUMMYFUNCTION("IMPORTRANGE(""https://docs.google.com/spreadsheets/d/1XL5vhW3sbDhbH9Cz0tuDiY8C3ctxq1tqvaCgkFb8cCA/edit?usp=sharing"",""บุรีรัมย์!J381"")"),0.0)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IFERROR(__xludf.DUMMYFUNCTION("IMPORTRANGE(""https://docs.google.com/spreadsheets/d/1XL5vhW3sbDhbH9Cz0tuDiY8C3ctxq1tqvaCgkFb8cCA/edit?usp=sharing"",""บุรีรัมย์!I382"")"),0.0)</f>
        <v>0</v>
      </c>
      <c r="J487" s="453">
        <f>IFERROR(__xludf.DUMMYFUNCTION("IMPORTRANGE(""https://docs.google.com/spreadsheets/d/1XL5vhW3sbDhbH9Cz0tuDiY8C3ctxq1tqvaCgkFb8cCA/edit?usp=sharing"",""บุรีรัมย์!J382"")"),0.0)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IFERROR(__xludf.DUMMYFUNCTION("IMPORTRANGE(""https://docs.google.com/spreadsheets/d/1XL5vhW3sbDhbH9Cz0tuDiY8C3ctxq1tqvaCgkFb8cCA/edit?usp=sharing"",""บุรีรัมย์!I383"")"),0.0)</f>
        <v>0</v>
      </c>
      <c r="J488" s="453">
        <f>IFERROR(__xludf.DUMMYFUNCTION("IMPORTRANGE(""https://docs.google.com/spreadsheets/d/1XL5vhW3sbDhbH9Cz0tuDiY8C3ctxq1tqvaCgkFb8cCA/edit?usp=sharing"",""บุรีรัมย์!J383"")"),0.0)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IFERROR(__xludf.DUMMYFUNCTION("IMPORTRANGE(""https://docs.google.com/spreadsheets/d/1XL5vhW3sbDhbH9Cz0tuDiY8C3ctxq1tqvaCgkFb8cCA/edit?usp=sharing"",""บุรีรัมย์!I384"")"),0.0)</f>
        <v>0</v>
      </c>
      <c r="J489" s="223">
        <f>IFERROR(__xludf.DUMMYFUNCTION("IMPORTRANGE(""https://docs.google.com/spreadsheets/d/1XL5vhW3sbDhbH9Cz0tuDiY8C3ctxq1tqvaCgkFb8cCA/edit?usp=sharing"",""บุรีรัมย์!J384"")"),0.0)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IFERROR(__xludf.DUMMYFUNCTION("IMPORTRANGE(""https://docs.google.com/spreadsheets/d/1XL5vhW3sbDhbH9Cz0tuDiY8C3ctxq1tqvaCgkFb8cCA/edit?usp=sharing"",""บุรีรัมย์!I385"")"),0.0)</f>
        <v>0</v>
      </c>
      <c r="J490" s="223">
        <f>IFERROR(__xludf.DUMMYFUNCTION("IMPORTRANGE(""https://docs.google.com/spreadsheets/d/1XL5vhW3sbDhbH9Cz0tuDiY8C3ctxq1tqvaCgkFb8cCA/edit?usp=sharing"",""บุรีรัมย์!J385"")"),0.0)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IFERROR(__xludf.DUMMYFUNCTION("IMPORTRANGE(""https://docs.google.com/spreadsheets/d/1XL5vhW3sbDhbH9Cz0tuDiY8C3ctxq1tqvaCgkFb8cCA/edit?usp=sharing"",""บุรีรัมย์!I386"")"),0.0)</f>
        <v>0</v>
      </c>
      <c r="J491" s="223">
        <f>IFERROR(__xludf.DUMMYFUNCTION("IMPORTRANGE(""https://docs.google.com/spreadsheets/d/1XL5vhW3sbDhbH9Cz0tuDiY8C3ctxq1tqvaCgkFb8cCA/edit?usp=sharing"",""บุรีรัมย์!J386"")"),0.0)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IFERROR(__xludf.DUMMYFUNCTION("IMPORTRANGE(""https://docs.google.com/spreadsheets/d/1XL5vhW3sbDhbH9Cz0tuDiY8C3ctxq1tqvaCgkFb8cCA/edit?usp=sharing"",""บุรีรัมย์!I387"")"),0.0)</f>
        <v>0</v>
      </c>
      <c r="J492" s="223">
        <f>IFERROR(__xludf.DUMMYFUNCTION("IMPORTRANGE(""https://docs.google.com/spreadsheets/d/1XL5vhW3sbDhbH9Cz0tuDiY8C3ctxq1tqvaCgkFb8cCA/edit?usp=sharing"",""บุรีรัมย์!J387"")"),0.0)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IFERROR(__xludf.DUMMYFUNCTION("IMPORTRANGE(""https://docs.google.com/spreadsheets/d/1XL5vhW3sbDhbH9Cz0tuDiY8C3ctxq1tqvaCgkFb8cCA/edit?usp=sharing"",""บุรีรัมย์!I388"")"),0.0)</f>
        <v>0</v>
      </c>
      <c r="J493" s="223">
        <f>IFERROR(__xludf.DUMMYFUNCTION("IMPORTRANGE(""https://docs.google.com/spreadsheets/d/1XL5vhW3sbDhbH9Cz0tuDiY8C3ctxq1tqvaCgkFb8cCA/edit?usp=sharing"",""บุรีรัมย์!J388"")"),0.0)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IFERROR(__xludf.DUMMYFUNCTION("IMPORTRANGE(""https://docs.google.com/spreadsheets/d/1XL5vhW3sbDhbH9Cz0tuDiY8C3ctxq1tqvaCgkFb8cCA/edit?usp=sharing"",""บุรีรัมย์!I389"")"),0.0)</f>
        <v>0</v>
      </c>
      <c r="J494" s="469">
        <f>IFERROR(__xludf.DUMMYFUNCTION("IMPORTRANGE(""https://docs.google.com/spreadsheets/d/1XL5vhW3sbDhbH9Cz0tuDiY8C3ctxq1tqvaCgkFb8cCA/edit?usp=sharing"",""บุรีรัมย์!J389"")"),0.0)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IFERROR(__xludf.DUMMYFUNCTION("IMPORTRANGE(""https://docs.google.com/spreadsheets/d/1XL5vhW3sbDhbH9Cz0tuDiY8C3ctxq1tqvaCgkFb8cCA/edit?usp=sharing"",""บุรีรัมย์!I390"")"),0.0)</f>
        <v>0</v>
      </c>
      <c r="J495" s="469">
        <f>IFERROR(__xludf.DUMMYFUNCTION("IMPORTRANGE(""https://docs.google.com/spreadsheets/d/1XL5vhW3sbDhbH9Cz0tuDiY8C3ctxq1tqvaCgkFb8cCA/edit?usp=sharing"",""บุรีรัมย์!J390"")"),0.0)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IFERROR(__xludf.DUMMYFUNCTION("IMPORTRANGE(""https://docs.google.com/spreadsheets/d/1XL5vhW3sbDhbH9Cz0tuDiY8C3ctxq1tqvaCgkFb8cCA/edit?usp=sharing"",""บุรีรัมย์!I391"")"),0.0)</f>
        <v>0</v>
      </c>
      <c r="J496" s="469">
        <f>IFERROR(__xludf.DUMMYFUNCTION("IMPORTRANGE(""https://docs.google.com/spreadsheets/d/1XL5vhW3sbDhbH9Cz0tuDiY8C3ctxq1tqvaCgkFb8cCA/edit?usp=sharing"",""บุรีรัมย์!J391"")"),0.0)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IFERROR(__xludf.DUMMYFUNCTION("IMPORTRANGE(""https://docs.google.com/spreadsheets/d/1XL5vhW3sbDhbH9Cz0tuDiY8C3ctxq1tqvaCgkFb8cCA/edit?usp=sharing"",""บุรีรัมย์!I392"")"),29544.0)</f>
        <v>29544</v>
      </c>
      <c r="J497" s="476">
        <f>IFERROR(__xludf.DUMMYFUNCTION("IMPORTRANGE(""https://docs.google.com/spreadsheets/d/1XL5vhW3sbDhbH9Cz0tuDiY8C3ctxq1tqvaCgkFb8cCA/edit?usp=sharing"",""บุรีรัมย์!J392"")"),0.0)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IFERROR(__xludf.DUMMYFUNCTION("IMPORTRANGE(""https://docs.google.com/spreadsheets/d/1XL5vhW3sbDhbH9Cz0tuDiY8C3ctxq1tqvaCgkFb8cCA/edit?usp=sharing"",""บุรีรัมย์!I393"")"),29544.0)</f>
        <v>29544</v>
      </c>
      <c r="J498" s="453">
        <f>IFERROR(__xludf.DUMMYFUNCTION("IMPORTRANGE(""https://docs.google.com/spreadsheets/d/1XL5vhW3sbDhbH9Cz0tuDiY8C3ctxq1tqvaCgkFb8cCA/edit?usp=sharing"",""บุรีรัมย์!J393"")"),0.0)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IFERROR(__xludf.DUMMYFUNCTION("IMPORTRANGE(""https://docs.google.com/spreadsheets/d/1XL5vhW3sbDhbH9Cz0tuDiY8C3ctxq1tqvaCgkFb8cCA/edit?usp=sharing"",""บุรีรัมย์!I394"")"),3024.0)</f>
        <v>3024</v>
      </c>
      <c r="J499" s="453">
        <f>IFERROR(__xludf.DUMMYFUNCTION("IMPORTRANGE(""https://docs.google.com/spreadsheets/d/1XL5vhW3sbDhbH9Cz0tuDiY8C3ctxq1tqvaCgkFb8cCA/edit?usp=sharing"",""บุรีรัมย์!J394"")"),0.0)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IFERROR(__xludf.DUMMYFUNCTION("IMPORTRANGE(""https://docs.google.com/spreadsheets/d/1XL5vhW3sbDhbH9Cz0tuDiY8C3ctxq1tqvaCgkFb8cCA/edit?usp=sharing"",""บุรีรัมย์!I395"")"),0.0)</f>
        <v>0</v>
      </c>
      <c r="J500" s="195">
        <f>IFERROR(__xludf.DUMMYFUNCTION("IMPORTRANGE(""https://docs.google.com/spreadsheets/d/1XL5vhW3sbDhbH9Cz0tuDiY8C3ctxq1tqvaCgkFb8cCA/edit?usp=sharing"",""บุรีรัมย์!J395"")"),0.0)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IFERROR(__xludf.DUMMYFUNCTION("IMPORTRANGE(""https://docs.google.com/spreadsheets/d/1XL5vhW3sbDhbH9Cz0tuDiY8C3ctxq1tqvaCgkFb8cCA/edit?usp=sharing"",""บุรีรัมย์!I396"")"),0.0)</f>
        <v>0</v>
      </c>
      <c r="J501" s="195">
        <f>IFERROR(__xludf.DUMMYFUNCTION("IMPORTRANGE(""https://docs.google.com/spreadsheets/d/1XL5vhW3sbDhbH9Cz0tuDiY8C3ctxq1tqvaCgkFb8cCA/edit?usp=sharing"",""บุรีรัมย์!J396"")"),0.0)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IFERROR(__xludf.DUMMYFUNCTION("IMPORTRANGE(""https://docs.google.com/spreadsheets/d/1XL5vhW3sbDhbH9Cz0tuDiY8C3ctxq1tqvaCgkFb8cCA/edit?usp=sharing"",""บุรีรัมย์!I397"")"),0.0)</f>
        <v>0</v>
      </c>
      <c r="J502" s="223">
        <f>IFERROR(__xludf.DUMMYFUNCTION("IMPORTRANGE(""https://docs.google.com/spreadsheets/d/1XL5vhW3sbDhbH9Cz0tuDiY8C3ctxq1tqvaCgkFb8cCA/edit?usp=sharing"",""บุรีรัมย์!J397"")"),0.0)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IFERROR(__xludf.DUMMYFUNCTION("IMPORTRANGE(""https://docs.google.com/spreadsheets/d/1XL5vhW3sbDhbH9Cz0tuDiY8C3ctxq1tqvaCgkFb8cCA/edit?usp=sharing"",""บุรีรัมย์!I398"")"),0.0)</f>
        <v>0</v>
      </c>
      <c r="J503" s="232">
        <f>IFERROR(__xludf.DUMMYFUNCTION("IMPORTRANGE(""https://docs.google.com/spreadsheets/d/1XL5vhW3sbDhbH9Cz0tuDiY8C3ctxq1tqvaCgkFb8cCA/edit?usp=sharing"",""บุรีรัมย์!J398"")"),0.0)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IFERROR(__xludf.DUMMYFUNCTION("IMPORTRANGE(""https://docs.google.com/spreadsheets/d/1XL5vhW3sbDhbH9Cz0tuDiY8C3ctxq1tqvaCgkFb8cCA/edit?usp=sharing"",""บุรีรัมย์!I399"")"),0.0)</f>
        <v>0</v>
      </c>
      <c r="J504" s="223">
        <f>IFERROR(__xludf.DUMMYFUNCTION("IMPORTRANGE(""https://docs.google.com/spreadsheets/d/1XL5vhW3sbDhbH9Cz0tuDiY8C3ctxq1tqvaCgkFb8cCA/edit?usp=sharing"",""บุรีรัมย์!J399"")"),0.0)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IFERROR(__xludf.DUMMYFUNCTION("IMPORTRANGE(""https://docs.google.com/spreadsheets/d/1XL5vhW3sbDhbH9Cz0tuDiY8C3ctxq1tqvaCgkFb8cCA/edit?usp=sharing"",""บุรีรัมย์!I400"")"),0.0)</f>
        <v>0</v>
      </c>
      <c r="J505" s="232">
        <f>IFERROR(__xludf.DUMMYFUNCTION("IMPORTRANGE(""https://docs.google.com/spreadsheets/d/1XL5vhW3sbDhbH9Cz0tuDiY8C3ctxq1tqvaCgkFb8cCA/edit?usp=sharing"",""บุรีรัมย์!J400"")"),0.0)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IFERROR(__xludf.DUMMYFUNCTION("IMPORTRANGE(""https://docs.google.com/spreadsheets/d/1XL5vhW3sbDhbH9Cz0tuDiY8C3ctxq1tqvaCgkFb8cCA/edit?usp=sharing"",""บุรีรัมย์!I401"")"),0.0)</f>
        <v>0</v>
      </c>
      <c r="J506" s="223">
        <f>IFERROR(__xludf.DUMMYFUNCTION("IMPORTRANGE(""https://docs.google.com/spreadsheets/d/1XL5vhW3sbDhbH9Cz0tuDiY8C3ctxq1tqvaCgkFb8cCA/edit?usp=sharing"",""บุรีรัมย์!J401"")"),0.0)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IFERROR(__xludf.DUMMYFUNCTION("IMPORTRANGE(""https://docs.google.com/spreadsheets/d/1XL5vhW3sbDhbH9Cz0tuDiY8C3ctxq1tqvaCgkFb8cCA/edit?usp=sharing"",""บุรีรัมย์!I402"")"),0.0)</f>
        <v>0</v>
      </c>
      <c r="J507" s="232">
        <f>IFERROR(__xludf.DUMMYFUNCTION("IMPORTRANGE(""https://docs.google.com/spreadsheets/d/1XL5vhW3sbDhbH9Cz0tuDiY8C3ctxq1tqvaCgkFb8cCA/edit?usp=sharing"",""บุรีรัมย์!J402"")"),0.0)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IFERROR(__xludf.DUMMYFUNCTION("IMPORTRANGE(""https://docs.google.com/spreadsheets/d/1XL5vhW3sbDhbH9Cz0tuDiY8C3ctxq1tqvaCgkFb8cCA/edit?usp=sharing"",""บุรีรัมย์!I403"")"),0.0)</f>
        <v>0</v>
      </c>
      <c r="J508" s="195">
        <f>IFERROR(__xludf.DUMMYFUNCTION("IMPORTRANGE(""https://docs.google.com/spreadsheets/d/1XL5vhW3sbDhbH9Cz0tuDiY8C3ctxq1tqvaCgkFb8cCA/edit?usp=sharing"",""บุรีรัมย์!J403"")"),0.0)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IFERROR(__xludf.DUMMYFUNCTION("IMPORTRANGE(""https://docs.google.com/spreadsheets/d/1XL5vhW3sbDhbH9Cz0tuDiY8C3ctxq1tqvaCgkFb8cCA/edit?usp=sharing"",""บุรีรัมย์!I404"")"),0.0)</f>
        <v>0</v>
      </c>
      <c r="J509" s="195">
        <f>IFERROR(__xludf.DUMMYFUNCTION("IMPORTRANGE(""https://docs.google.com/spreadsheets/d/1XL5vhW3sbDhbH9Cz0tuDiY8C3ctxq1tqvaCgkFb8cCA/edit?usp=sharing"",""บุรีรัมย์!J404"")"),0.0)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IFERROR(__xludf.DUMMYFUNCTION("IMPORTRANGE(""https://docs.google.com/spreadsheets/d/1XL5vhW3sbDhbH9Cz0tuDiY8C3ctxq1tqvaCgkFb8cCA/edit?usp=sharing"",""บุรีรัมย์!I405"")"),0.0)</f>
        <v>0</v>
      </c>
      <c r="J510" s="232">
        <f>IFERROR(__xludf.DUMMYFUNCTION("IMPORTRANGE(""https://docs.google.com/spreadsheets/d/1XL5vhW3sbDhbH9Cz0tuDiY8C3ctxq1tqvaCgkFb8cCA/edit?usp=sharing"",""บุรีรัมย์!J405"")"),0.0)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IFERROR(__xludf.DUMMYFUNCTION("IMPORTRANGE(""https://docs.google.com/spreadsheets/d/1XL5vhW3sbDhbH9Cz0tuDiY8C3ctxq1tqvaCgkFb8cCA/edit?usp=sharing"",""บุรีรัมย์!I406"")"),0.0)</f>
        <v>0</v>
      </c>
      <c r="J511" s="232">
        <f>IFERROR(__xludf.DUMMYFUNCTION("IMPORTRANGE(""https://docs.google.com/spreadsheets/d/1XL5vhW3sbDhbH9Cz0tuDiY8C3ctxq1tqvaCgkFb8cCA/edit?usp=sharing"",""บุรีรัมย์!J406"")"),0.0)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IFERROR(__xludf.DUMMYFUNCTION("IMPORTRANGE(""https://docs.google.com/spreadsheets/d/1XL5vhW3sbDhbH9Cz0tuDiY8C3ctxq1tqvaCgkFb8cCA/edit?usp=sharing"",""บุรีรัมย์!I407"")"),0.0)</f>
        <v>0</v>
      </c>
      <c r="J512" s="232">
        <f>IFERROR(__xludf.DUMMYFUNCTION("IMPORTRANGE(""https://docs.google.com/spreadsheets/d/1XL5vhW3sbDhbH9Cz0tuDiY8C3ctxq1tqvaCgkFb8cCA/edit?usp=sharing"",""บุรีรัมย์!J407"")"),0.0)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IFERROR(__xludf.DUMMYFUNCTION("IMPORTRANGE(""https://docs.google.com/spreadsheets/d/1XL5vhW3sbDhbH9Cz0tuDiY8C3ctxq1tqvaCgkFb8cCA/edit?usp=sharing"",""บุรีรัมย์!I408"")"),0.0)</f>
        <v>0</v>
      </c>
      <c r="J513" s="232">
        <f>IFERROR(__xludf.DUMMYFUNCTION("IMPORTRANGE(""https://docs.google.com/spreadsheets/d/1XL5vhW3sbDhbH9Cz0tuDiY8C3ctxq1tqvaCgkFb8cCA/edit?usp=sharing"",""บุรีรัมย์!J408"")"),0.0)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IFERROR(__xludf.DUMMYFUNCTION("IMPORTRANGE(""https://docs.google.com/spreadsheets/d/1XL5vhW3sbDhbH9Cz0tuDiY8C3ctxq1tqvaCgkFb8cCA/edit?usp=sharing"",""บุรีรัมย์!I409"")"),0.0)</f>
        <v>0</v>
      </c>
      <c r="J514" s="232">
        <f>IFERROR(__xludf.DUMMYFUNCTION("IMPORTRANGE(""https://docs.google.com/spreadsheets/d/1XL5vhW3sbDhbH9Cz0tuDiY8C3ctxq1tqvaCgkFb8cCA/edit?usp=sharing"",""บุรีรัมย์!J409"")"),0.0)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IFERROR(__xludf.DUMMYFUNCTION("IMPORTRANGE(""https://docs.google.com/spreadsheets/d/1XL5vhW3sbDhbH9Cz0tuDiY8C3ctxq1tqvaCgkFb8cCA/edit?usp=sharing"",""บุรีรัมย์!I410"")"),0.0)</f>
        <v>0</v>
      </c>
      <c r="J515" s="232">
        <f>IFERROR(__xludf.DUMMYFUNCTION("IMPORTRANGE(""https://docs.google.com/spreadsheets/d/1XL5vhW3sbDhbH9Cz0tuDiY8C3ctxq1tqvaCgkFb8cCA/edit?usp=sharing"",""บุรีรัมย์!J410"")"),0.0)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IFERROR(__xludf.DUMMYFUNCTION("IMPORTRANGE(""https://docs.google.com/spreadsheets/d/1XL5vhW3sbDhbH9Cz0tuDiY8C3ctxq1tqvaCgkFb8cCA/edit?usp=sharing"",""บุรีรัมย์!I411"")"),0.0)</f>
        <v>0</v>
      </c>
      <c r="J516" s="301">
        <f>IFERROR(__xludf.DUMMYFUNCTION("IMPORTRANGE(""https://docs.google.com/spreadsheets/d/1XL5vhW3sbDhbH9Cz0tuDiY8C3ctxq1tqvaCgkFb8cCA/edit?usp=sharing"",""บุรีรัมย์!J411"")"),0.0)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IFERROR(__xludf.DUMMYFUNCTION("IMPORTRANGE(""https://docs.google.com/spreadsheets/d/1XL5vhW3sbDhbH9Cz0tuDiY8C3ctxq1tqvaCgkFb8cCA/edit?usp=sharing"",""บุรีรัมย์!I412"")"),0.0)</f>
        <v>0</v>
      </c>
      <c r="J517" s="317">
        <f>IFERROR(__xludf.DUMMYFUNCTION("IMPORTRANGE(""https://docs.google.com/spreadsheets/d/1XL5vhW3sbDhbH9Cz0tuDiY8C3ctxq1tqvaCgkFb8cCA/edit?usp=sharing"",""บุรีรัมย์!J412"")"),0.0)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IFERROR(__xludf.DUMMYFUNCTION("IMPORTRANGE(""https://docs.google.com/spreadsheets/d/1XL5vhW3sbDhbH9Cz0tuDiY8C3ctxq1tqvaCgkFb8cCA/edit?usp=sharing"",""บุรีรัมย์!I413"")"),0.0)</f>
        <v>0</v>
      </c>
      <c r="J518" s="317">
        <f>IFERROR(__xludf.DUMMYFUNCTION("IMPORTRANGE(""https://docs.google.com/spreadsheets/d/1XL5vhW3sbDhbH9Cz0tuDiY8C3ctxq1tqvaCgkFb8cCA/edit?usp=sharing"",""บุรีรัมย์!J413"")"),0.0)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IFERROR(__xludf.DUMMYFUNCTION("IMPORTRANGE(""https://docs.google.com/spreadsheets/d/1XL5vhW3sbDhbH9Cz0tuDiY8C3ctxq1tqvaCgkFb8cCA/edit?usp=sharing"",""บุรีรัมย์!I414"")"),0.0)</f>
        <v>0</v>
      </c>
      <c r="J519" s="222">
        <f>IFERROR(__xludf.DUMMYFUNCTION("IMPORTRANGE(""https://docs.google.com/spreadsheets/d/1XL5vhW3sbDhbH9Cz0tuDiY8C3ctxq1tqvaCgkFb8cCA/edit?usp=sharing"",""บุรีรัมย์!J414"")"),0.0)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IFERROR(__xludf.DUMMYFUNCTION("IMPORTRANGE(""https://docs.google.com/spreadsheets/d/1XL5vhW3sbDhbH9Cz0tuDiY8C3ctxq1tqvaCgkFb8cCA/edit?usp=sharing"",""บุรีรัมย์!I415"")"),0.0)</f>
        <v>0</v>
      </c>
      <c r="J520" s="222">
        <f>IFERROR(__xludf.DUMMYFUNCTION("IMPORTRANGE(""https://docs.google.com/spreadsheets/d/1XL5vhW3sbDhbH9Cz0tuDiY8C3ctxq1tqvaCgkFb8cCA/edit?usp=sharing"",""บุรีรัมย์!J415"")"),0.0)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IFERROR(__xludf.DUMMYFUNCTION("IMPORTRANGE(""https://docs.google.com/spreadsheets/d/1XL5vhW3sbDhbH9Cz0tuDiY8C3ctxq1tqvaCgkFb8cCA/edit?usp=sharing"",""บุรีรัมย์!I416"")"),0.0)</f>
        <v>0</v>
      </c>
      <c r="J521" s="222">
        <f>IFERROR(__xludf.DUMMYFUNCTION("IMPORTRANGE(""https://docs.google.com/spreadsheets/d/1XL5vhW3sbDhbH9Cz0tuDiY8C3ctxq1tqvaCgkFb8cCA/edit?usp=sharing"",""บุรีรัมย์!J416"")"),0.0)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IFERROR(__xludf.DUMMYFUNCTION("IMPORTRANGE(""https://docs.google.com/spreadsheets/d/1XL5vhW3sbDhbH9Cz0tuDiY8C3ctxq1tqvaCgkFb8cCA/edit?usp=sharing"",""บุรีรัมย์!I417"")"),0.0)</f>
        <v>0</v>
      </c>
      <c r="J522" s="222">
        <f>IFERROR(__xludf.DUMMYFUNCTION("IMPORTRANGE(""https://docs.google.com/spreadsheets/d/1XL5vhW3sbDhbH9Cz0tuDiY8C3ctxq1tqvaCgkFb8cCA/edit?usp=sharing"",""บุรีรัมย์!J417"")"),0.0)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IFERROR(__xludf.DUMMYFUNCTION("IMPORTRANGE(""https://docs.google.com/spreadsheets/d/1XL5vhW3sbDhbH9Cz0tuDiY8C3ctxq1tqvaCgkFb8cCA/edit?usp=sharing"",""บุรีรัมย์!I418"")"),0.0)</f>
        <v>0</v>
      </c>
      <c r="J523" s="222">
        <f>IFERROR(__xludf.DUMMYFUNCTION("IMPORTRANGE(""https://docs.google.com/spreadsheets/d/1XL5vhW3sbDhbH9Cz0tuDiY8C3ctxq1tqvaCgkFb8cCA/edit?usp=sharing"",""บุรีรัมย์!J418"")"),0.0)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IFERROR(__xludf.DUMMYFUNCTION("IMPORTRANGE(""https://docs.google.com/spreadsheets/d/1XL5vhW3sbDhbH9Cz0tuDiY8C3ctxq1tqvaCgkFb8cCA/edit?usp=sharing"",""บุรีรัมย์!I419"")"),0.0)</f>
        <v>0</v>
      </c>
      <c r="J524" s="222">
        <f>IFERROR(__xludf.DUMMYFUNCTION("IMPORTRANGE(""https://docs.google.com/spreadsheets/d/1XL5vhW3sbDhbH9Cz0tuDiY8C3ctxq1tqvaCgkFb8cCA/edit?usp=sharing"",""บุรีรัมย์!J419"")"),0.0)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IFERROR(__xludf.DUMMYFUNCTION("IMPORTRANGE(""https://docs.google.com/spreadsheets/d/1XL5vhW3sbDhbH9Cz0tuDiY8C3ctxq1tqvaCgkFb8cCA/edit?usp=sharing"",""บุรีรัมย์!I420"")"),0.0)</f>
        <v>0</v>
      </c>
      <c r="J525" s="317">
        <f>IFERROR(__xludf.DUMMYFUNCTION("IMPORTRANGE(""https://docs.google.com/spreadsheets/d/1XL5vhW3sbDhbH9Cz0tuDiY8C3ctxq1tqvaCgkFb8cCA/edit?usp=sharing"",""บุรีรัมย์!J420"")"),0.0)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IFERROR(__xludf.DUMMYFUNCTION("IMPORTRANGE(""https://docs.google.com/spreadsheets/d/1XL5vhW3sbDhbH9Cz0tuDiY8C3ctxq1tqvaCgkFb8cCA/edit?usp=sharing"",""บุรีรัมย์!I421"")"),0.0)</f>
        <v>0</v>
      </c>
      <c r="J526" s="317">
        <f>IFERROR(__xludf.DUMMYFUNCTION("IMPORTRANGE(""https://docs.google.com/spreadsheets/d/1XL5vhW3sbDhbH9Cz0tuDiY8C3ctxq1tqvaCgkFb8cCA/edit?usp=sharing"",""บุรีรัมย์!J421"")"),0.0)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IFERROR(__xludf.DUMMYFUNCTION("IMPORTRANGE(""https://docs.google.com/spreadsheets/d/1XL5vhW3sbDhbH9Cz0tuDiY8C3ctxq1tqvaCgkFb8cCA/edit?usp=sharing"",""บุรีรัมย์!I422"")"),0.0)</f>
        <v>0</v>
      </c>
      <c r="J527" s="232">
        <f>IFERROR(__xludf.DUMMYFUNCTION("IMPORTRANGE(""https://docs.google.com/spreadsheets/d/1XL5vhW3sbDhbH9Cz0tuDiY8C3ctxq1tqvaCgkFb8cCA/edit?usp=sharing"",""บุรีรัมย์!J422"")"),0.0)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IFERROR(__xludf.DUMMYFUNCTION("IMPORTRANGE(""https://docs.google.com/spreadsheets/d/1XL5vhW3sbDhbH9Cz0tuDiY8C3ctxq1tqvaCgkFb8cCA/edit?usp=sharing"",""บุรีรัมย์!I423"")"),0.0)</f>
        <v>0</v>
      </c>
      <c r="J528" s="232">
        <f>IFERROR(__xludf.DUMMYFUNCTION("IMPORTRANGE(""https://docs.google.com/spreadsheets/d/1XL5vhW3sbDhbH9Cz0tuDiY8C3ctxq1tqvaCgkFb8cCA/edit?usp=sharing"",""บุรีรัมย์!J423"")"),0.0)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IFERROR(__xludf.DUMMYFUNCTION("IMPORTRANGE(""https://docs.google.com/spreadsheets/d/1XL5vhW3sbDhbH9Cz0tuDiY8C3ctxq1tqvaCgkFb8cCA/edit?usp=sharing"",""บุรีรัมย์!I424"")"),0.0)</f>
        <v>0</v>
      </c>
      <c r="J529" s="232">
        <f>IFERROR(__xludf.DUMMYFUNCTION("IMPORTRANGE(""https://docs.google.com/spreadsheets/d/1XL5vhW3sbDhbH9Cz0tuDiY8C3ctxq1tqvaCgkFb8cCA/edit?usp=sharing"",""บุรีรัมย์!J424"")"),0.0)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IFERROR(__xludf.DUMMYFUNCTION("IMPORTRANGE(""https://docs.google.com/spreadsheets/d/1XL5vhW3sbDhbH9Cz0tuDiY8C3ctxq1tqvaCgkFb8cCA/edit?usp=sharing"",""บุรีรัมย์!I425"")"),0.0)</f>
        <v>0</v>
      </c>
      <c r="J530" s="232">
        <f>IFERROR(__xludf.DUMMYFUNCTION("IMPORTRANGE(""https://docs.google.com/spreadsheets/d/1XL5vhW3sbDhbH9Cz0tuDiY8C3ctxq1tqvaCgkFb8cCA/edit?usp=sharing"",""บุรีรัมย์!J425"")"),0.0)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IFERROR(__xludf.DUMMYFUNCTION("IMPORTRANGE(""https://docs.google.com/spreadsheets/d/1XL5vhW3sbDhbH9Cz0tuDiY8C3ctxq1tqvaCgkFb8cCA/edit?usp=sharing"",""บุรีรัมย์!I426"")"),0.0)</f>
        <v>0</v>
      </c>
      <c r="J531" s="232">
        <f>IFERROR(__xludf.DUMMYFUNCTION("IMPORTRANGE(""https://docs.google.com/spreadsheets/d/1XL5vhW3sbDhbH9Cz0tuDiY8C3ctxq1tqvaCgkFb8cCA/edit?usp=sharing"",""บุรีรัมย์!J426"")"),0.0)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IFERROR(__xludf.DUMMYFUNCTION("IMPORTRANGE(""https://docs.google.com/spreadsheets/d/1XL5vhW3sbDhbH9Cz0tuDiY8C3ctxq1tqvaCgkFb8cCA/edit?usp=sharing"",""บุรีรัมย์!I427"")"),0.0)</f>
        <v>0</v>
      </c>
      <c r="J532" s="499">
        <f>IFERROR(__xludf.DUMMYFUNCTION("IMPORTRANGE(""https://docs.google.com/spreadsheets/d/1XL5vhW3sbDhbH9Cz0tuDiY8C3ctxq1tqvaCgkFb8cCA/edit?usp=sharing"",""บุรีรัมย์!J427"")"),0.0)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IFERROR(__xludf.DUMMYFUNCTION("IMPORTRANGE(""https://docs.google.com/spreadsheets/d/1XL5vhW3sbDhbH9Cz0tuDiY8C3ctxq1tqvaCgkFb8cCA/edit?usp=sharing"",""บุรีรัมย์!I428"")"),22.0)</f>
        <v>22</v>
      </c>
      <c r="J533" s="443">
        <f>IFERROR(__xludf.DUMMYFUNCTION("IMPORTRANGE(""https://docs.google.com/spreadsheets/d/1XL5vhW3sbDhbH9Cz0tuDiY8C3ctxq1tqvaCgkFb8cCA/edit?usp=sharing"",""บุรีรัมย์!J428"")"),22.0)</f>
        <v>22</v>
      </c>
      <c r="K533" s="444">
        <f>IF(I533&gt;0,J533*100/I533,0)</f>
        <v>100</v>
      </c>
      <c r="L533" s="445">
        <f>IFERROR(__xludf.DUMMYFUNCTION("IMPORTRANGE(""https://docs.google.com/spreadsheets/d/1XL5vhW3sbDhbH9Cz0tuDiY8C3ctxq1tqvaCgkFb8cCA/edit?usp=sharing"",""บุรีรัมย์!L428"")"),34340.0)</f>
        <v>34340</v>
      </c>
      <c r="M533" s="445"/>
      <c r="N533" s="445">
        <f>IFERROR(__xludf.DUMMYFUNCTION("IMPORTRANGE(""https://docs.google.com/spreadsheets/d/1XL5vhW3sbDhbH9Cz0tuDiY8C3ctxq1tqvaCgkFb8cCA/edit?usp=sharing"",""บุรีรัมย์!M428"")"),20300.0)</f>
        <v>20300</v>
      </c>
      <c r="O533" s="445">
        <f t="shared" ref="O533:O537" si="119">+IF(L533&gt;0,N533*100/L533,0)</f>
        <v>59.114735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IFERROR(__xludf.DUMMYFUNCTION("IMPORTRANGE(""https://docs.google.com/spreadsheets/d/1XL5vhW3sbDhbH9Cz0tuDiY8C3ctxq1tqvaCgkFb8cCA/edit?usp=sharing"",""บุรีรัมย์!L429"")"),0.0)</f>
        <v>0</v>
      </c>
      <c r="M534" s="197"/>
      <c r="N534" s="203">
        <f>IFERROR(__xludf.DUMMYFUNCTION("IMPORTRANGE(""https://docs.google.com/spreadsheets/d/1XL5vhW3sbDhbH9Cz0tuDiY8C3ctxq1tqvaCgkFb8cCA/edit?usp=sharing"",""บุรีรัมย์!M429"")"),0.0)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IFERROR(__xludf.DUMMYFUNCTION("IMPORTRANGE(""https://docs.google.com/spreadsheets/d/1XL5vhW3sbDhbH9Cz0tuDiY8C3ctxq1tqvaCgkFb8cCA/edit?usp=sharing"",""บุรีรัมย์!L430"")"),34340.0)</f>
        <v>34340</v>
      </c>
      <c r="M535" s="198"/>
      <c r="N535" s="203">
        <f>IFERROR(__xludf.DUMMYFUNCTION("IMPORTRANGE(""https://docs.google.com/spreadsheets/d/1XL5vhW3sbDhbH9Cz0tuDiY8C3ctxq1tqvaCgkFb8cCA/edit?usp=sharing"",""บุรีรัมย์!M430"")"),20300.0)</f>
        <v>20300</v>
      </c>
      <c r="O535" s="203">
        <f t="shared" si="119"/>
        <v>59.114735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IFERROR(__xludf.DUMMYFUNCTION("IMPORTRANGE(""https://docs.google.com/spreadsheets/d/1XL5vhW3sbDhbH9Cz0tuDiY8C3ctxq1tqvaCgkFb8cCA/edit?usp=sharing"",""บุรีรัมย์!L431"")"),0.0)</f>
        <v>0</v>
      </c>
      <c r="M536" s="203"/>
      <c r="N536" s="203">
        <f>IFERROR(__xludf.DUMMYFUNCTION("IMPORTRANGE(""https://docs.google.com/spreadsheets/d/1XL5vhW3sbDhbH9Cz0tuDiY8C3ctxq1tqvaCgkFb8cCA/edit?usp=sharing"",""บุรีรัมย์!M431"")"),0.0)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IFERROR(__xludf.DUMMYFUNCTION("IMPORTRANGE(""https://docs.google.com/spreadsheets/d/1XL5vhW3sbDhbH9Cz0tuDiY8C3ctxq1tqvaCgkFb8cCA/edit?usp=sharing"",""บุรีรัมย์!L432"")"),34340.0)</f>
        <v>34340</v>
      </c>
      <c r="M537" s="203"/>
      <c r="N537" s="203">
        <f>IFERROR(__xludf.DUMMYFUNCTION("IMPORTRANGE(""https://docs.google.com/spreadsheets/d/1XL5vhW3sbDhbH9Cz0tuDiY8C3ctxq1tqvaCgkFb8cCA/edit?usp=sharing"",""บุรีรัมย์!M432"")"),20300.0)</f>
        <v>20300</v>
      </c>
      <c r="O537" s="203">
        <f t="shared" si="119"/>
        <v>59.114735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IFERROR(__xludf.DUMMYFUNCTION("IMPORTRANGE(""https://docs.google.com/spreadsheets/d/1XL5vhW3sbDhbH9Cz0tuDiY8C3ctxq1tqvaCgkFb8cCA/edit?usp=sharing"",""บุรีรัมย์!M433"")"),6780.0)</f>
        <v>6780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IFERROR(__xludf.DUMMYFUNCTION("IMPORTRANGE(""https://docs.google.com/spreadsheets/d/1XL5vhW3sbDhbH9Cz0tuDiY8C3ctxq1tqvaCgkFb8cCA/edit?usp=sharing"",""บุรีรัมย์!M434"")"),0.0)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IFERROR(__xludf.DUMMYFUNCTION("IMPORTRANGE(""https://docs.google.com/spreadsheets/d/1XL5vhW3sbDhbH9Cz0tuDiY8C3ctxq1tqvaCgkFb8cCA/edit?usp=sharing"",""บุรีรัมย์!M435"")"),0.0)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IFERROR(__xludf.DUMMYFUNCTION("IMPORTRANGE(""https://docs.google.com/spreadsheets/d/1XL5vhW3sbDhbH9Cz0tuDiY8C3ctxq1tqvaCgkFb8cCA/edit?usp=sharing"",""บุรีรัมย์!M436"")"),13520.0)</f>
        <v>13520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IFERROR(__xludf.DUMMYFUNCTION("IMPORTRANGE(""https://docs.google.com/spreadsheets/d/1XL5vhW3sbDhbH9Cz0tuDiY8C3ctxq1tqvaCgkFb8cCA/edit?usp=sharing"",""บุรีรัมย์!J438"")"),0.0)</f>
        <v>0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IFERROR(__xludf.DUMMYFUNCTION("IMPORTRANGE(""https://docs.google.com/spreadsheets/d/1XL5vhW3sbDhbH9Cz0tuDiY8C3ctxq1tqvaCgkFb8cCA/edit?usp=sharing"",""บุรีรัมย์!J439"")"),1.0)</f>
        <v>1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IFERROR(__xludf.DUMMYFUNCTION("IMPORTRANGE(""https://docs.google.com/spreadsheets/d/1XL5vhW3sbDhbH9Cz0tuDiY8C3ctxq1tqvaCgkFb8cCA/edit?usp=sharing"",""บุรีรัมย์!J440"")"),1.0)</f>
        <v>1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IFERROR(__xludf.DUMMYFUNCTION("IMPORTRANGE(""https://docs.google.com/spreadsheets/d/1XL5vhW3sbDhbH9Cz0tuDiY8C3ctxq1tqvaCgkFb8cCA/edit?usp=sharing"",""บุรีรัมย์!J441"")"),1.0)</f>
        <v>1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IFERROR(__xludf.DUMMYFUNCTION("IMPORTRANGE(""https://docs.google.com/spreadsheets/d/1XL5vhW3sbDhbH9Cz0tuDiY8C3ctxq1tqvaCgkFb8cCA/edit?usp=sharing"",""บุรีรัมย์!I442"")"),22.0)</f>
        <v>22</v>
      </c>
      <c r="J547" s="223">
        <f>IFERROR(__xludf.DUMMYFUNCTION("IMPORTRANGE(""https://docs.google.com/spreadsheets/d/1XL5vhW3sbDhbH9Cz0tuDiY8C3ctxq1tqvaCgkFb8cCA/edit?usp=sharing"",""บุรีรัมย์!J442"")"),22.0)</f>
        <v>22</v>
      </c>
      <c r="K547" s="196">
        <f t="shared" ref="K547:K548" si="120">IF(I547&gt;0,J547*100/I547,0)</f>
        <v>100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IFERROR(__xludf.DUMMYFUNCTION("IMPORTRANGE(""https://docs.google.com/spreadsheets/d/1XL5vhW3sbDhbH9Cz0tuDiY8C3ctxq1tqvaCgkFb8cCA/edit?usp=sharing"",""บุรีรัมย์!J166"")"),0.0)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IFERROR(__xludf.DUMMYFUNCTION("IMPORTRANGE(""https://docs.google.com/spreadsheets/d/1XL5vhW3sbDhbH9Cz0tuDiY8C3ctxq1tqvaCgkFb8cCA/edit?usp=sharing"",""บุรีรัมย์!J444"")"),0.0)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IFERROR(__xludf.DUMMYFUNCTION("IMPORTRANGE(""https://docs.google.com/spreadsheets/d/1XL5vhW3sbDhbH9Cz0tuDiY8C3ctxq1tqvaCgkFb8cCA/edit?usp=sharing"",""บุรีรัมย์!J445"")"),0.0)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IFERROR(__xludf.DUMMYFUNCTION("IMPORTRANGE(""https://docs.google.com/spreadsheets/d/1XL5vhW3sbDhbH9Cz0tuDiY8C3ctxq1tqvaCgkFb8cCA/edit?usp=sharing"",""บุรีรัมย์!I446"")"),0.0)</f>
        <v>0</v>
      </c>
      <c r="J551" s="443">
        <f>IFERROR(__xludf.DUMMYFUNCTION("IMPORTRANGE(""https://docs.google.com/spreadsheets/d/1XL5vhW3sbDhbH9Cz0tuDiY8C3ctxq1tqvaCgkFb8cCA/edit?usp=sharing"",""บุรีรัมย์!J446"")"),0.0)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IFERROR(__xludf.DUMMYFUNCTION("IMPORTRANGE(""https://docs.google.com/spreadsheets/d/1XL5vhW3sbDhbH9Cz0tuDiY8C3ctxq1tqvaCgkFb8cCA/edit?usp=sharing"",""บุรีรัมย์!L446"")"),0.0)</f>
        <v>0</v>
      </c>
      <c r="M551" s="445"/>
      <c r="N551" s="445">
        <f>IFERROR(__xludf.DUMMYFUNCTION("IMPORTRANGE(""https://docs.google.com/spreadsheets/d/1XL5vhW3sbDhbH9Cz0tuDiY8C3ctxq1tqvaCgkFb8cCA/edit?usp=sharing"",""บุรีรัมย์!M446"")"),0.0)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IFERROR(__xludf.DUMMYFUNCTION("IMPORTRANGE(""https://docs.google.com/spreadsheets/d/1XL5vhW3sbDhbH9Cz0tuDiY8C3ctxq1tqvaCgkFb8cCA/edit?usp=sharing"",""บุรีรัมย์!L447"")"),0.0)</f>
        <v>0</v>
      </c>
      <c r="M552" s="197"/>
      <c r="N552" s="203">
        <f>IFERROR(__xludf.DUMMYFUNCTION("IMPORTRANGE(""https://docs.google.com/spreadsheets/d/1XL5vhW3sbDhbH9Cz0tuDiY8C3ctxq1tqvaCgkFb8cCA/edit?usp=sharing"",""บุรีรัมย์!M447"")"),0.0)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IFERROR(__xludf.DUMMYFUNCTION("IMPORTRANGE(""https://docs.google.com/spreadsheets/d/1XL5vhW3sbDhbH9Cz0tuDiY8C3ctxq1tqvaCgkFb8cCA/edit?usp=sharing"",""บุรีรัมย์!L448"")"),0.0)</f>
        <v>0</v>
      </c>
      <c r="M553" s="198"/>
      <c r="N553" s="203">
        <f>IFERROR(__xludf.DUMMYFUNCTION("IMPORTRANGE(""https://docs.google.com/spreadsheets/d/1XL5vhW3sbDhbH9Cz0tuDiY8C3ctxq1tqvaCgkFb8cCA/edit?usp=sharing"",""บุรีรัมย์!M448"")"),0.0)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IFERROR(__xludf.DUMMYFUNCTION("IMPORTRANGE(""https://docs.google.com/spreadsheets/d/1XL5vhW3sbDhbH9Cz0tuDiY8C3ctxq1tqvaCgkFb8cCA/edit?usp=sharing"",""บุรีรัมย์!L449"")"),0.0)</f>
        <v>0</v>
      </c>
      <c r="M554" s="203"/>
      <c r="N554" s="203">
        <f>IFERROR(__xludf.DUMMYFUNCTION("IMPORTRANGE(""https://docs.google.com/spreadsheets/d/1XL5vhW3sbDhbH9Cz0tuDiY8C3ctxq1tqvaCgkFb8cCA/edit?usp=sharing"",""บุรีรัมย์!M449"")"),0.0)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IFERROR(__xludf.DUMMYFUNCTION("IMPORTRANGE(""https://docs.google.com/spreadsheets/d/1XL5vhW3sbDhbH9Cz0tuDiY8C3ctxq1tqvaCgkFb8cCA/edit?usp=sharing"",""บุรีรัมย์!L450"")"),0.0)</f>
        <v>0</v>
      </c>
      <c r="M555" s="203"/>
      <c r="N555" s="203">
        <f>IFERROR(__xludf.DUMMYFUNCTION("IMPORTRANGE(""https://docs.google.com/spreadsheets/d/1XL5vhW3sbDhbH9Cz0tuDiY8C3ctxq1tqvaCgkFb8cCA/edit?usp=sharing"",""บุรีรัมย์!M450"")"),0.0)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IFERROR(__xludf.DUMMYFUNCTION("IMPORTRANGE(""https://docs.google.com/spreadsheets/d/1XL5vhW3sbDhbH9Cz0tuDiY8C3ctxq1tqvaCgkFb8cCA/edit?usp=sharing"",""บุรีรัมย์!M451"")"),0.0)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IFERROR(__xludf.DUMMYFUNCTION("IMPORTRANGE(""https://docs.google.com/spreadsheets/d/1XL5vhW3sbDhbH9Cz0tuDiY8C3ctxq1tqvaCgkFb8cCA/edit?usp=sharing"",""บุรีรัมย์!M452"")"),0.0)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IFERROR(__xludf.DUMMYFUNCTION("IMPORTRANGE(""https://docs.google.com/spreadsheets/d/1XL5vhW3sbDhbH9Cz0tuDiY8C3ctxq1tqvaCgkFb8cCA/edit?usp=sharing"",""บุรีรัมย์!M453"")"),0.0)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IFERROR(__xludf.DUMMYFUNCTION("IMPORTRANGE(""https://docs.google.com/spreadsheets/d/1XL5vhW3sbDhbH9Cz0tuDiY8C3ctxq1tqvaCgkFb8cCA/edit?usp=sharing"",""บุรีรัมย์!M454"")"),0.0)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IFERROR(__xludf.DUMMYFUNCTION("IMPORTRANGE(""https://docs.google.com/spreadsheets/d/1XL5vhW3sbDhbH9Cz0tuDiY8C3ctxq1tqvaCgkFb8cCA/edit?usp=sharing"",""บุรีรัมย์!I455"")"),0.0)</f>
        <v>0</v>
      </c>
      <c r="J560" s="195">
        <f>IFERROR(__xludf.DUMMYFUNCTION("IMPORTRANGE(""https://docs.google.com/spreadsheets/d/1XL5vhW3sbDhbH9Cz0tuDiY8C3ctxq1tqvaCgkFb8cCA/edit?usp=sharing"",""บุรีรัมย์!J455"")"),0.0)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IFERROR(__xludf.DUMMYFUNCTION("IMPORTRANGE(""https://docs.google.com/spreadsheets/d/1XL5vhW3sbDhbH9Cz0tuDiY8C3ctxq1tqvaCgkFb8cCA/edit?usp=sharing"",""บุรีรัมย์!I456"")"),0.0)</f>
        <v>0</v>
      </c>
      <c r="J561" s="238">
        <f>IFERROR(__xludf.DUMMYFUNCTION("IMPORTRANGE(""https://docs.google.com/spreadsheets/d/1XL5vhW3sbDhbH9Cz0tuDiY8C3ctxq1tqvaCgkFb8cCA/edit?usp=sharing"",""บุรีรัมย์!J456"")"),0.0)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IFERROR(__xludf.DUMMYFUNCTION("IMPORTRANGE(""https://docs.google.com/spreadsheets/d/1XL5vhW3sbDhbH9Cz0tuDiY8C3ctxq1tqvaCgkFb8cCA/edit?usp=sharing"",""บุรีรัมย์!I457"")"),"")</f>
        <v/>
      </c>
      <c r="J562" s="238" t="str">
        <f>IFERROR(__xludf.DUMMYFUNCTION("IMPORTRANGE(""https://docs.google.com/spreadsheets/d/1XL5vhW3sbDhbH9Cz0tuDiY8C3ctxq1tqvaCgkFb8cCA/edit?usp=sharing"",""บุรีรัมย์!J457"")"),"")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IFERROR(__xludf.DUMMYFUNCTION("IMPORTRANGE(""https://docs.google.com/spreadsheets/d/1XL5vhW3sbDhbH9Cz0tuDiY8C3ctxq1tqvaCgkFb8cCA/edit?usp=sharing"",""บุรีรัมย์!I458"")"),"")</f>
        <v/>
      </c>
      <c r="J563" s="222" t="str">
        <f>IFERROR(__xludf.DUMMYFUNCTION("IMPORTRANGE(""https://docs.google.com/spreadsheets/d/1XL5vhW3sbDhbH9Cz0tuDiY8C3ctxq1tqvaCgkFb8cCA/edit?usp=sharing"",""บุรีรัมย์!J458"")"),"")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IFERROR(__xludf.DUMMYFUNCTION("IMPORTRANGE(""https://docs.google.com/spreadsheets/d/1XL5vhW3sbDhbH9Cz0tuDiY8C3ctxq1tqvaCgkFb8cCA/edit?usp=sharing"",""บุรีรัมย์!I459"")"),4900.0)</f>
        <v>4900</v>
      </c>
      <c r="J564" s="404">
        <f>IFERROR(__xludf.DUMMYFUNCTION("IMPORTRANGE(""https://docs.google.com/spreadsheets/d/1XL5vhW3sbDhbH9Cz0tuDiY8C3ctxq1tqvaCgkFb8cCA/edit?usp=sharing"",""บุรีรัมย์!J459"")"),2512.0)</f>
        <v>2512</v>
      </c>
      <c r="K564" s="405">
        <f t="shared" si="122"/>
        <v>51.26530612</v>
      </c>
      <c r="L564" s="406">
        <f>IFERROR(__xludf.DUMMYFUNCTION("IMPORTRANGE(""https://docs.google.com/spreadsheets/d/1XL5vhW3sbDhbH9Cz0tuDiY8C3ctxq1tqvaCgkFb8cCA/edit?usp=sharing"",""บุรีรัมย์!L459"")"),166000.0)</f>
        <v>166000</v>
      </c>
      <c r="M564" s="406"/>
      <c r="N564" s="406">
        <f>IFERROR(__xludf.DUMMYFUNCTION("IMPORTRANGE(""https://docs.google.com/spreadsheets/d/1XL5vhW3sbDhbH9Cz0tuDiY8C3ctxq1tqvaCgkFb8cCA/edit?usp=sharing"",""บุรีรัมย์!M459"")"),40107.25)</f>
        <v>40107.25</v>
      </c>
      <c r="O564" s="406">
        <f t="shared" ref="O564:O568" si="123">+IF(L564&gt;0,N564*100/L564,0)</f>
        <v>24.16099398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IFERROR(__xludf.DUMMYFUNCTION("IMPORTRANGE(""https://docs.google.com/spreadsheets/d/1XL5vhW3sbDhbH9Cz0tuDiY8C3ctxq1tqvaCgkFb8cCA/edit?usp=sharing"",""บุรีรัมย์!L460"")"),0.0)</f>
        <v>0</v>
      </c>
      <c r="M565" s="197"/>
      <c r="N565" s="203">
        <f>IFERROR(__xludf.DUMMYFUNCTION("IMPORTRANGE(""https://docs.google.com/spreadsheets/d/1XL5vhW3sbDhbH9Cz0tuDiY8C3ctxq1tqvaCgkFb8cCA/edit?usp=sharing"",""บุรีรัมย์!M460"")"),0.0)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IFERROR(__xludf.DUMMYFUNCTION("IMPORTRANGE(""https://docs.google.com/spreadsheets/d/1XL5vhW3sbDhbH9Cz0tuDiY8C3ctxq1tqvaCgkFb8cCA/edit?usp=sharing"",""บุรีรัมย์!L461"")"),166000.0)</f>
        <v>166000</v>
      </c>
      <c r="M566" s="198"/>
      <c r="N566" s="203">
        <f>IFERROR(__xludf.DUMMYFUNCTION("IMPORTRANGE(""https://docs.google.com/spreadsheets/d/1XL5vhW3sbDhbH9Cz0tuDiY8C3ctxq1tqvaCgkFb8cCA/edit?usp=sharing"",""บุรีรัมย์!M461"")"),40107.25)</f>
        <v>40107.25</v>
      </c>
      <c r="O566" s="203">
        <f t="shared" si="123"/>
        <v>24.16099398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IFERROR(__xludf.DUMMYFUNCTION("IMPORTRANGE(""https://docs.google.com/spreadsheets/d/1XL5vhW3sbDhbH9Cz0tuDiY8C3ctxq1tqvaCgkFb8cCA/edit?usp=sharing"",""บุรีรัมย์!L462"")"),0.0)</f>
        <v>0</v>
      </c>
      <c r="M567" s="203"/>
      <c r="N567" s="203">
        <f>IFERROR(__xludf.DUMMYFUNCTION("IMPORTRANGE(""https://docs.google.com/spreadsheets/d/1XL5vhW3sbDhbH9Cz0tuDiY8C3ctxq1tqvaCgkFb8cCA/edit?usp=sharing"",""บุรีรัมย์!M462"")"),0.0)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IFERROR(__xludf.DUMMYFUNCTION("IMPORTRANGE(""https://docs.google.com/spreadsheets/d/1XL5vhW3sbDhbH9Cz0tuDiY8C3ctxq1tqvaCgkFb8cCA/edit?usp=sharing"",""บุรีรัมย์!L463"")"),166000.0)</f>
        <v>166000</v>
      </c>
      <c r="M568" s="203"/>
      <c r="N568" s="203">
        <f>IFERROR(__xludf.DUMMYFUNCTION("IMPORTRANGE(""https://docs.google.com/spreadsheets/d/1XL5vhW3sbDhbH9Cz0tuDiY8C3ctxq1tqvaCgkFb8cCA/edit?usp=sharing"",""บุรีรัมย์!M463"")"),40107.25)</f>
        <v>40107.25</v>
      </c>
      <c r="O568" s="203">
        <f t="shared" si="123"/>
        <v>24.16099398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IFERROR(__xludf.DUMMYFUNCTION("IMPORTRANGE(""https://docs.google.com/spreadsheets/d/1XL5vhW3sbDhbH9Cz0tuDiY8C3ctxq1tqvaCgkFb8cCA/edit?usp=sharing"",""บุรีรัมย์!M464"")"),0.0)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IFERROR(__xludf.DUMMYFUNCTION("IMPORTRANGE(""https://docs.google.com/spreadsheets/d/1XL5vhW3sbDhbH9Cz0tuDiY8C3ctxq1tqvaCgkFb8cCA/edit?usp=sharing"",""บุรีรัมย์!M465"")"),0.0)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IFERROR(__xludf.DUMMYFUNCTION("IMPORTRANGE(""https://docs.google.com/spreadsheets/d/1XL5vhW3sbDhbH9Cz0tuDiY8C3ctxq1tqvaCgkFb8cCA/edit?usp=sharing"",""บุรีรัมย์!M466"")"),34833.25)</f>
        <v>34833.25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IFERROR(__xludf.DUMMYFUNCTION("IMPORTRANGE(""https://docs.google.com/spreadsheets/d/1XL5vhW3sbDhbH9Cz0tuDiY8C3ctxq1tqvaCgkFb8cCA/edit?usp=sharing"",""บุรีรัมย์!M467"")"),5274.0)</f>
        <v>5274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IFERROR(__xludf.DUMMYFUNCTION("IMPORTRANGE(""https://docs.google.com/spreadsheets/d/1XL5vhW3sbDhbH9Cz0tuDiY8C3ctxq1tqvaCgkFb8cCA/edit?usp=sharing"",""บุรีรัมย์!I468"")"),4900.0)</f>
        <v>4900</v>
      </c>
      <c r="J573" s="453">
        <f>IFERROR(__xludf.DUMMYFUNCTION("IMPORTRANGE(""https://docs.google.com/spreadsheets/d/1XL5vhW3sbDhbH9Cz0tuDiY8C3ctxq1tqvaCgkFb8cCA/edit?usp=sharing"",""บุรีรัมย์!J468"")"),2512.0)</f>
        <v>2512</v>
      </c>
      <c r="K573" s="236">
        <f>IF(I573&gt;0,J573*100/I573,0)</f>
        <v>51.26530612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IFERROR(__xludf.DUMMYFUNCTION("IMPORTRANGE(""https://docs.google.com/spreadsheets/d/1XL5vhW3sbDhbH9Cz0tuDiY8C3ctxq1tqvaCgkFb8cCA/edit?usp=sharing"",""บุรีรัมย์!I470"")"),0.0)</f>
        <v>0</v>
      </c>
      <c r="J575" s="232">
        <f>IFERROR(__xludf.DUMMYFUNCTION("IMPORTRANGE(""https://docs.google.com/spreadsheets/d/1XL5vhW3sbDhbH9Cz0tuDiY8C3ctxq1tqvaCgkFb8cCA/edit?usp=sharing"",""บุรีรัมย์!J470"")"),1.0)</f>
        <v>1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IFERROR(__xludf.DUMMYFUNCTION("IMPORTRANGE(""https://docs.google.com/spreadsheets/d/1XL5vhW3sbDhbH9Cz0tuDiY8C3ctxq1tqvaCgkFb8cCA/edit?usp=sharing"",""บุรีรัมย์!I471"")"),0.0)</f>
        <v>0</v>
      </c>
      <c r="J576" s="232">
        <f>IFERROR(__xludf.DUMMYFUNCTION("IMPORTRANGE(""https://docs.google.com/spreadsheets/d/1XL5vhW3sbDhbH9Cz0tuDiY8C3ctxq1tqvaCgkFb8cCA/edit?usp=sharing"",""บุรีรัมย์!J471"")"),61.0)</f>
        <v>61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IFERROR(__xludf.DUMMYFUNCTION("IMPORTRANGE(""https://docs.google.com/spreadsheets/d/1XL5vhW3sbDhbH9Cz0tuDiY8C3ctxq1tqvaCgkFb8cCA/edit?usp=sharing"",""บุรีรัมย์!I472"")"),0.0)</f>
        <v>0</v>
      </c>
      <c r="J577" s="223">
        <f>IFERROR(__xludf.DUMMYFUNCTION("IMPORTRANGE(""https://docs.google.com/spreadsheets/d/1XL5vhW3sbDhbH9Cz0tuDiY8C3ctxq1tqvaCgkFb8cCA/edit?usp=sharing"",""บุรีรัมย์!J472"")"),2451.0)</f>
        <v>2451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IFERROR(__xludf.DUMMYFUNCTION("IMPORTRANGE(""https://docs.google.com/spreadsheets/d/1XL5vhW3sbDhbH9Cz0tuDiY8C3ctxq1tqvaCgkFb8cCA/edit?usp=sharing"",""บุรีรัมย์!I473"")"),0.0)</f>
        <v>0</v>
      </c>
      <c r="J578" s="232">
        <f>IFERROR(__xludf.DUMMYFUNCTION("IMPORTRANGE(""https://docs.google.com/spreadsheets/d/1XL5vhW3sbDhbH9Cz0tuDiY8C3ctxq1tqvaCgkFb8cCA/edit?usp=sharing"",""บุรีรัมย์!J473"")"),0.0)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IFERROR(__xludf.DUMMYFUNCTION("IMPORTRANGE(""https://docs.google.com/spreadsheets/d/1XL5vhW3sbDhbH9Cz0tuDiY8C3ctxq1tqvaCgkFb8cCA/edit?usp=sharing"",""บุรีรัมย์!I474"")"),0.0)</f>
        <v>0</v>
      </c>
      <c r="J579" s="232">
        <f>IFERROR(__xludf.DUMMYFUNCTION("IMPORTRANGE(""https://docs.google.com/spreadsheets/d/1XL5vhW3sbDhbH9Cz0tuDiY8C3ctxq1tqvaCgkFb8cCA/edit?usp=sharing"",""บุรีรัมย์!J474"")"),0.0)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IFERROR(__xludf.DUMMYFUNCTION("IMPORTRANGE(""https://docs.google.com/spreadsheets/d/1XL5vhW3sbDhbH9Cz0tuDiY8C3ctxq1tqvaCgkFb8cCA/edit?usp=sharing"",""บุรีรัมย์!I475"")"),40.0)</f>
        <v>40</v>
      </c>
      <c r="J580" s="404">
        <f>IFERROR(__xludf.DUMMYFUNCTION("IMPORTRANGE(""https://docs.google.com/spreadsheets/d/1XL5vhW3sbDhbH9Cz0tuDiY8C3ctxq1tqvaCgkFb8cCA/edit?usp=sharing"",""บุรีรัมย์!J475"")"),0.0)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IFERROR(__xludf.DUMMYFUNCTION("IMPORTRANGE(""https://docs.google.com/spreadsheets/d/1XL5vhW3sbDhbH9Cz0tuDiY8C3ctxq1tqvaCgkFb8cCA/edit?usp=sharing"",""บุรีรัมย์!L475"")"),172040.0)</f>
        <v>172040</v>
      </c>
      <c r="M580" s="406"/>
      <c r="N580" s="406">
        <f>IFERROR(__xludf.DUMMYFUNCTION("IMPORTRANGE(""https://docs.google.com/spreadsheets/d/1XL5vhW3sbDhbH9Cz0tuDiY8C3ctxq1tqvaCgkFb8cCA/edit?usp=sharing"",""บุรีรัมย์!M475"")"),0.0)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IFERROR(__xludf.DUMMYFUNCTION("IMPORTRANGE(""https://docs.google.com/spreadsheets/d/1XL5vhW3sbDhbH9Cz0tuDiY8C3ctxq1tqvaCgkFb8cCA/edit?usp=sharing"",""บุรีรัมย์!L476"")"),0.0)</f>
        <v>0</v>
      </c>
      <c r="M581" s="197"/>
      <c r="N581" s="203">
        <f>IFERROR(__xludf.DUMMYFUNCTION("IMPORTRANGE(""https://docs.google.com/spreadsheets/d/1XL5vhW3sbDhbH9Cz0tuDiY8C3ctxq1tqvaCgkFb8cCA/edit?usp=sharing"",""บุรีรัมย์!M476"")"),0.0)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IFERROR(__xludf.DUMMYFUNCTION("IMPORTRANGE(""https://docs.google.com/spreadsheets/d/1XL5vhW3sbDhbH9Cz0tuDiY8C3ctxq1tqvaCgkFb8cCA/edit?usp=sharing"",""บุรีรัมย์!L477"")"),172040.0)</f>
        <v>172040</v>
      </c>
      <c r="M582" s="198"/>
      <c r="N582" s="203">
        <f>IFERROR(__xludf.DUMMYFUNCTION("IMPORTRANGE(""https://docs.google.com/spreadsheets/d/1XL5vhW3sbDhbH9Cz0tuDiY8C3ctxq1tqvaCgkFb8cCA/edit?usp=sharing"",""บุรีรัมย์!M477"")"),0.0)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IFERROR(__xludf.DUMMYFUNCTION("IMPORTRANGE(""https://docs.google.com/spreadsheets/d/1XL5vhW3sbDhbH9Cz0tuDiY8C3ctxq1tqvaCgkFb8cCA/edit?usp=sharing"",""บุรีรัมย์!L478"")"),0.0)</f>
        <v>0</v>
      </c>
      <c r="M583" s="203"/>
      <c r="N583" s="203">
        <f>IFERROR(__xludf.DUMMYFUNCTION("IMPORTRANGE(""https://docs.google.com/spreadsheets/d/1XL5vhW3sbDhbH9Cz0tuDiY8C3ctxq1tqvaCgkFb8cCA/edit?usp=sharing"",""บุรีรัมย์!M478"")"),0.0)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IFERROR(__xludf.DUMMYFUNCTION("IMPORTRANGE(""https://docs.google.com/spreadsheets/d/1XL5vhW3sbDhbH9Cz0tuDiY8C3ctxq1tqvaCgkFb8cCA/edit?usp=sharing"",""บุรีรัมย์!L479"")"),172040.0)</f>
        <v>172040</v>
      </c>
      <c r="M584" s="203"/>
      <c r="N584" s="203">
        <f>IFERROR(__xludf.DUMMYFUNCTION("IMPORTRANGE(""https://docs.google.com/spreadsheets/d/1XL5vhW3sbDhbH9Cz0tuDiY8C3ctxq1tqvaCgkFb8cCA/edit?usp=sharing"",""บุรีรัมย์!M479"")"),0.0)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IFERROR(__xludf.DUMMYFUNCTION("IMPORTRANGE(""https://docs.google.com/spreadsheets/d/1XL5vhW3sbDhbH9Cz0tuDiY8C3ctxq1tqvaCgkFb8cCA/edit?usp=sharing"",""บุรีรัมย์!M480"")"),0.0)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IFERROR(__xludf.DUMMYFUNCTION("IMPORTRANGE(""https://docs.google.com/spreadsheets/d/1XL5vhW3sbDhbH9Cz0tuDiY8C3ctxq1tqvaCgkFb8cCA/edit?usp=sharing"",""บุรีรัมย์!M481"")"),0.0)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IFERROR(__xludf.DUMMYFUNCTION("IMPORTRANGE(""https://docs.google.com/spreadsheets/d/1XL5vhW3sbDhbH9Cz0tuDiY8C3ctxq1tqvaCgkFb8cCA/edit?usp=sharing"",""บุรีรัมย์!M482"")"),0.0)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IFERROR(__xludf.DUMMYFUNCTION("IMPORTRANGE(""https://docs.google.com/spreadsheets/d/1XL5vhW3sbDhbH9Cz0tuDiY8C3ctxq1tqvaCgkFb8cCA/edit?usp=sharing"",""บุรีรัมย์!M483"")"),0.0)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IFERROR(__xludf.DUMMYFUNCTION("IMPORTRANGE(""https://docs.google.com/spreadsheets/d/1XL5vhW3sbDhbH9Cz0tuDiY8C3ctxq1tqvaCgkFb8cCA/edit?usp=sharing"",""บุรีรัมย์!I484"")"),40.0)</f>
        <v>40</v>
      </c>
      <c r="J589" s="222">
        <f>IFERROR(__xludf.DUMMYFUNCTION("IMPORTRANGE(""https://docs.google.com/spreadsheets/d/1XL5vhW3sbDhbH9Cz0tuDiY8C3ctxq1tqvaCgkFb8cCA/edit?usp=sharing"",""บุรีรัมย์!J484"")"),0.0)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IFERROR(__xludf.DUMMYFUNCTION("IMPORTRANGE(""https://docs.google.com/spreadsheets/d/1XL5vhW3sbDhbH9Cz0tuDiY8C3ctxq1tqvaCgkFb8cCA/edit?usp=sharing"",""บุรีรัมย์!I485"")"),0.0)</f>
        <v>0</v>
      </c>
      <c r="J590" s="222">
        <f>IFERROR(__xludf.DUMMYFUNCTION("IMPORTRANGE(""https://docs.google.com/spreadsheets/d/1XL5vhW3sbDhbH9Cz0tuDiY8C3ctxq1tqvaCgkFb8cCA/edit?usp=sharing"",""บุรีรัมย์!J485"")"),0.0)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IFERROR(__xludf.DUMMYFUNCTION("IMPORTRANGE(""https://docs.google.com/spreadsheets/d/1XL5vhW3sbDhbH9Cz0tuDiY8C3ctxq1tqvaCgkFb8cCA/edit?usp=sharing"",""บุรีรัมย์!I486"")"),40.0)</f>
        <v>40</v>
      </c>
      <c r="J591" s="222">
        <f>IFERROR(__xludf.DUMMYFUNCTION("IMPORTRANGE(""https://docs.google.com/spreadsheets/d/1XL5vhW3sbDhbH9Cz0tuDiY8C3ctxq1tqvaCgkFb8cCA/edit?usp=sharing"",""บุรีรัมย์!J486"")"),0.0)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IFERROR(__xludf.DUMMYFUNCTION("IMPORTRANGE(""https://docs.google.com/spreadsheets/d/1XL5vhW3sbDhbH9Cz0tuDiY8C3ctxq1tqvaCgkFb8cCA/edit?usp=sharing"",""บุรีรัมย์!I487"")"),0.0)</f>
        <v>0</v>
      </c>
      <c r="J592" s="222">
        <f>IFERROR(__xludf.DUMMYFUNCTION("IMPORTRANGE(""https://docs.google.com/spreadsheets/d/1XL5vhW3sbDhbH9Cz0tuDiY8C3ctxq1tqvaCgkFb8cCA/edit?usp=sharing"",""บุรีรัมย์!J487"")"),0.0)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IFERROR(__xludf.DUMMYFUNCTION("IMPORTRANGE(""https://docs.google.com/spreadsheets/d/1XL5vhW3sbDhbH9Cz0tuDiY8C3ctxq1tqvaCgkFb8cCA/edit?usp=sharing"",""บุรีรัมย์!I488"")"),40.0)</f>
        <v>40</v>
      </c>
      <c r="J593" s="222">
        <f>IFERROR(__xludf.DUMMYFUNCTION("IMPORTRANGE(""https://docs.google.com/spreadsheets/d/1XL5vhW3sbDhbH9Cz0tuDiY8C3ctxq1tqvaCgkFb8cCA/edit?usp=sharing"",""บุรีรัมย์!J488"")"),0.0)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IFERROR(__xludf.DUMMYFUNCTION("IMPORTRANGE(""https://docs.google.com/spreadsheets/d/1XL5vhW3sbDhbH9Cz0tuDiY8C3ctxq1tqvaCgkFb8cCA/edit?usp=sharing"",""บุรีรัมย์!I489"")"),0.0)</f>
        <v>0</v>
      </c>
      <c r="J594" s="222">
        <f>IFERROR(__xludf.DUMMYFUNCTION("IMPORTRANGE(""https://docs.google.com/spreadsheets/d/1XL5vhW3sbDhbH9Cz0tuDiY8C3ctxq1tqvaCgkFb8cCA/edit?usp=sharing"",""บุรีรัมย์!J489"")"),0.0)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IFERROR(__xludf.DUMMYFUNCTION("IMPORTRANGE(""https://docs.google.com/spreadsheets/d/1XL5vhW3sbDhbH9Cz0tuDiY8C3ctxq1tqvaCgkFb8cCA/edit?usp=sharing"",""บุรีรัมย์!I490"")"),40.0)</f>
        <v>40</v>
      </c>
      <c r="J595" s="222">
        <f>IFERROR(__xludf.DUMMYFUNCTION("IMPORTRANGE(""https://docs.google.com/spreadsheets/d/1XL5vhW3sbDhbH9Cz0tuDiY8C3ctxq1tqvaCgkFb8cCA/edit?usp=sharing"",""บุรีรัมย์!J490"")"),0.0)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IFERROR(__xludf.DUMMYFUNCTION("IMPORTRANGE(""https://docs.google.com/spreadsheets/d/1XL5vhW3sbDhbH9Cz0tuDiY8C3ctxq1tqvaCgkFb8cCA/edit?usp=sharing"",""บุรีรัมย์!I491"")"),0.0)</f>
        <v>0</v>
      </c>
      <c r="J596" s="275">
        <f>IFERROR(__xludf.DUMMYFUNCTION("IMPORTRANGE(""https://docs.google.com/spreadsheets/d/1XL5vhW3sbDhbH9Cz0tuDiY8C3ctxq1tqvaCgkFb8cCA/edit?usp=sharing"",""บุรีรัมย์!J491"")"),0.0)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IFERROR(__xludf.DUMMYFUNCTION("IMPORTRANGE(""https://docs.google.com/spreadsheets/d/1XL5vhW3sbDhbH9Cz0tuDiY8C3ctxq1tqvaCgkFb8cCA/edit?usp=sharing"",""บุรีรัมย์!I492"")"),100.0)</f>
        <v>100</v>
      </c>
      <c r="J597" s="520">
        <f>IFERROR(__xludf.DUMMYFUNCTION("IMPORTRANGE(""https://docs.google.com/spreadsheets/d/1XL5vhW3sbDhbH9Cz0tuDiY8C3ctxq1tqvaCgkFb8cCA/edit?usp=sharing"",""บุรีรัมย์!J492"")"),0.0)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IFERROR(__xludf.DUMMYFUNCTION("IMPORTRANGE(""https://docs.google.com/spreadsheets/d/1XL5vhW3sbDhbH9Cz0tuDiY8C3ctxq1tqvaCgkFb8cCA/edit?usp=sharing"",""บุรีรัมย์!L492"")"),7300.0)</f>
        <v>7300</v>
      </c>
      <c r="M597" s="445"/>
      <c r="N597" s="445">
        <f>IFERROR(__xludf.DUMMYFUNCTION("IMPORTRANGE(""https://docs.google.com/spreadsheets/d/1XL5vhW3sbDhbH9Cz0tuDiY8C3ctxq1tqvaCgkFb8cCA/edit?usp=sharing"",""บุรีรัมย์!M492"")"),360.0)</f>
        <v>360</v>
      </c>
      <c r="O597" s="445">
        <f t="shared" ref="O597:O601" si="127">+IF(L597&gt;0,N597*100/L597,0)</f>
        <v>4.931506849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IFERROR(__xludf.DUMMYFUNCTION("IMPORTRANGE(""https://docs.google.com/spreadsheets/d/1XL5vhW3sbDhbH9Cz0tuDiY8C3ctxq1tqvaCgkFb8cCA/edit?usp=sharing"",""บุรีรัมย์!L493"")"),0.0)</f>
        <v>0</v>
      </c>
      <c r="M598" s="197"/>
      <c r="N598" s="203">
        <f>IFERROR(__xludf.DUMMYFUNCTION("IMPORTRANGE(""https://docs.google.com/spreadsheets/d/1XL5vhW3sbDhbH9Cz0tuDiY8C3ctxq1tqvaCgkFb8cCA/edit?usp=sharing"",""บุรีรัมย์!M493"")"),0.0)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IFERROR(__xludf.DUMMYFUNCTION("IMPORTRANGE(""https://docs.google.com/spreadsheets/d/1XL5vhW3sbDhbH9Cz0tuDiY8C3ctxq1tqvaCgkFb8cCA/edit?usp=sharing"",""บุรีรัมย์!L494"")"),7300.0)</f>
        <v>7300</v>
      </c>
      <c r="M599" s="198"/>
      <c r="N599" s="203">
        <f>IFERROR(__xludf.DUMMYFUNCTION("IMPORTRANGE(""https://docs.google.com/spreadsheets/d/1XL5vhW3sbDhbH9Cz0tuDiY8C3ctxq1tqvaCgkFb8cCA/edit?usp=sharing"",""บุรีรัมย์!M494"")"),360.0)</f>
        <v>360</v>
      </c>
      <c r="O599" s="203">
        <f t="shared" si="127"/>
        <v>4.931506849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IFERROR(__xludf.DUMMYFUNCTION("IMPORTRANGE(""https://docs.google.com/spreadsheets/d/1XL5vhW3sbDhbH9Cz0tuDiY8C3ctxq1tqvaCgkFb8cCA/edit?usp=sharing"",""บุรีรัมย์!L495"")"),0.0)</f>
        <v>0</v>
      </c>
      <c r="M600" s="203"/>
      <c r="N600" s="203">
        <f>IFERROR(__xludf.DUMMYFUNCTION("IMPORTRANGE(""https://docs.google.com/spreadsheets/d/1XL5vhW3sbDhbH9Cz0tuDiY8C3ctxq1tqvaCgkFb8cCA/edit?usp=sharing"",""บุรีรัมย์!M495"")"),0.0)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IFERROR(__xludf.DUMMYFUNCTION("IMPORTRANGE(""https://docs.google.com/spreadsheets/d/1XL5vhW3sbDhbH9Cz0tuDiY8C3ctxq1tqvaCgkFb8cCA/edit?usp=sharing"",""บุรีรัมย์!L496"")"),7300.0)</f>
        <v>7300</v>
      </c>
      <c r="M601" s="203"/>
      <c r="N601" s="203">
        <f>IFERROR(__xludf.DUMMYFUNCTION("IMPORTRANGE(""https://docs.google.com/spreadsheets/d/1XL5vhW3sbDhbH9Cz0tuDiY8C3ctxq1tqvaCgkFb8cCA/edit?usp=sharing"",""บุรีรัมย์!M496"")"),360.0)</f>
        <v>360</v>
      </c>
      <c r="O601" s="203">
        <f t="shared" si="127"/>
        <v>4.931506849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IFERROR(__xludf.DUMMYFUNCTION("IMPORTRANGE(""https://docs.google.com/spreadsheets/d/1XL5vhW3sbDhbH9Cz0tuDiY8C3ctxq1tqvaCgkFb8cCA/edit?usp=sharing"",""บุรีรัมย์!M497"")"),0.0)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IFERROR(__xludf.DUMMYFUNCTION("IMPORTRANGE(""https://docs.google.com/spreadsheets/d/1XL5vhW3sbDhbH9Cz0tuDiY8C3ctxq1tqvaCgkFb8cCA/edit?usp=sharing"",""บุรีรัมย์!M498"")"),0.0)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IFERROR(__xludf.DUMMYFUNCTION("IMPORTRANGE(""https://docs.google.com/spreadsheets/d/1XL5vhW3sbDhbH9Cz0tuDiY8C3ctxq1tqvaCgkFb8cCA/edit?usp=sharing"",""บุรีรัมย์!M499"")"),0.0)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IFERROR(__xludf.DUMMYFUNCTION("IMPORTRANGE(""https://docs.google.com/spreadsheets/d/1XL5vhW3sbDhbH9Cz0tuDiY8C3ctxq1tqvaCgkFb8cCA/edit?usp=sharing"",""บุรีรัมย์!M500"")"),360.0)</f>
        <v>360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IFERROR(__xludf.DUMMYFUNCTION("IMPORTRANGE(""https://docs.google.com/spreadsheets/d/1XL5vhW3sbDhbH9Cz0tuDiY8C3ctxq1tqvaCgkFb8cCA/edit?usp=sharing"",""บุรีรัมย์!J502"")"),0.0)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IFERROR(__xludf.DUMMYFUNCTION("IMPORTRANGE(""https://docs.google.com/spreadsheets/d/1XL5vhW3sbDhbH9Cz0tuDiY8C3ctxq1tqvaCgkFb8cCA/edit?usp=sharing"",""บุรีรัมย์!J503"")"),1.0)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IFERROR(__xludf.DUMMYFUNCTION("IMPORTRANGE(""https://docs.google.com/spreadsheets/d/1XL5vhW3sbDhbH9Cz0tuDiY8C3ctxq1tqvaCgkFb8cCA/edit?usp=sharing"",""บุรีรัมย์!J166"")"),0.0)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IFERROR(__xludf.DUMMYFUNCTION("IMPORTRANGE(""https://docs.google.com/spreadsheets/d/1XL5vhW3sbDhbH9Cz0tuDiY8C3ctxq1tqvaCgkFb8cCA/edit?usp=sharing"",""บุรีรัมย์!J166"")"),0.0)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IFERROR(__xludf.DUMMYFUNCTION("IMPORTRANGE(""https://docs.google.com/spreadsheets/d/1XL5vhW3sbDhbH9Cz0tuDiY8C3ctxq1tqvaCgkFb8cCA/edit?usp=sharing"",""บุรีรัมย์!I506"")"),100.0)</f>
        <v>100</v>
      </c>
      <c r="J611" s="195">
        <f>IFERROR(__xludf.DUMMYFUNCTION("IMPORTRANGE(""https://docs.google.com/spreadsheets/d/1XL5vhW3sbDhbH9Cz0tuDiY8C3ctxq1tqvaCgkFb8cCA/edit?usp=sharing"",""บุรีรัมย์!J506"")"),0.0)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IFERROR(__xludf.DUMMYFUNCTION("IMPORTRANGE(""https://docs.google.com/spreadsheets/d/1XL5vhW3sbDhbH9Cz0tuDiY8C3ctxq1tqvaCgkFb8cCA/edit?usp=sharing"",""บุรีรัมย์!I507"")"),0.0)</f>
        <v>0</v>
      </c>
      <c r="J612" s="232">
        <f>IFERROR(__xludf.DUMMYFUNCTION("IMPORTRANGE(""https://docs.google.com/spreadsheets/d/1XL5vhW3sbDhbH9Cz0tuDiY8C3ctxq1tqvaCgkFb8cCA/edit?usp=sharing"",""บุรีรัมย์!J507"")"),0.0)</f>
        <v>0</v>
      </c>
      <c r="K612" s="196">
        <f t="shared" si="128"/>
        <v>0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IFERROR(__xludf.DUMMYFUNCTION("IMPORTRANGE(""https://docs.google.com/spreadsheets/d/1XL5vhW3sbDhbH9Cz0tuDiY8C3ctxq1tqvaCgkFb8cCA/edit?usp=sharing"",""บุรีรัมย์!I508"")"),0.0)</f>
        <v>0</v>
      </c>
      <c r="J613" s="232">
        <f>IFERROR(__xludf.DUMMYFUNCTION("IMPORTRANGE(""https://docs.google.com/spreadsheets/d/1XL5vhW3sbDhbH9Cz0tuDiY8C3ctxq1tqvaCgkFb8cCA/edit?usp=sharing"",""บุรีรัมย์!J508"")"),0.0)</f>
        <v>0</v>
      </c>
      <c r="K613" s="196">
        <f t="shared" si="128"/>
        <v>0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IFERROR(__xludf.DUMMYFUNCTION("IMPORTRANGE(""https://docs.google.com/spreadsheets/d/1XL5vhW3sbDhbH9Cz0tuDiY8C3ctxq1tqvaCgkFb8cCA/edit?usp=sharing"",""บุรีรัมย์!I509"")"),0.0)</f>
        <v>0</v>
      </c>
      <c r="J614" s="232">
        <f>IFERROR(__xludf.DUMMYFUNCTION("IMPORTRANGE(""https://docs.google.com/spreadsheets/d/1XL5vhW3sbDhbH9Cz0tuDiY8C3ctxq1tqvaCgkFb8cCA/edit?usp=sharing"",""บุรีรัมย์!J509"")"),0.0)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IFERROR(__xludf.DUMMYFUNCTION("IMPORTRANGE(""https://docs.google.com/spreadsheets/d/1XL5vhW3sbDhbH9Cz0tuDiY8C3ctxq1tqvaCgkFb8cCA/edit?usp=sharing"",""บุรีรัมย์!I510"")"),0.0)</f>
        <v>0</v>
      </c>
      <c r="J615" s="232">
        <f>IFERROR(__xludf.DUMMYFUNCTION("IMPORTRANGE(""https://docs.google.com/spreadsheets/d/1XL5vhW3sbDhbH9Cz0tuDiY8C3ctxq1tqvaCgkFb8cCA/edit?usp=sharing"",""บุรีรัมย์!J510"")"),0.0)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IFERROR(__xludf.DUMMYFUNCTION("IMPORTRANGE(""https://docs.google.com/spreadsheets/d/1XL5vhW3sbDhbH9Cz0tuDiY8C3ctxq1tqvaCgkFb8cCA/edit?usp=sharing"",""บุรีรัมย์!I511"")"),0.0)</f>
        <v>0</v>
      </c>
      <c r="J616" s="232">
        <f>IFERROR(__xludf.DUMMYFUNCTION("IMPORTRANGE(""https://docs.google.com/spreadsheets/d/1XL5vhW3sbDhbH9Cz0tuDiY8C3ctxq1tqvaCgkFb8cCA/edit?usp=sharing"",""บุรีรัมย์!J511"")"),0.0)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IFERROR(__xludf.DUMMYFUNCTION("IMPORTRANGE(""https://docs.google.com/spreadsheets/d/1XL5vhW3sbDhbH9Cz0tuDiY8C3ctxq1tqvaCgkFb8cCA/edit?usp=sharing"",""บุรีรัมย์!I512"")"),0.0)</f>
        <v>0</v>
      </c>
      <c r="J617" s="222">
        <f>IFERROR(__xludf.DUMMYFUNCTION("IMPORTRANGE(""https://docs.google.com/spreadsheets/d/1XL5vhW3sbDhbH9Cz0tuDiY8C3ctxq1tqvaCgkFb8cCA/edit?usp=sharing"",""บุรีรัมย์!J512"")"),0.0)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IFERROR(__xludf.DUMMYFUNCTION("IMPORTRANGE(""https://docs.google.com/spreadsheets/d/1XL5vhW3sbDhbH9Cz0tuDiY8C3ctxq1tqvaCgkFb8cCA/edit?usp=sharing"",""บุรีรัมย์!I513"")"),0.0)</f>
        <v>0</v>
      </c>
      <c r="J618" s="223">
        <f>IFERROR(__xludf.DUMMYFUNCTION("IMPORTRANGE(""https://docs.google.com/spreadsheets/d/1XL5vhW3sbDhbH9Cz0tuDiY8C3ctxq1tqvaCgkFb8cCA/edit?usp=sharing"",""บุรีรัมย์!J513"")"),0.0)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IFERROR(__xludf.DUMMYFUNCTION("IMPORTRANGE(""https://docs.google.com/spreadsheets/d/1XL5vhW3sbDhbH9Cz0tuDiY8C3ctxq1tqvaCgkFb8cCA/edit?usp=sharing"",""บุรีรัมย์!I514"")"),0.0)</f>
        <v>0</v>
      </c>
      <c r="J619" s="223">
        <f>IFERROR(__xludf.DUMMYFUNCTION("IMPORTRANGE(""https://docs.google.com/spreadsheets/d/1XL5vhW3sbDhbH9Cz0tuDiY8C3ctxq1tqvaCgkFb8cCA/edit?usp=sharing"",""บุรีรัมย์!J514"")"),0.0)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IFERROR(__xludf.DUMMYFUNCTION("IMPORTRANGE(""https://docs.google.com/spreadsheets/d/1XL5vhW3sbDhbH9Cz0tuDiY8C3ctxq1tqvaCgkFb8cCA/edit?usp=sharing"",""บุรีรัมย์!I515"")"),0.0)</f>
        <v>0</v>
      </c>
      <c r="J620" s="237">
        <f>IFERROR(__xludf.DUMMYFUNCTION("IMPORTRANGE(""https://docs.google.com/spreadsheets/d/1XL5vhW3sbDhbH9Cz0tuDiY8C3ctxq1tqvaCgkFb8cCA/edit?usp=sharing"",""บุรีรัมย์!J515"")"),0.0)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IFERROR(__xludf.DUMMYFUNCTION("IMPORTRANGE(""https://docs.google.com/spreadsheets/d/1XL5vhW3sbDhbH9Cz0tuDiY8C3ctxq1tqvaCgkFb8cCA/edit?usp=sharing"",""บุรีรัมย์!I516"")"),0.0)</f>
        <v>0</v>
      </c>
      <c r="J621" s="237">
        <f>IFERROR(__xludf.DUMMYFUNCTION("IMPORTRANGE(""https://docs.google.com/spreadsheets/d/1XL5vhW3sbDhbH9Cz0tuDiY8C3ctxq1tqvaCgkFb8cCA/edit?usp=sharing"",""บุรีรัมย์!J516"")"),0.0)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IFERROR(__xludf.DUMMYFUNCTION("IMPORTRANGE(""https://docs.google.com/spreadsheets/d/1XL5vhW3sbDhbH9Cz0tuDiY8C3ctxq1tqvaCgkFb8cCA/edit?usp=sharing"",""บุรีรัมย์!I517"")"),0.0)</f>
        <v>0</v>
      </c>
      <c r="J622" s="223">
        <f>IFERROR(__xludf.DUMMYFUNCTION("IMPORTRANGE(""https://docs.google.com/spreadsheets/d/1XL5vhW3sbDhbH9Cz0tuDiY8C3ctxq1tqvaCgkFb8cCA/edit?usp=sharing"",""บุรีรัมย์!J517"")"),0.0)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IFERROR(__xludf.DUMMYFUNCTION("IMPORTRANGE(""https://docs.google.com/spreadsheets/d/1XL5vhW3sbDhbH9Cz0tuDiY8C3ctxq1tqvaCgkFb8cCA/edit?usp=sharing"",""บุรีรัมย์!I518"")"),0.0)</f>
        <v>0</v>
      </c>
      <c r="J623" s="223">
        <f>IFERROR(__xludf.DUMMYFUNCTION("IMPORTRANGE(""https://docs.google.com/spreadsheets/d/1XL5vhW3sbDhbH9Cz0tuDiY8C3ctxq1tqvaCgkFb8cCA/edit?usp=sharing"",""บุรีรัมย์!J518"")"),0.0)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IFERROR(__xludf.DUMMYFUNCTION("IMPORTRANGE(""https://docs.google.com/spreadsheets/d/1XL5vhW3sbDhbH9Cz0tuDiY8C3ctxq1tqvaCgkFb8cCA/edit?usp=sharing"",""บุรีรัมย์!I519"")"),0.0)</f>
        <v>0</v>
      </c>
      <c r="J624" s="222">
        <f>IFERROR(__xludf.DUMMYFUNCTION("IMPORTRANGE(""https://docs.google.com/spreadsheets/d/1XL5vhW3sbDhbH9Cz0tuDiY8C3ctxq1tqvaCgkFb8cCA/edit?usp=sharing"",""บุรีรัมย์!J519"")"),0.0)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IFERROR(__xludf.DUMMYFUNCTION("IMPORTRANGE(""https://docs.google.com/spreadsheets/d/1XL5vhW3sbDhbH9Cz0tuDiY8C3ctxq1tqvaCgkFb8cCA/edit?usp=sharing"",""บุรีรัมย์!I520"")"),0.0)</f>
        <v>0</v>
      </c>
      <c r="J625" s="223">
        <f>IFERROR(__xludf.DUMMYFUNCTION("IMPORTRANGE(""https://docs.google.com/spreadsheets/d/1XL5vhW3sbDhbH9Cz0tuDiY8C3ctxq1tqvaCgkFb8cCA/edit?usp=sharing"",""บุรีรัมย์!J520"")"),0.0)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IFERROR(__xludf.DUMMYFUNCTION("IMPORTRANGE(""https://docs.google.com/spreadsheets/d/1XL5vhW3sbDhbH9Cz0tuDiY8C3ctxq1tqvaCgkFb8cCA/edit?usp=sharing"",""บุรีรัมย์!I521"")"),0.0)</f>
        <v>0</v>
      </c>
      <c r="J626" s="223">
        <f>IFERROR(__xludf.DUMMYFUNCTION("IMPORTRANGE(""https://docs.google.com/spreadsheets/d/1XL5vhW3sbDhbH9Cz0tuDiY8C3ctxq1tqvaCgkFb8cCA/edit?usp=sharing"",""บุรีรัมย์!J521"")"),0.0)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IFERROR(__xludf.DUMMYFUNCTION("IMPORTRANGE(""https://docs.google.com/spreadsheets/d/1XL5vhW3sbDhbH9Cz0tuDiY8C3ctxq1tqvaCgkFb8cCA/edit?usp=sharing"",""บุรีรัมย์!I523"")"),2877593.82)</f>
        <v>2877593.82</v>
      </c>
      <c r="J628" s="374">
        <f>IFERROR(__xludf.DUMMYFUNCTION("IMPORTRANGE(""https://docs.google.com/spreadsheets/d/1XL5vhW3sbDhbH9Cz0tuDiY8C3ctxq1tqvaCgkFb8cCA/edit?usp=sharing"",""บุรีรัมย์!J523"")"),0.0)</f>
        <v>0</v>
      </c>
      <c r="K628" s="375">
        <f t="shared" ref="K628:K635" si="130">IF(I628&gt;0,J628*100/I628,0)</f>
        <v>0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IFERROR(__xludf.DUMMYFUNCTION("IMPORTRANGE(""https://docs.google.com/spreadsheets/d/1XL5vhW3sbDhbH9Cz0tuDiY8C3ctxq1tqvaCgkFb8cCA/edit?usp=sharing"",""บุรีรัมย์!I524"")"),259.0)</f>
        <v>259</v>
      </c>
      <c r="J629" s="374">
        <f>IFERROR(__xludf.DUMMYFUNCTION("IMPORTRANGE(""https://docs.google.com/spreadsheets/d/1XL5vhW3sbDhbH9Cz0tuDiY8C3ctxq1tqvaCgkFb8cCA/edit?usp=sharing"",""บุรีรัมย์!J524"")"),0.0)</f>
        <v>0</v>
      </c>
      <c r="K629" s="375">
        <f t="shared" si="130"/>
        <v>0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IFERROR(__xludf.DUMMYFUNCTION("IMPORTRANGE(""https://docs.google.com/spreadsheets/d/1XL5vhW3sbDhbH9Cz0tuDiY8C3ctxq1tqvaCgkFb8cCA/edit?usp=sharing"",""บุรีรัมย์!I525"")"),5401164.47)</f>
        <v>5401164.47</v>
      </c>
      <c r="J630" s="374">
        <f>IFERROR(__xludf.DUMMYFUNCTION("IMPORTRANGE(""https://docs.google.com/spreadsheets/d/1XL5vhW3sbDhbH9Cz0tuDiY8C3ctxq1tqvaCgkFb8cCA/edit?usp=sharing"",""บุรีรัมย์!J525"")"),863376.58)</f>
        <v>863376.58</v>
      </c>
      <c r="K630" s="375">
        <f t="shared" si="130"/>
        <v>15.98500814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IFERROR(__xludf.DUMMYFUNCTION("IMPORTRANGE(""https://docs.google.com/spreadsheets/d/1XL5vhW3sbDhbH9Cz0tuDiY8C3ctxq1tqvaCgkFb8cCA/edit?usp=sharing"",""บุรีรัมย์!I526"")"),250.0)</f>
        <v>250</v>
      </c>
      <c r="J631" s="374">
        <f>IFERROR(__xludf.DUMMYFUNCTION("IMPORTRANGE(""https://docs.google.com/spreadsheets/d/1XL5vhW3sbDhbH9Cz0tuDiY8C3ctxq1tqvaCgkFb8cCA/edit?usp=sharing"",""บุรีรัมย์!J526"")"),111.0)</f>
        <v>111</v>
      </c>
      <c r="K631" s="375">
        <f t="shared" si="130"/>
        <v>44.4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IFERROR(__xludf.DUMMYFUNCTION("IMPORTRANGE(""https://docs.google.com/spreadsheets/d/1XL5vhW3sbDhbH9Cz0tuDiY8C3ctxq1tqvaCgkFb8cCA/edit?usp=sharing"",""บุรีรัมย์!I527"")"),2944777.57)</f>
        <v>2944777.57</v>
      </c>
      <c r="J632" s="374">
        <f>IFERROR(__xludf.DUMMYFUNCTION("IMPORTRANGE(""https://docs.google.com/spreadsheets/d/1XL5vhW3sbDhbH9Cz0tuDiY8C3ctxq1tqvaCgkFb8cCA/edit?usp=sharing"",""บุรีรัมย์!J527"")"),628341.45)</f>
        <v>628341.45</v>
      </c>
      <c r="K632" s="375">
        <f t="shared" si="130"/>
        <v>21.33748424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IFERROR(__xludf.DUMMYFUNCTION("IMPORTRANGE(""https://docs.google.com/spreadsheets/d/1XL5vhW3sbDhbH9Cz0tuDiY8C3ctxq1tqvaCgkFb8cCA/edit?usp=sharing"",""บุรีรัมย์!I528"")"),233.0)</f>
        <v>233</v>
      </c>
      <c r="J633" s="374">
        <f>IFERROR(__xludf.DUMMYFUNCTION("IMPORTRANGE(""https://docs.google.com/spreadsheets/d/1XL5vhW3sbDhbH9Cz0tuDiY8C3ctxq1tqvaCgkFb8cCA/edit?usp=sharing"",""บุรีรัมย์!J528"")"),128.0)</f>
        <v>128</v>
      </c>
      <c r="K633" s="375">
        <f t="shared" si="130"/>
        <v>54.93562232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IFERROR(__xludf.DUMMYFUNCTION("IMPORTRANGE(""https://docs.google.com/spreadsheets/d/1XL5vhW3sbDhbH9Cz0tuDiY8C3ctxq1tqvaCgkFb8cCA/edit?usp=sharing"",""บุรีรัมย์!I529"")"),3000000.0)</f>
        <v>3000000</v>
      </c>
      <c r="J634" s="374">
        <f>IFERROR(__xludf.DUMMYFUNCTION("IMPORTRANGE(""https://docs.google.com/spreadsheets/d/1XL5vhW3sbDhbH9Cz0tuDiY8C3ctxq1tqvaCgkFb8cCA/edit?usp=sharing"",""บุรีรัมย์!J529"")"),0.0)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IFERROR(__xludf.DUMMYFUNCTION("IMPORTRANGE(""https://docs.google.com/spreadsheets/d/1XL5vhW3sbDhbH9Cz0tuDiY8C3ctxq1tqvaCgkFb8cCA/edit?usp=sharing"",""บุรีรัมย์!I530"")"),85.0)</f>
        <v>85</v>
      </c>
      <c r="J635" s="544">
        <f>IFERROR(__xludf.DUMMYFUNCTION("IMPORTRANGE(""https://docs.google.com/spreadsheets/d/1XL5vhW3sbDhbH9Cz0tuDiY8C3ctxq1tqvaCgkFb8cCA/edit?usp=sharing"",""บุรีรัมย์!J530"")"),0.0)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pageSetUpPr fitToPage="1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3" width="2.75"/>
    <col customWidth="1" min="4" max="6" width="5.0"/>
    <col customWidth="1" min="7" max="7" width="70.88"/>
    <col customWidth="1" min="8" max="8" width="9.5"/>
    <col customWidth="1" min="9" max="10" width="13.88"/>
    <col customWidth="1" min="11" max="11" width="8.88"/>
    <col customWidth="1" min="12" max="13" width="17.63"/>
    <col customWidth="1" min="14" max="14" width="19.5"/>
    <col customWidth="1" min="15" max="15" width="16.5"/>
    <col customWidth="1" min="16" max="16" width="18.0"/>
  </cols>
  <sheetData>
    <row r="1" ht="18.0" customHeight="1">
      <c r="A1" s="1" t="s">
        <v>0</v>
      </c>
      <c r="P1" s="1"/>
    </row>
    <row r="2" ht="18.0" customHeight="1">
      <c r="A2" s="2" t="s">
        <v>253</v>
      </c>
      <c r="P2" s="2"/>
    </row>
    <row r="3" ht="18.0" customHeight="1">
      <c r="A3" s="2" t="s">
        <v>2</v>
      </c>
      <c r="P3" s="2"/>
    </row>
    <row r="4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ht="21.75" customHeight="1">
      <c r="A5" s="7" t="s">
        <v>3</v>
      </c>
      <c r="B5" s="8"/>
      <c r="C5" s="8"/>
      <c r="D5" s="8"/>
      <c r="E5" s="8"/>
      <c r="F5" s="8"/>
      <c r="G5" s="9"/>
      <c r="H5" s="10" t="s">
        <v>4</v>
      </c>
      <c r="I5" s="11" t="s">
        <v>5</v>
      </c>
      <c r="J5" s="12"/>
      <c r="K5" s="13"/>
      <c r="L5" s="14" t="s">
        <v>6</v>
      </c>
      <c r="M5" s="13"/>
      <c r="N5" s="15" t="s">
        <v>7</v>
      </c>
      <c r="O5" s="12"/>
      <c r="P5" s="13"/>
    </row>
    <row r="6" ht="21.75" customHeight="1">
      <c r="A6" s="16"/>
      <c r="B6" s="17"/>
      <c r="C6" s="17"/>
      <c r="D6" s="17"/>
      <c r="E6" s="17"/>
      <c r="F6" s="17"/>
      <c r="G6" s="18"/>
      <c r="H6" s="19"/>
      <c r="I6" s="20" t="s">
        <v>8</v>
      </c>
      <c r="J6" s="21" t="s">
        <v>9</v>
      </c>
      <c r="K6" s="20" t="s">
        <v>10</v>
      </c>
      <c r="L6" s="22" t="s">
        <v>11</v>
      </c>
      <c r="M6" s="23" t="s">
        <v>12</v>
      </c>
      <c r="N6" s="24" t="s">
        <v>13</v>
      </c>
      <c r="O6" s="25" t="s">
        <v>14</v>
      </c>
      <c r="P6" s="26" t="s">
        <v>15</v>
      </c>
    </row>
    <row r="7" ht="21.75" customHeight="1">
      <c r="A7" s="27" t="s">
        <v>16</v>
      </c>
      <c r="B7" s="12"/>
      <c r="C7" s="12"/>
      <c r="D7" s="12"/>
      <c r="E7" s="12"/>
      <c r="F7" s="12"/>
      <c r="G7" s="13"/>
      <c r="H7" s="28"/>
      <c r="I7" s="29"/>
      <c r="J7" s="29"/>
      <c r="K7" s="30"/>
      <c r="L7" s="31"/>
      <c r="M7" s="30"/>
      <c r="N7" s="31"/>
      <c r="O7" s="32"/>
      <c r="P7" s="32"/>
    </row>
    <row r="8" ht="21.75" customHeight="1">
      <c r="A8" s="33"/>
      <c r="B8" s="34"/>
      <c r="C8" s="35" t="s">
        <v>17</v>
      </c>
      <c r="D8" s="36" t="s">
        <v>18</v>
      </c>
      <c r="E8" s="37"/>
      <c r="F8" s="37"/>
      <c r="G8" s="37"/>
      <c r="H8" s="38" t="s">
        <v>13</v>
      </c>
      <c r="I8" s="39"/>
      <c r="J8" s="39"/>
      <c r="K8" s="40"/>
      <c r="L8" s="41">
        <f t="shared" ref="L8:N8" si="1">L9+L10</f>
        <v>5616777</v>
      </c>
      <c r="M8" s="41">
        <f t="shared" si="1"/>
        <v>1696450</v>
      </c>
      <c r="N8" s="41">
        <f t="shared" si="1"/>
        <v>1144567.61</v>
      </c>
      <c r="O8" s="40">
        <f t="shared" ref="O8:O16" si="3">IF(L8&gt;0,N8*100/L8,0)</f>
        <v>20.37765804</v>
      </c>
      <c r="P8" s="40">
        <f t="shared" ref="P8:P16" si="4">IF(M8&gt;0,N8*100/M8,0)</f>
        <v>67.46839636</v>
      </c>
    </row>
    <row r="9" ht="21.75" customHeight="1">
      <c r="A9" s="42"/>
      <c r="B9" s="43"/>
      <c r="C9" s="43"/>
      <c r="D9" s="43"/>
      <c r="E9" s="43"/>
      <c r="F9" s="43"/>
      <c r="G9" s="44" t="s">
        <v>19</v>
      </c>
      <c r="H9" s="45" t="s">
        <v>13</v>
      </c>
      <c r="I9" s="46"/>
      <c r="J9" s="46"/>
      <c r="K9" s="47"/>
      <c r="L9" s="48">
        <f t="shared" ref="L9:N9" si="2">L11+L15</f>
        <v>0</v>
      </c>
      <c r="M9" s="48">
        <f t="shared" si="2"/>
        <v>0</v>
      </c>
      <c r="N9" s="48">
        <f t="shared" si="2"/>
        <v>0</v>
      </c>
      <c r="O9" s="47">
        <f t="shared" si="3"/>
        <v>0</v>
      </c>
      <c r="P9" s="47">
        <f t="shared" si="4"/>
        <v>0</v>
      </c>
    </row>
    <row r="10" ht="21.75" customHeight="1">
      <c r="A10" s="42"/>
      <c r="B10" s="43"/>
      <c r="C10" s="43"/>
      <c r="D10" s="43"/>
      <c r="E10" s="43"/>
      <c r="F10" s="43"/>
      <c r="G10" s="44" t="s">
        <v>20</v>
      </c>
      <c r="H10" s="45" t="s">
        <v>13</v>
      </c>
      <c r="I10" s="46"/>
      <c r="J10" s="46"/>
      <c r="K10" s="47"/>
      <c r="L10" s="48">
        <f t="shared" ref="L10:N10" si="5">L12+L16</f>
        <v>5616777</v>
      </c>
      <c r="M10" s="48">
        <f t="shared" si="5"/>
        <v>1696450</v>
      </c>
      <c r="N10" s="48">
        <f t="shared" si="5"/>
        <v>1144567.61</v>
      </c>
      <c r="O10" s="47">
        <f t="shared" si="3"/>
        <v>20.37765804</v>
      </c>
      <c r="P10" s="47">
        <f t="shared" si="4"/>
        <v>67.46839636</v>
      </c>
    </row>
    <row r="11" ht="21.75" customHeight="1">
      <c r="A11" s="49"/>
      <c r="B11" s="50"/>
      <c r="C11" s="51" t="s">
        <v>17</v>
      </c>
      <c r="D11" s="52" t="s">
        <v>21</v>
      </c>
      <c r="E11" s="53"/>
      <c r="F11" s="53"/>
      <c r="G11" s="54" t="s">
        <v>19</v>
      </c>
      <c r="H11" s="55" t="s">
        <v>13</v>
      </c>
      <c r="I11" s="56"/>
      <c r="J11" s="56"/>
      <c r="K11" s="57"/>
      <c r="L11" s="58">
        <f t="shared" ref="L11:N11" si="6">L21+L31</f>
        <v>0</v>
      </c>
      <c r="M11" s="58">
        <f t="shared" si="6"/>
        <v>0</v>
      </c>
      <c r="N11" s="58">
        <f t="shared" si="6"/>
        <v>0</v>
      </c>
      <c r="O11" s="58">
        <f t="shared" si="3"/>
        <v>0</v>
      </c>
      <c r="P11" s="58">
        <f t="shared" si="4"/>
        <v>0</v>
      </c>
    </row>
    <row r="12" ht="21.75" customHeight="1">
      <c r="A12" s="49"/>
      <c r="B12" s="50"/>
      <c r="C12" s="50"/>
      <c r="D12" s="50"/>
      <c r="E12" s="59"/>
      <c r="F12" s="60"/>
      <c r="G12" s="54" t="s">
        <v>20</v>
      </c>
      <c r="H12" s="55" t="s">
        <v>13</v>
      </c>
      <c r="I12" s="56"/>
      <c r="J12" s="56"/>
      <c r="K12" s="57"/>
      <c r="L12" s="58">
        <f t="shared" ref="L12:N12" si="7">L22+L32</f>
        <v>5479377</v>
      </c>
      <c r="M12" s="58">
        <f t="shared" si="7"/>
        <v>1696450</v>
      </c>
      <c r="N12" s="58">
        <f t="shared" si="7"/>
        <v>1007167.61</v>
      </c>
      <c r="O12" s="58">
        <f t="shared" si="3"/>
        <v>18.38106066</v>
      </c>
      <c r="P12" s="58">
        <f t="shared" si="4"/>
        <v>59.36913024</v>
      </c>
    </row>
    <row r="13" ht="21.75" customHeight="1">
      <c r="A13" s="49"/>
      <c r="B13" s="50"/>
      <c r="C13" s="50"/>
      <c r="D13" s="50"/>
      <c r="E13" s="59"/>
      <c r="F13" s="59"/>
      <c r="G13" s="54" t="s">
        <v>22</v>
      </c>
      <c r="H13" s="55" t="s">
        <v>13</v>
      </c>
      <c r="I13" s="56"/>
      <c r="J13" s="56"/>
      <c r="K13" s="57"/>
      <c r="L13" s="58">
        <f t="shared" ref="L13:N13" si="8">L23+L33</f>
        <v>1775500</v>
      </c>
      <c r="M13" s="58">
        <f t="shared" si="8"/>
        <v>0</v>
      </c>
      <c r="N13" s="58">
        <f t="shared" si="8"/>
        <v>0</v>
      </c>
      <c r="O13" s="61">
        <f t="shared" si="3"/>
        <v>0</v>
      </c>
      <c r="P13" s="61">
        <f t="shared" si="4"/>
        <v>0</v>
      </c>
    </row>
    <row r="14" ht="21.75" customHeight="1">
      <c r="A14" s="49"/>
      <c r="B14" s="50"/>
      <c r="C14" s="50"/>
      <c r="D14" s="50"/>
      <c r="E14" s="59"/>
      <c r="F14" s="59"/>
      <c r="G14" s="54" t="s">
        <v>23</v>
      </c>
      <c r="H14" s="55" t="s">
        <v>13</v>
      </c>
      <c r="I14" s="56"/>
      <c r="J14" s="56"/>
      <c r="K14" s="57"/>
      <c r="L14" s="58">
        <f t="shared" ref="L14:N14" si="9">L24+L34</f>
        <v>3703877</v>
      </c>
      <c r="M14" s="58">
        <f t="shared" si="9"/>
        <v>0</v>
      </c>
      <c r="N14" s="58">
        <f t="shared" si="9"/>
        <v>149621.61</v>
      </c>
      <c r="O14" s="61">
        <f t="shared" si="3"/>
        <v>4.039594457</v>
      </c>
      <c r="P14" s="61">
        <f t="shared" si="4"/>
        <v>0</v>
      </c>
    </row>
    <row r="15" ht="21.75" customHeight="1">
      <c r="A15" s="49"/>
      <c r="B15" s="50"/>
      <c r="C15" s="51" t="s">
        <v>17</v>
      </c>
      <c r="D15" s="52" t="s">
        <v>24</v>
      </c>
      <c r="E15" s="53"/>
      <c r="F15" s="59"/>
      <c r="G15" s="54" t="s">
        <v>19</v>
      </c>
      <c r="H15" s="55" t="s">
        <v>13</v>
      </c>
      <c r="I15" s="56"/>
      <c r="J15" s="56"/>
      <c r="K15" s="57"/>
      <c r="L15" s="58">
        <f t="shared" ref="L15:N15" si="10">L25+L35</f>
        <v>0</v>
      </c>
      <c r="M15" s="58">
        <f t="shared" si="10"/>
        <v>0</v>
      </c>
      <c r="N15" s="58">
        <f t="shared" si="10"/>
        <v>0</v>
      </c>
      <c r="O15" s="62">
        <f t="shared" si="3"/>
        <v>0</v>
      </c>
      <c r="P15" s="62">
        <f t="shared" si="4"/>
        <v>0</v>
      </c>
    </row>
    <row r="16" ht="21.75" customHeight="1">
      <c r="A16" s="63"/>
      <c r="B16" s="64"/>
      <c r="C16" s="64"/>
      <c r="D16" s="64"/>
      <c r="E16" s="65"/>
      <c r="F16" s="65"/>
      <c r="G16" s="66" t="s">
        <v>20</v>
      </c>
      <c r="H16" s="67" t="s">
        <v>13</v>
      </c>
      <c r="I16" s="68"/>
      <c r="J16" s="68"/>
      <c r="K16" s="69"/>
      <c r="L16" s="58">
        <f t="shared" ref="L16:N16" si="11">L26+L36</f>
        <v>137400</v>
      </c>
      <c r="M16" s="58">
        <f t="shared" si="11"/>
        <v>0</v>
      </c>
      <c r="N16" s="58">
        <f t="shared" si="11"/>
        <v>137400</v>
      </c>
      <c r="O16" s="70">
        <f t="shared" si="3"/>
        <v>100</v>
      </c>
      <c r="P16" s="70">
        <f t="shared" si="4"/>
        <v>0</v>
      </c>
    </row>
    <row r="17" ht="21.75" customHeight="1">
      <c r="A17" s="27" t="s">
        <v>25</v>
      </c>
      <c r="B17" s="12"/>
      <c r="C17" s="12"/>
      <c r="D17" s="12"/>
      <c r="E17" s="12"/>
      <c r="F17" s="12"/>
      <c r="G17" s="13"/>
      <c r="H17" s="28"/>
      <c r="I17" s="29"/>
      <c r="J17" s="29"/>
      <c r="K17" s="30"/>
      <c r="L17" s="31"/>
      <c r="M17" s="30"/>
      <c r="N17" s="31"/>
      <c r="O17" s="32"/>
      <c r="P17" s="32"/>
    </row>
    <row r="18" ht="21.75" customHeight="1">
      <c r="A18" s="33"/>
      <c r="B18" s="34"/>
      <c r="C18" s="35" t="s">
        <v>17</v>
      </c>
      <c r="D18" s="36" t="s">
        <v>18</v>
      </c>
      <c r="E18" s="37"/>
      <c r="F18" s="37"/>
      <c r="G18" s="37"/>
      <c r="H18" s="38" t="s">
        <v>13</v>
      </c>
      <c r="I18" s="39"/>
      <c r="J18" s="39"/>
      <c r="K18" s="40"/>
      <c r="L18" s="41">
        <f t="shared" ref="L18:N18" si="12">L19+L20</f>
        <v>3256320</v>
      </c>
      <c r="M18" s="41">
        <f t="shared" si="12"/>
        <v>1696450</v>
      </c>
      <c r="N18" s="41">
        <f t="shared" si="12"/>
        <v>994946</v>
      </c>
      <c r="O18" s="40">
        <f t="shared" ref="O18:O20" si="14">IF(L18&gt;0,N18*100/L18,0)</f>
        <v>30.5543067</v>
      </c>
      <c r="P18" s="40">
        <f t="shared" ref="P18:P26" si="15">IF(M18&gt;0,N18*100/M18,0)</f>
        <v>58.6487076</v>
      </c>
    </row>
    <row r="19" ht="21.75" customHeight="1">
      <c r="A19" s="42"/>
      <c r="B19" s="43"/>
      <c r="C19" s="43"/>
      <c r="D19" s="43"/>
      <c r="E19" s="43"/>
      <c r="F19" s="43"/>
      <c r="G19" s="44" t="s">
        <v>19</v>
      </c>
      <c r="H19" s="45" t="s">
        <v>13</v>
      </c>
      <c r="I19" s="46"/>
      <c r="J19" s="46"/>
      <c r="K19" s="47"/>
      <c r="L19" s="48">
        <f t="shared" ref="L19:N19" si="13">L21+L25</f>
        <v>0</v>
      </c>
      <c r="M19" s="48">
        <f t="shared" si="13"/>
        <v>0</v>
      </c>
      <c r="N19" s="48">
        <f t="shared" si="13"/>
        <v>0</v>
      </c>
      <c r="O19" s="47">
        <f t="shared" si="14"/>
        <v>0</v>
      </c>
      <c r="P19" s="47">
        <f t="shared" si="15"/>
        <v>0</v>
      </c>
    </row>
    <row r="20" ht="21.75" customHeight="1">
      <c r="A20" s="42"/>
      <c r="B20" s="43"/>
      <c r="C20" s="43"/>
      <c r="D20" s="43"/>
      <c r="E20" s="43"/>
      <c r="F20" s="43"/>
      <c r="G20" s="44" t="s">
        <v>20</v>
      </c>
      <c r="H20" s="45" t="s">
        <v>13</v>
      </c>
      <c r="I20" s="46"/>
      <c r="J20" s="46"/>
      <c r="K20" s="47"/>
      <c r="L20" s="48">
        <f t="shared" ref="L20:N20" si="16">L22+L26</f>
        <v>3256320</v>
      </c>
      <c r="M20" s="48">
        <f t="shared" si="16"/>
        <v>1696450</v>
      </c>
      <c r="N20" s="48">
        <f t="shared" si="16"/>
        <v>994946</v>
      </c>
      <c r="O20" s="47">
        <f t="shared" si="14"/>
        <v>30.5543067</v>
      </c>
      <c r="P20" s="47">
        <f t="shared" si="15"/>
        <v>58.6487076</v>
      </c>
    </row>
    <row r="21" ht="21.75" customHeight="1">
      <c r="A21" s="49"/>
      <c r="B21" s="50"/>
      <c r="C21" s="51" t="s">
        <v>17</v>
      </c>
      <c r="D21" s="52" t="s">
        <v>21</v>
      </c>
      <c r="E21" s="53"/>
      <c r="F21" s="53"/>
      <c r="G21" s="54" t="s">
        <v>19</v>
      </c>
      <c r="H21" s="55" t="s">
        <v>13</v>
      </c>
      <c r="I21" s="56"/>
      <c r="J21" s="56"/>
      <c r="K21" s="57"/>
      <c r="L21" s="61">
        <f t="shared" ref="L21:N21" si="17">L44+L56+L69+L97+L121+L143+L223+L253+L274+L293+L313+L332</f>
        <v>0</v>
      </c>
      <c r="M21" s="62">
        <f t="shared" si="17"/>
        <v>0</v>
      </c>
      <c r="N21" s="61">
        <f t="shared" si="17"/>
        <v>0</v>
      </c>
      <c r="O21" s="61">
        <f t="shared" ref="O21:O26" si="19">IF(L21&gt;0,N21*100/L21,0)</f>
        <v>0</v>
      </c>
      <c r="P21" s="61">
        <f t="shared" si="15"/>
        <v>0</v>
      </c>
    </row>
    <row r="22" ht="21.75" customHeight="1">
      <c r="A22" s="49"/>
      <c r="B22" s="50"/>
      <c r="C22" s="50"/>
      <c r="D22" s="50"/>
      <c r="E22" s="59"/>
      <c r="F22" s="60"/>
      <c r="G22" s="54" t="s">
        <v>20</v>
      </c>
      <c r="H22" s="55" t="s">
        <v>13</v>
      </c>
      <c r="I22" s="56"/>
      <c r="J22" s="56"/>
      <c r="K22" s="57"/>
      <c r="L22" s="61">
        <f t="shared" ref="L22:N22" si="18">L45+L57+L70+L98+L122+L144+L224+L254+L275+L294+L314+L333</f>
        <v>3118920</v>
      </c>
      <c r="M22" s="62">
        <f t="shared" si="18"/>
        <v>1696450</v>
      </c>
      <c r="N22" s="61">
        <f t="shared" si="18"/>
        <v>857546</v>
      </c>
      <c r="O22" s="61">
        <f t="shared" si="19"/>
        <v>27.49496621</v>
      </c>
      <c r="P22" s="61">
        <f t="shared" si="15"/>
        <v>50.54944148</v>
      </c>
    </row>
    <row r="23" ht="21.75" customHeight="1">
      <c r="A23" s="49"/>
      <c r="B23" s="50"/>
      <c r="C23" s="50"/>
      <c r="D23" s="50"/>
      <c r="E23" s="59"/>
      <c r="F23" s="59"/>
      <c r="G23" s="54" t="s">
        <v>22</v>
      </c>
      <c r="H23" s="55" t="s">
        <v>13</v>
      </c>
      <c r="I23" s="56"/>
      <c r="J23" s="56"/>
      <c r="K23" s="57"/>
      <c r="L23" s="61">
        <f t="shared" ref="L23:N23" si="20">L46+L58+L71+L99+L123+L145+L225+L255+L276+L295+L315+L334</f>
        <v>1775500</v>
      </c>
      <c r="M23" s="62">
        <f t="shared" si="20"/>
        <v>0</v>
      </c>
      <c r="N23" s="61">
        <f t="shared" si="20"/>
        <v>0</v>
      </c>
      <c r="O23" s="61">
        <f t="shared" si="19"/>
        <v>0</v>
      </c>
      <c r="P23" s="61">
        <f t="shared" si="15"/>
        <v>0</v>
      </c>
    </row>
    <row r="24" ht="21.75" customHeight="1">
      <c r="A24" s="49"/>
      <c r="B24" s="50"/>
      <c r="C24" s="50"/>
      <c r="D24" s="50"/>
      <c r="E24" s="59"/>
      <c r="F24" s="59"/>
      <c r="G24" s="54" t="s">
        <v>23</v>
      </c>
      <c r="H24" s="55" t="s">
        <v>13</v>
      </c>
      <c r="I24" s="56"/>
      <c r="J24" s="56"/>
      <c r="K24" s="57"/>
      <c r="L24" s="61">
        <f t="shared" ref="L24:N24" si="21">L47+L59+L72+L100+L124+L146+L226+L256+L277+L296+L316+L335</f>
        <v>1343420</v>
      </c>
      <c r="M24" s="62">
        <f t="shared" si="21"/>
        <v>0</v>
      </c>
      <c r="N24" s="61">
        <f t="shared" si="21"/>
        <v>0</v>
      </c>
      <c r="O24" s="61">
        <f t="shared" si="19"/>
        <v>0</v>
      </c>
      <c r="P24" s="61">
        <f t="shared" si="15"/>
        <v>0</v>
      </c>
    </row>
    <row r="25" ht="21.75" customHeight="1">
      <c r="A25" s="49"/>
      <c r="B25" s="50"/>
      <c r="C25" s="51" t="s">
        <v>17</v>
      </c>
      <c r="D25" s="52" t="s">
        <v>24</v>
      </c>
      <c r="E25" s="53"/>
      <c r="F25" s="59"/>
      <c r="G25" s="54" t="s">
        <v>19</v>
      </c>
      <c r="H25" s="55" t="s">
        <v>13</v>
      </c>
      <c r="I25" s="56"/>
      <c r="J25" s="56"/>
      <c r="K25" s="57"/>
      <c r="L25" s="62">
        <f t="shared" ref="L25:N25" si="22">L48+L60+L73+L101+L125+L147+L227+L257+L278+L297+L317+L336</f>
        <v>0</v>
      </c>
      <c r="M25" s="62">
        <f t="shared" si="22"/>
        <v>0</v>
      </c>
      <c r="N25" s="62">
        <f t="shared" si="22"/>
        <v>0</v>
      </c>
      <c r="O25" s="62">
        <f t="shared" si="19"/>
        <v>0</v>
      </c>
      <c r="P25" s="62">
        <f t="shared" si="15"/>
        <v>0</v>
      </c>
    </row>
    <row r="26" ht="21.75" customHeight="1">
      <c r="A26" s="63"/>
      <c r="B26" s="64"/>
      <c r="C26" s="64"/>
      <c r="D26" s="64"/>
      <c r="E26" s="65"/>
      <c r="F26" s="65"/>
      <c r="G26" s="66" t="s">
        <v>20</v>
      </c>
      <c r="H26" s="67" t="s">
        <v>13</v>
      </c>
      <c r="I26" s="68"/>
      <c r="J26" s="68"/>
      <c r="K26" s="69"/>
      <c r="L26" s="70">
        <f t="shared" ref="L26:N26" si="23">L49+L61+L74+L102+L126+L148+L228+L258+L279+L298+L318+L337</f>
        <v>137400</v>
      </c>
      <c r="M26" s="70">
        <f t="shared" si="23"/>
        <v>0</v>
      </c>
      <c r="N26" s="70">
        <f t="shared" si="23"/>
        <v>137400</v>
      </c>
      <c r="O26" s="70">
        <f t="shared" si="19"/>
        <v>100</v>
      </c>
      <c r="P26" s="70">
        <f t="shared" si="15"/>
        <v>0</v>
      </c>
    </row>
    <row r="27" ht="21.75" customHeight="1">
      <c r="A27" s="27" t="s">
        <v>26</v>
      </c>
      <c r="B27" s="12"/>
      <c r="C27" s="12"/>
      <c r="D27" s="12"/>
      <c r="E27" s="12"/>
      <c r="F27" s="12"/>
      <c r="G27" s="13"/>
      <c r="H27" s="28"/>
      <c r="I27" s="29"/>
      <c r="J27" s="29"/>
      <c r="K27" s="30"/>
      <c r="L27" s="31"/>
      <c r="M27" s="30"/>
      <c r="N27" s="31"/>
      <c r="O27" s="32"/>
      <c r="P27" s="32"/>
    </row>
    <row r="28" ht="21.75" customHeight="1">
      <c r="A28" s="33"/>
      <c r="B28" s="34"/>
      <c r="C28" s="35" t="s">
        <v>17</v>
      </c>
      <c r="D28" s="36" t="s">
        <v>18</v>
      </c>
      <c r="E28" s="37"/>
      <c r="F28" s="37"/>
      <c r="G28" s="37"/>
      <c r="H28" s="38" t="s">
        <v>13</v>
      </c>
      <c r="I28" s="39"/>
      <c r="J28" s="39"/>
      <c r="K28" s="40"/>
      <c r="L28" s="41">
        <f t="shared" ref="L28:N28" si="24">L29+L30</f>
        <v>2360457</v>
      </c>
      <c r="M28" s="41">
        <f t="shared" si="24"/>
        <v>0</v>
      </c>
      <c r="N28" s="41">
        <f t="shared" si="24"/>
        <v>149621.61</v>
      </c>
      <c r="O28" s="40">
        <f t="shared" ref="O28:O30" si="26">IF(L28&gt;0,N28*100/L28,0)</f>
        <v>6.338671283</v>
      </c>
      <c r="P28" s="40">
        <f t="shared" ref="P28:P37" si="27">IF(M28&gt;0,N28*100/M28,0)</f>
        <v>0</v>
      </c>
    </row>
    <row r="29" ht="21.75" customHeight="1">
      <c r="A29" s="42"/>
      <c r="B29" s="43"/>
      <c r="C29" s="43"/>
      <c r="D29" s="43"/>
      <c r="E29" s="43"/>
      <c r="F29" s="43"/>
      <c r="G29" s="44" t="s">
        <v>19</v>
      </c>
      <c r="H29" s="45" t="s">
        <v>13</v>
      </c>
      <c r="I29" s="46"/>
      <c r="J29" s="46"/>
      <c r="K29" s="47"/>
      <c r="L29" s="48">
        <f t="shared" ref="L29:N29" si="25">L31+L35</f>
        <v>0</v>
      </c>
      <c r="M29" s="48">
        <f t="shared" si="25"/>
        <v>0</v>
      </c>
      <c r="N29" s="48">
        <f t="shared" si="25"/>
        <v>0</v>
      </c>
      <c r="O29" s="47">
        <f t="shared" si="26"/>
        <v>0</v>
      </c>
      <c r="P29" s="47">
        <f t="shared" si="27"/>
        <v>0</v>
      </c>
    </row>
    <row r="30" ht="21.75" customHeight="1">
      <c r="A30" s="42"/>
      <c r="B30" s="43"/>
      <c r="C30" s="43"/>
      <c r="D30" s="43"/>
      <c r="E30" s="43"/>
      <c r="F30" s="43"/>
      <c r="G30" s="44" t="s">
        <v>20</v>
      </c>
      <c r="H30" s="45" t="s">
        <v>13</v>
      </c>
      <c r="I30" s="46"/>
      <c r="J30" s="46"/>
      <c r="K30" s="47"/>
      <c r="L30" s="48">
        <f t="shared" ref="L30:N30" si="28">L32+L36</f>
        <v>2360457</v>
      </c>
      <c r="M30" s="48">
        <f t="shared" si="28"/>
        <v>0</v>
      </c>
      <c r="N30" s="48">
        <f t="shared" si="28"/>
        <v>149621.61</v>
      </c>
      <c r="O30" s="47">
        <f t="shared" si="26"/>
        <v>6.338671283</v>
      </c>
      <c r="P30" s="47">
        <f t="shared" si="27"/>
        <v>0</v>
      </c>
    </row>
    <row r="31" ht="21.75" customHeight="1">
      <c r="A31" s="49"/>
      <c r="B31" s="50"/>
      <c r="C31" s="51" t="s">
        <v>17</v>
      </c>
      <c r="D31" s="52" t="s">
        <v>21</v>
      </c>
      <c r="E31" s="53"/>
      <c r="F31" s="53"/>
      <c r="G31" s="54" t="s">
        <v>19</v>
      </c>
      <c r="H31" s="55" t="s">
        <v>13</v>
      </c>
      <c r="I31" s="56"/>
      <c r="J31" s="56"/>
      <c r="K31" s="57"/>
      <c r="L31" s="61">
        <f t="shared" ref="L31:N31" si="29">L351+L382+L403+L436+L456+L534+L552+L565+L581+L598</f>
        <v>0</v>
      </c>
      <c r="M31" s="61">
        <f t="shared" si="29"/>
        <v>0</v>
      </c>
      <c r="N31" s="61">
        <f t="shared" si="29"/>
        <v>0</v>
      </c>
      <c r="O31" s="61">
        <f t="shared" ref="O31:O37" si="31">IF(L31&gt;0,N31*100/L31,0)</f>
        <v>0</v>
      </c>
      <c r="P31" s="61">
        <f t="shared" si="27"/>
        <v>0</v>
      </c>
    </row>
    <row r="32" ht="21.75" customHeight="1">
      <c r="A32" s="49"/>
      <c r="B32" s="50"/>
      <c r="C32" s="50"/>
      <c r="D32" s="50"/>
      <c r="E32" s="59"/>
      <c r="F32" s="60"/>
      <c r="G32" s="54" t="s">
        <v>20</v>
      </c>
      <c r="H32" s="55" t="s">
        <v>13</v>
      </c>
      <c r="I32" s="56"/>
      <c r="J32" s="56"/>
      <c r="K32" s="57"/>
      <c r="L32" s="61">
        <f t="shared" ref="L32:N32" si="30">L352+L383+L404+L437+L457+L535+L553+L566+L582+L599</f>
        <v>2360457</v>
      </c>
      <c r="M32" s="61">
        <f t="shared" si="30"/>
        <v>0</v>
      </c>
      <c r="N32" s="61">
        <f t="shared" si="30"/>
        <v>149621.61</v>
      </c>
      <c r="O32" s="61">
        <f t="shared" si="31"/>
        <v>6.338671283</v>
      </c>
      <c r="P32" s="61">
        <f t="shared" si="27"/>
        <v>0</v>
      </c>
    </row>
    <row r="33" ht="21.75" customHeight="1">
      <c r="A33" s="49"/>
      <c r="B33" s="50"/>
      <c r="C33" s="50"/>
      <c r="D33" s="50"/>
      <c r="E33" s="59"/>
      <c r="F33" s="59"/>
      <c r="G33" s="54" t="s">
        <v>22</v>
      </c>
      <c r="H33" s="55" t="s">
        <v>13</v>
      </c>
      <c r="I33" s="56"/>
      <c r="J33" s="56"/>
      <c r="K33" s="57"/>
      <c r="L33" s="61">
        <f t="shared" ref="L33:N33" si="32">L353+L384+L405+L438+L458+L536+L554+L567+L583+L600</f>
        <v>0</v>
      </c>
      <c r="M33" s="61">
        <f t="shared" si="32"/>
        <v>0</v>
      </c>
      <c r="N33" s="61">
        <f t="shared" si="32"/>
        <v>0</v>
      </c>
      <c r="O33" s="61">
        <f t="shared" si="31"/>
        <v>0</v>
      </c>
      <c r="P33" s="61">
        <f t="shared" si="27"/>
        <v>0</v>
      </c>
    </row>
    <row r="34" ht="21.75" customHeight="1">
      <c r="A34" s="49"/>
      <c r="B34" s="50"/>
      <c r="C34" s="50"/>
      <c r="D34" s="50"/>
      <c r="E34" s="59"/>
      <c r="F34" s="59"/>
      <c r="G34" s="54" t="s">
        <v>23</v>
      </c>
      <c r="H34" s="55" t="s">
        <v>13</v>
      </c>
      <c r="I34" s="56"/>
      <c r="J34" s="56"/>
      <c r="K34" s="57"/>
      <c r="L34" s="61">
        <f t="shared" ref="L34:N34" si="33">L354+L385+L406+L439+L459+L537+L555+L568+L584+L601</f>
        <v>2360457</v>
      </c>
      <c r="M34" s="61">
        <f t="shared" si="33"/>
        <v>0</v>
      </c>
      <c r="N34" s="61">
        <f t="shared" si="33"/>
        <v>149621.61</v>
      </c>
      <c r="O34" s="61">
        <f t="shared" si="31"/>
        <v>6.338671283</v>
      </c>
      <c r="P34" s="61">
        <f t="shared" si="27"/>
        <v>0</v>
      </c>
    </row>
    <row r="35" ht="21.75" customHeight="1">
      <c r="A35" s="49"/>
      <c r="B35" s="50"/>
      <c r="C35" s="51" t="s">
        <v>17</v>
      </c>
      <c r="D35" s="52" t="s">
        <v>24</v>
      </c>
      <c r="E35" s="53"/>
      <c r="F35" s="59"/>
      <c r="G35" s="54" t="s">
        <v>19</v>
      </c>
      <c r="H35" s="55" t="s">
        <v>13</v>
      </c>
      <c r="I35" s="56"/>
      <c r="J35" s="56"/>
      <c r="K35" s="57"/>
      <c r="L35" s="71">
        <v>0.0</v>
      </c>
      <c r="M35" s="71">
        <v>0.0</v>
      </c>
      <c r="N35" s="71">
        <v>0.0</v>
      </c>
      <c r="O35" s="62">
        <f t="shared" si="31"/>
        <v>0</v>
      </c>
      <c r="P35" s="62">
        <f t="shared" si="27"/>
        <v>0</v>
      </c>
    </row>
    <row r="36" ht="21.75" customHeight="1">
      <c r="A36" s="63"/>
      <c r="B36" s="64"/>
      <c r="C36" s="64"/>
      <c r="D36" s="64"/>
      <c r="E36" s="65"/>
      <c r="F36" s="65"/>
      <c r="G36" s="66" t="s">
        <v>20</v>
      </c>
      <c r="H36" s="67" t="s">
        <v>13</v>
      </c>
      <c r="I36" s="68"/>
      <c r="J36" s="68"/>
      <c r="K36" s="69"/>
      <c r="L36" s="72">
        <v>0.0</v>
      </c>
      <c r="M36" s="72">
        <v>0.0</v>
      </c>
      <c r="N36" s="72">
        <v>0.0</v>
      </c>
      <c r="O36" s="70">
        <f t="shared" si="31"/>
        <v>0</v>
      </c>
      <c r="P36" s="70">
        <f t="shared" si="27"/>
        <v>0</v>
      </c>
    </row>
    <row r="37" ht="21.75" customHeight="1">
      <c r="A37" s="73" t="s">
        <v>27</v>
      </c>
      <c r="B37" s="73"/>
      <c r="C37" s="73"/>
      <c r="D37" s="73"/>
      <c r="E37" s="73"/>
      <c r="F37" s="73"/>
      <c r="G37" s="73"/>
      <c r="H37" s="73"/>
      <c r="I37" s="74"/>
      <c r="J37" s="74"/>
      <c r="K37" s="75"/>
      <c r="L37" s="75">
        <f t="shared" ref="L37:N37" si="34">L41+L53+L66+L94+L118+L140+L220+L250+L271+L290+L310+L329</f>
        <v>3256320</v>
      </c>
      <c r="M37" s="75">
        <f t="shared" si="34"/>
        <v>1696450</v>
      </c>
      <c r="N37" s="75">
        <f t="shared" si="34"/>
        <v>994946</v>
      </c>
      <c r="O37" s="76">
        <f t="shared" si="31"/>
        <v>30.5543067</v>
      </c>
      <c r="P37" s="76">
        <f t="shared" si="27"/>
        <v>58.6487076</v>
      </c>
    </row>
    <row r="38" ht="21.75" customHeight="1">
      <c r="A38" s="77" t="s">
        <v>28</v>
      </c>
      <c r="B38" s="12"/>
      <c r="C38" s="12"/>
      <c r="D38" s="12"/>
      <c r="E38" s="12"/>
      <c r="F38" s="12"/>
      <c r="G38" s="13"/>
      <c r="H38" s="78"/>
      <c r="I38" s="79"/>
      <c r="J38" s="79"/>
      <c r="K38" s="80"/>
      <c r="L38" s="81"/>
      <c r="M38" s="81"/>
      <c r="N38" s="81"/>
      <c r="O38" s="81"/>
      <c r="P38" s="81"/>
    </row>
    <row r="39" ht="21.75" customHeight="1">
      <c r="A39" s="82"/>
      <c r="B39" s="83" t="s">
        <v>29</v>
      </c>
      <c r="C39" s="37"/>
      <c r="D39" s="37"/>
      <c r="E39" s="37"/>
      <c r="F39" s="37"/>
      <c r="G39" s="37"/>
      <c r="H39" s="84"/>
      <c r="I39" s="85"/>
      <c r="J39" s="85"/>
      <c r="K39" s="86"/>
      <c r="L39" s="87"/>
      <c r="M39" s="87"/>
      <c r="N39" s="87"/>
      <c r="O39" s="86"/>
      <c r="P39" s="86"/>
    </row>
    <row r="40" ht="21.75" customHeight="1">
      <c r="A40" s="88"/>
      <c r="B40" s="89" t="s">
        <v>30</v>
      </c>
      <c r="C40" s="90"/>
      <c r="D40" s="90"/>
      <c r="E40" s="90"/>
      <c r="F40" s="90"/>
      <c r="G40" s="90"/>
      <c r="H40" s="91"/>
      <c r="I40" s="92"/>
      <c r="J40" s="92"/>
      <c r="K40" s="93"/>
      <c r="L40" s="94"/>
      <c r="M40" s="94"/>
      <c r="N40" s="94"/>
      <c r="O40" s="93"/>
      <c r="P40" s="93"/>
    </row>
    <row r="41" ht="21.75" customHeight="1">
      <c r="A41" s="95"/>
      <c r="B41" s="96"/>
      <c r="C41" s="97" t="s">
        <v>17</v>
      </c>
      <c r="D41" s="98" t="s">
        <v>18</v>
      </c>
      <c r="E41" s="53"/>
      <c r="F41" s="53"/>
      <c r="G41" s="53"/>
      <c r="H41" s="99" t="s">
        <v>13</v>
      </c>
      <c r="I41" s="100"/>
      <c r="J41" s="100"/>
      <c r="K41" s="101"/>
      <c r="L41" s="102">
        <f t="shared" ref="L41:N41" si="35">L42+L43</f>
        <v>676300</v>
      </c>
      <c r="M41" s="102">
        <f t="shared" si="35"/>
        <v>338100</v>
      </c>
      <c r="N41" s="102">
        <f t="shared" si="35"/>
        <v>212160</v>
      </c>
      <c r="O41" s="101">
        <f t="shared" ref="O41:O43" si="37">IF(L41&gt;0,N41*100/L41,0)</f>
        <v>31.37069348</v>
      </c>
      <c r="P41" s="101">
        <f t="shared" ref="P41:P43" si="38">IF(M41&gt;0,N41*100/M41,0)</f>
        <v>62.75066548</v>
      </c>
    </row>
    <row r="42" ht="21.75" customHeight="1">
      <c r="A42" s="95"/>
      <c r="B42" s="96"/>
      <c r="C42" s="96"/>
      <c r="D42" s="96"/>
      <c r="E42" s="96"/>
      <c r="F42" s="96"/>
      <c r="G42" s="97" t="s">
        <v>19</v>
      </c>
      <c r="H42" s="99" t="s">
        <v>13</v>
      </c>
      <c r="I42" s="100"/>
      <c r="J42" s="100"/>
      <c r="K42" s="101"/>
      <c r="L42" s="102">
        <f t="shared" ref="L42:N42" si="36">L44+L48</f>
        <v>0</v>
      </c>
      <c r="M42" s="102">
        <f t="shared" si="36"/>
        <v>0</v>
      </c>
      <c r="N42" s="102">
        <f t="shared" si="36"/>
        <v>0</v>
      </c>
      <c r="O42" s="101">
        <f t="shared" si="37"/>
        <v>0</v>
      </c>
      <c r="P42" s="101">
        <f t="shared" si="38"/>
        <v>0</v>
      </c>
    </row>
    <row r="43" ht="21.75" customHeight="1">
      <c r="A43" s="95"/>
      <c r="B43" s="96"/>
      <c r="C43" s="96"/>
      <c r="D43" s="96"/>
      <c r="E43" s="96"/>
      <c r="F43" s="96"/>
      <c r="G43" s="97" t="s">
        <v>20</v>
      </c>
      <c r="H43" s="99" t="s">
        <v>13</v>
      </c>
      <c r="I43" s="100"/>
      <c r="J43" s="100"/>
      <c r="K43" s="101"/>
      <c r="L43" s="102">
        <f t="shared" ref="L43:N43" si="39">L45+L49</f>
        <v>676300</v>
      </c>
      <c r="M43" s="102">
        <f t="shared" si="39"/>
        <v>338100</v>
      </c>
      <c r="N43" s="102">
        <f t="shared" si="39"/>
        <v>212160</v>
      </c>
      <c r="O43" s="101">
        <f t="shared" si="37"/>
        <v>31.37069348</v>
      </c>
      <c r="P43" s="101">
        <f t="shared" si="38"/>
        <v>62.75066548</v>
      </c>
    </row>
    <row r="44" ht="21.75" customHeight="1">
      <c r="A44" s="103"/>
      <c r="B44" s="104"/>
      <c r="C44" s="105" t="s">
        <v>17</v>
      </c>
      <c r="D44" s="106" t="s">
        <v>21</v>
      </c>
      <c r="E44" s="53"/>
      <c r="F44" s="53"/>
      <c r="G44" s="107" t="s">
        <v>19</v>
      </c>
      <c r="H44" s="108" t="s">
        <v>13</v>
      </c>
      <c r="I44" s="109"/>
      <c r="J44" s="109"/>
      <c r="K44" s="110"/>
      <c r="L44" s="58">
        <v>0.0</v>
      </c>
      <c r="M44" s="111"/>
      <c r="N44" s="112"/>
      <c r="O44" s="112"/>
      <c r="P44" s="112"/>
    </row>
    <row r="45" ht="21.75" customHeight="1">
      <c r="A45" s="103"/>
      <c r="B45" s="104"/>
      <c r="C45" s="104"/>
      <c r="D45" s="104"/>
      <c r="E45" s="113"/>
      <c r="F45" s="114"/>
      <c r="G45" s="107" t="s">
        <v>20</v>
      </c>
      <c r="H45" s="108" t="s">
        <v>13</v>
      </c>
      <c r="I45" s="109"/>
      <c r="J45" s="109"/>
      <c r="K45" s="110"/>
      <c r="L45" s="61">
        <f>L46+L47</f>
        <v>676300</v>
      </c>
      <c r="M45" s="115">
        <f>IFERROR(__xludf.DUMMYFUNCTION("IMPORTRANGE(""https://docs.google.com/spreadsheets/d/1Yj_ptqi66GCucihVvJfMjLAmec39IyEx_6qawtMGysU/edit?usp=sharing"",""สบก!Q45"")"),338100.0)</f>
        <v>338100</v>
      </c>
      <c r="N45" s="115">
        <f>IFERROR(__xludf.DUMMYFUNCTION("IMPORTRANGE(""https://docs.google.com/spreadsheets/d/1Yj_ptqi66GCucihVvJfMjLAmec39IyEx_6qawtMGysU/edit?usp=sharing"",""สบก!R45"")"),212160.0)</f>
        <v>212160</v>
      </c>
      <c r="O45" s="116">
        <f>IF(L45&gt;0,N45*100/L45,0)</f>
        <v>31.37069348</v>
      </c>
      <c r="P45" s="116">
        <f>IF(M45&gt;0,N45*100/M45,0)</f>
        <v>62.75066548</v>
      </c>
    </row>
    <row r="46" ht="21.75" customHeight="1">
      <c r="A46" s="103"/>
      <c r="B46" s="104"/>
      <c r="C46" s="104"/>
      <c r="D46" s="104"/>
      <c r="E46" s="113"/>
      <c r="F46" s="113"/>
      <c r="G46" s="107" t="s">
        <v>22</v>
      </c>
      <c r="H46" s="108" t="s">
        <v>13</v>
      </c>
      <c r="I46" s="109"/>
      <c r="J46" s="109"/>
      <c r="K46" s="110"/>
      <c r="L46" s="115">
        <f>IFERROR(__xludf.DUMMYFUNCTION("IMPORTRANGE(""https://docs.google.com/spreadsheets/d/1Yj_ptqi66GCucihVvJfMjLAmec39IyEx_6qawtMGysU/edit?usp=sharing"",""สบก!M45"")"),676300.0)</f>
        <v>676300</v>
      </c>
      <c r="M46" s="117"/>
      <c r="N46" s="61"/>
      <c r="O46" s="116"/>
      <c r="P46" s="116"/>
    </row>
    <row r="47" ht="21.75" customHeight="1">
      <c r="A47" s="103"/>
      <c r="B47" s="104"/>
      <c r="C47" s="104"/>
      <c r="D47" s="104"/>
      <c r="E47" s="113"/>
      <c r="F47" s="113"/>
      <c r="G47" s="107" t="s">
        <v>23</v>
      </c>
      <c r="H47" s="108" t="s">
        <v>13</v>
      </c>
      <c r="I47" s="109"/>
      <c r="J47" s="109"/>
      <c r="K47" s="110"/>
      <c r="L47" s="115">
        <f>IFERROR(__xludf.DUMMYFUNCTION("IMPORTRANGE(""https://docs.google.com/spreadsheets/d/1Yj_ptqi66GCucihVvJfMjLAmec39IyEx_6qawtMGysU/edit?usp=sharing"",""สบก!N45"")"),0.0)</f>
        <v>0</v>
      </c>
      <c r="M47" s="117"/>
      <c r="N47" s="61"/>
      <c r="O47" s="116"/>
      <c r="P47" s="116"/>
    </row>
    <row r="48" ht="21.75" customHeight="1">
      <c r="A48" s="103"/>
      <c r="B48" s="104"/>
      <c r="C48" s="105" t="s">
        <v>17</v>
      </c>
      <c r="D48" s="106" t="s">
        <v>24</v>
      </c>
      <c r="E48" s="53"/>
      <c r="F48" s="113"/>
      <c r="G48" s="107" t="s">
        <v>19</v>
      </c>
      <c r="H48" s="108" t="s">
        <v>13</v>
      </c>
      <c r="I48" s="109"/>
      <c r="J48" s="109"/>
      <c r="K48" s="110"/>
      <c r="L48" s="71">
        <v>0.0</v>
      </c>
      <c r="M48" s="117"/>
      <c r="N48" s="62"/>
      <c r="O48" s="117"/>
      <c r="P48" s="117"/>
    </row>
    <row r="49" ht="21.75" customHeight="1">
      <c r="A49" s="118"/>
      <c r="B49" s="119"/>
      <c r="C49" s="119"/>
      <c r="D49" s="119"/>
      <c r="E49" s="120"/>
      <c r="F49" s="120"/>
      <c r="G49" s="121" t="s">
        <v>20</v>
      </c>
      <c r="H49" s="122" t="s">
        <v>13</v>
      </c>
      <c r="I49" s="123"/>
      <c r="J49" s="123"/>
      <c r="K49" s="124"/>
      <c r="L49" s="115">
        <f>IFERROR(__xludf.DUMMYFUNCTION("IMPORTRANGE(""https://docs.google.com/spreadsheets/d/1Yj_ptqi66GCucihVvJfMjLAmec39IyEx_6qawtMGysU/edit?usp=sharing"",""สบก!O45"")"),0.0)</f>
        <v>0</v>
      </c>
      <c r="M49" s="125"/>
      <c r="N49" s="115">
        <f>IFERROR(__xludf.DUMMYFUNCTION("IMPORTRANGE(""https://docs.google.com/spreadsheets/d/1Yj_ptqi66GCucihVvJfMjLAmec39IyEx_6qawtMGysU/edit?usp=sharing"",""สบก!S45"")"),0.0)</f>
        <v>0</v>
      </c>
      <c r="O49" s="125">
        <f>IF(L49&gt;0,N49*100/L49,0)</f>
        <v>0</v>
      </c>
      <c r="P49" s="125"/>
    </row>
    <row r="50" ht="21.75" customHeight="1">
      <c r="A50" s="126" t="s">
        <v>31</v>
      </c>
      <c r="B50" s="127"/>
      <c r="C50" s="127"/>
      <c r="D50" s="127"/>
      <c r="E50" s="127"/>
      <c r="F50" s="127"/>
      <c r="G50" s="127"/>
      <c r="H50" s="128"/>
      <c r="I50" s="129"/>
      <c r="J50" s="129"/>
      <c r="K50" s="130"/>
      <c r="L50" s="131"/>
      <c r="M50" s="131"/>
      <c r="N50" s="131"/>
      <c r="O50" s="130"/>
      <c r="P50" s="130"/>
    </row>
    <row r="51" ht="21.75" customHeight="1">
      <c r="A51" s="132"/>
      <c r="B51" s="133" t="s">
        <v>32</v>
      </c>
      <c r="C51" s="133"/>
      <c r="D51" s="133"/>
      <c r="E51" s="133"/>
      <c r="F51" s="133"/>
      <c r="G51" s="133"/>
      <c r="H51" s="134"/>
      <c r="I51" s="135"/>
      <c r="J51" s="135"/>
      <c r="K51" s="136"/>
      <c r="L51" s="137"/>
      <c r="M51" s="137"/>
      <c r="N51" s="137"/>
      <c r="O51" s="136"/>
      <c r="P51" s="136"/>
    </row>
    <row r="52" ht="21.75" customHeight="1">
      <c r="A52" s="138"/>
      <c r="B52" s="139" t="s">
        <v>33</v>
      </c>
      <c r="C52" s="53"/>
      <c r="D52" s="53"/>
      <c r="E52" s="53"/>
      <c r="F52" s="53"/>
      <c r="G52" s="53"/>
      <c r="H52" s="140"/>
      <c r="I52" s="141"/>
      <c r="J52" s="141"/>
      <c r="K52" s="142"/>
      <c r="L52" s="143"/>
      <c r="M52" s="143"/>
      <c r="N52" s="143"/>
      <c r="O52" s="142"/>
      <c r="P52" s="142"/>
    </row>
    <row r="53" ht="21.75" customHeight="1">
      <c r="A53" s="144"/>
      <c r="B53" s="145"/>
      <c r="C53" s="146" t="s">
        <v>17</v>
      </c>
      <c r="D53" s="147" t="s">
        <v>18</v>
      </c>
      <c r="E53" s="53"/>
      <c r="F53" s="53"/>
      <c r="G53" s="53"/>
      <c r="H53" s="148" t="s">
        <v>13</v>
      </c>
      <c r="I53" s="149"/>
      <c r="J53" s="149"/>
      <c r="K53" s="150"/>
      <c r="L53" s="151">
        <f t="shared" ref="L53:N53" si="40">L54+L55</f>
        <v>470400</v>
      </c>
      <c r="M53" s="151">
        <f t="shared" si="40"/>
        <v>244200</v>
      </c>
      <c r="N53" s="151">
        <f t="shared" si="40"/>
        <v>180192</v>
      </c>
      <c r="O53" s="150">
        <f t="shared" ref="O53:O55" si="42">IF(L53&gt;0,N53*100/L53,0)</f>
        <v>38.30612245</v>
      </c>
      <c r="P53" s="150">
        <f t="shared" ref="P53:P55" si="43">IF(M53&gt;0,N53*100/M53,0)</f>
        <v>73.78869779</v>
      </c>
    </row>
    <row r="54" ht="21.75" customHeight="1">
      <c r="A54" s="144"/>
      <c r="B54" s="145"/>
      <c r="C54" s="145"/>
      <c r="D54" s="145"/>
      <c r="E54" s="145"/>
      <c r="F54" s="145"/>
      <c r="G54" s="146" t="s">
        <v>19</v>
      </c>
      <c r="H54" s="148" t="s">
        <v>13</v>
      </c>
      <c r="I54" s="149"/>
      <c r="J54" s="149"/>
      <c r="K54" s="150"/>
      <c r="L54" s="151">
        <f t="shared" ref="L54:N54" si="41">L56+L60</f>
        <v>0</v>
      </c>
      <c r="M54" s="151">
        <f t="shared" si="41"/>
        <v>0</v>
      </c>
      <c r="N54" s="151">
        <f t="shared" si="41"/>
        <v>0</v>
      </c>
      <c r="O54" s="150">
        <f t="shared" si="42"/>
        <v>0</v>
      </c>
      <c r="P54" s="150">
        <f t="shared" si="43"/>
        <v>0</v>
      </c>
    </row>
    <row r="55" ht="21.75" customHeight="1">
      <c r="A55" s="144"/>
      <c r="B55" s="145"/>
      <c r="C55" s="145"/>
      <c r="D55" s="145"/>
      <c r="E55" s="145"/>
      <c r="F55" s="145"/>
      <c r="G55" s="146" t="s">
        <v>20</v>
      </c>
      <c r="H55" s="148" t="s">
        <v>13</v>
      </c>
      <c r="I55" s="149"/>
      <c r="J55" s="149"/>
      <c r="K55" s="150"/>
      <c r="L55" s="151">
        <f t="shared" ref="L55:N55" si="44">L57+L61</f>
        <v>470400</v>
      </c>
      <c r="M55" s="151">
        <f t="shared" si="44"/>
        <v>244200</v>
      </c>
      <c r="N55" s="151">
        <f t="shared" si="44"/>
        <v>180192</v>
      </c>
      <c r="O55" s="150">
        <f t="shared" si="42"/>
        <v>38.30612245</v>
      </c>
      <c r="P55" s="150">
        <f t="shared" si="43"/>
        <v>73.78869779</v>
      </c>
    </row>
    <row r="56" ht="21.75" customHeight="1">
      <c r="A56" s="103"/>
      <c r="B56" s="104"/>
      <c r="C56" s="105" t="s">
        <v>17</v>
      </c>
      <c r="D56" s="106" t="s">
        <v>21</v>
      </c>
      <c r="E56" s="53"/>
      <c r="F56" s="53"/>
      <c r="G56" s="107" t="s">
        <v>19</v>
      </c>
      <c r="H56" s="108" t="s">
        <v>13</v>
      </c>
      <c r="I56" s="109"/>
      <c r="J56" s="109"/>
      <c r="K56" s="110"/>
      <c r="L56" s="112">
        <v>0.0</v>
      </c>
      <c r="M56" s="111"/>
      <c r="N56" s="112"/>
      <c r="O56" s="112"/>
      <c r="P56" s="112"/>
    </row>
    <row r="57" ht="21.75" customHeight="1">
      <c r="A57" s="103"/>
      <c r="B57" s="104"/>
      <c r="C57" s="104"/>
      <c r="D57" s="104"/>
      <c r="E57" s="113"/>
      <c r="F57" s="114"/>
      <c r="G57" s="107" t="s">
        <v>20</v>
      </c>
      <c r="H57" s="108" t="s">
        <v>13</v>
      </c>
      <c r="I57" s="109"/>
      <c r="J57" s="109"/>
      <c r="K57" s="110"/>
      <c r="L57" s="61">
        <f>L58+L59</f>
        <v>470400</v>
      </c>
      <c r="M57" s="115">
        <f>IFERROR(__xludf.DUMMYFUNCTION("IMPORTRANGE(""https://docs.google.com/spreadsheets/d/1Yj_ptqi66GCucihVvJfMjLAmec39IyEx_6qawtMGysU/edit?usp=sharing"",""สบก!Z45"")"),244200.0)</f>
        <v>244200</v>
      </c>
      <c r="N57" s="115">
        <f>IFERROR(__xludf.DUMMYFUNCTION("IMPORTRANGE(""https://docs.google.com/spreadsheets/d/1Yj_ptqi66GCucihVvJfMjLAmec39IyEx_6qawtMGysU/edit?usp=sharing"",""สบก!AA45"")"),180192.0)</f>
        <v>180192</v>
      </c>
      <c r="O57" s="116">
        <f>IF(L57&gt;0,N57*100/L57,0)</f>
        <v>38.30612245</v>
      </c>
      <c r="P57" s="116">
        <f>IF(M57&gt;0,N57*100/M57,0)</f>
        <v>73.78869779</v>
      </c>
    </row>
    <row r="58" ht="21.75" customHeight="1">
      <c r="A58" s="103"/>
      <c r="B58" s="104"/>
      <c r="C58" s="104"/>
      <c r="D58" s="104"/>
      <c r="E58" s="113"/>
      <c r="F58" s="113"/>
      <c r="G58" s="107" t="s">
        <v>22</v>
      </c>
      <c r="H58" s="108" t="s">
        <v>13</v>
      </c>
      <c r="I58" s="109"/>
      <c r="J58" s="109"/>
      <c r="K58" s="110"/>
      <c r="L58" s="115">
        <f>IFERROR(__xludf.DUMMYFUNCTION("IMPORTRANGE(""https://docs.google.com/spreadsheets/d/1Yj_ptqi66GCucihVvJfMjLAmec39IyEx_6qawtMGysU/edit?usp=sharing"",""สบก!V45"")"),470400.0)</f>
        <v>470400</v>
      </c>
      <c r="M58" s="117"/>
      <c r="N58" s="61"/>
      <c r="O58" s="116"/>
      <c r="P58" s="116"/>
    </row>
    <row r="59" ht="21.75" customHeight="1">
      <c r="A59" s="103"/>
      <c r="B59" s="104"/>
      <c r="C59" s="104"/>
      <c r="D59" s="104"/>
      <c r="E59" s="113"/>
      <c r="F59" s="113"/>
      <c r="G59" s="107" t="s">
        <v>23</v>
      </c>
      <c r="H59" s="108" t="s">
        <v>13</v>
      </c>
      <c r="I59" s="109"/>
      <c r="J59" s="109"/>
      <c r="K59" s="110"/>
      <c r="L59" s="115">
        <f>IFERROR(__xludf.DUMMYFUNCTION("IMPORTRANGE(""https://docs.google.com/spreadsheets/d/1Yj_ptqi66GCucihVvJfMjLAmec39IyEx_6qawtMGysU/edit?usp=sharing"",""สบก!W45"")"),0.0)</f>
        <v>0</v>
      </c>
      <c r="M59" s="117"/>
      <c r="N59" s="61"/>
      <c r="O59" s="116"/>
      <c r="P59" s="116"/>
    </row>
    <row r="60" ht="21.75" customHeight="1">
      <c r="A60" s="103"/>
      <c r="B60" s="104"/>
      <c r="C60" s="105" t="s">
        <v>17</v>
      </c>
      <c r="D60" s="106" t="s">
        <v>24</v>
      </c>
      <c r="E60" s="53"/>
      <c r="F60" s="113"/>
      <c r="G60" s="107" t="s">
        <v>19</v>
      </c>
      <c r="H60" s="108" t="s">
        <v>13</v>
      </c>
      <c r="I60" s="109"/>
      <c r="J60" s="109"/>
      <c r="K60" s="110"/>
      <c r="L60" s="71">
        <v>0.0</v>
      </c>
      <c r="M60" s="117"/>
      <c r="N60" s="62"/>
      <c r="O60" s="117"/>
      <c r="P60" s="117"/>
    </row>
    <row r="61" ht="21.75" customHeight="1">
      <c r="A61" s="118"/>
      <c r="B61" s="119"/>
      <c r="C61" s="119"/>
      <c r="D61" s="119"/>
      <c r="E61" s="120"/>
      <c r="F61" s="120"/>
      <c r="G61" s="121" t="s">
        <v>20</v>
      </c>
      <c r="H61" s="122" t="s">
        <v>13</v>
      </c>
      <c r="I61" s="123"/>
      <c r="J61" s="123"/>
      <c r="K61" s="124"/>
      <c r="L61" s="115">
        <f>IFERROR(__xludf.DUMMYFUNCTION("IMPORTRANGE(""https://docs.google.com/spreadsheets/d/1Yj_ptqi66GCucihVvJfMjLAmec39IyEx_6qawtMGysU/edit?usp=sharing"",""สบก!X45"")"),0.0)</f>
        <v>0</v>
      </c>
      <c r="M61" s="125"/>
      <c r="N61" s="115">
        <f>IFERROR(__xludf.DUMMYFUNCTION("IMPORTRANGE(""https://docs.google.com/spreadsheets/d/1Yj_ptqi66GCucihVvJfMjLAmec39IyEx_6qawtMGysU/edit?usp=sharing"",""สบก!AB45"")"),0.0)</f>
        <v>0</v>
      </c>
      <c r="O61" s="125">
        <f>IF(L61&gt;0,N61*100/L61,0)</f>
        <v>0</v>
      </c>
      <c r="P61" s="125"/>
    </row>
    <row r="62" ht="21.75" customHeight="1">
      <c r="A62" s="152" t="s">
        <v>34</v>
      </c>
      <c r="B62" s="153"/>
      <c r="C62" s="153"/>
      <c r="D62" s="153"/>
      <c r="E62" s="154"/>
      <c r="F62" s="154"/>
      <c r="G62" s="154"/>
      <c r="H62" s="155"/>
      <c r="I62" s="156"/>
      <c r="J62" s="156"/>
      <c r="K62" s="157"/>
      <c r="L62" s="158"/>
      <c r="M62" s="158"/>
      <c r="N62" s="158"/>
      <c r="O62" s="158"/>
      <c r="P62" s="158"/>
    </row>
    <row r="63" ht="21.75" customHeight="1">
      <c r="A63" s="159" t="s">
        <v>35</v>
      </c>
      <c r="B63" s="160"/>
      <c r="C63" s="161"/>
      <c r="D63" s="160"/>
      <c r="E63" s="162"/>
      <c r="F63" s="162"/>
      <c r="G63" s="162"/>
      <c r="H63" s="163"/>
      <c r="I63" s="164"/>
      <c r="J63" s="164"/>
      <c r="K63" s="165"/>
      <c r="L63" s="166"/>
      <c r="M63" s="166"/>
      <c r="N63" s="166"/>
      <c r="O63" s="167"/>
      <c r="P63" s="167"/>
    </row>
    <row r="64" ht="21.75" customHeight="1">
      <c r="A64" s="168"/>
      <c r="B64" s="169" t="s">
        <v>36</v>
      </c>
      <c r="C64" s="169"/>
      <c r="D64" s="170"/>
      <c r="E64" s="169"/>
      <c r="F64" s="169"/>
      <c r="G64" s="169"/>
      <c r="H64" s="171" t="s">
        <v>37</v>
      </c>
      <c r="I64" s="172">
        <f>IFERROR(__xludf.DUMMYFUNCTION("IMPORTRANGE(""https://docs.google.com/spreadsheets/d/1XL5vhW3sbDhbH9Cz0tuDiY8C3ctxq1tqvaCgkFb8cCA/edit?usp=sharing"",""มหาสารคาม!I9"")"),2.0)</f>
        <v>2</v>
      </c>
      <c r="J64" s="172">
        <f>IFERROR(__xludf.DUMMYFUNCTION("IMPORTRANGE(""https://docs.google.com/spreadsheets/d/1XL5vhW3sbDhbH9Cz0tuDiY8C3ctxq1tqvaCgkFb8cCA/edit?usp=sharing"",""มหาสารคาม!J9"")"),1.0)</f>
        <v>1</v>
      </c>
      <c r="K64" s="173">
        <f t="shared" ref="K64:K65" si="45">IF(I64&gt;0,J64*100/I64,0)</f>
        <v>50</v>
      </c>
      <c r="L64" s="174"/>
      <c r="M64" s="174"/>
      <c r="N64" s="175"/>
      <c r="O64" s="173"/>
      <c r="P64" s="173"/>
    </row>
    <row r="65" ht="21.75" customHeight="1">
      <c r="A65" s="168"/>
      <c r="B65" s="169"/>
      <c r="C65" s="169"/>
      <c r="D65" s="170"/>
      <c r="E65" s="169"/>
      <c r="F65" s="169"/>
      <c r="G65" s="169"/>
      <c r="H65" s="171" t="s">
        <v>38</v>
      </c>
      <c r="I65" s="172">
        <f>IFERROR(__xludf.DUMMYFUNCTION("IMPORTRANGE(""https://docs.google.com/spreadsheets/d/1XL5vhW3sbDhbH9Cz0tuDiY8C3ctxq1tqvaCgkFb8cCA/edit?usp=sharing"",""มหาสารคาม!I10"")"),77.0)</f>
        <v>77</v>
      </c>
      <c r="J65" s="172">
        <f>IFERROR(__xludf.DUMMYFUNCTION("IMPORTRANGE(""https://docs.google.com/spreadsheets/d/1XL5vhW3sbDhbH9Cz0tuDiY8C3ctxq1tqvaCgkFb8cCA/edit?usp=sharing"",""มหาสารคาม!J10"")"),37.0)</f>
        <v>37</v>
      </c>
      <c r="K65" s="173">
        <f t="shared" si="45"/>
        <v>48.05194805</v>
      </c>
      <c r="L65" s="175"/>
      <c r="M65" s="175"/>
      <c r="N65" s="175"/>
      <c r="O65" s="173"/>
      <c r="P65" s="173"/>
    </row>
    <row r="66" ht="21.75" customHeight="1">
      <c r="A66" s="176"/>
      <c r="B66" s="177"/>
      <c r="C66" s="178" t="s">
        <v>17</v>
      </c>
      <c r="D66" s="179" t="s">
        <v>18</v>
      </c>
      <c r="E66" s="37"/>
      <c r="F66" s="37"/>
      <c r="G66" s="37"/>
      <c r="H66" s="180" t="s">
        <v>13</v>
      </c>
      <c r="I66" s="181"/>
      <c r="J66" s="181"/>
      <c r="K66" s="182"/>
      <c r="L66" s="183">
        <f t="shared" ref="L66:N66" si="46">L67+L68</f>
        <v>1064200</v>
      </c>
      <c r="M66" s="183">
        <f t="shared" si="46"/>
        <v>582100</v>
      </c>
      <c r="N66" s="183">
        <f t="shared" si="46"/>
        <v>265122</v>
      </c>
      <c r="O66" s="182">
        <f t="shared" ref="O66:O68" si="48">IF(L66&gt;0,N66*100/L66,0)</f>
        <v>24.91279835</v>
      </c>
      <c r="P66" s="182">
        <f t="shared" ref="P66:P68" si="49">IF(M66&gt;0,N66*100/M66,0)</f>
        <v>45.54578251</v>
      </c>
    </row>
    <row r="67" ht="21.75" customHeight="1">
      <c r="A67" s="184"/>
      <c r="B67" s="50"/>
      <c r="C67" s="50"/>
      <c r="D67" s="50"/>
      <c r="E67" s="50"/>
      <c r="F67" s="50"/>
      <c r="G67" s="51" t="s">
        <v>19</v>
      </c>
      <c r="H67" s="185" t="s">
        <v>13</v>
      </c>
      <c r="I67" s="186"/>
      <c r="J67" s="186"/>
      <c r="K67" s="187"/>
      <c r="L67" s="188">
        <f t="shared" ref="L67:N67" si="47">L69+L73</f>
        <v>0</v>
      </c>
      <c r="M67" s="188">
        <f t="shared" si="47"/>
        <v>0</v>
      </c>
      <c r="N67" s="188">
        <f t="shared" si="47"/>
        <v>0</v>
      </c>
      <c r="O67" s="187">
        <f t="shared" si="48"/>
        <v>0</v>
      </c>
      <c r="P67" s="187">
        <f t="shared" si="49"/>
        <v>0</v>
      </c>
    </row>
    <row r="68" ht="21.75" customHeight="1">
      <c r="A68" s="184"/>
      <c r="B68" s="50"/>
      <c r="C68" s="50"/>
      <c r="D68" s="50"/>
      <c r="E68" s="50"/>
      <c r="F68" s="50"/>
      <c r="G68" s="51" t="s">
        <v>20</v>
      </c>
      <c r="H68" s="185" t="s">
        <v>13</v>
      </c>
      <c r="I68" s="186"/>
      <c r="J68" s="186"/>
      <c r="K68" s="187"/>
      <c r="L68" s="188">
        <f t="shared" ref="L68:N68" si="50">L70+L74</f>
        <v>1064200</v>
      </c>
      <c r="M68" s="188">
        <f t="shared" si="50"/>
        <v>582100</v>
      </c>
      <c r="N68" s="188">
        <f t="shared" si="50"/>
        <v>265122</v>
      </c>
      <c r="O68" s="187">
        <f t="shared" si="48"/>
        <v>24.91279835</v>
      </c>
      <c r="P68" s="187">
        <f t="shared" si="49"/>
        <v>45.54578251</v>
      </c>
    </row>
    <row r="69" ht="21.75" customHeight="1">
      <c r="A69" s="189"/>
      <c r="B69" s="190"/>
      <c r="C69" s="190" t="s">
        <v>17</v>
      </c>
      <c r="D69" s="191" t="s">
        <v>39</v>
      </c>
      <c r="E69" s="192"/>
      <c r="F69" s="192"/>
      <c r="G69" s="193" t="s">
        <v>40</v>
      </c>
      <c r="H69" s="194" t="s">
        <v>13</v>
      </c>
      <c r="I69" s="195" t="s">
        <v>41</v>
      </c>
      <c r="J69" s="195"/>
      <c r="K69" s="196"/>
      <c r="L69" s="197">
        <v>0.0</v>
      </c>
      <c r="M69" s="197"/>
      <c r="N69" s="197">
        <v>0.0</v>
      </c>
      <c r="O69" s="198">
        <f>+IF(L69&gt;0,N69*100/L69,0)</f>
        <v>0</v>
      </c>
      <c r="P69" s="198"/>
    </row>
    <row r="70" ht="21.75" customHeight="1">
      <c r="A70" s="189"/>
      <c r="B70" s="190"/>
      <c r="C70" s="190"/>
      <c r="D70" s="199"/>
      <c r="E70" s="192"/>
      <c r="F70" s="192" t="s">
        <v>41</v>
      </c>
      <c r="G70" s="193" t="s">
        <v>42</v>
      </c>
      <c r="H70" s="194" t="s">
        <v>13</v>
      </c>
      <c r="I70" s="195"/>
      <c r="J70" s="195"/>
      <c r="K70" s="196"/>
      <c r="L70" s="200">
        <f>L71+L72</f>
        <v>1019200</v>
      </c>
      <c r="M70" s="201">
        <f>IFERROR(__xludf.DUMMYFUNCTION("IMPORTRANGE(""https://docs.google.com/spreadsheets/d/1Yj_ptqi66GCucihVvJfMjLAmec39IyEx_6qawtMGysU/edit?usp=sharing"",""สบก!AI45"")"),582100.0)</f>
        <v>582100</v>
      </c>
      <c r="N70" s="202">
        <f>IFERROR(__xludf.DUMMYFUNCTION("IMPORTRANGE(""https://docs.google.com/spreadsheets/d/1Yj_ptqi66GCucihVvJfMjLAmec39IyEx_6qawtMGysU/edit?usp=sharing"",""สบก!AJ45"")"),220122.0)</f>
        <v>220122</v>
      </c>
      <c r="O70" s="203">
        <f>IF(L70&gt;0,N70*100/L70,0)</f>
        <v>21.59752747</v>
      </c>
      <c r="P70" s="203">
        <f>IF(M70&gt;0,N70*100/M70,0)</f>
        <v>37.81515204</v>
      </c>
    </row>
    <row r="71" ht="21.75" customHeight="1">
      <c r="A71" s="189"/>
      <c r="B71" s="190"/>
      <c r="C71" s="190"/>
      <c r="D71" s="199"/>
      <c r="E71" s="192"/>
      <c r="F71" s="192"/>
      <c r="G71" s="204" t="s">
        <v>43</v>
      </c>
      <c r="H71" s="194" t="s">
        <v>13</v>
      </c>
      <c r="I71" s="195"/>
      <c r="J71" s="195"/>
      <c r="K71" s="196"/>
      <c r="L71" s="201">
        <f>IFERROR(__xludf.DUMMYFUNCTION("IMPORTRANGE(""https://docs.google.com/spreadsheets/d/1Yj_ptqi66GCucihVvJfMjLAmec39IyEx_6qawtMGysU/edit?usp=sharing"",""สบก!AE45"")"),322800.0)</f>
        <v>322800</v>
      </c>
      <c r="M71" s="200"/>
      <c r="N71" s="200"/>
      <c r="O71" s="203"/>
      <c r="P71" s="203"/>
    </row>
    <row r="72" ht="21.75" customHeight="1">
      <c r="A72" s="189"/>
      <c r="B72" s="190"/>
      <c r="C72" s="190"/>
      <c r="D72" s="199"/>
      <c r="E72" s="192"/>
      <c r="F72" s="192"/>
      <c r="G72" s="204" t="s">
        <v>44</v>
      </c>
      <c r="H72" s="194" t="s">
        <v>13</v>
      </c>
      <c r="I72" s="195"/>
      <c r="J72" s="195"/>
      <c r="K72" s="196"/>
      <c r="L72" s="201">
        <f>IFERROR(__xludf.DUMMYFUNCTION("IMPORTRANGE(""https://docs.google.com/spreadsheets/d/1Yj_ptqi66GCucihVvJfMjLAmec39IyEx_6qawtMGysU/edit?usp=sharing"",""สบก!AF45"")"),696400.0)</f>
        <v>696400</v>
      </c>
      <c r="M72" s="200"/>
      <c r="N72" s="200"/>
      <c r="O72" s="203"/>
      <c r="P72" s="203"/>
    </row>
    <row r="73" ht="21.75" customHeight="1">
      <c r="A73" s="205"/>
      <c r="B73" s="104"/>
      <c r="C73" s="105" t="s">
        <v>17</v>
      </c>
      <c r="D73" s="106" t="s">
        <v>24</v>
      </c>
      <c r="E73" s="53"/>
      <c r="F73" s="113"/>
      <c r="G73" s="107" t="s">
        <v>19</v>
      </c>
      <c r="H73" s="206" t="s">
        <v>13</v>
      </c>
      <c r="I73" s="109"/>
      <c r="J73" s="109"/>
      <c r="K73" s="110"/>
      <c r="L73" s="117">
        <v>0.0</v>
      </c>
      <c r="M73" s="117"/>
      <c r="N73" s="62"/>
      <c r="O73" s="117"/>
      <c r="P73" s="117"/>
    </row>
    <row r="74" ht="21.75" customHeight="1">
      <c r="A74" s="207"/>
      <c r="B74" s="119"/>
      <c r="C74" s="119"/>
      <c r="D74" s="208"/>
      <c r="E74" s="120"/>
      <c r="F74" s="120"/>
      <c r="G74" s="121" t="s">
        <v>20</v>
      </c>
      <c r="H74" s="209" t="s">
        <v>13</v>
      </c>
      <c r="I74" s="123"/>
      <c r="J74" s="123"/>
      <c r="K74" s="124"/>
      <c r="L74" s="115">
        <f>IFERROR(__xludf.DUMMYFUNCTION("IMPORTRANGE(""https://docs.google.com/spreadsheets/d/1Yj_ptqi66GCucihVvJfMjLAmec39IyEx_6qawtMGysU/edit?usp=sharing"",""สบก!AG45"")"),45000.0)</f>
        <v>45000</v>
      </c>
      <c r="M74" s="125"/>
      <c r="N74" s="115">
        <f>IFERROR(__xludf.DUMMYFUNCTION("IMPORTRANGE(""https://docs.google.com/spreadsheets/d/1Yj_ptqi66GCucihVvJfMjLAmec39IyEx_6qawtMGysU/edit?usp=sharing"",""สบก!AK45"")"),45000.0)</f>
        <v>45000</v>
      </c>
      <c r="O74" s="125">
        <f>IF(L74&gt;0,N74*100/L74,0)</f>
        <v>100</v>
      </c>
      <c r="P74" s="125"/>
    </row>
    <row r="75" ht="21.75" customHeight="1">
      <c r="A75" s="210"/>
      <c r="B75" s="211"/>
      <c r="C75" s="190" t="s">
        <v>17</v>
      </c>
      <c r="D75" s="212" t="s">
        <v>45</v>
      </c>
      <c r="E75" s="213"/>
      <c r="F75" s="213"/>
      <c r="G75" s="214"/>
      <c r="H75" s="215"/>
      <c r="I75" s="195"/>
      <c r="J75" s="195"/>
      <c r="K75" s="196"/>
      <c r="L75" s="216"/>
      <c r="M75" s="216"/>
      <c r="N75" s="216"/>
      <c r="O75" s="216"/>
      <c r="P75" s="216"/>
    </row>
    <row r="76" ht="21.75" customHeight="1">
      <c r="A76" s="210"/>
      <c r="B76" s="211"/>
      <c r="C76" s="211"/>
      <c r="D76" s="217">
        <v>1.0</v>
      </c>
      <c r="E76" s="218" t="s">
        <v>46</v>
      </c>
      <c r="F76" s="219"/>
      <c r="G76" s="220"/>
      <c r="H76" s="221"/>
      <c r="I76" s="222"/>
      <c r="J76" s="223">
        <f>IFERROR(__xludf.DUMMYFUNCTION("IMPORTRANGE(""https://docs.google.com/spreadsheets/d/1XL5vhW3sbDhbH9Cz0tuDiY8C3ctxq1tqvaCgkFb8cCA/edit?usp=sharing"",""มหาสารคาม!J16"")"),0.0)</f>
        <v>0</v>
      </c>
      <c r="K76" s="196"/>
      <c r="L76" s="216"/>
      <c r="M76" s="216"/>
      <c r="N76" s="216"/>
      <c r="O76" s="216"/>
      <c r="P76" s="216"/>
    </row>
    <row r="77" ht="21.75" customHeight="1">
      <c r="A77" s="210"/>
      <c r="B77" s="211"/>
      <c r="C77" s="211"/>
      <c r="D77" s="224">
        <v>2.0</v>
      </c>
      <c r="E77" s="225" t="s">
        <v>47</v>
      </c>
      <c r="F77" s="226"/>
      <c r="G77" s="227"/>
      <c r="H77" s="221"/>
      <c r="I77" s="222"/>
      <c r="J77" s="223">
        <f>IFERROR(__xludf.DUMMYFUNCTION("IMPORTRANGE(""https://docs.google.com/spreadsheets/d/1XL5vhW3sbDhbH9Cz0tuDiY8C3ctxq1tqvaCgkFb8cCA/edit?usp=sharing"",""มหาสารคาม!J17"")"),1.0)</f>
        <v>1</v>
      </c>
      <c r="K77" s="196"/>
      <c r="L77" s="216" t="s">
        <v>41</v>
      </c>
      <c r="M77" s="216"/>
      <c r="N77" s="216" t="s">
        <v>41</v>
      </c>
      <c r="O77" s="216"/>
      <c r="P77" s="216"/>
    </row>
    <row r="78" ht="21.75" customHeight="1">
      <c r="A78" s="210"/>
      <c r="B78" s="211"/>
      <c r="C78" s="211"/>
      <c r="D78" s="228"/>
      <c r="E78" s="229" t="s">
        <v>48</v>
      </c>
      <c r="F78" s="230"/>
      <c r="G78" s="231"/>
      <c r="H78" s="221"/>
      <c r="I78" s="222"/>
      <c r="J78" s="223">
        <f>IFERROR(__xludf.DUMMYFUNCTION("IMPORTRANGE(""https://docs.google.com/spreadsheets/d/1XL5vhW3sbDhbH9Cz0tuDiY8C3ctxq1tqvaCgkFb8cCA/edit?usp=sharing"",""มหาสารคาม!J18"")"),1.0)</f>
        <v>1</v>
      </c>
      <c r="K78" s="196"/>
      <c r="L78" s="216"/>
      <c r="M78" s="216"/>
      <c r="N78" s="216"/>
      <c r="O78" s="216"/>
      <c r="P78" s="216"/>
    </row>
    <row r="79" ht="21.75" customHeight="1">
      <c r="A79" s="210"/>
      <c r="B79" s="211"/>
      <c r="C79" s="211"/>
      <c r="D79" s="228"/>
      <c r="E79" s="229" t="s">
        <v>49</v>
      </c>
      <c r="F79" s="230"/>
      <c r="G79" s="231"/>
      <c r="H79" s="221"/>
      <c r="I79" s="222"/>
      <c r="J79" s="232">
        <f>IFERROR(__xludf.DUMMYFUNCTION("IMPORTRANGE(""https://docs.google.com/spreadsheets/d/1XL5vhW3sbDhbH9Cz0tuDiY8C3ctxq1tqvaCgkFb8cCA/edit?usp=sharing"",""มหาสารคาม!J19"")"),1.0)</f>
        <v>1</v>
      </c>
      <c r="K79" s="196"/>
      <c r="L79" s="216"/>
      <c r="M79" s="216"/>
      <c r="N79" s="216"/>
      <c r="O79" s="216"/>
      <c r="P79" s="216"/>
    </row>
    <row r="80" ht="21.75" customHeight="1">
      <c r="A80" s="210"/>
      <c r="B80" s="211"/>
      <c r="C80" s="211"/>
      <c r="D80" s="228"/>
      <c r="E80" s="233"/>
      <c r="F80" s="229" t="s">
        <v>50</v>
      </c>
      <c r="G80" s="230"/>
      <c r="H80" s="234" t="s">
        <v>37</v>
      </c>
      <c r="I80" s="235">
        <f>IFERROR(__xludf.DUMMYFUNCTION("IMPORTRANGE(""https://docs.google.com/spreadsheets/d/1XL5vhW3sbDhbH9Cz0tuDiY8C3ctxq1tqvaCgkFb8cCA/edit?usp=sharing"",""มหาสารคาม!I20"")"),2.0)</f>
        <v>2</v>
      </c>
      <c r="J80" s="235">
        <f>IFERROR(__xludf.DUMMYFUNCTION("IMPORTRANGE(""https://docs.google.com/spreadsheets/d/1XL5vhW3sbDhbH9Cz0tuDiY8C3ctxq1tqvaCgkFb8cCA/edit?usp=sharing"",""มหาสารคาม!J20"")"),1.0)</f>
        <v>1</v>
      </c>
      <c r="K80" s="236">
        <f t="shared" ref="K80:K88" si="51">IF(I80&gt;0,J80*100/I80,0)</f>
        <v>50</v>
      </c>
      <c r="L80" s="216"/>
      <c r="M80" s="216"/>
      <c r="N80" s="216"/>
      <c r="O80" s="216"/>
      <c r="P80" s="216"/>
    </row>
    <row r="81" ht="21.75" customHeight="1">
      <c r="A81" s="210"/>
      <c r="B81" s="211"/>
      <c r="C81" s="211"/>
      <c r="D81" s="228"/>
      <c r="E81" s="233"/>
      <c r="F81" s="230"/>
      <c r="G81" s="231"/>
      <c r="H81" s="234" t="s">
        <v>38</v>
      </c>
      <c r="I81" s="235">
        <f>IFERROR(__xludf.DUMMYFUNCTION("IMPORTRANGE(""https://docs.google.com/spreadsheets/d/1XL5vhW3sbDhbH9Cz0tuDiY8C3ctxq1tqvaCgkFb8cCA/edit?usp=sharing"",""มหาสารคาม!I21"")"),77.0)</f>
        <v>77</v>
      </c>
      <c r="J81" s="235">
        <f>IFERROR(__xludf.DUMMYFUNCTION("IMPORTRANGE(""https://docs.google.com/spreadsheets/d/1XL5vhW3sbDhbH9Cz0tuDiY8C3ctxq1tqvaCgkFb8cCA/edit?usp=sharing"",""มหาสารคาม!J21"")"),37.0)</f>
        <v>37</v>
      </c>
      <c r="K81" s="236">
        <f t="shared" si="51"/>
        <v>48.05194805</v>
      </c>
      <c r="L81" s="216"/>
      <c r="M81" s="216"/>
      <c r="N81" s="216"/>
      <c r="O81" s="216"/>
      <c r="P81" s="216"/>
    </row>
    <row r="82" ht="21.75" customHeight="1">
      <c r="A82" s="210"/>
      <c r="B82" s="211"/>
      <c r="C82" s="211"/>
      <c r="D82" s="228"/>
      <c r="E82" s="233"/>
      <c r="F82" s="230"/>
      <c r="G82" s="230" t="s">
        <v>51</v>
      </c>
      <c r="H82" s="215" t="s">
        <v>37</v>
      </c>
      <c r="I82" s="237">
        <f>IFERROR(__xludf.DUMMYFUNCTION("IMPORTRANGE(""https://docs.google.com/spreadsheets/d/1XL5vhW3sbDhbH9Cz0tuDiY8C3ctxq1tqvaCgkFb8cCA/edit?usp=sharing"",""มหาสารคาม!I22"")"),1.0)</f>
        <v>1</v>
      </c>
      <c r="J82" s="238">
        <f>IFERROR(__xludf.DUMMYFUNCTION("IMPORTRANGE(""https://docs.google.com/spreadsheets/d/1XL5vhW3sbDhbH9Cz0tuDiY8C3ctxq1tqvaCgkFb8cCA/edit?usp=sharing"",""มหาสารคาม!J22"")"),1.0)</f>
        <v>1</v>
      </c>
      <c r="K82" s="196">
        <f t="shared" si="51"/>
        <v>100</v>
      </c>
      <c r="L82" s="216"/>
      <c r="M82" s="216"/>
      <c r="N82" s="216"/>
      <c r="O82" s="216"/>
      <c r="P82" s="216"/>
    </row>
    <row r="83" ht="21.75" customHeight="1">
      <c r="A83" s="210"/>
      <c r="B83" s="211"/>
      <c r="C83" s="211"/>
      <c r="D83" s="228"/>
      <c r="E83" s="233"/>
      <c r="F83" s="230"/>
      <c r="G83" s="231"/>
      <c r="H83" s="215" t="s">
        <v>38</v>
      </c>
      <c r="I83" s="237">
        <f>IFERROR(__xludf.DUMMYFUNCTION("IMPORTRANGE(""https://docs.google.com/spreadsheets/d/1XL5vhW3sbDhbH9Cz0tuDiY8C3ctxq1tqvaCgkFb8cCA/edit?usp=sharing"",""มหาสารคาม!I23"")"),37.0)</f>
        <v>37</v>
      </c>
      <c r="J83" s="238">
        <f>IFERROR(__xludf.DUMMYFUNCTION("IMPORTRANGE(""https://docs.google.com/spreadsheets/d/1XL5vhW3sbDhbH9Cz0tuDiY8C3ctxq1tqvaCgkFb8cCA/edit?usp=sharing"",""มหาสารคาม!J23"")"),37.0)</f>
        <v>37</v>
      </c>
      <c r="K83" s="196">
        <f t="shared" si="51"/>
        <v>100</v>
      </c>
      <c r="L83" s="216"/>
      <c r="M83" s="216"/>
      <c r="N83" s="216"/>
      <c r="O83" s="216"/>
      <c r="P83" s="216"/>
    </row>
    <row r="84" ht="21.75" customHeight="1">
      <c r="A84" s="210"/>
      <c r="B84" s="211"/>
      <c r="C84" s="211"/>
      <c r="D84" s="228"/>
      <c r="E84" s="233"/>
      <c r="F84" s="230"/>
      <c r="G84" s="230" t="s">
        <v>52</v>
      </c>
      <c r="H84" s="215" t="s">
        <v>37</v>
      </c>
      <c r="I84" s="237">
        <f>IFERROR(__xludf.DUMMYFUNCTION("IMPORTRANGE(""https://docs.google.com/spreadsheets/d/1XL5vhW3sbDhbH9Cz0tuDiY8C3ctxq1tqvaCgkFb8cCA/edit?usp=sharing"",""มหาสารคาม!I24"")"),1.0)</f>
        <v>1</v>
      </c>
      <c r="J84" s="223">
        <f>IFERROR(__xludf.DUMMYFUNCTION("IMPORTRANGE(""https://docs.google.com/spreadsheets/d/1XL5vhW3sbDhbH9Cz0tuDiY8C3ctxq1tqvaCgkFb8cCA/edit?usp=sharing"",""มหาสารคาม!J24"")"),0.0)</f>
        <v>0</v>
      </c>
      <c r="K84" s="196">
        <f t="shared" si="51"/>
        <v>0</v>
      </c>
      <c r="L84" s="216"/>
      <c r="M84" s="216"/>
      <c r="N84" s="216"/>
      <c r="O84" s="216"/>
      <c r="P84" s="216"/>
    </row>
    <row r="85" ht="21.75" customHeight="1">
      <c r="A85" s="210"/>
      <c r="B85" s="211"/>
      <c r="C85" s="211"/>
      <c r="D85" s="228"/>
      <c r="E85" s="233"/>
      <c r="F85" s="230"/>
      <c r="G85" s="231"/>
      <c r="H85" s="215" t="s">
        <v>38</v>
      </c>
      <c r="I85" s="237">
        <f>IFERROR(__xludf.DUMMYFUNCTION("IMPORTRANGE(""https://docs.google.com/spreadsheets/d/1XL5vhW3sbDhbH9Cz0tuDiY8C3ctxq1tqvaCgkFb8cCA/edit?usp=sharing"",""มหาสารคาม!I25"")"),40.0)</f>
        <v>40</v>
      </c>
      <c r="J85" s="223">
        <f>IFERROR(__xludf.DUMMYFUNCTION("IMPORTRANGE(""https://docs.google.com/spreadsheets/d/1XL5vhW3sbDhbH9Cz0tuDiY8C3ctxq1tqvaCgkFb8cCA/edit?usp=sharing"",""มหาสารคาม!J25"")"),0.0)</f>
        <v>0</v>
      </c>
      <c r="K85" s="196">
        <f t="shared" si="51"/>
        <v>0</v>
      </c>
      <c r="L85" s="216"/>
      <c r="M85" s="216"/>
      <c r="N85" s="216"/>
      <c r="O85" s="216"/>
      <c r="P85" s="216"/>
    </row>
    <row r="86" ht="21.75" customHeight="1">
      <c r="A86" s="210"/>
      <c r="B86" s="211"/>
      <c r="C86" s="211"/>
      <c r="D86" s="228"/>
      <c r="E86" s="233"/>
      <c r="F86" s="230"/>
      <c r="G86" s="230" t="s">
        <v>53</v>
      </c>
      <c r="H86" s="215" t="s">
        <v>37</v>
      </c>
      <c r="I86" s="237">
        <f>IFERROR(__xludf.DUMMYFUNCTION("IMPORTRANGE(""https://docs.google.com/spreadsheets/d/1XL5vhW3sbDhbH9Cz0tuDiY8C3ctxq1tqvaCgkFb8cCA/edit?usp=sharing"",""มหาสารคาม!I26"")"),0.0)</f>
        <v>0</v>
      </c>
      <c r="J86" s="238">
        <f>IFERROR(__xludf.DUMMYFUNCTION("IMPORTRANGE(""https://docs.google.com/spreadsheets/d/1XL5vhW3sbDhbH9Cz0tuDiY8C3ctxq1tqvaCgkFb8cCA/edit?usp=sharing"",""มหาสารคาม!J26"")"),0.0)</f>
        <v>0</v>
      </c>
      <c r="K86" s="196">
        <f t="shared" si="51"/>
        <v>0</v>
      </c>
      <c r="L86" s="216"/>
      <c r="M86" s="216"/>
      <c r="N86" s="216"/>
      <c r="O86" s="216"/>
      <c r="P86" s="216"/>
    </row>
    <row r="87" ht="21.75" customHeight="1">
      <c r="A87" s="210"/>
      <c r="B87" s="211"/>
      <c r="C87" s="211"/>
      <c r="D87" s="228"/>
      <c r="E87" s="233"/>
      <c r="F87" s="230"/>
      <c r="G87" s="231"/>
      <c r="H87" s="215" t="s">
        <v>38</v>
      </c>
      <c r="I87" s="237">
        <f>IFERROR(__xludf.DUMMYFUNCTION("IMPORTRANGE(""https://docs.google.com/spreadsheets/d/1XL5vhW3sbDhbH9Cz0tuDiY8C3ctxq1tqvaCgkFb8cCA/edit?usp=sharing"",""มหาสารคาม!I27"")"),0.0)</f>
        <v>0</v>
      </c>
      <c r="J87" s="238">
        <f>IFERROR(__xludf.DUMMYFUNCTION("IMPORTRANGE(""https://docs.google.com/spreadsheets/d/1XL5vhW3sbDhbH9Cz0tuDiY8C3ctxq1tqvaCgkFb8cCA/edit?usp=sharing"",""มหาสารคาม!J27"")"),0.0)</f>
        <v>0</v>
      </c>
      <c r="K87" s="196">
        <f t="shared" si="51"/>
        <v>0</v>
      </c>
      <c r="L87" s="216"/>
      <c r="M87" s="216"/>
      <c r="N87" s="216"/>
      <c r="O87" s="216"/>
      <c r="P87" s="216"/>
    </row>
    <row r="88" ht="21.75" customHeight="1">
      <c r="A88" s="210"/>
      <c r="B88" s="211"/>
      <c r="C88" s="211"/>
      <c r="D88" s="228"/>
      <c r="E88" s="233"/>
      <c r="F88" s="239" t="s">
        <v>54</v>
      </c>
      <c r="G88" s="230"/>
      <c r="H88" s="215" t="s">
        <v>38</v>
      </c>
      <c r="I88" s="237">
        <f>IFERROR(__xludf.DUMMYFUNCTION("IMPORTRANGE(""https://docs.google.com/spreadsheets/d/1XL5vhW3sbDhbH9Cz0tuDiY8C3ctxq1tqvaCgkFb8cCA/edit?usp=sharing"",""มหาสารคาม!I28"")"),37.0)</f>
        <v>37</v>
      </c>
      <c r="J88" s="238">
        <f>IFERROR(__xludf.DUMMYFUNCTION("IMPORTRANGE(""https://docs.google.com/spreadsheets/d/1XL5vhW3sbDhbH9Cz0tuDiY8C3ctxq1tqvaCgkFb8cCA/edit?usp=sharing"",""มหาสารคาม!J28"")"),0.0)</f>
        <v>0</v>
      </c>
      <c r="K88" s="196">
        <f t="shared" si="51"/>
        <v>0</v>
      </c>
      <c r="L88" s="216"/>
      <c r="M88" s="216"/>
      <c r="N88" s="216"/>
      <c r="O88" s="216"/>
      <c r="P88" s="216"/>
    </row>
    <row r="89" ht="21.75" customHeight="1">
      <c r="A89" s="210"/>
      <c r="B89" s="211"/>
      <c r="C89" s="211"/>
      <c r="D89" s="228"/>
      <c r="E89" s="229" t="s">
        <v>55</v>
      </c>
      <c r="F89" s="230"/>
      <c r="G89" s="231"/>
      <c r="H89" s="221"/>
      <c r="I89" s="222"/>
      <c r="J89" s="232">
        <f>IFERROR(__xludf.DUMMYFUNCTION("IMPORTRANGE(""https://docs.google.com/spreadsheets/d/1XL5vhW3sbDhbH9Cz0tuDiY8C3ctxq1tqvaCgkFb8cCA/edit?usp=sharing"",""มหาสารคาม!J29"")"),0.0)</f>
        <v>0</v>
      </c>
      <c r="K89" s="196"/>
      <c r="L89" s="216"/>
      <c r="M89" s="216"/>
      <c r="N89" s="216"/>
      <c r="O89" s="216"/>
      <c r="P89" s="216"/>
    </row>
    <row r="90" ht="21.75" customHeight="1">
      <c r="A90" s="210"/>
      <c r="B90" s="211"/>
      <c r="C90" s="211"/>
      <c r="D90" s="240">
        <v>3.0</v>
      </c>
      <c r="E90" s="241" t="s">
        <v>56</v>
      </c>
      <c r="F90" s="242"/>
      <c r="G90" s="243"/>
      <c r="H90" s="221"/>
      <c r="I90" s="222"/>
      <c r="J90" s="244">
        <f>IFERROR(__xludf.DUMMYFUNCTION("IMPORTRANGE(""https://docs.google.com/spreadsheets/d/1XL5vhW3sbDhbH9Cz0tuDiY8C3ctxq1tqvaCgkFb8cCA/edit?usp=sharing"",""มหาสารคาม!J30"")"),0.0)</f>
        <v>0</v>
      </c>
      <c r="K90" s="196"/>
      <c r="L90" s="216"/>
      <c r="M90" s="216"/>
      <c r="N90" s="216"/>
      <c r="O90" s="216"/>
      <c r="P90" s="216"/>
    </row>
    <row r="91" ht="21.75" customHeight="1">
      <c r="A91" s="245" t="s">
        <v>57</v>
      </c>
      <c r="B91" s="246"/>
      <c r="C91" s="247"/>
      <c r="D91" s="246"/>
      <c r="E91" s="248"/>
      <c r="F91" s="248"/>
      <c r="G91" s="249"/>
      <c r="H91" s="250"/>
      <c r="I91" s="251"/>
      <c r="J91" s="251"/>
      <c r="K91" s="252"/>
      <c r="L91" s="253"/>
      <c r="M91" s="253"/>
      <c r="N91" s="253"/>
      <c r="O91" s="254"/>
      <c r="P91" s="254"/>
    </row>
    <row r="92" ht="21.75" customHeight="1">
      <c r="A92" s="168"/>
      <c r="B92" s="169" t="s">
        <v>58</v>
      </c>
      <c r="C92" s="169"/>
      <c r="D92" s="170"/>
      <c r="E92" s="169"/>
      <c r="F92" s="169"/>
      <c r="G92" s="255"/>
      <c r="H92" s="171" t="s">
        <v>38</v>
      </c>
      <c r="I92" s="172">
        <f>IFERROR(__xludf.DUMMYFUNCTION("IMPORTRANGE(""https://docs.google.com/spreadsheets/d/1XL5vhW3sbDhbH9Cz0tuDiY8C3ctxq1tqvaCgkFb8cCA/edit?usp=sharing"",""มหาสารคาม!I32"")"),4.0)</f>
        <v>4</v>
      </c>
      <c r="J92" s="172">
        <f>IFERROR(__xludf.DUMMYFUNCTION("IMPORTRANGE(""https://docs.google.com/spreadsheets/d/1XL5vhW3sbDhbH9Cz0tuDiY8C3ctxq1tqvaCgkFb8cCA/edit?usp=sharing"",""มหาสารคาม!J32"")"),0.0)</f>
        <v>0</v>
      </c>
      <c r="K92" s="173">
        <f t="shared" ref="K92:K93" si="52">IF(I92&gt;0,J92*100/I92,0)</f>
        <v>0</v>
      </c>
      <c r="L92" s="256"/>
      <c r="M92" s="256"/>
      <c r="N92" s="257"/>
      <c r="O92" s="173"/>
      <c r="P92" s="173"/>
    </row>
    <row r="93" ht="21.75" customHeight="1">
      <c r="A93" s="168"/>
      <c r="B93" s="169"/>
      <c r="C93" s="169"/>
      <c r="D93" s="170" t="s">
        <v>59</v>
      </c>
      <c r="E93" s="169"/>
      <c r="F93" s="169"/>
      <c r="G93" s="255"/>
      <c r="H93" s="171" t="s">
        <v>60</v>
      </c>
      <c r="I93" s="172">
        <f>IFERROR(__xludf.DUMMYFUNCTION("IMPORTRANGE(""https://docs.google.com/spreadsheets/d/1XL5vhW3sbDhbH9Cz0tuDiY8C3ctxq1tqvaCgkFb8cCA/edit?usp=sharing"",""มหาสารคาม!I33"")"),1.0)</f>
        <v>1</v>
      </c>
      <c r="J93" s="172">
        <f>IFERROR(__xludf.DUMMYFUNCTION("IMPORTRANGE(""https://docs.google.com/spreadsheets/d/1XL5vhW3sbDhbH9Cz0tuDiY8C3ctxq1tqvaCgkFb8cCA/edit?usp=sharing"",""มหาสารคาม!J33"")"),1.0)</f>
        <v>1</v>
      </c>
      <c r="K93" s="173">
        <f t="shared" si="52"/>
        <v>100</v>
      </c>
      <c r="L93" s="257"/>
      <c r="M93" s="257"/>
      <c r="N93" s="257"/>
      <c r="O93" s="173"/>
      <c r="P93" s="173"/>
    </row>
    <row r="94" ht="21.75" customHeight="1">
      <c r="A94" s="176"/>
      <c r="B94" s="177"/>
      <c r="C94" s="178" t="s">
        <v>17</v>
      </c>
      <c r="D94" s="179" t="s">
        <v>18</v>
      </c>
      <c r="E94" s="37"/>
      <c r="F94" s="37"/>
      <c r="G94" s="37"/>
      <c r="H94" s="180" t="s">
        <v>13</v>
      </c>
      <c r="I94" s="195"/>
      <c r="J94" s="195"/>
      <c r="K94" s="196"/>
      <c r="L94" s="183">
        <f t="shared" ref="L94:N94" si="53">L95+L96</f>
        <v>214500</v>
      </c>
      <c r="M94" s="183">
        <f t="shared" si="53"/>
        <v>68730</v>
      </c>
      <c r="N94" s="183">
        <f t="shared" si="53"/>
        <v>125200</v>
      </c>
      <c r="O94" s="182">
        <f t="shared" ref="O94:O96" si="55">IF(L94&gt;0,N94*100/L94,0)</f>
        <v>58.36829837</v>
      </c>
      <c r="P94" s="182">
        <f t="shared" ref="P94:P96" si="56">IF(M94&gt;0,N94*100/M94,0)</f>
        <v>182.1620835</v>
      </c>
    </row>
    <row r="95" ht="21.75" customHeight="1">
      <c r="A95" s="184"/>
      <c r="B95" s="50"/>
      <c r="C95" s="50"/>
      <c r="D95" s="50"/>
      <c r="E95" s="50"/>
      <c r="F95" s="50"/>
      <c r="G95" s="51" t="s">
        <v>19</v>
      </c>
      <c r="H95" s="185" t="s">
        <v>13</v>
      </c>
      <c r="I95" s="195"/>
      <c r="J95" s="195"/>
      <c r="K95" s="196"/>
      <c r="L95" s="188">
        <f t="shared" ref="L95:N95" si="54">L97+L101</f>
        <v>0</v>
      </c>
      <c r="M95" s="188">
        <f t="shared" si="54"/>
        <v>0</v>
      </c>
      <c r="N95" s="188">
        <f t="shared" si="54"/>
        <v>0</v>
      </c>
      <c r="O95" s="187">
        <f t="shared" si="55"/>
        <v>0</v>
      </c>
      <c r="P95" s="187">
        <f t="shared" si="56"/>
        <v>0</v>
      </c>
    </row>
    <row r="96" ht="21.75" customHeight="1">
      <c r="A96" s="184"/>
      <c r="B96" s="50"/>
      <c r="C96" s="50"/>
      <c r="D96" s="50"/>
      <c r="E96" s="50"/>
      <c r="F96" s="50"/>
      <c r="G96" s="51" t="s">
        <v>20</v>
      </c>
      <c r="H96" s="185" t="s">
        <v>13</v>
      </c>
      <c r="I96" s="195"/>
      <c r="J96" s="195"/>
      <c r="K96" s="196"/>
      <c r="L96" s="188">
        <f t="shared" ref="L96:N96" si="57">L98+L102</f>
        <v>214500</v>
      </c>
      <c r="M96" s="188">
        <f t="shared" si="57"/>
        <v>68730</v>
      </c>
      <c r="N96" s="188">
        <f t="shared" si="57"/>
        <v>125200</v>
      </c>
      <c r="O96" s="187">
        <f t="shared" si="55"/>
        <v>58.36829837</v>
      </c>
      <c r="P96" s="187">
        <f t="shared" si="56"/>
        <v>182.1620835</v>
      </c>
    </row>
    <row r="97" ht="21.75" customHeight="1">
      <c r="A97" s="189"/>
      <c r="B97" s="190"/>
      <c r="C97" s="190" t="s">
        <v>17</v>
      </c>
      <c r="D97" s="191" t="s">
        <v>39</v>
      </c>
      <c r="E97" s="192"/>
      <c r="F97" s="192"/>
      <c r="G97" s="193" t="s">
        <v>40</v>
      </c>
      <c r="H97" s="194" t="s">
        <v>13</v>
      </c>
      <c r="I97" s="195" t="s">
        <v>41</v>
      </c>
      <c r="J97" s="195"/>
      <c r="K97" s="196"/>
      <c r="L97" s="197">
        <v>0.0</v>
      </c>
      <c r="M97" s="197"/>
      <c r="N97" s="197">
        <v>0.0</v>
      </c>
      <c r="O97" s="198">
        <f>+IF(L97&gt;0,N97*100/L97,0)</f>
        <v>0</v>
      </c>
      <c r="P97" s="198"/>
    </row>
    <row r="98" ht="21.75" customHeight="1">
      <c r="A98" s="189"/>
      <c r="B98" s="190"/>
      <c r="C98" s="190"/>
      <c r="D98" s="199"/>
      <c r="E98" s="192"/>
      <c r="F98" s="192" t="s">
        <v>41</v>
      </c>
      <c r="G98" s="193" t="s">
        <v>42</v>
      </c>
      <c r="H98" s="194" t="s">
        <v>13</v>
      </c>
      <c r="I98" s="195"/>
      <c r="J98" s="195"/>
      <c r="K98" s="196"/>
      <c r="L98" s="200">
        <f>L99+L100</f>
        <v>122100</v>
      </c>
      <c r="M98" s="201">
        <f>IFERROR(__xludf.DUMMYFUNCTION("IMPORTRANGE(""https://docs.google.com/spreadsheets/d/1Yj_ptqi66GCucihVvJfMjLAmec39IyEx_6qawtMGysU/edit?usp=sharing"",""สบก!AR45"")"),68730.0)</f>
        <v>68730</v>
      </c>
      <c r="N98" s="202">
        <f>IFERROR(__xludf.DUMMYFUNCTION("IMPORTRANGE(""https://docs.google.com/spreadsheets/d/1Yj_ptqi66GCucihVvJfMjLAmec39IyEx_6qawtMGysU/edit?usp=sharing"",""สบก!AS45"")"),32800.0)</f>
        <v>32800</v>
      </c>
      <c r="O98" s="203">
        <f>IF(L98&gt;0,N98*100/L98,0)</f>
        <v>26.86322686</v>
      </c>
      <c r="P98" s="203">
        <f>IF(M98&gt;0,N98*100/M98,0)</f>
        <v>47.72297396</v>
      </c>
    </row>
    <row r="99" ht="21.75" customHeight="1">
      <c r="A99" s="189"/>
      <c r="B99" s="190"/>
      <c r="C99" s="190"/>
      <c r="D99" s="199"/>
      <c r="E99" s="192"/>
      <c r="F99" s="192"/>
      <c r="G99" s="204" t="s">
        <v>43</v>
      </c>
      <c r="H99" s="194" t="s">
        <v>13</v>
      </c>
      <c r="I99" s="195"/>
      <c r="J99" s="195"/>
      <c r="K99" s="196"/>
      <c r="L99" s="201">
        <f>IFERROR(__xludf.DUMMYFUNCTION("IMPORTRANGE(""https://docs.google.com/spreadsheets/d/1Yj_ptqi66GCucihVvJfMjLAmec39IyEx_6qawtMGysU/edit?usp=sharing"",""สบก!AN45"")"),0.0)</f>
        <v>0</v>
      </c>
      <c r="M99" s="200"/>
      <c r="N99" s="200"/>
      <c r="O99" s="203"/>
      <c r="P99" s="203"/>
    </row>
    <row r="100" ht="21.75" customHeight="1">
      <c r="A100" s="189"/>
      <c r="B100" s="190"/>
      <c r="C100" s="190"/>
      <c r="D100" s="199"/>
      <c r="E100" s="192"/>
      <c r="F100" s="192"/>
      <c r="G100" s="204" t="s">
        <v>44</v>
      </c>
      <c r="H100" s="194" t="s">
        <v>13</v>
      </c>
      <c r="I100" s="195"/>
      <c r="J100" s="222"/>
      <c r="K100" s="258"/>
      <c r="L100" s="201">
        <f>IFERROR(__xludf.DUMMYFUNCTION("IMPORTRANGE(""https://docs.google.com/spreadsheets/d/1Yj_ptqi66GCucihVvJfMjLAmec39IyEx_6qawtMGysU/edit?usp=sharing"",""สบก!AO45"")"),122100.0)</f>
        <v>122100</v>
      </c>
      <c r="M100" s="200"/>
      <c r="N100" s="200"/>
      <c r="O100" s="203"/>
      <c r="P100" s="203"/>
    </row>
    <row r="101" ht="21.75" customHeight="1">
      <c r="A101" s="205"/>
      <c r="B101" s="104"/>
      <c r="C101" s="105" t="s">
        <v>17</v>
      </c>
      <c r="D101" s="106" t="s">
        <v>24</v>
      </c>
      <c r="E101" s="53"/>
      <c r="F101" s="113"/>
      <c r="G101" s="107" t="s">
        <v>19</v>
      </c>
      <c r="H101" s="206" t="s">
        <v>13</v>
      </c>
      <c r="I101" s="222"/>
      <c r="J101" s="222"/>
      <c r="K101" s="258"/>
      <c r="L101" s="117">
        <v>0.0</v>
      </c>
      <c r="M101" s="117"/>
      <c r="N101" s="62"/>
      <c r="O101" s="117"/>
      <c r="P101" s="117"/>
    </row>
    <row r="102" ht="21.75" customHeight="1">
      <c r="A102" s="207"/>
      <c r="B102" s="119"/>
      <c r="C102" s="119"/>
      <c r="D102" s="208"/>
      <c r="E102" s="120"/>
      <c r="F102" s="120"/>
      <c r="G102" s="121" t="s">
        <v>20</v>
      </c>
      <c r="H102" s="209" t="s">
        <v>13</v>
      </c>
      <c r="I102" s="222"/>
      <c r="J102" s="222"/>
      <c r="K102" s="258"/>
      <c r="L102" s="115">
        <f>IFERROR(__xludf.DUMMYFUNCTION("IMPORTRANGE(""https://docs.google.com/spreadsheets/d/1Yj_ptqi66GCucihVvJfMjLAmec39IyEx_6qawtMGysU/edit?usp=sharing"",""สบก!AP45"")"),92400.0)</f>
        <v>92400</v>
      </c>
      <c r="M102" s="125"/>
      <c r="N102" s="115">
        <f>IFERROR(__xludf.DUMMYFUNCTION("IMPORTRANGE(""https://docs.google.com/spreadsheets/d/1Yj_ptqi66GCucihVvJfMjLAmec39IyEx_6qawtMGysU/edit?usp=sharing"",""สบก!AT45"")"),92400.0)</f>
        <v>92400</v>
      </c>
      <c r="O102" s="125">
        <f>IF(L102&gt;0,N102*100/L102,0)</f>
        <v>100</v>
      </c>
      <c r="P102" s="125"/>
    </row>
    <row r="103" ht="21.75" customHeight="1">
      <c r="A103" s="210"/>
      <c r="B103" s="211"/>
      <c r="C103" s="190" t="s">
        <v>17</v>
      </c>
      <c r="D103" s="212" t="s">
        <v>45</v>
      </c>
      <c r="E103" s="213"/>
      <c r="F103" s="213"/>
      <c r="G103" s="214"/>
      <c r="H103" s="215"/>
      <c r="I103" s="195"/>
      <c r="J103" s="222"/>
      <c r="K103" s="258"/>
      <c r="L103" s="203"/>
      <c r="M103" s="203"/>
      <c r="N103" s="203"/>
      <c r="O103" s="216"/>
      <c r="P103" s="216"/>
    </row>
    <row r="104" ht="21.75" customHeight="1">
      <c r="A104" s="210"/>
      <c r="B104" s="211"/>
      <c r="C104" s="211"/>
      <c r="D104" s="217">
        <v>1.0</v>
      </c>
      <c r="E104" s="218" t="s">
        <v>46</v>
      </c>
      <c r="F104" s="219"/>
      <c r="G104" s="220"/>
      <c r="H104" s="221"/>
      <c r="I104" s="222"/>
      <c r="J104" s="222">
        <f>IFERROR(__xludf.DUMMYFUNCTION("IMPORTRANGE(""https://docs.google.com/spreadsheets/d/1XL5vhW3sbDhbH9Cz0tuDiY8C3ctxq1tqvaCgkFb8cCA/edit?usp=sharing"",""มหาสารคาม!J39"")"),0.0)</f>
        <v>0</v>
      </c>
      <c r="K104" s="258"/>
      <c r="L104" s="203"/>
      <c r="M104" s="203"/>
      <c r="N104" s="203"/>
      <c r="O104" s="216"/>
      <c r="P104" s="216"/>
    </row>
    <row r="105" ht="21.75" customHeight="1">
      <c r="A105" s="210"/>
      <c r="B105" s="211"/>
      <c r="C105" s="211"/>
      <c r="D105" s="224">
        <v>2.0</v>
      </c>
      <c r="E105" s="225" t="s">
        <v>47</v>
      </c>
      <c r="F105" s="226"/>
      <c r="G105" s="227"/>
      <c r="H105" s="221"/>
      <c r="I105" s="222"/>
      <c r="J105" s="222">
        <f>IFERROR(__xludf.DUMMYFUNCTION("IMPORTRANGE(""https://docs.google.com/spreadsheets/d/1XL5vhW3sbDhbH9Cz0tuDiY8C3ctxq1tqvaCgkFb8cCA/edit?usp=sharing"",""มหาสารคาม!J40"")"),1.0)</f>
        <v>1</v>
      </c>
      <c r="K105" s="258"/>
      <c r="L105" s="203" t="s">
        <v>41</v>
      </c>
      <c r="M105" s="203"/>
      <c r="N105" s="203" t="s">
        <v>41</v>
      </c>
      <c r="O105" s="216"/>
      <c r="P105" s="216"/>
    </row>
    <row r="106" ht="21.75" customHeight="1">
      <c r="A106" s="210"/>
      <c r="B106" s="211"/>
      <c r="C106" s="211"/>
      <c r="D106" s="228"/>
      <c r="E106" s="229" t="s">
        <v>48</v>
      </c>
      <c r="F106" s="230"/>
      <c r="G106" s="231"/>
      <c r="H106" s="221"/>
      <c r="I106" s="222"/>
      <c r="J106" s="222">
        <f>IFERROR(__xludf.DUMMYFUNCTION("IMPORTRANGE(""https://docs.google.com/spreadsheets/d/1XL5vhW3sbDhbH9Cz0tuDiY8C3ctxq1tqvaCgkFb8cCA/edit?usp=sharing"",""มหาสารคาม!J41"")"),1.0)</f>
        <v>1</v>
      </c>
      <c r="K106" s="258"/>
      <c r="L106" s="203"/>
      <c r="M106" s="203"/>
      <c r="N106" s="203"/>
      <c r="O106" s="216"/>
      <c r="P106" s="216"/>
    </row>
    <row r="107" ht="21.75" customHeight="1">
      <c r="A107" s="210"/>
      <c r="B107" s="211"/>
      <c r="C107" s="211"/>
      <c r="D107" s="228"/>
      <c r="E107" s="229" t="s">
        <v>49</v>
      </c>
      <c r="F107" s="230"/>
      <c r="G107" s="231"/>
      <c r="H107" s="221"/>
      <c r="I107" s="222"/>
      <c r="J107" s="222">
        <f>IFERROR(__xludf.DUMMYFUNCTION("IMPORTRANGE(""https://docs.google.com/spreadsheets/d/1XL5vhW3sbDhbH9Cz0tuDiY8C3ctxq1tqvaCgkFb8cCA/edit?usp=sharing"",""มหาสารคาม!J42"")"),1.0)</f>
        <v>1</v>
      </c>
      <c r="K107" s="258"/>
      <c r="L107" s="203"/>
      <c r="M107" s="203"/>
      <c r="N107" s="203"/>
      <c r="O107" s="216"/>
      <c r="P107" s="216"/>
    </row>
    <row r="108" ht="21.75" customHeight="1">
      <c r="A108" s="210"/>
      <c r="B108" s="211"/>
      <c r="C108" s="211"/>
      <c r="D108" s="228"/>
      <c r="E108" s="230"/>
      <c r="F108" s="230" t="s">
        <v>61</v>
      </c>
      <c r="G108" s="230"/>
      <c r="H108" s="215" t="s">
        <v>62</v>
      </c>
      <c r="I108" s="237">
        <f>IFERROR(__xludf.DUMMYFUNCTION("IMPORTRANGE(""https://docs.google.com/spreadsheets/d/1XL5vhW3sbDhbH9Cz0tuDiY8C3ctxq1tqvaCgkFb8cCA/edit?usp=sharing"",""มหาสารคาม!I43"")"),1.0)</f>
        <v>1</v>
      </c>
      <c r="J108" s="238">
        <f>IFERROR(__xludf.DUMMYFUNCTION("IMPORTRANGE(""https://docs.google.com/spreadsheets/d/1XL5vhW3sbDhbH9Cz0tuDiY8C3ctxq1tqvaCgkFb8cCA/edit?usp=sharing"",""มหาสารคาม!J43"")"),1.0)</f>
        <v>1</v>
      </c>
      <c r="K108" s="258">
        <f t="shared" ref="K108:K113" si="58">IF(I108&gt;0,J108*100/I108,0)</f>
        <v>100</v>
      </c>
      <c r="L108" s="203"/>
      <c r="M108" s="203"/>
      <c r="N108" s="203"/>
      <c r="O108" s="216"/>
      <c r="P108" s="216"/>
    </row>
    <row r="109" ht="21.75" customHeight="1">
      <c r="A109" s="210"/>
      <c r="B109" s="211"/>
      <c r="C109" s="211"/>
      <c r="D109" s="228"/>
      <c r="E109" s="233"/>
      <c r="F109" s="229" t="s">
        <v>63</v>
      </c>
      <c r="G109" s="230"/>
      <c r="H109" s="215" t="s">
        <v>38</v>
      </c>
      <c r="I109" s="237">
        <f>IFERROR(__xludf.DUMMYFUNCTION("IMPORTRANGE(""https://docs.google.com/spreadsheets/d/1XL5vhW3sbDhbH9Cz0tuDiY8C3ctxq1tqvaCgkFb8cCA/edit?usp=sharing"",""มหาสารคาม!I44"")"),4.0)</f>
        <v>4</v>
      </c>
      <c r="J109" s="238">
        <f>IFERROR(__xludf.DUMMYFUNCTION("IMPORTRANGE(""https://docs.google.com/spreadsheets/d/1XL5vhW3sbDhbH9Cz0tuDiY8C3ctxq1tqvaCgkFb8cCA/edit?usp=sharing"",""มหาสารคาม!J44"")"),0.0)</f>
        <v>0</v>
      </c>
      <c r="K109" s="258">
        <f t="shared" si="58"/>
        <v>0</v>
      </c>
      <c r="L109" s="203"/>
      <c r="M109" s="203"/>
      <c r="N109" s="203"/>
      <c r="O109" s="216"/>
      <c r="P109" s="216"/>
    </row>
    <row r="110" ht="21.75" customHeight="1">
      <c r="A110" s="210"/>
      <c r="B110" s="211"/>
      <c r="C110" s="211"/>
      <c r="D110" s="228"/>
      <c r="E110" s="233"/>
      <c r="F110" s="230"/>
      <c r="G110" s="259" t="s">
        <v>64</v>
      </c>
      <c r="H110" s="215" t="s">
        <v>38</v>
      </c>
      <c r="I110" s="237">
        <f>IFERROR(__xludf.DUMMYFUNCTION("IMPORTRANGE(""https://docs.google.com/spreadsheets/d/1XL5vhW3sbDhbH9Cz0tuDiY8C3ctxq1tqvaCgkFb8cCA/edit?usp=sharing"",""มหาสารคาม!I45"")"),4.0)</f>
        <v>4</v>
      </c>
      <c r="J110" s="238">
        <f>IFERROR(__xludf.DUMMYFUNCTION("IMPORTRANGE(""https://docs.google.com/spreadsheets/d/1XL5vhW3sbDhbH9Cz0tuDiY8C3ctxq1tqvaCgkFb8cCA/edit?usp=sharing"",""มหาสารคาม!J45"")"),4.0)</f>
        <v>4</v>
      </c>
      <c r="K110" s="258">
        <f t="shared" si="58"/>
        <v>100</v>
      </c>
      <c r="L110" s="203"/>
      <c r="M110" s="203"/>
      <c r="N110" s="203"/>
      <c r="O110" s="216"/>
      <c r="P110" s="216"/>
    </row>
    <row r="111" ht="21.75" customHeight="1">
      <c r="A111" s="210"/>
      <c r="B111" s="211"/>
      <c r="C111" s="211"/>
      <c r="D111" s="228"/>
      <c r="E111" s="233"/>
      <c r="F111" s="230"/>
      <c r="G111" s="259" t="s">
        <v>65</v>
      </c>
      <c r="H111" s="215" t="s">
        <v>38</v>
      </c>
      <c r="I111" s="237">
        <f>IFERROR(__xludf.DUMMYFUNCTION("IMPORTRANGE(""https://docs.google.com/spreadsheets/d/1XL5vhW3sbDhbH9Cz0tuDiY8C3ctxq1tqvaCgkFb8cCA/edit?usp=sharing"",""มหาสารคาม!I46"")"),4.0)</f>
        <v>4</v>
      </c>
      <c r="J111" s="238">
        <f>IFERROR(__xludf.DUMMYFUNCTION("IMPORTRANGE(""https://docs.google.com/spreadsheets/d/1XL5vhW3sbDhbH9Cz0tuDiY8C3ctxq1tqvaCgkFb8cCA/edit?usp=sharing"",""มหาสารคาม!J46"")"),4.0)</f>
        <v>4</v>
      </c>
      <c r="K111" s="258">
        <f t="shared" si="58"/>
        <v>100</v>
      </c>
      <c r="L111" s="203"/>
      <c r="M111" s="203"/>
      <c r="N111" s="203"/>
      <c r="O111" s="216"/>
      <c r="P111" s="216"/>
    </row>
    <row r="112" ht="21.75" customHeight="1">
      <c r="A112" s="210"/>
      <c r="B112" s="211"/>
      <c r="C112" s="211"/>
      <c r="D112" s="228"/>
      <c r="E112" s="233"/>
      <c r="F112" s="230"/>
      <c r="G112" s="260" t="s">
        <v>66</v>
      </c>
      <c r="H112" s="215" t="s">
        <v>38</v>
      </c>
      <c r="I112" s="237">
        <f>IFERROR(__xludf.DUMMYFUNCTION("IMPORTRANGE(""https://docs.google.com/spreadsheets/d/1XL5vhW3sbDhbH9Cz0tuDiY8C3ctxq1tqvaCgkFb8cCA/edit?usp=sharing"",""มหาสารคาม!I47"")"),4.0)</f>
        <v>4</v>
      </c>
      <c r="J112" s="238">
        <f>IFERROR(__xludf.DUMMYFUNCTION("IMPORTRANGE(""https://docs.google.com/spreadsheets/d/1XL5vhW3sbDhbH9Cz0tuDiY8C3ctxq1tqvaCgkFb8cCA/edit?usp=sharing"",""มหาสารคาม!J47"")"),0.0)</f>
        <v>0</v>
      </c>
      <c r="K112" s="258">
        <f t="shared" si="58"/>
        <v>0</v>
      </c>
      <c r="L112" s="203"/>
      <c r="M112" s="203"/>
      <c r="N112" s="203"/>
      <c r="O112" s="216"/>
      <c r="P112" s="216"/>
    </row>
    <row r="113" ht="21.75" customHeight="1">
      <c r="A113" s="210"/>
      <c r="B113" s="211"/>
      <c r="C113" s="211"/>
      <c r="D113" s="228"/>
      <c r="E113" s="233"/>
      <c r="F113" s="230" t="s">
        <v>67</v>
      </c>
      <c r="G113" s="230"/>
      <c r="H113" s="215" t="s">
        <v>60</v>
      </c>
      <c r="I113" s="237">
        <f>IFERROR(__xludf.DUMMYFUNCTION("IMPORTRANGE(""https://docs.google.com/spreadsheets/d/1XL5vhW3sbDhbH9Cz0tuDiY8C3ctxq1tqvaCgkFb8cCA/edit?usp=sharing"",""มหาสารคาม!I48"")"),1.0)</f>
        <v>1</v>
      </c>
      <c r="J113" s="238">
        <f>IFERROR(__xludf.DUMMYFUNCTION("IMPORTRANGE(""https://docs.google.com/spreadsheets/d/1XL5vhW3sbDhbH9Cz0tuDiY8C3ctxq1tqvaCgkFb8cCA/edit?usp=sharing"",""มหาสารคาม!J48"")"),1.0)</f>
        <v>1</v>
      </c>
      <c r="K113" s="258">
        <f t="shared" si="58"/>
        <v>100</v>
      </c>
      <c r="L113" s="203"/>
      <c r="M113" s="203"/>
      <c r="N113" s="203"/>
      <c r="O113" s="216"/>
      <c r="P113" s="216"/>
    </row>
    <row r="114" ht="21.75" customHeight="1">
      <c r="A114" s="210"/>
      <c r="B114" s="211"/>
      <c r="C114" s="211"/>
      <c r="D114" s="228"/>
      <c r="E114" s="229" t="s">
        <v>55</v>
      </c>
      <c r="F114" s="230"/>
      <c r="G114" s="231"/>
      <c r="H114" s="221"/>
      <c r="I114" s="222"/>
      <c r="J114" s="222">
        <f>IFERROR(__xludf.DUMMYFUNCTION("IMPORTRANGE(""https://docs.google.com/spreadsheets/d/1XL5vhW3sbDhbH9Cz0tuDiY8C3ctxq1tqvaCgkFb8cCA/edit?usp=sharing"",""มหาสารคาม!J49"")"),0.0)</f>
        <v>0</v>
      </c>
      <c r="K114" s="258"/>
      <c r="L114" s="203"/>
      <c r="M114" s="203"/>
      <c r="N114" s="203"/>
      <c r="O114" s="216"/>
      <c r="P114" s="216"/>
    </row>
    <row r="115" ht="21.75" customHeight="1">
      <c r="A115" s="210"/>
      <c r="B115" s="211"/>
      <c r="C115" s="211"/>
      <c r="D115" s="240">
        <v>3.0</v>
      </c>
      <c r="E115" s="241" t="s">
        <v>56</v>
      </c>
      <c r="F115" s="242"/>
      <c r="G115" s="243"/>
      <c r="H115" s="221"/>
      <c r="I115" s="222"/>
      <c r="J115" s="261">
        <f>IFERROR(__xludf.DUMMYFUNCTION("IMPORTRANGE(""https://docs.google.com/spreadsheets/d/1XL5vhW3sbDhbH9Cz0tuDiY8C3ctxq1tqvaCgkFb8cCA/edit?usp=sharing"",""มหาสารคาม!J50"")"),0.0)</f>
        <v>0</v>
      </c>
      <c r="K115" s="258"/>
      <c r="L115" s="203"/>
      <c r="M115" s="203"/>
      <c r="N115" s="203"/>
      <c r="O115" s="216"/>
      <c r="P115" s="216"/>
    </row>
    <row r="116" ht="21.75" customHeight="1">
      <c r="A116" s="245" t="s">
        <v>68</v>
      </c>
      <c r="B116" s="262"/>
      <c r="C116" s="263"/>
      <c r="D116" s="262"/>
      <c r="E116" s="264"/>
      <c r="F116" s="264"/>
      <c r="G116" s="265"/>
      <c r="H116" s="250"/>
      <c r="I116" s="251"/>
      <c r="J116" s="251"/>
      <c r="K116" s="252"/>
      <c r="L116" s="253"/>
      <c r="M116" s="253"/>
      <c r="N116" s="253"/>
      <c r="O116" s="254"/>
      <c r="P116" s="254"/>
    </row>
    <row r="117" ht="21.75" customHeight="1">
      <c r="A117" s="168"/>
      <c r="B117" s="169" t="s">
        <v>69</v>
      </c>
      <c r="C117" s="266"/>
      <c r="D117" s="170"/>
      <c r="E117" s="169"/>
      <c r="F117" s="169"/>
      <c r="G117" s="255"/>
      <c r="H117" s="171" t="s">
        <v>38</v>
      </c>
      <c r="I117" s="172">
        <f>IFERROR(__xludf.DUMMYFUNCTION("IMPORTRANGE(""https://docs.google.com/spreadsheets/d/1XL5vhW3sbDhbH9Cz0tuDiY8C3ctxq1tqvaCgkFb8cCA/edit?usp=sharing"",""มหาสารคาม!I52"")"),0.0)</f>
        <v>0</v>
      </c>
      <c r="J117" s="172">
        <f>IFERROR(__xludf.DUMMYFUNCTION("IMPORTRANGE(""https://docs.google.com/spreadsheets/d/1XL5vhW3sbDhbH9Cz0tuDiY8C3ctxq1tqvaCgkFb8cCA/edit?usp=sharing"",""มหาสารคาม!J52"")"),0.0)</f>
        <v>0</v>
      </c>
      <c r="K117" s="173">
        <f>IF(I117&gt;0,J117*100/I117,0)</f>
        <v>0</v>
      </c>
      <c r="L117" s="174"/>
      <c r="M117" s="174"/>
      <c r="N117" s="175"/>
      <c r="O117" s="173"/>
      <c r="P117" s="173"/>
    </row>
    <row r="118" ht="21.75" customHeight="1">
      <c r="A118" s="176"/>
      <c r="B118" s="177"/>
      <c r="C118" s="178" t="s">
        <v>17</v>
      </c>
      <c r="D118" s="179" t="s">
        <v>18</v>
      </c>
      <c r="E118" s="37"/>
      <c r="F118" s="37"/>
      <c r="G118" s="37"/>
      <c r="H118" s="180" t="s">
        <v>13</v>
      </c>
      <c r="I118" s="195"/>
      <c r="J118" s="195"/>
      <c r="K118" s="196"/>
      <c r="L118" s="183">
        <f t="shared" ref="L118:N118" si="59">L119+L120</f>
        <v>0</v>
      </c>
      <c r="M118" s="183">
        <f t="shared" si="59"/>
        <v>0</v>
      </c>
      <c r="N118" s="183">
        <f t="shared" si="59"/>
        <v>0</v>
      </c>
      <c r="O118" s="182">
        <f t="shared" ref="O118:O120" si="61">IF(L118&gt;0,N118*100/L118,0)</f>
        <v>0</v>
      </c>
      <c r="P118" s="182">
        <f t="shared" ref="P118:P120" si="62">IF(M118&gt;0,N118*100/M118,0)</f>
        <v>0</v>
      </c>
    </row>
    <row r="119" ht="21.75" customHeight="1">
      <c r="A119" s="184"/>
      <c r="B119" s="50"/>
      <c r="C119" s="50"/>
      <c r="D119" s="50"/>
      <c r="E119" s="50"/>
      <c r="F119" s="50"/>
      <c r="G119" s="51" t="s">
        <v>19</v>
      </c>
      <c r="H119" s="185" t="s">
        <v>13</v>
      </c>
      <c r="I119" s="195"/>
      <c r="J119" s="195"/>
      <c r="K119" s="196"/>
      <c r="L119" s="188">
        <f t="shared" ref="L119:N119" si="60">L121+L125</f>
        <v>0</v>
      </c>
      <c r="M119" s="188">
        <f t="shared" si="60"/>
        <v>0</v>
      </c>
      <c r="N119" s="188">
        <f t="shared" si="60"/>
        <v>0</v>
      </c>
      <c r="O119" s="187">
        <f t="shared" si="61"/>
        <v>0</v>
      </c>
      <c r="P119" s="187">
        <f t="shared" si="62"/>
        <v>0</v>
      </c>
    </row>
    <row r="120" ht="21.75" customHeight="1">
      <c r="A120" s="184"/>
      <c r="B120" s="50"/>
      <c r="C120" s="50"/>
      <c r="D120" s="50"/>
      <c r="E120" s="50"/>
      <c r="F120" s="50"/>
      <c r="G120" s="51" t="s">
        <v>20</v>
      </c>
      <c r="H120" s="185" t="s">
        <v>13</v>
      </c>
      <c r="I120" s="195"/>
      <c r="J120" s="195"/>
      <c r="K120" s="196"/>
      <c r="L120" s="188">
        <f t="shared" ref="L120:N120" si="63">L122+L126</f>
        <v>0</v>
      </c>
      <c r="M120" s="188">
        <f t="shared" si="63"/>
        <v>0</v>
      </c>
      <c r="N120" s="188">
        <f t="shared" si="63"/>
        <v>0</v>
      </c>
      <c r="O120" s="187">
        <f t="shared" si="61"/>
        <v>0</v>
      </c>
      <c r="P120" s="187">
        <f t="shared" si="62"/>
        <v>0</v>
      </c>
    </row>
    <row r="121" ht="21.75" customHeight="1">
      <c r="A121" s="189"/>
      <c r="B121" s="190"/>
      <c r="C121" s="190" t="s">
        <v>17</v>
      </c>
      <c r="D121" s="191" t="s">
        <v>39</v>
      </c>
      <c r="E121" s="192"/>
      <c r="F121" s="192"/>
      <c r="G121" s="193" t="s">
        <v>40</v>
      </c>
      <c r="H121" s="194" t="s">
        <v>13</v>
      </c>
      <c r="I121" s="195" t="s">
        <v>41</v>
      </c>
      <c r="J121" s="195"/>
      <c r="K121" s="196"/>
      <c r="L121" s="197">
        <v>0.0</v>
      </c>
      <c r="M121" s="197"/>
      <c r="N121" s="197">
        <v>0.0</v>
      </c>
      <c r="O121" s="198">
        <f>+IF(L121&gt;0,N121*100/L121,0)</f>
        <v>0</v>
      </c>
      <c r="P121" s="198"/>
    </row>
    <row r="122" ht="21.75" customHeight="1">
      <c r="A122" s="189"/>
      <c r="B122" s="190"/>
      <c r="C122" s="190"/>
      <c r="D122" s="199"/>
      <c r="E122" s="192"/>
      <c r="F122" s="192" t="s">
        <v>41</v>
      </c>
      <c r="G122" s="193" t="s">
        <v>42</v>
      </c>
      <c r="H122" s="194" t="s">
        <v>13</v>
      </c>
      <c r="I122" s="195"/>
      <c r="J122" s="195"/>
      <c r="K122" s="196"/>
      <c r="L122" s="200">
        <f>L123+L124</f>
        <v>0</v>
      </c>
      <c r="M122" s="201">
        <f>IFERROR(__xludf.DUMMYFUNCTION("IMPORTRANGE(""https://docs.google.com/spreadsheets/d/1Yj_ptqi66GCucihVvJfMjLAmec39IyEx_6qawtMGysU/edit?usp=sharing"",""สบก!BA45"")"),0.0)</f>
        <v>0</v>
      </c>
      <c r="N122" s="202">
        <f>IFERROR(__xludf.DUMMYFUNCTION("IMPORTRANGE(""https://docs.google.com/spreadsheets/d/1Yj_ptqi66GCucihVvJfMjLAmec39IyEx_6qawtMGysU/edit?usp=sharing"",""สบก!BB45"")"),0.0)</f>
        <v>0</v>
      </c>
      <c r="O122" s="203">
        <f>IF(L122&gt;0,N122*100/L122,0)</f>
        <v>0</v>
      </c>
      <c r="P122" s="203">
        <f>IF(M122&gt;0,N122*100/M122,0)</f>
        <v>0</v>
      </c>
    </row>
    <row r="123" ht="21.75" customHeight="1">
      <c r="A123" s="189"/>
      <c r="B123" s="190"/>
      <c r="C123" s="190"/>
      <c r="D123" s="199"/>
      <c r="E123" s="192"/>
      <c r="F123" s="192"/>
      <c r="G123" s="204" t="s">
        <v>43</v>
      </c>
      <c r="H123" s="194" t="s">
        <v>13</v>
      </c>
      <c r="I123" s="195"/>
      <c r="J123" s="195"/>
      <c r="K123" s="196"/>
      <c r="L123" s="201">
        <f>IFERROR(__xludf.DUMMYFUNCTION("IMPORTRANGE(""https://docs.google.com/spreadsheets/d/1Yj_ptqi66GCucihVvJfMjLAmec39IyEx_6qawtMGysU/edit?usp=sharing"",""สบก!AW45"")"),0.0)</f>
        <v>0</v>
      </c>
      <c r="M123" s="200"/>
      <c r="N123" s="200"/>
      <c r="O123" s="203"/>
      <c r="P123" s="203"/>
    </row>
    <row r="124" ht="21.75" customHeight="1">
      <c r="A124" s="189"/>
      <c r="B124" s="190"/>
      <c r="C124" s="190"/>
      <c r="D124" s="199"/>
      <c r="E124" s="192"/>
      <c r="F124" s="192"/>
      <c r="G124" s="204" t="s">
        <v>44</v>
      </c>
      <c r="H124" s="194" t="s">
        <v>13</v>
      </c>
      <c r="I124" s="195"/>
      <c r="J124" s="222"/>
      <c r="K124" s="258"/>
      <c r="L124" s="201">
        <f>IFERROR(__xludf.DUMMYFUNCTION("IMPORTRANGE(""https://docs.google.com/spreadsheets/d/1Yj_ptqi66GCucihVvJfMjLAmec39IyEx_6qawtMGysU/edit?usp=sharing"",""สบก!AX45"")"),0.0)</f>
        <v>0</v>
      </c>
      <c r="M124" s="200"/>
      <c r="N124" s="200"/>
      <c r="O124" s="203"/>
      <c r="P124" s="203"/>
    </row>
    <row r="125" ht="21.75" customHeight="1">
      <c r="A125" s="205"/>
      <c r="B125" s="104"/>
      <c r="C125" s="105" t="s">
        <v>17</v>
      </c>
      <c r="D125" s="106" t="s">
        <v>24</v>
      </c>
      <c r="E125" s="53"/>
      <c r="F125" s="113"/>
      <c r="G125" s="107" t="s">
        <v>19</v>
      </c>
      <c r="H125" s="206" t="s">
        <v>13</v>
      </c>
      <c r="I125" s="222"/>
      <c r="J125" s="222"/>
      <c r="K125" s="258"/>
      <c r="L125" s="117">
        <v>0.0</v>
      </c>
      <c r="M125" s="117"/>
      <c r="N125" s="62"/>
      <c r="O125" s="117"/>
      <c r="P125" s="117"/>
    </row>
    <row r="126" ht="21.75" customHeight="1">
      <c r="A126" s="207"/>
      <c r="B126" s="119"/>
      <c r="C126" s="119"/>
      <c r="D126" s="208"/>
      <c r="E126" s="120"/>
      <c r="F126" s="120"/>
      <c r="G126" s="121" t="s">
        <v>20</v>
      </c>
      <c r="H126" s="209" t="s">
        <v>13</v>
      </c>
      <c r="I126" s="222"/>
      <c r="J126" s="222"/>
      <c r="K126" s="258"/>
      <c r="L126" s="115">
        <f>IFERROR(__xludf.DUMMYFUNCTION("IMPORTRANGE(""https://docs.google.com/spreadsheets/d/1Yj_ptqi66GCucihVvJfMjLAmec39IyEx_6qawtMGysU/edit?usp=sharing"",""สบก!AY45"")"),0.0)</f>
        <v>0</v>
      </c>
      <c r="M126" s="125"/>
      <c r="N126" s="115">
        <f>IFERROR(__xludf.DUMMYFUNCTION("IMPORTRANGE(""https://docs.google.com/spreadsheets/d/1Yj_ptqi66GCucihVvJfMjLAmec39IyEx_6qawtMGysU/edit?usp=sharing"",""สบก!BC45"")"),0.0)</f>
        <v>0</v>
      </c>
      <c r="O126" s="125">
        <f>IF(L126&gt;0,N126*100/L126,0)</f>
        <v>0</v>
      </c>
      <c r="P126" s="125"/>
    </row>
    <row r="127" ht="21.75" customHeight="1">
      <c r="A127" s="210"/>
      <c r="B127" s="211"/>
      <c r="C127" s="190" t="s">
        <v>17</v>
      </c>
      <c r="D127" s="267" t="s">
        <v>254</v>
      </c>
      <c r="E127" s="213"/>
      <c r="F127" s="213"/>
      <c r="G127" s="214"/>
      <c r="H127" s="215"/>
      <c r="I127" s="195"/>
      <c r="J127" s="222"/>
      <c r="K127" s="258"/>
      <c r="L127" s="203"/>
      <c r="M127" s="203"/>
      <c r="N127" s="203"/>
      <c r="O127" s="216"/>
      <c r="P127" s="216"/>
    </row>
    <row r="128" ht="21.75" customHeight="1">
      <c r="A128" s="210"/>
      <c r="B128" s="211"/>
      <c r="C128" s="211"/>
      <c r="D128" s="217">
        <v>1.0</v>
      </c>
      <c r="E128" s="218" t="s">
        <v>46</v>
      </c>
      <c r="F128" s="219"/>
      <c r="G128" s="220"/>
      <c r="H128" s="221"/>
      <c r="I128" s="222"/>
      <c r="J128" s="238">
        <f>IFERROR(__xludf.DUMMYFUNCTION("IMPORTRANGE(""https://docs.google.com/spreadsheets/d/1XL5vhW3sbDhbH9Cz0tuDiY8C3ctxq1tqvaCgkFb8cCA/edit?usp=sharing"",""มหาสารคาม!J58"")"),0.0)</f>
        <v>0</v>
      </c>
      <c r="K128" s="258"/>
      <c r="L128" s="203"/>
      <c r="M128" s="203"/>
      <c r="N128" s="203"/>
      <c r="O128" s="216"/>
      <c r="P128" s="216"/>
    </row>
    <row r="129" ht="21.75" customHeight="1">
      <c r="A129" s="210"/>
      <c r="B129" s="211"/>
      <c r="C129" s="211"/>
      <c r="D129" s="224">
        <v>2.0</v>
      </c>
      <c r="E129" s="225" t="s">
        <v>47</v>
      </c>
      <c r="F129" s="226"/>
      <c r="G129" s="227"/>
      <c r="H129" s="221"/>
      <c r="I129" s="222"/>
      <c r="J129" s="222">
        <f>IFERROR(__xludf.DUMMYFUNCTION("IMPORTRANGE(""https://docs.google.com/spreadsheets/d/1XL5vhW3sbDhbH9Cz0tuDiY8C3ctxq1tqvaCgkFb8cCA/edit?usp=sharing"",""มหาสารคาม!J59"")"),0.0)</f>
        <v>0</v>
      </c>
      <c r="K129" s="258"/>
      <c r="L129" s="203" t="s">
        <v>41</v>
      </c>
      <c r="M129" s="203"/>
      <c r="N129" s="203" t="s">
        <v>41</v>
      </c>
      <c r="O129" s="216"/>
      <c r="P129" s="216"/>
    </row>
    <row r="130" ht="21.75" customHeight="1">
      <c r="A130" s="210"/>
      <c r="B130" s="211"/>
      <c r="C130" s="211"/>
      <c r="D130" s="228"/>
      <c r="E130" s="229" t="s">
        <v>48</v>
      </c>
      <c r="F130" s="230"/>
      <c r="G130" s="231"/>
      <c r="H130" s="221"/>
      <c r="I130" s="222"/>
      <c r="J130" s="222">
        <f>IFERROR(__xludf.DUMMYFUNCTION("IMPORTRANGE(""https://docs.google.com/spreadsheets/d/1XL5vhW3sbDhbH9Cz0tuDiY8C3ctxq1tqvaCgkFb8cCA/edit?usp=sharing"",""มหาสารคาม!J60"")"),0.0)</f>
        <v>0</v>
      </c>
      <c r="K130" s="258"/>
      <c r="L130" s="203"/>
      <c r="M130" s="203"/>
      <c r="N130" s="203"/>
      <c r="O130" s="216"/>
      <c r="P130" s="216"/>
    </row>
    <row r="131" ht="21.75" customHeight="1">
      <c r="A131" s="210"/>
      <c r="B131" s="211"/>
      <c r="C131" s="211"/>
      <c r="D131" s="228"/>
      <c r="E131" s="229" t="s">
        <v>49</v>
      </c>
      <c r="F131" s="230"/>
      <c r="G131" s="231"/>
      <c r="H131" s="221"/>
      <c r="I131" s="222"/>
      <c r="J131" s="222">
        <f>IFERROR(__xludf.DUMMYFUNCTION("IMPORTRANGE(""https://docs.google.com/spreadsheets/d/1XL5vhW3sbDhbH9Cz0tuDiY8C3ctxq1tqvaCgkFb8cCA/edit?usp=sharing"",""มหาสารคาม!J61"")"),0.0)</f>
        <v>0</v>
      </c>
      <c r="K131" s="258"/>
      <c r="L131" s="203"/>
      <c r="M131" s="203"/>
      <c r="N131" s="203"/>
      <c r="O131" s="216"/>
      <c r="P131" s="216"/>
    </row>
    <row r="132" ht="21.75" customHeight="1">
      <c r="A132" s="210"/>
      <c r="B132" s="211"/>
      <c r="C132" s="211"/>
      <c r="D132" s="228"/>
      <c r="E132" s="233"/>
      <c r="F132" s="229" t="s">
        <v>71</v>
      </c>
      <c r="G132" s="231"/>
      <c r="H132" s="215" t="s">
        <v>38</v>
      </c>
      <c r="I132" s="222">
        <f>IFERROR(__xludf.DUMMYFUNCTION("IMPORTRANGE(""https://docs.google.com/spreadsheets/d/1XL5vhW3sbDhbH9Cz0tuDiY8C3ctxq1tqvaCgkFb8cCA/edit?usp=sharing"",""มหาสารคาม!I62"")"),0.0)</f>
        <v>0</v>
      </c>
      <c r="J132" s="238">
        <f>IFERROR(__xludf.DUMMYFUNCTION("IMPORTRANGE(""https://docs.google.com/spreadsheets/d/1XL5vhW3sbDhbH9Cz0tuDiY8C3ctxq1tqvaCgkFb8cCA/edit?usp=sharing"",""มหาสารคาม!J62"")"),0.0)</f>
        <v>0</v>
      </c>
      <c r="K132" s="258">
        <f t="shared" ref="K132:K133" si="64">IF(I132&gt;0,J132*100/I132,0)</f>
        <v>0</v>
      </c>
      <c r="L132" s="203"/>
      <c r="M132" s="203"/>
      <c r="N132" s="203"/>
      <c r="O132" s="216"/>
      <c r="P132" s="216"/>
    </row>
    <row r="133" ht="21.75" customHeight="1">
      <c r="A133" s="210"/>
      <c r="B133" s="211"/>
      <c r="C133" s="211"/>
      <c r="D133" s="228"/>
      <c r="E133" s="233"/>
      <c r="F133" s="229" t="s">
        <v>72</v>
      </c>
      <c r="G133" s="231"/>
      <c r="H133" s="215" t="s">
        <v>38</v>
      </c>
      <c r="I133" s="222">
        <f>IFERROR(__xludf.DUMMYFUNCTION("IMPORTRANGE(""https://docs.google.com/spreadsheets/d/1XL5vhW3sbDhbH9Cz0tuDiY8C3ctxq1tqvaCgkFb8cCA/edit?usp=sharing"",""มหาสารคาม!I63"")"),0.0)</f>
        <v>0</v>
      </c>
      <c r="J133" s="238">
        <f>IFERROR(__xludf.DUMMYFUNCTION("IMPORTRANGE(""https://docs.google.com/spreadsheets/d/1XL5vhW3sbDhbH9Cz0tuDiY8C3ctxq1tqvaCgkFb8cCA/edit?usp=sharing"",""มหาสารคาม!J63"")"),0.0)</f>
        <v>0</v>
      </c>
      <c r="K133" s="258">
        <f t="shared" si="64"/>
        <v>0</v>
      </c>
      <c r="L133" s="203"/>
      <c r="M133" s="203"/>
      <c r="N133" s="203"/>
      <c r="O133" s="216"/>
      <c r="P133" s="216"/>
    </row>
    <row r="134" ht="21.75" customHeight="1">
      <c r="A134" s="210"/>
      <c r="B134" s="211"/>
      <c r="C134" s="211"/>
      <c r="D134" s="228"/>
      <c r="E134" s="229" t="s">
        <v>55</v>
      </c>
      <c r="F134" s="230"/>
      <c r="G134" s="231"/>
      <c r="H134" s="221"/>
      <c r="I134" s="222"/>
      <c r="J134" s="222">
        <f>IFERROR(__xludf.DUMMYFUNCTION("IMPORTRANGE(""https://docs.google.com/spreadsheets/d/1XL5vhW3sbDhbH9Cz0tuDiY8C3ctxq1tqvaCgkFb8cCA/edit?usp=sharing"",""มหาสารคาม!J64"")"),0.0)</f>
        <v>0</v>
      </c>
      <c r="K134" s="258"/>
      <c r="L134" s="203"/>
      <c r="M134" s="203"/>
      <c r="N134" s="203"/>
      <c r="O134" s="216"/>
      <c r="P134" s="216"/>
    </row>
    <row r="135" ht="21.75" customHeight="1">
      <c r="A135" s="268"/>
      <c r="B135" s="269"/>
      <c r="C135" s="269"/>
      <c r="D135" s="270">
        <v>3.0</v>
      </c>
      <c r="E135" s="271" t="s">
        <v>56</v>
      </c>
      <c r="F135" s="272"/>
      <c r="G135" s="273"/>
      <c r="H135" s="274"/>
      <c r="I135" s="275"/>
      <c r="J135" s="276">
        <f>IFERROR(__xludf.DUMMYFUNCTION("IMPORTRANGE(""https://docs.google.com/spreadsheets/d/1XL5vhW3sbDhbH9Cz0tuDiY8C3ctxq1tqvaCgkFb8cCA/edit?usp=sharing"",""มหาสารคาม!J65"")"),0.0)</f>
        <v>0</v>
      </c>
      <c r="K135" s="277"/>
      <c r="L135" s="278"/>
      <c r="M135" s="278"/>
      <c r="N135" s="278"/>
      <c r="O135" s="279"/>
      <c r="P135" s="279"/>
    </row>
    <row r="136" ht="21.75" customHeight="1">
      <c r="A136" s="280" t="s">
        <v>73</v>
      </c>
      <c r="B136" s="281"/>
      <c r="C136" s="281"/>
      <c r="D136" s="281"/>
      <c r="E136" s="282"/>
      <c r="F136" s="282"/>
      <c r="G136" s="283"/>
      <c r="H136" s="284"/>
      <c r="I136" s="285"/>
      <c r="J136" s="285"/>
      <c r="K136" s="286"/>
      <c r="L136" s="287"/>
      <c r="M136" s="287"/>
      <c r="N136" s="287"/>
      <c r="O136" s="287"/>
      <c r="P136" s="287"/>
    </row>
    <row r="137" ht="21.75" customHeight="1">
      <c r="A137" s="288" t="s">
        <v>74</v>
      </c>
      <c r="B137" s="289"/>
      <c r="C137" s="289"/>
      <c r="D137" s="290"/>
      <c r="E137" s="290"/>
      <c r="F137" s="290"/>
      <c r="G137" s="291"/>
      <c r="H137" s="292"/>
      <c r="I137" s="293"/>
      <c r="J137" s="293"/>
      <c r="K137" s="294"/>
      <c r="L137" s="294"/>
      <c r="M137" s="294"/>
      <c r="N137" s="294"/>
      <c r="O137" s="295"/>
      <c r="P137" s="295"/>
    </row>
    <row r="138" ht="21.75" customHeight="1">
      <c r="A138" s="296"/>
      <c r="B138" s="297" t="s">
        <v>75</v>
      </c>
      <c r="C138" s="298"/>
      <c r="D138" s="297"/>
      <c r="E138" s="297"/>
      <c r="F138" s="297"/>
      <c r="G138" s="299"/>
      <c r="H138" s="300" t="s">
        <v>38</v>
      </c>
      <c r="I138" s="301">
        <f>IFERROR(__xludf.DUMMYFUNCTION("IMPORTRANGE(""https://docs.google.com/spreadsheets/d/1XL5vhW3sbDhbH9Cz0tuDiY8C3ctxq1tqvaCgkFb8cCA/edit?usp=sharing"",""มหาสารคาม!I68"")"),0.0)</f>
        <v>0</v>
      </c>
      <c r="J138" s="301">
        <f>IFERROR(__xludf.DUMMYFUNCTION("IMPORTRANGE(""https://docs.google.com/spreadsheets/d/1XL5vhW3sbDhbH9Cz0tuDiY8C3ctxq1tqvaCgkFb8cCA/edit?usp=sharing"",""มหาสารคาม!J68"")"),0.0)</f>
        <v>0</v>
      </c>
      <c r="K138" s="302">
        <f>IF(I138&gt;0,J138*100/I138,0)</f>
        <v>0</v>
      </c>
      <c r="L138" s="303"/>
      <c r="M138" s="303"/>
      <c r="N138" s="303"/>
      <c r="O138" s="302"/>
      <c r="P138" s="302"/>
    </row>
    <row r="139" ht="21.75" customHeight="1">
      <c r="A139" s="296"/>
      <c r="B139" s="297" t="s">
        <v>76</v>
      </c>
      <c r="C139" s="298"/>
      <c r="D139" s="297"/>
      <c r="E139" s="297"/>
      <c r="F139" s="297"/>
      <c r="G139" s="299"/>
      <c r="H139" s="300"/>
      <c r="I139" s="301"/>
      <c r="J139" s="301"/>
      <c r="K139" s="302"/>
      <c r="L139" s="303"/>
      <c r="M139" s="303"/>
      <c r="N139" s="303"/>
      <c r="O139" s="302"/>
      <c r="P139" s="302"/>
    </row>
    <row r="140" ht="21.75" customHeight="1">
      <c r="A140" s="176"/>
      <c r="B140" s="177"/>
      <c r="C140" s="178" t="s">
        <v>17</v>
      </c>
      <c r="D140" s="179" t="s">
        <v>18</v>
      </c>
      <c r="E140" s="37"/>
      <c r="F140" s="37"/>
      <c r="G140" s="37"/>
      <c r="H140" s="180" t="s">
        <v>13</v>
      </c>
      <c r="I140" s="195"/>
      <c r="J140" s="195"/>
      <c r="K140" s="196"/>
      <c r="L140" s="183">
        <f t="shared" ref="L140:N140" si="65">L141+L142</f>
        <v>97500</v>
      </c>
      <c r="M140" s="183">
        <f t="shared" si="65"/>
        <v>59750</v>
      </c>
      <c r="N140" s="183">
        <f t="shared" si="65"/>
        <v>0</v>
      </c>
      <c r="O140" s="182">
        <f t="shared" ref="O140:O142" si="67">IF(L140&gt;0,N140*100/L140,0)</f>
        <v>0</v>
      </c>
      <c r="P140" s="182">
        <f t="shared" ref="P140:P142" si="68">IF(M140&gt;0,N140*100/M140,0)</f>
        <v>0</v>
      </c>
    </row>
    <row r="141" ht="21.75" customHeight="1">
      <c r="A141" s="184"/>
      <c r="B141" s="50"/>
      <c r="C141" s="50"/>
      <c r="D141" s="50"/>
      <c r="E141" s="50"/>
      <c r="F141" s="50"/>
      <c r="G141" s="51" t="s">
        <v>19</v>
      </c>
      <c r="H141" s="185" t="s">
        <v>13</v>
      </c>
      <c r="I141" s="195"/>
      <c r="J141" s="195"/>
      <c r="K141" s="196"/>
      <c r="L141" s="188">
        <f t="shared" ref="L141:N141" si="66">L143+L147</f>
        <v>0</v>
      </c>
      <c r="M141" s="188">
        <f t="shared" si="66"/>
        <v>0</v>
      </c>
      <c r="N141" s="188">
        <f t="shared" si="66"/>
        <v>0</v>
      </c>
      <c r="O141" s="187">
        <f t="shared" si="67"/>
        <v>0</v>
      </c>
      <c r="P141" s="187">
        <f t="shared" si="68"/>
        <v>0</v>
      </c>
    </row>
    <row r="142" ht="21.75" customHeight="1">
      <c r="A142" s="184"/>
      <c r="B142" s="50"/>
      <c r="C142" s="50"/>
      <c r="D142" s="50"/>
      <c r="E142" s="50"/>
      <c r="F142" s="50"/>
      <c r="G142" s="51" t="s">
        <v>20</v>
      </c>
      <c r="H142" s="185" t="s">
        <v>13</v>
      </c>
      <c r="I142" s="195"/>
      <c r="J142" s="195"/>
      <c r="K142" s="196"/>
      <c r="L142" s="188">
        <f t="shared" ref="L142:N142" si="69">L144+L148</f>
        <v>97500</v>
      </c>
      <c r="M142" s="188">
        <f t="shared" si="69"/>
        <v>59750</v>
      </c>
      <c r="N142" s="188">
        <f t="shared" si="69"/>
        <v>0</v>
      </c>
      <c r="O142" s="187">
        <f t="shared" si="67"/>
        <v>0</v>
      </c>
      <c r="P142" s="187">
        <f t="shared" si="68"/>
        <v>0</v>
      </c>
    </row>
    <row r="143" ht="21.75" customHeight="1">
      <c r="A143" s="189"/>
      <c r="B143" s="190"/>
      <c r="C143" s="190" t="s">
        <v>17</v>
      </c>
      <c r="D143" s="191" t="s">
        <v>39</v>
      </c>
      <c r="E143" s="192"/>
      <c r="F143" s="192"/>
      <c r="G143" s="193" t="s">
        <v>40</v>
      </c>
      <c r="H143" s="194" t="s">
        <v>13</v>
      </c>
      <c r="I143" s="195" t="s">
        <v>41</v>
      </c>
      <c r="J143" s="195"/>
      <c r="K143" s="196"/>
      <c r="L143" s="197">
        <v>0.0</v>
      </c>
      <c r="M143" s="197"/>
      <c r="N143" s="197">
        <v>0.0</v>
      </c>
      <c r="O143" s="198">
        <f>+IF(L143&gt;0,N143*100/L143,0)</f>
        <v>0</v>
      </c>
      <c r="P143" s="198"/>
    </row>
    <row r="144" ht="21.75" customHeight="1">
      <c r="A144" s="189"/>
      <c r="B144" s="190"/>
      <c r="C144" s="190"/>
      <c r="D144" s="199"/>
      <c r="E144" s="192"/>
      <c r="F144" s="192" t="s">
        <v>41</v>
      </c>
      <c r="G144" s="193" t="s">
        <v>42</v>
      </c>
      <c r="H144" s="194" t="s">
        <v>13</v>
      </c>
      <c r="I144" s="195"/>
      <c r="J144" s="195"/>
      <c r="K144" s="196"/>
      <c r="L144" s="200">
        <f>L145+L146</f>
        <v>97500</v>
      </c>
      <c r="M144" s="201">
        <f>IFERROR(__xludf.DUMMYFUNCTION("IMPORTRANGE(""https://docs.google.com/spreadsheets/d/1Yj_ptqi66GCucihVvJfMjLAmec39IyEx_6qawtMGysU/edit?usp=sharing"",""สบก!BJ45"")"),59750.0)</f>
        <v>59750</v>
      </c>
      <c r="N144" s="202">
        <f>IFERROR(__xludf.DUMMYFUNCTION("IMPORTRANGE(""https://docs.google.com/spreadsheets/d/1Yj_ptqi66GCucihVvJfMjLAmec39IyEx_6qawtMGysU/edit?usp=sharing"",""สบก!BK45"")"),0.0)</f>
        <v>0</v>
      </c>
      <c r="O144" s="203">
        <f>IF(L144&gt;0,N144*100/L144,0)</f>
        <v>0</v>
      </c>
      <c r="P144" s="203">
        <f>IF(M144&gt;0,N144*100/M144,0)</f>
        <v>0</v>
      </c>
    </row>
    <row r="145" ht="21.75" customHeight="1">
      <c r="A145" s="189"/>
      <c r="B145" s="190"/>
      <c r="C145" s="190"/>
      <c r="D145" s="199"/>
      <c r="E145" s="192"/>
      <c r="F145" s="192"/>
      <c r="G145" s="204" t="s">
        <v>43</v>
      </c>
      <c r="H145" s="194" t="s">
        <v>13</v>
      </c>
      <c r="I145" s="195"/>
      <c r="J145" s="195"/>
      <c r="K145" s="196"/>
      <c r="L145" s="201">
        <f>IFERROR(__xludf.DUMMYFUNCTION("IMPORTRANGE(""https://docs.google.com/spreadsheets/d/1Yj_ptqi66GCucihVvJfMjLAmec39IyEx_6qawtMGysU/edit?usp=sharing"",""สบก!BF45"")"),0.0)</f>
        <v>0</v>
      </c>
      <c r="M145" s="200"/>
      <c r="N145" s="200"/>
      <c r="O145" s="203"/>
      <c r="P145" s="203"/>
    </row>
    <row r="146" ht="21.75" customHeight="1">
      <c r="A146" s="189"/>
      <c r="B146" s="190"/>
      <c r="C146" s="190"/>
      <c r="D146" s="199"/>
      <c r="E146" s="192"/>
      <c r="F146" s="192"/>
      <c r="G146" s="204" t="s">
        <v>44</v>
      </c>
      <c r="H146" s="194" t="s">
        <v>13</v>
      </c>
      <c r="I146" s="195"/>
      <c r="J146" s="195"/>
      <c r="K146" s="196"/>
      <c r="L146" s="201">
        <f>IFERROR(__xludf.DUMMYFUNCTION("IMPORTRANGE(""https://docs.google.com/spreadsheets/d/1Yj_ptqi66GCucihVvJfMjLAmec39IyEx_6qawtMGysU/edit?usp=sharing"",""สบก!BG45"")"),97500.0)</f>
        <v>97500</v>
      </c>
      <c r="M146" s="200"/>
      <c r="N146" s="200"/>
      <c r="O146" s="203"/>
      <c r="P146" s="203"/>
    </row>
    <row r="147" ht="21.75" customHeight="1">
      <c r="A147" s="205"/>
      <c r="B147" s="104"/>
      <c r="C147" s="105" t="s">
        <v>17</v>
      </c>
      <c r="D147" s="106" t="s">
        <v>24</v>
      </c>
      <c r="E147" s="53"/>
      <c r="F147" s="113"/>
      <c r="G147" s="107" t="s">
        <v>19</v>
      </c>
      <c r="H147" s="206" t="s">
        <v>13</v>
      </c>
      <c r="I147" s="222"/>
      <c r="J147" s="222"/>
      <c r="K147" s="258"/>
      <c r="L147" s="117">
        <v>0.0</v>
      </c>
      <c r="M147" s="117"/>
      <c r="N147" s="62"/>
      <c r="O147" s="117"/>
      <c r="P147" s="117"/>
    </row>
    <row r="148" ht="21.75" customHeight="1">
      <c r="A148" s="207"/>
      <c r="B148" s="119"/>
      <c r="C148" s="119"/>
      <c r="D148" s="208"/>
      <c r="E148" s="120"/>
      <c r="F148" s="120"/>
      <c r="G148" s="121" t="s">
        <v>20</v>
      </c>
      <c r="H148" s="209" t="s">
        <v>13</v>
      </c>
      <c r="I148" s="222"/>
      <c r="J148" s="222"/>
      <c r="K148" s="258"/>
      <c r="L148" s="115">
        <f>IFERROR(__xludf.DUMMYFUNCTION("IMPORTRANGE(""https://docs.google.com/spreadsheets/d/1Yj_ptqi66GCucihVvJfMjLAmec39IyEx_6qawtMGysU/edit?usp=sharing"",""สบก!BH45"")"),0.0)</f>
        <v>0</v>
      </c>
      <c r="M148" s="125"/>
      <c r="N148" s="115">
        <f>IFERROR(__xludf.DUMMYFUNCTION("IMPORTRANGE(""https://docs.google.com/spreadsheets/d/1Yj_ptqi66GCucihVvJfMjLAmec39IyEx_6qawtMGysU/edit?usp=sharing"",""สบก!BL45"")"),0.0)</f>
        <v>0</v>
      </c>
      <c r="O148" s="125">
        <f>IF(L148&gt;0,N148*100/L148,0)</f>
        <v>0</v>
      </c>
      <c r="P148" s="125"/>
    </row>
    <row r="149" ht="21.75" customHeight="1">
      <c r="A149" s="304"/>
      <c r="B149" s="305"/>
      <c r="C149" s="306" t="s">
        <v>77</v>
      </c>
      <c r="D149" s="306"/>
      <c r="E149" s="306"/>
      <c r="F149" s="306"/>
      <c r="G149" s="307"/>
      <c r="H149" s="308" t="s">
        <v>78</v>
      </c>
      <c r="I149" s="309">
        <f>IFERROR(__xludf.DUMMYFUNCTION("IMPORTRANGE(""https://docs.google.com/spreadsheets/d/1XL5vhW3sbDhbH9Cz0tuDiY8C3ctxq1tqvaCgkFb8cCA/edit?usp=sharing"",""มหาสารคาม!I74"")"),4.0)</f>
        <v>4</v>
      </c>
      <c r="J149" s="309">
        <f>IFERROR(__xludf.DUMMYFUNCTION("IMPORTRANGE(""https://docs.google.com/spreadsheets/d/1XL5vhW3sbDhbH9Cz0tuDiY8C3ctxq1tqvaCgkFb8cCA/edit?usp=sharing"",""มหาสารคาม!J74"")"),1.0)</f>
        <v>1</v>
      </c>
      <c r="K149" s="310">
        <f>IF(I149&gt;0,J149*100/I149,0)</f>
        <v>25</v>
      </c>
      <c r="L149" s="311"/>
      <c r="M149" s="311"/>
      <c r="N149" s="311"/>
      <c r="O149" s="311"/>
      <c r="P149" s="311"/>
    </row>
    <row r="150" ht="21.75" customHeight="1">
      <c r="A150" s="189"/>
      <c r="B150" s="190"/>
      <c r="C150" s="190" t="s">
        <v>17</v>
      </c>
      <c r="D150" s="191" t="s">
        <v>39</v>
      </c>
      <c r="E150" s="192"/>
      <c r="F150" s="192"/>
      <c r="G150" s="193" t="s">
        <v>40</v>
      </c>
      <c r="H150" s="194" t="s">
        <v>13</v>
      </c>
      <c r="I150" s="195" t="s">
        <v>41</v>
      </c>
      <c r="J150" s="195"/>
      <c r="K150" s="196"/>
      <c r="L150" s="197"/>
      <c r="M150" s="197"/>
      <c r="N150" s="198"/>
      <c r="O150" s="198"/>
      <c r="P150" s="198"/>
    </row>
    <row r="151" ht="21.75" customHeight="1">
      <c r="A151" s="189"/>
      <c r="B151" s="190"/>
      <c r="C151" s="190"/>
      <c r="D151" s="199"/>
      <c r="E151" s="192"/>
      <c r="F151" s="192" t="s">
        <v>41</v>
      </c>
      <c r="G151" s="193" t="s">
        <v>42</v>
      </c>
      <c r="H151" s="194" t="s">
        <v>13</v>
      </c>
      <c r="I151" s="195"/>
      <c r="J151" s="195"/>
      <c r="K151" s="196"/>
      <c r="L151" s="198"/>
      <c r="M151" s="198"/>
      <c r="N151" s="198"/>
      <c r="O151" s="198"/>
      <c r="P151" s="198"/>
    </row>
    <row r="152" ht="21.75" customHeight="1">
      <c r="A152" s="189"/>
      <c r="B152" s="190"/>
      <c r="C152" s="190"/>
      <c r="D152" s="199"/>
      <c r="E152" s="192"/>
      <c r="F152" s="192"/>
      <c r="G152" s="204" t="s">
        <v>44</v>
      </c>
      <c r="H152" s="194" t="s">
        <v>13</v>
      </c>
      <c r="I152" s="195"/>
      <c r="J152" s="195"/>
      <c r="K152" s="196"/>
      <c r="L152" s="203"/>
      <c r="M152" s="203"/>
      <c r="N152" s="200"/>
      <c r="O152" s="203"/>
      <c r="P152" s="203"/>
    </row>
    <row r="153" ht="21.75" customHeight="1">
      <c r="A153" s="210"/>
      <c r="B153" s="211"/>
      <c r="C153" s="190" t="s">
        <v>17</v>
      </c>
      <c r="D153" s="212" t="s">
        <v>45</v>
      </c>
      <c r="E153" s="213"/>
      <c r="F153" s="213"/>
      <c r="G153" s="214"/>
      <c r="H153" s="215"/>
      <c r="I153" s="195"/>
      <c r="J153" s="195"/>
      <c r="K153" s="196"/>
      <c r="L153" s="216"/>
      <c r="M153" s="216"/>
      <c r="N153" s="216"/>
      <c r="O153" s="216"/>
      <c r="P153" s="216"/>
    </row>
    <row r="154" ht="21.75" customHeight="1">
      <c r="A154" s="210"/>
      <c r="B154" s="211"/>
      <c r="C154" s="211"/>
      <c r="D154" s="217">
        <v>1.0</v>
      </c>
      <c r="E154" s="218" t="s">
        <v>46</v>
      </c>
      <c r="F154" s="219"/>
      <c r="G154" s="220"/>
      <c r="H154" s="221"/>
      <c r="I154" s="222"/>
      <c r="J154" s="223">
        <f>IFERROR(__xludf.DUMMYFUNCTION("IMPORTRANGE(""https://docs.google.com/spreadsheets/d/1XL5vhW3sbDhbH9Cz0tuDiY8C3ctxq1tqvaCgkFb8cCA/edit?usp=sharing"",""มหาสารคาม!J79"")"),0.0)</f>
        <v>0</v>
      </c>
      <c r="K154" s="196"/>
      <c r="L154" s="216"/>
      <c r="M154" s="216"/>
      <c r="N154" s="216"/>
      <c r="O154" s="216"/>
      <c r="P154" s="216"/>
    </row>
    <row r="155" ht="21.75" customHeight="1">
      <c r="A155" s="210"/>
      <c r="B155" s="211"/>
      <c r="C155" s="211"/>
      <c r="D155" s="224">
        <v>2.0</v>
      </c>
      <c r="E155" s="225" t="s">
        <v>47</v>
      </c>
      <c r="F155" s="226"/>
      <c r="G155" s="227"/>
      <c r="H155" s="221"/>
      <c r="I155" s="222"/>
      <c r="J155" s="232">
        <f>IFERROR(__xludf.DUMMYFUNCTION("IMPORTRANGE(""https://docs.google.com/spreadsheets/d/1XL5vhW3sbDhbH9Cz0tuDiY8C3ctxq1tqvaCgkFb8cCA/edit?usp=sharing"",""มหาสารคาม!J80"")"),1.0)</f>
        <v>1</v>
      </c>
      <c r="K155" s="196"/>
      <c r="L155" s="216"/>
      <c r="M155" s="216"/>
      <c r="N155" s="216"/>
      <c r="O155" s="216"/>
      <c r="P155" s="216"/>
    </row>
    <row r="156" ht="21.75" customHeight="1">
      <c r="A156" s="210"/>
      <c r="B156" s="211"/>
      <c r="C156" s="211"/>
      <c r="D156" s="228"/>
      <c r="E156" s="229" t="s">
        <v>48</v>
      </c>
      <c r="F156" s="230"/>
      <c r="G156" s="231"/>
      <c r="H156" s="221"/>
      <c r="I156" s="222"/>
      <c r="J156" s="232">
        <f>IFERROR(__xludf.DUMMYFUNCTION("IMPORTRANGE(""https://docs.google.com/spreadsheets/d/1XL5vhW3sbDhbH9Cz0tuDiY8C3ctxq1tqvaCgkFb8cCA/edit?usp=sharing"",""มหาสารคาม!J81"")"),1.0)</f>
        <v>1</v>
      </c>
      <c r="K156" s="196"/>
      <c r="L156" s="216"/>
      <c r="M156" s="216"/>
      <c r="N156" s="216"/>
      <c r="O156" s="216"/>
      <c r="P156" s="216"/>
    </row>
    <row r="157" ht="21.75" customHeight="1">
      <c r="A157" s="210"/>
      <c r="B157" s="211"/>
      <c r="C157" s="211"/>
      <c r="D157" s="228"/>
      <c r="E157" s="229" t="s">
        <v>49</v>
      </c>
      <c r="F157" s="230"/>
      <c r="G157" s="231"/>
      <c r="H157" s="221"/>
      <c r="I157" s="222"/>
      <c r="J157" s="232">
        <f>IFERROR(__xludf.DUMMYFUNCTION("IMPORTRANGE(""https://docs.google.com/spreadsheets/d/1XL5vhW3sbDhbH9Cz0tuDiY8C3ctxq1tqvaCgkFb8cCA/edit?usp=sharing"",""มหาสารคาม!J82"")"),1.0)</f>
        <v>1</v>
      </c>
      <c r="K157" s="196"/>
      <c r="L157" s="216"/>
      <c r="M157" s="216"/>
      <c r="N157" s="216"/>
      <c r="O157" s="216"/>
      <c r="P157" s="216"/>
    </row>
    <row r="158" ht="21.75" customHeight="1">
      <c r="A158" s="210"/>
      <c r="B158" s="211"/>
      <c r="C158" s="211"/>
      <c r="D158" s="228"/>
      <c r="E158" s="233"/>
      <c r="F158" s="229" t="s">
        <v>79</v>
      </c>
      <c r="G158" s="231"/>
      <c r="H158" s="215" t="s">
        <v>78</v>
      </c>
      <c r="I158" s="222">
        <f>IFERROR(__xludf.DUMMYFUNCTION("IMPORTRANGE(""https://docs.google.com/spreadsheets/d/1XL5vhW3sbDhbH9Cz0tuDiY8C3ctxq1tqvaCgkFb8cCA/edit?usp=sharing"",""มหาสารคาม!I83"")"),4.0)</f>
        <v>4</v>
      </c>
      <c r="J158" s="223">
        <f>IFERROR(__xludf.DUMMYFUNCTION("IMPORTRANGE(""https://docs.google.com/spreadsheets/d/1XL5vhW3sbDhbH9Cz0tuDiY8C3ctxq1tqvaCgkFb8cCA/edit?usp=sharing"",""มหาสารคาม!J83"")"),1.0)</f>
        <v>1</v>
      </c>
      <c r="K158" s="196">
        <f>IF(I158&gt;0,J158*100/I158,0)</f>
        <v>25</v>
      </c>
      <c r="L158" s="216"/>
      <c r="M158" s="216"/>
      <c r="N158" s="216"/>
      <c r="O158" s="216"/>
      <c r="P158" s="216"/>
    </row>
    <row r="159" ht="21.75" customHeight="1">
      <c r="A159" s="210"/>
      <c r="B159" s="211"/>
      <c r="C159" s="211"/>
      <c r="D159" s="228"/>
      <c r="E159" s="230"/>
      <c r="F159" s="312" t="s">
        <v>80</v>
      </c>
      <c r="G159" s="231"/>
      <c r="H159" s="313" t="s">
        <v>38</v>
      </c>
      <c r="I159" s="222"/>
      <c r="J159" s="238">
        <f>IFERROR(__xludf.DUMMYFUNCTION("IMPORTRANGE(""https://docs.google.com/spreadsheets/d/1XL5vhW3sbDhbH9Cz0tuDiY8C3ctxq1tqvaCgkFb8cCA/edit?usp=sharing"",""มหาสารคาม!J84"")"),2.0)</f>
        <v>2</v>
      </c>
      <c r="K159" s="196"/>
      <c r="L159" s="216"/>
      <c r="M159" s="216"/>
      <c r="N159" s="216"/>
      <c r="O159" s="216"/>
      <c r="P159" s="216"/>
    </row>
    <row r="160" ht="21.75" customHeight="1">
      <c r="A160" s="210"/>
      <c r="B160" s="211"/>
      <c r="C160" s="211"/>
      <c r="D160" s="228"/>
      <c r="E160" s="230"/>
      <c r="F160" s="230"/>
      <c r="G160" s="314" t="s">
        <v>81</v>
      </c>
      <c r="H160" s="313" t="s">
        <v>38</v>
      </c>
      <c r="I160" s="222"/>
      <c r="J160" s="315">
        <f>IFERROR(__xludf.DUMMYFUNCTION("IMPORTRANGE(""https://docs.google.com/spreadsheets/d/1XL5vhW3sbDhbH9Cz0tuDiY8C3ctxq1tqvaCgkFb8cCA/edit?usp=sharing"",""มหาสารคาม!J85"")"),2.0)</f>
        <v>2</v>
      </c>
      <c r="K160" s="196"/>
      <c r="L160" s="216"/>
      <c r="M160" s="216"/>
      <c r="N160" s="216"/>
      <c r="O160" s="216"/>
      <c r="P160" s="216"/>
    </row>
    <row r="161" ht="21.75" customHeight="1">
      <c r="A161" s="210"/>
      <c r="B161" s="211"/>
      <c r="C161" s="211"/>
      <c r="D161" s="228"/>
      <c r="E161" s="230"/>
      <c r="F161" s="230"/>
      <c r="G161" s="314" t="s">
        <v>82</v>
      </c>
      <c r="H161" s="313" t="s">
        <v>38</v>
      </c>
      <c r="I161" s="222"/>
      <c r="J161" s="315">
        <f>IFERROR(__xludf.DUMMYFUNCTION("IMPORTRANGE(""https://docs.google.com/spreadsheets/d/1XL5vhW3sbDhbH9Cz0tuDiY8C3ctxq1tqvaCgkFb8cCA/edit?usp=sharing"",""มหาสารคาม!J86"")"),0.0)</f>
        <v>0</v>
      </c>
      <c r="K161" s="196"/>
      <c r="L161" s="216"/>
      <c r="M161" s="216"/>
      <c r="N161" s="216"/>
      <c r="O161" s="216"/>
      <c r="P161" s="216"/>
    </row>
    <row r="162" ht="21.75" customHeight="1">
      <c r="A162" s="210"/>
      <c r="B162" s="211"/>
      <c r="C162" s="211"/>
      <c r="D162" s="228"/>
      <c r="E162" s="229" t="s">
        <v>55</v>
      </c>
      <c r="F162" s="230"/>
      <c r="G162" s="231"/>
      <c r="H162" s="221"/>
      <c r="I162" s="222"/>
      <c r="J162" s="232">
        <f>IFERROR(__xludf.DUMMYFUNCTION("IMPORTRANGE(""https://docs.google.com/spreadsheets/d/1XL5vhW3sbDhbH9Cz0tuDiY8C3ctxq1tqvaCgkFb8cCA/edit?usp=sharing"",""มหาสารคาม!J87"")"),0.0)</f>
        <v>0</v>
      </c>
      <c r="K162" s="196"/>
      <c r="L162" s="216"/>
      <c r="M162" s="216"/>
      <c r="N162" s="216"/>
      <c r="O162" s="216"/>
      <c r="P162" s="216"/>
    </row>
    <row r="163" ht="21.75" customHeight="1">
      <c r="A163" s="210"/>
      <c r="B163" s="211"/>
      <c r="C163" s="211"/>
      <c r="D163" s="240">
        <v>3.0</v>
      </c>
      <c r="E163" s="241" t="s">
        <v>56</v>
      </c>
      <c r="F163" s="242"/>
      <c r="G163" s="243"/>
      <c r="H163" s="221"/>
      <c r="I163" s="222"/>
      <c r="J163" s="244">
        <f>IFERROR(__xludf.DUMMYFUNCTION("IMPORTRANGE(""https://docs.google.com/spreadsheets/d/1XL5vhW3sbDhbH9Cz0tuDiY8C3ctxq1tqvaCgkFb8cCA/edit?usp=sharing"",""มหาสารคาม!J88"")"),0.0)</f>
        <v>0</v>
      </c>
      <c r="K163" s="196"/>
      <c r="L163" s="216"/>
      <c r="M163" s="216"/>
      <c r="N163" s="216"/>
      <c r="O163" s="216"/>
      <c r="P163" s="216"/>
    </row>
    <row r="164" ht="21.75" customHeight="1">
      <c r="A164" s="304"/>
      <c r="B164" s="305"/>
      <c r="C164" s="306" t="s">
        <v>83</v>
      </c>
      <c r="D164" s="306"/>
      <c r="E164" s="306"/>
      <c r="F164" s="306"/>
      <c r="G164" s="307"/>
      <c r="H164" s="316" t="s">
        <v>84</v>
      </c>
      <c r="I164" s="317">
        <f>IFERROR(__xludf.DUMMYFUNCTION("IMPORTRANGE(""https://docs.google.com/spreadsheets/d/1XL5vhW3sbDhbH9Cz0tuDiY8C3ctxq1tqvaCgkFb8cCA/edit?usp=sharing"",""มหาสารคาม!I89"")"),4.0)</f>
        <v>4</v>
      </c>
      <c r="J164" s="317">
        <f>IFERROR(__xludf.DUMMYFUNCTION("IMPORTRANGE(""https://docs.google.com/spreadsheets/d/1XL5vhW3sbDhbH9Cz0tuDiY8C3ctxq1tqvaCgkFb8cCA/edit?usp=sharing"",""มหาสารคาม!J89"")"),0.0)</f>
        <v>0</v>
      </c>
      <c r="K164" s="318">
        <f>IF(I164&gt;0,J164*100/I164,0)</f>
        <v>0</v>
      </c>
      <c r="L164" s="311"/>
      <c r="M164" s="311"/>
      <c r="N164" s="311"/>
      <c r="O164" s="311"/>
      <c r="P164" s="311"/>
    </row>
    <row r="165" ht="21.75" customHeight="1">
      <c r="A165" s="189"/>
      <c r="B165" s="190"/>
      <c r="C165" s="190" t="s">
        <v>17</v>
      </c>
      <c r="D165" s="191" t="s">
        <v>39</v>
      </c>
      <c r="E165" s="192"/>
      <c r="F165" s="192"/>
      <c r="G165" s="193" t="s">
        <v>40</v>
      </c>
      <c r="H165" s="194" t="s">
        <v>13</v>
      </c>
      <c r="I165" s="195" t="s">
        <v>41</v>
      </c>
      <c r="J165" s="195"/>
      <c r="K165" s="196"/>
      <c r="L165" s="197"/>
      <c r="M165" s="197"/>
      <c r="N165" s="198"/>
      <c r="O165" s="198"/>
      <c r="P165" s="198"/>
    </row>
    <row r="166" ht="21.75" customHeight="1">
      <c r="A166" s="189"/>
      <c r="B166" s="190"/>
      <c r="C166" s="190"/>
      <c r="D166" s="199"/>
      <c r="E166" s="192"/>
      <c r="F166" s="192" t="s">
        <v>41</v>
      </c>
      <c r="G166" s="193" t="s">
        <v>42</v>
      </c>
      <c r="H166" s="194" t="s">
        <v>13</v>
      </c>
      <c r="I166" s="195"/>
      <c r="J166" s="195"/>
      <c r="K166" s="196"/>
      <c r="L166" s="198"/>
      <c r="M166" s="198"/>
      <c r="N166" s="198"/>
      <c r="O166" s="198"/>
      <c r="P166" s="198"/>
    </row>
    <row r="167" ht="21.75" customHeight="1">
      <c r="A167" s="189"/>
      <c r="B167" s="190"/>
      <c r="C167" s="190"/>
      <c r="D167" s="199"/>
      <c r="E167" s="192"/>
      <c r="F167" s="192"/>
      <c r="G167" s="204" t="s">
        <v>44</v>
      </c>
      <c r="H167" s="194" t="s">
        <v>13</v>
      </c>
      <c r="I167" s="195"/>
      <c r="J167" s="195"/>
      <c r="K167" s="196"/>
      <c r="L167" s="203"/>
      <c r="M167" s="203"/>
      <c r="N167" s="200"/>
      <c r="O167" s="203"/>
      <c r="P167" s="203"/>
    </row>
    <row r="168" ht="21.75" customHeight="1">
      <c r="A168" s="210"/>
      <c r="B168" s="211"/>
      <c r="C168" s="190" t="s">
        <v>17</v>
      </c>
      <c r="D168" s="212" t="s">
        <v>45</v>
      </c>
      <c r="E168" s="213"/>
      <c r="F168" s="213"/>
      <c r="G168" s="214"/>
      <c r="H168" s="215"/>
      <c r="I168" s="195"/>
      <c r="J168" s="195"/>
      <c r="K168" s="196"/>
      <c r="L168" s="216"/>
      <c r="M168" s="216"/>
      <c r="N168" s="216"/>
      <c r="O168" s="216"/>
      <c r="P168" s="216"/>
    </row>
    <row r="169" ht="21.75" customHeight="1">
      <c r="A169" s="210"/>
      <c r="B169" s="211"/>
      <c r="C169" s="211"/>
      <c r="D169" s="217">
        <v>1.0</v>
      </c>
      <c r="E169" s="218" t="s">
        <v>46</v>
      </c>
      <c r="F169" s="219"/>
      <c r="G169" s="220"/>
      <c r="H169" s="221"/>
      <c r="I169" s="222"/>
      <c r="J169" s="223">
        <f>IFERROR(__xludf.DUMMYFUNCTION("IMPORTRANGE(""https://docs.google.com/spreadsheets/d/1XL5vhW3sbDhbH9Cz0tuDiY8C3ctxq1tqvaCgkFb8cCA/edit?usp=sharing"",""มหาสารคาม!J94"")"),0.0)</f>
        <v>0</v>
      </c>
      <c r="K169" s="196"/>
      <c r="L169" s="216"/>
      <c r="M169" s="216"/>
      <c r="N169" s="216"/>
      <c r="O169" s="216"/>
      <c r="P169" s="216"/>
    </row>
    <row r="170" ht="21.75" customHeight="1">
      <c r="A170" s="210"/>
      <c r="B170" s="211"/>
      <c r="C170" s="211"/>
      <c r="D170" s="224">
        <v>2.0</v>
      </c>
      <c r="E170" s="225" t="s">
        <v>47</v>
      </c>
      <c r="F170" s="226"/>
      <c r="G170" s="227"/>
      <c r="H170" s="221"/>
      <c r="I170" s="222"/>
      <c r="J170" s="232">
        <f>IFERROR(__xludf.DUMMYFUNCTION("IMPORTRANGE(""https://docs.google.com/spreadsheets/d/1XL5vhW3sbDhbH9Cz0tuDiY8C3ctxq1tqvaCgkFb8cCA/edit?usp=sharing"",""มหาสารคาม!J95"")"),1.0)</f>
        <v>1</v>
      </c>
      <c r="K170" s="196"/>
      <c r="L170" s="216"/>
      <c r="M170" s="216"/>
      <c r="N170" s="216"/>
      <c r="O170" s="216"/>
      <c r="P170" s="216"/>
    </row>
    <row r="171" ht="21.75" customHeight="1">
      <c r="A171" s="210"/>
      <c r="B171" s="211"/>
      <c r="C171" s="211"/>
      <c r="D171" s="228"/>
      <c r="E171" s="229" t="s">
        <v>48</v>
      </c>
      <c r="F171" s="230"/>
      <c r="G171" s="231"/>
      <c r="H171" s="221"/>
      <c r="I171" s="222"/>
      <c r="J171" s="232">
        <f>IFERROR(__xludf.DUMMYFUNCTION("IMPORTRANGE(""https://docs.google.com/spreadsheets/d/1XL5vhW3sbDhbH9Cz0tuDiY8C3ctxq1tqvaCgkFb8cCA/edit?usp=sharing"",""มหาสารคาม!J96"")"),1.0)</f>
        <v>1</v>
      </c>
      <c r="K171" s="196"/>
      <c r="L171" s="216"/>
      <c r="M171" s="216"/>
      <c r="N171" s="216"/>
      <c r="O171" s="216"/>
      <c r="P171" s="216"/>
    </row>
    <row r="172" ht="21.75" customHeight="1">
      <c r="A172" s="210"/>
      <c r="B172" s="211"/>
      <c r="C172" s="211"/>
      <c r="D172" s="228"/>
      <c r="E172" s="229" t="s">
        <v>49</v>
      </c>
      <c r="F172" s="230"/>
      <c r="G172" s="231"/>
      <c r="H172" s="221"/>
      <c r="I172" s="222"/>
      <c r="J172" s="232">
        <f>IFERROR(__xludf.DUMMYFUNCTION("IMPORTRANGE(""https://docs.google.com/spreadsheets/d/1XL5vhW3sbDhbH9Cz0tuDiY8C3ctxq1tqvaCgkFb8cCA/edit?usp=sharing"",""มหาสารคาม!J97"")"),0.0)</f>
        <v>0</v>
      </c>
      <c r="K172" s="196"/>
      <c r="L172" s="216"/>
      <c r="M172" s="216"/>
      <c r="N172" s="216"/>
      <c r="O172" s="216"/>
      <c r="P172" s="216"/>
    </row>
    <row r="173" ht="21.75" customHeight="1">
      <c r="A173" s="210"/>
      <c r="B173" s="211"/>
      <c r="C173" s="211"/>
      <c r="D173" s="228"/>
      <c r="E173" s="233"/>
      <c r="F173" s="239" t="s">
        <v>85</v>
      </c>
      <c r="G173" s="231"/>
      <c r="H173" s="215" t="s">
        <v>84</v>
      </c>
      <c r="I173" s="222">
        <f>IFERROR(__xludf.DUMMYFUNCTION("IMPORTRANGE(""https://docs.google.com/spreadsheets/d/1XL5vhW3sbDhbH9Cz0tuDiY8C3ctxq1tqvaCgkFb8cCA/edit?usp=sharing"",""มหาสารคาม!I98"")"),4.0)</f>
        <v>4</v>
      </c>
      <c r="J173" s="223">
        <f>IFERROR(__xludf.DUMMYFUNCTION("IMPORTRANGE(""https://docs.google.com/spreadsheets/d/1XL5vhW3sbDhbH9Cz0tuDiY8C3ctxq1tqvaCgkFb8cCA/edit?usp=sharing"",""มหาสารคาม!J98"")"),0.0)</f>
        <v>0</v>
      </c>
      <c r="K173" s="196">
        <f>IF(I173&gt;0,J173*100/I173,0)</f>
        <v>0</v>
      </c>
      <c r="L173" s="203"/>
      <c r="M173" s="203"/>
      <c r="N173" s="200"/>
      <c r="O173" s="203"/>
      <c r="P173" s="203"/>
    </row>
    <row r="174" ht="21.75" customHeight="1">
      <c r="A174" s="210"/>
      <c r="B174" s="211"/>
      <c r="C174" s="211"/>
      <c r="D174" s="228"/>
      <c r="E174" s="229" t="s">
        <v>55</v>
      </c>
      <c r="F174" s="230"/>
      <c r="G174" s="231"/>
      <c r="H174" s="221"/>
      <c r="I174" s="222"/>
      <c r="J174" s="232">
        <f>IFERROR(__xludf.DUMMYFUNCTION("IMPORTRANGE(""https://docs.google.com/spreadsheets/d/1XL5vhW3sbDhbH9Cz0tuDiY8C3ctxq1tqvaCgkFb8cCA/edit?usp=sharing"",""มหาสารคาม!J99"")"),0.0)</f>
        <v>0</v>
      </c>
      <c r="K174" s="196"/>
      <c r="L174" s="216"/>
      <c r="M174" s="216"/>
      <c r="N174" s="216"/>
      <c r="O174" s="216"/>
      <c r="P174" s="216"/>
    </row>
    <row r="175" ht="21.75" customHeight="1">
      <c r="A175" s="210"/>
      <c r="B175" s="211"/>
      <c r="C175" s="211"/>
      <c r="D175" s="240">
        <v>3.0</v>
      </c>
      <c r="E175" s="241" t="s">
        <v>56</v>
      </c>
      <c r="F175" s="242"/>
      <c r="G175" s="243"/>
      <c r="H175" s="221"/>
      <c r="I175" s="222"/>
      <c r="J175" s="244">
        <f>IFERROR(__xludf.DUMMYFUNCTION("IMPORTRANGE(""https://docs.google.com/spreadsheets/d/1XL5vhW3sbDhbH9Cz0tuDiY8C3ctxq1tqvaCgkFb8cCA/edit?usp=sharing"",""มหาสารคาม!J100"")"),0.0)</f>
        <v>0</v>
      </c>
      <c r="K175" s="196"/>
      <c r="L175" s="216"/>
      <c r="M175" s="216"/>
      <c r="N175" s="216"/>
      <c r="O175" s="216"/>
      <c r="P175" s="216"/>
    </row>
    <row r="176" ht="21.75" customHeight="1">
      <c r="A176" s="304"/>
      <c r="B176" s="305"/>
      <c r="C176" s="306" t="s">
        <v>86</v>
      </c>
      <c r="D176" s="306"/>
      <c r="E176" s="306"/>
      <c r="F176" s="306"/>
      <c r="G176" s="307"/>
      <c r="H176" s="316" t="s">
        <v>84</v>
      </c>
      <c r="I176" s="317">
        <f>IFERROR(__xludf.DUMMYFUNCTION("IMPORTRANGE(""https://docs.google.com/spreadsheets/d/1XL5vhW3sbDhbH9Cz0tuDiY8C3ctxq1tqvaCgkFb8cCA/edit?usp=sharing"",""มหาสารคาม!I101"")"),0.0)</f>
        <v>0</v>
      </c>
      <c r="J176" s="317">
        <f>IFERROR(__xludf.DUMMYFUNCTION("IMPORTRANGE(""https://docs.google.com/spreadsheets/d/1XL5vhW3sbDhbH9Cz0tuDiY8C3ctxq1tqvaCgkFb8cCA/edit?usp=sharing"",""มหาสารคาม!J101"")"),0.0)</f>
        <v>0</v>
      </c>
      <c r="K176" s="318">
        <f>IF(I176&gt;0,J176*100/I176,0)</f>
        <v>0</v>
      </c>
      <c r="L176" s="311"/>
      <c r="M176" s="311"/>
      <c r="N176" s="311"/>
      <c r="O176" s="311"/>
      <c r="P176" s="311"/>
    </row>
    <row r="177" ht="21.75" customHeight="1">
      <c r="A177" s="189"/>
      <c r="B177" s="190"/>
      <c r="C177" s="190" t="s">
        <v>17</v>
      </c>
      <c r="D177" s="191" t="s">
        <v>39</v>
      </c>
      <c r="E177" s="192"/>
      <c r="F177" s="192"/>
      <c r="G177" s="193" t="s">
        <v>40</v>
      </c>
      <c r="H177" s="194" t="s">
        <v>13</v>
      </c>
      <c r="I177" s="195" t="s">
        <v>41</v>
      </c>
      <c r="J177" s="195"/>
      <c r="K177" s="196"/>
      <c r="L177" s="197"/>
      <c r="M177" s="197"/>
      <c r="N177" s="198"/>
      <c r="O177" s="198"/>
      <c r="P177" s="198"/>
    </row>
    <row r="178" ht="21.75" customHeight="1">
      <c r="A178" s="189"/>
      <c r="B178" s="190"/>
      <c r="C178" s="190"/>
      <c r="D178" s="199"/>
      <c r="E178" s="192"/>
      <c r="F178" s="192" t="s">
        <v>41</v>
      </c>
      <c r="G178" s="193" t="s">
        <v>42</v>
      </c>
      <c r="H178" s="194" t="s">
        <v>13</v>
      </c>
      <c r="I178" s="195"/>
      <c r="J178" s="195"/>
      <c r="K178" s="196"/>
      <c r="L178" s="198"/>
      <c r="M178" s="198"/>
      <c r="N178" s="198"/>
      <c r="O178" s="198"/>
      <c r="P178" s="198"/>
    </row>
    <row r="179" ht="21.75" customHeight="1">
      <c r="A179" s="189"/>
      <c r="B179" s="190"/>
      <c r="C179" s="190"/>
      <c r="D179" s="199"/>
      <c r="E179" s="192"/>
      <c r="F179" s="192"/>
      <c r="G179" s="204" t="s">
        <v>44</v>
      </c>
      <c r="H179" s="194" t="s">
        <v>13</v>
      </c>
      <c r="I179" s="195"/>
      <c r="J179" s="222"/>
      <c r="K179" s="258"/>
      <c r="L179" s="203"/>
      <c r="M179" s="203"/>
      <c r="N179" s="200"/>
      <c r="O179" s="203"/>
      <c r="P179" s="203"/>
    </row>
    <row r="180" ht="21.75" customHeight="1">
      <c r="A180" s="210"/>
      <c r="B180" s="211"/>
      <c r="C180" s="190" t="s">
        <v>17</v>
      </c>
      <c r="D180" s="212" t="s">
        <v>45</v>
      </c>
      <c r="E180" s="213"/>
      <c r="F180" s="213"/>
      <c r="G180" s="214"/>
      <c r="H180" s="215"/>
      <c r="I180" s="195"/>
      <c r="J180" s="222"/>
      <c r="K180" s="258"/>
      <c r="L180" s="203"/>
      <c r="M180" s="203"/>
      <c r="N180" s="203"/>
      <c r="O180" s="216"/>
      <c r="P180" s="216"/>
    </row>
    <row r="181" ht="21.75" customHeight="1">
      <c r="A181" s="210"/>
      <c r="B181" s="211"/>
      <c r="C181" s="211"/>
      <c r="D181" s="217">
        <v>1.0</v>
      </c>
      <c r="E181" s="218" t="s">
        <v>46</v>
      </c>
      <c r="F181" s="219"/>
      <c r="G181" s="220"/>
      <c r="H181" s="221"/>
      <c r="I181" s="222"/>
      <c r="J181" s="222">
        <f>IFERROR(__xludf.DUMMYFUNCTION("IMPORTRANGE(""https://docs.google.com/spreadsheets/d/1XL5vhW3sbDhbH9Cz0tuDiY8C3ctxq1tqvaCgkFb8cCA/edit?usp=sharing"",""มหาสารคาม!J106"")"),0.0)</f>
        <v>0</v>
      </c>
      <c r="K181" s="258"/>
      <c r="L181" s="203"/>
      <c r="M181" s="203"/>
      <c r="N181" s="203"/>
      <c r="O181" s="216"/>
      <c r="P181" s="216"/>
    </row>
    <row r="182" ht="21.75" customHeight="1">
      <c r="A182" s="210"/>
      <c r="B182" s="211"/>
      <c r="C182" s="211"/>
      <c r="D182" s="224">
        <v>2.0</v>
      </c>
      <c r="E182" s="225" t="s">
        <v>47</v>
      </c>
      <c r="F182" s="226"/>
      <c r="G182" s="227"/>
      <c r="H182" s="221"/>
      <c r="I182" s="222"/>
      <c r="J182" s="222">
        <f>IFERROR(__xludf.DUMMYFUNCTION("IMPORTRANGE(""https://docs.google.com/spreadsheets/d/1XL5vhW3sbDhbH9Cz0tuDiY8C3ctxq1tqvaCgkFb8cCA/edit?usp=sharing"",""มหาสารคาม!J107"")"),0.0)</f>
        <v>0</v>
      </c>
      <c r="K182" s="258"/>
      <c r="L182" s="203"/>
      <c r="M182" s="203"/>
      <c r="N182" s="203"/>
      <c r="O182" s="216"/>
      <c r="P182" s="216"/>
    </row>
    <row r="183" ht="21.75" customHeight="1">
      <c r="A183" s="210"/>
      <c r="B183" s="211"/>
      <c r="C183" s="211"/>
      <c r="D183" s="228"/>
      <c r="E183" s="229" t="s">
        <v>48</v>
      </c>
      <c r="F183" s="230"/>
      <c r="G183" s="231"/>
      <c r="H183" s="221"/>
      <c r="I183" s="222"/>
      <c r="J183" s="222">
        <f>IFERROR(__xludf.DUMMYFUNCTION("IMPORTRANGE(""https://docs.google.com/spreadsheets/d/1XL5vhW3sbDhbH9Cz0tuDiY8C3ctxq1tqvaCgkFb8cCA/edit?usp=sharing"",""มหาสารคาม!J108"")"),0.0)</f>
        <v>0</v>
      </c>
      <c r="K183" s="258"/>
      <c r="L183" s="203"/>
      <c r="M183" s="203"/>
      <c r="N183" s="203"/>
      <c r="O183" s="216"/>
      <c r="P183" s="216"/>
    </row>
    <row r="184" ht="21.75" customHeight="1">
      <c r="A184" s="210"/>
      <c r="B184" s="211"/>
      <c r="C184" s="211"/>
      <c r="D184" s="228"/>
      <c r="E184" s="229" t="s">
        <v>49</v>
      </c>
      <c r="F184" s="230"/>
      <c r="G184" s="231"/>
      <c r="H184" s="221"/>
      <c r="I184" s="222"/>
      <c r="J184" s="222">
        <f>IFERROR(__xludf.DUMMYFUNCTION("IMPORTRANGE(""https://docs.google.com/spreadsheets/d/1XL5vhW3sbDhbH9Cz0tuDiY8C3ctxq1tqvaCgkFb8cCA/edit?usp=sharing"",""มหาสารคาม!J109"")"),0.0)</f>
        <v>0</v>
      </c>
      <c r="K184" s="258"/>
      <c r="L184" s="203"/>
      <c r="M184" s="203"/>
      <c r="N184" s="203"/>
      <c r="O184" s="216"/>
      <c r="P184" s="216"/>
    </row>
    <row r="185" ht="21.75" customHeight="1">
      <c r="A185" s="210"/>
      <c r="B185" s="211"/>
      <c r="C185" s="211"/>
      <c r="D185" s="228"/>
      <c r="E185" s="233"/>
      <c r="F185" s="229" t="s">
        <v>87</v>
      </c>
      <c r="G185" s="231"/>
      <c r="H185" s="215" t="s">
        <v>84</v>
      </c>
      <c r="I185" s="222">
        <f>IFERROR(__xludf.DUMMYFUNCTION("IMPORTRANGE(""https://docs.google.com/spreadsheets/d/1XL5vhW3sbDhbH9Cz0tuDiY8C3ctxq1tqvaCgkFb8cCA/edit?usp=sharing"",""มหาสารคาม!I110"")"),0.0)</f>
        <v>0</v>
      </c>
      <c r="J185" s="238">
        <f>IFERROR(__xludf.DUMMYFUNCTION("IMPORTRANGE(""https://docs.google.com/spreadsheets/d/1XL5vhW3sbDhbH9Cz0tuDiY8C3ctxq1tqvaCgkFb8cCA/edit?usp=sharing"",""มหาสารคาม!J110"")"),0.0)</f>
        <v>0</v>
      </c>
      <c r="K185" s="258">
        <f t="shared" ref="K185:K186" si="70">IF(I185&gt;0,J185*100/I185,0)</f>
        <v>0</v>
      </c>
      <c r="L185" s="203"/>
      <c r="M185" s="203"/>
      <c r="N185" s="200"/>
      <c r="O185" s="203"/>
      <c r="P185" s="203"/>
    </row>
    <row r="186" ht="21.75" customHeight="1">
      <c r="A186" s="210"/>
      <c r="B186" s="211"/>
      <c r="C186" s="211"/>
      <c r="D186" s="228"/>
      <c r="E186" s="233"/>
      <c r="F186" s="229" t="s">
        <v>88</v>
      </c>
      <c r="G186" s="231"/>
      <c r="H186" s="215" t="s">
        <v>84</v>
      </c>
      <c r="I186" s="222">
        <f>IFERROR(__xludf.DUMMYFUNCTION("IMPORTRANGE(""https://docs.google.com/spreadsheets/d/1XL5vhW3sbDhbH9Cz0tuDiY8C3ctxq1tqvaCgkFb8cCA/edit?usp=sharing"",""มหาสารคาม!I111"")"),0.0)</f>
        <v>0</v>
      </c>
      <c r="J186" s="238">
        <f>IFERROR(__xludf.DUMMYFUNCTION("IMPORTRANGE(""https://docs.google.com/spreadsheets/d/1XL5vhW3sbDhbH9Cz0tuDiY8C3ctxq1tqvaCgkFb8cCA/edit?usp=sharing"",""มหาสารคาม!J111"")"),0.0)</f>
        <v>0</v>
      </c>
      <c r="K186" s="258">
        <f t="shared" si="70"/>
        <v>0</v>
      </c>
      <c r="L186" s="203"/>
      <c r="M186" s="203"/>
      <c r="N186" s="200"/>
      <c r="O186" s="203"/>
      <c r="P186" s="203"/>
    </row>
    <row r="187" ht="21.75" customHeight="1">
      <c r="A187" s="210"/>
      <c r="B187" s="211"/>
      <c r="C187" s="211"/>
      <c r="D187" s="228"/>
      <c r="E187" s="229" t="s">
        <v>55</v>
      </c>
      <c r="F187" s="230"/>
      <c r="G187" s="231"/>
      <c r="H187" s="221"/>
      <c r="I187" s="222"/>
      <c r="J187" s="222">
        <f>IFERROR(__xludf.DUMMYFUNCTION("IMPORTRANGE(""https://docs.google.com/spreadsheets/d/1XL5vhW3sbDhbH9Cz0tuDiY8C3ctxq1tqvaCgkFb8cCA/edit?usp=sharing"",""มหาสารคาม!J112"")"),0.0)</f>
        <v>0</v>
      </c>
      <c r="K187" s="258"/>
      <c r="L187" s="203"/>
      <c r="M187" s="203"/>
      <c r="N187" s="203"/>
      <c r="O187" s="216"/>
      <c r="P187" s="216"/>
    </row>
    <row r="188" ht="21.75" customHeight="1">
      <c r="A188" s="210"/>
      <c r="B188" s="211"/>
      <c r="C188" s="211"/>
      <c r="D188" s="240">
        <v>3.0</v>
      </c>
      <c r="E188" s="241" t="s">
        <v>56</v>
      </c>
      <c r="F188" s="242"/>
      <c r="G188" s="243"/>
      <c r="H188" s="221"/>
      <c r="I188" s="222"/>
      <c r="J188" s="261">
        <f>IFERROR(__xludf.DUMMYFUNCTION("IMPORTRANGE(""https://docs.google.com/spreadsheets/d/1XL5vhW3sbDhbH9Cz0tuDiY8C3ctxq1tqvaCgkFb8cCA/edit?usp=sharing"",""มหาสารคาม!J113"")"),0.0)</f>
        <v>0</v>
      </c>
      <c r="K188" s="258"/>
      <c r="L188" s="203"/>
      <c r="M188" s="203"/>
      <c r="N188" s="203"/>
      <c r="O188" s="216"/>
      <c r="P188" s="216"/>
    </row>
    <row r="189" ht="21.75" customHeight="1">
      <c r="A189" s="304"/>
      <c r="B189" s="305"/>
      <c r="C189" s="306" t="s">
        <v>89</v>
      </c>
      <c r="D189" s="306"/>
      <c r="E189" s="306"/>
      <c r="F189" s="306"/>
      <c r="G189" s="307"/>
      <c r="H189" s="319" t="s">
        <v>90</v>
      </c>
      <c r="I189" s="317">
        <f>IFERROR(__xludf.DUMMYFUNCTION("IMPORTRANGE(""https://docs.google.com/spreadsheets/d/1XL5vhW3sbDhbH9Cz0tuDiY8C3ctxq1tqvaCgkFb8cCA/edit?usp=sharing"",""มหาสารคาม!I114"")"),100000.0)</f>
        <v>100000</v>
      </c>
      <c r="J189" s="317">
        <f>IFERROR(__xludf.DUMMYFUNCTION("IMPORTRANGE(""https://docs.google.com/spreadsheets/d/1XL5vhW3sbDhbH9Cz0tuDiY8C3ctxq1tqvaCgkFb8cCA/edit?usp=sharing"",""มหาสารคาม!J114"")"),0.0)</f>
        <v>0</v>
      </c>
      <c r="K189" s="318">
        <f>IF(I189&gt;0,J189*100/I189,0)</f>
        <v>0</v>
      </c>
      <c r="L189" s="311"/>
      <c r="M189" s="311"/>
      <c r="N189" s="311"/>
      <c r="O189" s="311"/>
      <c r="P189" s="311"/>
    </row>
    <row r="190" ht="21.75" customHeight="1">
      <c r="A190" s="189"/>
      <c r="B190" s="190"/>
      <c r="C190" s="190" t="s">
        <v>17</v>
      </c>
      <c r="D190" s="191" t="s">
        <v>39</v>
      </c>
      <c r="E190" s="192"/>
      <c r="F190" s="192"/>
      <c r="G190" s="193" t="s">
        <v>40</v>
      </c>
      <c r="H190" s="194" t="s">
        <v>13</v>
      </c>
      <c r="I190" s="195" t="s">
        <v>41</v>
      </c>
      <c r="J190" s="195"/>
      <c r="K190" s="196"/>
      <c r="L190" s="197"/>
      <c r="M190" s="197"/>
      <c r="N190" s="198"/>
      <c r="O190" s="198"/>
      <c r="P190" s="198"/>
    </row>
    <row r="191" ht="21.75" customHeight="1">
      <c r="A191" s="189"/>
      <c r="B191" s="190"/>
      <c r="C191" s="190"/>
      <c r="D191" s="199"/>
      <c r="E191" s="192"/>
      <c r="F191" s="192" t="s">
        <v>41</v>
      </c>
      <c r="G191" s="193" t="s">
        <v>42</v>
      </c>
      <c r="H191" s="194" t="s">
        <v>13</v>
      </c>
      <c r="I191" s="195"/>
      <c r="J191" s="195"/>
      <c r="K191" s="196"/>
      <c r="L191" s="198"/>
      <c r="M191" s="198"/>
      <c r="N191" s="198"/>
      <c r="O191" s="198"/>
      <c r="P191" s="198"/>
    </row>
    <row r="192" ht="21.75" customHeight="1">
      <c r="A192" s="189"/>
      <c r="B192" s="190"/>
      <c r="C192" s="190"/>
      <c r="D192" s="199"/>
      <c r="E192" s="192"/>
      <c r="F192" s="192"/>
      <c r="G192" s="204" t="s">
        <v>44</v>
      </c>
      <c r="H192" s="194" t="s">
        <v>13</v>
      </c>
      <c r="I192" s="195"/>
      <c r="J192" s="195"/>
      <c r="K192" s="196"/>
      <c r="L192" s="203"/>
      <c r="M192" s="203"/>
      <c r="N192" s="200"/>
      <c r="O192" s="203"/>
      <c r="P192" s="203"/>
    </row>
    <row r="193" ht="21.75" customHeight="1">
      <c r="A193" s="210"/>
      <c r="B193" s="211"/>
      <c r="C193" s="190" t="s">
        <v>17</v>
      </c>
      <c r="D193" s="212" t="s">
        <v>45</v>
      </c>
      <c r="E193" s="213"/>
      <c r="F193" s="213"/>
      <c r="G193" s="214"/>
      <c r="H193" s="215"/>
      <c r="I193" s="195"/>
      <c r="J193" s="195"/>
      <c r="K193" s="196"/>
      <c r="L193" s="216"/>
      <c r="M193" s="216"/>
      <c r="N193" s="216"/>
      <c r="O193" s="216"/>
      <c r="P193" s="216"/>
    </row>
    <row r="194" ht="21.75" customHeight="1">
      <c r="A194" s="210"/>
      <c r="B194" s="211"/>
      <c r="C194" s="211"/>
      <c r="D194" s="217">
        <v>1.0</v>
      </c>
      <c r="E194" s="218" t="s">
        <v>46</v>
      </c>
      <c r="F194" s="219"/>
      <c r="G194" s="220"/>
      <c r="H194" s="221"/>
      <c r="I194" s="222"/>
      <c r="J194" s="232" t="str">
        <f>IFERROR(__xludf.DUMMYFUNCTION("IMPORTRANGE(""https://docs.google.com/spreadsheets/d/1XL5vhW3sbDhbH9Cz0tuDiY8C3ctxq1tqvaCgkFb8cCA/edit?usp=sharing"",""มหาสารคาม!J119"")"),"")</f>
        <v/>
      </c>
      <c r="K194" s="196"/>
      <c r="L194" s="216"/>
      <c r="M194" s="216"/>
      <c r="N194" s="216"/>
      <c r="O194" s="216"/>
      <c r="P194" s="216"/>
    </row>
    <row r="195" ht="21.75" customHeight="1">
      <c r="A195" s="210"/>
      <c r="B195" s="211"/>
      <c r="C195" s="211"/>
      <c r="D195" s="224">
        <v>2.0</v>
      </c>
      <c r="E195" s="225" t="s">
        <v>47</v>
      </c>
      <c r="F195" s="226"/>
      <c r="G195" s="227"/>
      <c r="H195" s="221"/>
      <c r="I195" s="222"/>
      <c r="J195" s="223">
        <f>IFERROR(__xludf.DUMMYFUNCTION("IMPORTRANGE(""https://docs.google.com/spreadsheets/d/1XL5vhW3sbDhbH9Cz0tuDiY8C3ctxq1tqvaCgkFb8cCA/edit?usp=sharing"",""มหาสารคาม!J120"")"),1.0)</f>
        <v>1</v>
      </c>
      <c r="K195" s="196"/>
      <c r="L195" s="216"/>
      <c r="M195" s="216"/>
      <c r="N195" s="216"/>
      <c r="O195" s="216"/>
      <c r="P195" s="216"/>
    </row>
    <row r="196" ht="21.75" customHeight="1">
      <c r="A196" s="210"/>
      <c r="B196" s="211"/>
      <c r="C196" s="211"/>
      <c r="D196" s="228"/>
      <c r="E196" s="229" t="s">
        <v>48</v>
      </c>
      <c r="F196" s="230"/>
      <c r="G196" s="231"/>
      <c r="H196" s="221"/>
      <c r="I196" s="222"/>
      <c r="J196" s="223">
        <f>IFERROR(__xludf.DUMMYFUNCTION("IMPORTRANGE(""https://docs.google.com/spreadsheets/d/1XL5vhW3sbDhbH9Cz0tuDiY8C3ctxq1tqvaCgkFb8cCA/edit?usp=sharing"",""มหาสารคาม!J121"")"),1.0)</f>
        <v>1</v>
      </c>
      <c r="K196" s="196"/>
      <c r="L196" s="216"/>
      <c r="M196" s="216"/>
      <c r="N196" s="216"/>
      <c r="O196" s="216"/>
      <c r="P196" s="216"/>
    </row>
    <row r="197" ht="21.75" customHeight="1">
      <c r="A197" s="210"/>
      <c r="B197" s="211"/>
      <c r="C197" s="211"/>
      <c r="D197" s="228"/>
      <c r="E197" s="229" t="s">
        <v>49</v>
      </c>
      <c r="F197" s="230"/>
      <c r="G197" s="231"/>
      <c r="H197" s="221"/>
      <c r="I197" s="222"/>
      <c r="J197" s="232">
        <f>IFERROR(__xludf.DUMMYFUNCTION("IMPORTRANGE(""https://docs.google.com/spreadsheets/d/1XL5vhW3sbDhbH9Cz0tuDiY8C3ctxq1tqvaCgkFb8cCA/edit?usp=sharing"",""มหาสารคาม!J122"")"),0.0)</f>
        <v>0</v>
      </c>
      <c r="K197" s="196"/>
      <c r="L197" s="216"/>
      <c r="M197" s="216"/>
      <c r="N197" s="216"/>
      <c r="O197" s="216"/>
      <c r="P197" s="216"/>
    </row>
    <row r="198" ht="21.75" customHeight="1">
      <c r="A198" s="210"/>
      <c r="B198" s="211"/>
      <c r="C198" s="211"/>
      <c r="D198" s="228"/>
      <c r="E198" s="230"/>
      <c r="F198" s="230" t="s">
        <v>91</v>
      </c>
      <c r="G198" s="231"/>
      <c r="H198" s="215"/>
      <c r="I198" s="222"/>
      <c r="J198" s="222"/>
      <c r="K198" s="196"/>
      <c r="L198" s="216"/>
      <c r="M198" s="216"/>
      <c r="N198" s="216"/>
      <c r="O198" s="216"/>
      <c r="P198" s="216"/>
    </row>
    <row r="199" ht="21.75" customHeight="1">
      <c r="A199" s="210"/>
      <c r="B199" s="211"/>
      <c r="C199" s="211"/>
      <c r="D199" s="228"/>
      <c r="E199" s="233"/>
      <c r="F199" s="230"/>
      <c r="G199" s="229" t="s">
        <v>92</v>
      </c>
      <c r="H199" s="215" t="s">
        <v>90</v>
      </c>
      <c r="I199" s="222">
        <f>IFERROR(__xludf.DUMMYFUNCTION("IMPORTRANGE(""https://docs.google.com/spreadsheets/d/1XL5vhW3sbDhbH9Cz0tuDiY8C3ctxq1tqvaCgkFb8cCA/edit?usp=sharing"",""มหาสารคาม!I124"")"),100000.0)</f>
        <v>100000</v>
      </c>
      <c r="J199" s="223">
        <f>IFERROR(__xludf.DUMMYFUNCTION("IMPORTRANGE(""https://docs.google.com/spreadsheets/d/1XL5vhW3sbDhbH9Cz0tuDiY8C3ctxq1tqvaCgkFb8cCA/edit?usp=sharing"",""มหาสารคาม!J124"")"),0.0)</f>
        <v>0</v>
      </c>
      <c r="K199" s="196">
        <f t="shared" ref="K199:K201" si="71">IF(I199&gt;0,J199*100/I199,0)</f>
        <v>0</v>
      </c>
      <c r="L199" s="216"/>
      <c r="M199" s="216"/>
      <c r="N199" s="216"/>
      <c r="O199" s="216"/>
      <c r="P199" s="216"/>
    </row>
    <row r="200" ht="21.75" customHeight="1">
      <c r="A200" s="210"/>
      <c r="B200" s="211"/>
      <c r="C200" s="211"/>
      <c r="D200" s="228"/>
      <c r="E200" s="233"/>
      <c r="F200" s="230"/>
      <c r="G200" s="229" t="s">
        <v>93</v>
      </c>
      <c r="H200" s="215" t="s">
        <v>90</v>
      </c>
      <c r="I200" s="222">
        <f>IFERROR(__xludf.DUMMYFUNCTION("IMPORTRANGE(""https://docs.google.com/spreadsheets/d/1XL5vhW3sbDhbH9Cz0tuDiY8C3ctxq1tqvaCgkFb8cCA/edit?usp=sharing"",""มหาสารคาม!I125"")"),100000.0)</f>
        <v>100000</v>
      </c>
      <c r="J200" s="223">
        <f>IFERROR(__xludf.DUMMYFUNCTION("IMPORTRANGE(""https://docs.google.com/spreadsheets/d/1XL5vhW3sbDhbH9Cz0tuDiY8C3ctxq1tqvaCgkFb8cCA/edit?usp=sharing"",""มหาสารคาม!J125"")"),0.0)</f>
        <v>0</v>
      </c>
      <c r="K200" s="196">
        <f t="shared" si="71"/>
        <v>0</v>
      </c>
      <c r="L200" s="203"/>
      <c r="M200" s="203"/>
      <c r="N200" s="200"/>
      <c r="O200" s="203"/>
      <c r="P200" s="203"/>
    </row>
    <row r="201" ht="21.75" customHeight="1">
      <c r="A201" s="210"/>
      <c r="B201" s="211"/>
      <c r="C201" s="211"/>
      <c r="D201" s="228"/>
      <c r="E201" s="233"/>
      <c r="F201" s="230" t="s">
        <v>94</v>
      </c>
      <c r="G201" s="231"/>
      <c r="H201" s="215" t="s">
        <v>38</v>
      </c>
      <c r="I201" s="222">
        <f>IFERROR(__xludf.DUMMYFUNCTION("IMPORTRANGE(""https://docs.google.com/spreadsheets/d/1XL5vhW3sbDhbH9Cz0tuDiY8C3ctxq1tqvaCgkFb8cCA/edit?usp=sharing"",""มหาสารคาม!I126"")"),0.0)</f>
        <v>0</v>
      </c>
      <c r="J201" s="223">
        <f>IFERROR(__xludf.DUMMYFUNCTION("IMPORTRANGE(""https://docs.google.com/spreadsheets/d/1XL5vhW3sbDhbH9Cz0tuDiY8C3ctxq1tqvaCgkFb8cCA/edit?usp=sharing"",""มหาสารคาม!J126"")"),0.0)</f>
        <v>0</v>
      </c>
      <c r="K201" s="196">
        <f t="shared" si="71"/>
        <v>0</v>
      </c>
      <c r="L201" s="203"/>
      <c r="M201" s="203"/>
      <c r="N201" s="200"/>
      <c r="O201" s="203"/>
      <c r="P201" s="203"/>
    </row>
    <row r="202" ht="21.75" customHeight="1">
      <c r="A202" s="210"/>
      <c r="B202" s="211"/>
      <c r="C202" s="211"/>
      <c r="D202" s="228"/>
      <c r="E202" s="229" t="s">
        <v>55</v>
      </c>
      <c r="F202" s="230"/>
      <c r="G202" s="231"/>
      <c r="H202" s="221"/>
      <c r="I202" s="222"/>
      <c r="J202" s="232">
        <f>IFERROR(__xludf.DUMMYFUNCTION("IMPORTRANGE(""https://docs.google.com/spreadsheets/d/1XL5vhW3sbDhbH9Cz0tuDiY8C3ctxq1tqvaCgkFb8cCA/edit?usp=sharing"",""มหาสารคาม!J127"")"),0.0)</f>
        <v>0</v>
      </c>
      <c r="K202" s="196"/>
      <c r="L202" s="216"/>
      <c r="M202" s="216"/>
      <c r="N202" s="216"/>
      <c r="O202" s="216"/>
      <c r="P202" s="216"/>
    </row>
    <row r="203" ht="21.75" customHeight="1">
      <c r="A203" s="268"/>
      <c r="B203" s="269"/>
      <c r="C203" s="269"/>
      <c r="D203" s="270">
        <v>3.0</v>
      </c>
      <c r="E203" s="271" t="s">
        <v>56</v>
      </c>
      <c r="F203" s="272"/>
      <c r="G203" s="273"/>
      <c r="H203" s="274"/>
      <c r="I203" s="275"/>
      <c r="J203" s="320">
        <f>IFERROR(__xludf.DUMMYFUNCTION("IMPORTRANGE(""https://docs.google.com/spreadsheets/d/1XL5vhW3sbDhbH9Cz0tuDiY8C3ctxq1tqvaCgkFb8cCA/edit?usp=sharing"",""มหาสารคาม!J128"")"),0.0)</f>
        <v>0</v>
      </c>
      <c r="K203" s="321"/>
      <c r="L203" s="279"/>
      <c r="M203" s="279"/>
      <c r="N203" s="279"/>
      <c r="O203" s="279"/>
      <c r="P203" s="279"/>
    </row>
    <row r="204" ht="21.75" customHeight="1">
      <c r="A204" s="304"/>
      <c r="B204" s="305"/>
      <c r="C204" s="322" t="s">
        <v>95</v>
      </c>
      <c r="D204" s="306"/>
      <c r="E204" s="306"/>
      <c r="F204" s="306"/>
      <c r="G204" s="307"/>
      <c r="H204" s="319" t="s">
        <v>38</v>
      </c>
      <c r="I204" s="317">
        <f>IFERROR(__xludf.DUMMYFUNCTION("IMPORTRANGE(""https://docs.google.com/spreadsheets/d/1XL5vhW3sbDhbH9Cz0tuDiY8C3ctxq1tqvaCgkFb8cCA/edit?usp=sharing"",""มหาสารคาม!I129"")"),0.0)</f>
        <v>0</v>
      </c>
      <c r="J204" s="317">
        <f>IFERROR(__xludf.DUMMYFUNCTION("IMPORTRANGE(""https://docs.google.com/spreadsheets/d/1XL5vhW3sbDhbH9Cz0tuDiY8C3ctxq1tqvaCgkFb8cCA/edit?usp=sharing"",""มหาสารคาม!J129"")"),0.0)</f>
        <v>0</v>
      </c>
      <c r="K204" s="318">
        <f>IF(I204&gt;0,J204*100/I204,0)</f>
        <v>0</v>
      </c>
      <c r="L204" s="311"/>
      <c r="M204" s="311"/>
      <c r="N204" s="311"/>
      <c r="O204" s="311"/>
      <c r="P204" s="311"/>
    </row>
    <row r="205" ht="21.75" customHeight="1">
      <c r="A205" s="189"/>
      <c r="B205" s="190"/>
      <c r="C205" s="190" t="s">
        <v>17</v>
      </c>
      <c r="D205" s="191" t="s">
        <v>39</v>
      </c>
      <c r="E205" s="192"/>
      <c r="F205" s="192"/>
      <c r="G205" s="193" t="s">
        <v>40</v>
      </c>
      <c r="H205" s="194" t="s">
        <v>13</v>
      </c>
      <c r="I205" s="195" t="s">
        <v>41</v>
      </c>
      <c r="J205" s="195"/>
      <c r="K205" s="196"/>
      <c r="L205" s="197"/>
      <c r="M205" s="197"/>
      <c r="N205" s="198"/>
      <c r="O205" s="198"/>
      <c r="P205" s="198"/>
    </row>
    <row r="206" ht="21.75" customHeight="1">
      <c r="A206" s="189"/>
      <c r="B206" s="190"/>
      <c r="C206" s="190"/>
      <c r="D206" s="199"/>
      <c r="E206" s="192"/>
      <c r="F206" s="192" t="s">
        <v>41</v>
      </c>
      <c r="G206" s="193" t="s">
        <v>42</v>
      </c>
      <c r="H206" s="194" t="s">
        <v>13</v>
      </c>
      <c r="I206" s="195"/>
      <c r="J206" s="195"/>
      <c r="K206" s="196"/>
      <c r="L206" s="198"/>
      <c r="M206" s="198"/>
      <c r="N206" s="198"/>
      <c r="O206" s="198"/>
      <c r="P206" s="198"/>
    </row>
    <row r="207" ht="21.75" customHeight="1">
      <c r="A207" s="189"/>
      <c r="B207" s="190"/>
      <c r="C207" s="190"/>
      <c r="D207" s="199"/>
      <c r="E207" s="192"/>
      <c r="F207" s="192"/>
      <c r="G207" s="204" t="s">
        <v>44</v>
      </c>
      <c r="H207" s="194" t="s">
        <v>13</v>
      </c>
      <c r="I207" s="195"/>
      <c r="J207" s="222"/>
      <c r="K207" s="258"/>
      <c r="L207" s="203"/>
      <c r="M207" s="203"/>
      <c r="N207" s="200"/>
      <c r="O207" s="203"/>
      <c r="P207" s="203"/>
    </row>
    <row r="208" ht="21.75" customHeight="1">
      <c r="A208" s="210"/>
      <c r="B208" s="211"/>
      <c r="C208" s="190" t="s">
        <v>17</v>
      </c>
      <c r="D208" s="212" t="s">
        <v>45</v>
      </c>
      <c r="E208" s="213"/>
      <c r="F208" s="213"/>
      <c r="G208" s="214"/>
      <c r="H208" s="215"/>
      <c r="I208" s="195"/>
      <c r="J208" s="222"/>
      <c r="K208" s="258"/>
      <c r="L208" s="203"/>
      <c r="M208" s="203"/>
      <c r="N208" s="203"/>
      <c r="O208" s="216"/>
      <c r="P208" s="216"/>
    </row>
    <row r="209" ht="21.75" customHeight="1">
      <c r="A209" s="210"/>
      <c r="B209" s="211"/>
      <c r="C209" s="211"/>
      <c r="D209" s="217">
        <v>1.0</v>
      </c>
      <c r="E209" s="218" t="s">
        <v>46</v>
      </c>
      <c r="F209" s="219"/>
      <c r="G209" s="220"/>
      <c r="H209" s="221"/>
      <c r="I209" s="222"/>
      <c r="J209" s="222">
        <f>IFERROR(__xludf.DUMMYFUNCTION("IMPORTRANGE(""https://docs.google.com/spreadsheets/d/1XL5vhW3sbDhbH9Cz0tuDiY8C3ctxq1tqvaCgkFb8cCA/edit?usp=sharing"",""มหาสารคาม!J134"")"),0.0)</f>
        <v>0</v>
      </c>
      <c r="K209" s="258"/>
      <c r="L209" s="203"/>
      <c r="M209" s="203"/>
      <c r="N209" s="203"/>
      <c r="O209" s="216"/>
      <c r="P209" s="216"/>
    </row>
    <row r="210" ht="21.75" customHeight="1">
      <c r="A210" s="210"/>
      <c r="B210" s="211"/>
      <c r="C210" s="211"/>
      <c r="D210" s="224">
        <v>2.0</v>
      </c>
      <c r="E210" s="225" t="s">
        <v>47</v>
      </c>
      <c r="F210" s="226"/>
      <c r="G210" s="227"/>
      <c r="H210" s="221"/>
      <c r="I210" s="222"/>
      <c r="J210" s="222">
        <f>IFERROR(__xludf.DUMMYFUNCTION("IMPORTRANGE(""https://docs.google.com/spreadsheets/d/1XL5vhW3sbDhbH9Cz0tuDiY8C3ctxq1tqvaCgkFb8cCA/edit?usp=sharing"",""มหาสารคาม!J135"")"),0.0)</f>
        <v>0</v>
      </c>
      <c r="K210" s="258"/>
      <c r="L210" s="203"/>
      <c r="M210" s="203"/>
      <c r="N210" s="203"/>
      <c r="O210" s="216"/>
      <c r="P210" s="216"/>
    </row>
    <row r="211" ht="21.75" customHeight="1">
      <c r="A211" s="210"/>
      <c r="B211" s="211"/>
      <c r="C211" s="211"/>
      <c r="D211" s="228"/>
      <c r="E211" s="229" t="s">
        <v>48</v>
      </c>
      <c r="F211" s="230"/>
      <c r="G211" s="231"/>
      <c r="H211" s="221"/>
      <c r="I211" s="222"/>
      <c r="J211" s="222">
        <f>IFERROR(__xludf.DUMMYFUNCTION("IMPORTRANGE(""https://docs.google.com/spreadsheets/d/1XL5vhW3sbDhbH9Cz0tuDiY8C3ctxq1tqvaCgkFb8cCA/edit?usp=sharing"",""มหาสารคาม!J136"")"),0.0)</f>
        <v>0</v>
      </c>
      <c r="K211" s="258"/>
      <c r="L211" s="203"/>
      <c r="M211" s="203"/>
      <c r="N211" s="203"/>
      <c r="O211" s="216"/>
      <c r="P211" s="216"/>
    </row>
    <row r="212" ht="21.75" customHeight="1">
      <c r="A212" s="210"/>
      <c r="B212" s="211"/>
      <c r="C212" s="211"/>
      <c r="D212" s="228"/>
      <c r="E212" s="229" t="s">
        <v>49</v>
      </c>
      <c r="F212" s="230"/>
      <c r="G212" s="231"/>
      <c r="H212" s="221"/>
      <c r="I212" s="222"/>
      <c r="J212" s="222">
        <f>IFERROR(__xludf.DUMMYFUNCTION("IMPORTRANGE(""https://docs.google.com/spreadsheets/d/1XL5vhW3sbDhbH9Cz0tuDiY8C3ctxq1tqvaCgkFb8cCA/edit?usp=sharing"",""มหาสารคาม!J137"")"),0.0)</f>
        <v>0</v>
      </c>
      <c r="K212" s="258"/>
      <c r="L212" s="203"/>
      <c r="M212" s="203"/>
      <c r="N212" s="203"/>
      <c r="O212" s="216"/>
      <c r="P212" s="216"/>
    </row>
    <row r="213" ht="21.75" customHeight="1">
      <c r="A213" s="210"/>
      <c r="B213" s="211"/>
      <c r="C213" s="211"/>
      <c r="D213" s="228"/>
      <c r="E213" s="233"/>
      <c r="F213" s="230" t="s">
        <v>96</v>
      </c>
      <c r="G213" s="231"/>
      <c r="H213" s="215" t="s">
        <v>38</v>
      </c>
      <c r="I213" s="222">
        <f>IFERROR(__xludf.DUMMYFUNCTION("IMPORTRANGE(""https://docs.google.com/spreadsheets/d/1XL5vhW3sbDhbH9Cz0tuDiY8C3ctxq1tqvaCgkFb8cCA/edit?usp=sharing"",""มหาสารคาม!I138"")"),0.0)</f>
        <v>0</v>
      </c>
      <c r="J213" s="238">
        <f>IFERROR(__xludf.DUMMYFUNCTION("IMPORTRANGE(""https://docs.google.com/spreadsheets/d/1XL5vhW3sbDhbH9Cz0tuDiY8C3ctxq1tqvaCgkFb8cCA/edit?usp=sharing"",""มหาสารคาม!J138"")"),0.0)</f>
        <v>0</v>
      </c>
      <c r="K213" s="258">
        <f>IF(I213&gt;0,J213*100/I213,0)</f>
        <v>0</v>
      </c>
      <c r="L213" s="203"/>
      <c r="M213" s="203"/>
      <c r="N213" s="200"/>
      <c r="O213" s="203"/>
      <c r="P213" s="203"/>
    </row>
    <row r="214" ht="21.75" customHeight="1">
      <c r="A214" s="210"/>
      <c r="B214" s="211"/>
      <c r="C214" s="211"/>
      <c r="D214" s="228"/>
      <c r="E214" s="233"/>
      <c r="F214" s="229" t="s">
        <v>54</v>
      </c>
      <c r="G214" s="231"/>
      <c r="H214" s="215"/>
      <c r="I214" s="222"/>
      <c r="J214" s="222"/>
      <c r="K214" s="258"/>
      <c r="L214" s="203"/>
      <c r="M214" s="203"/>
      <c r="N214" s="203"/>
      <c r="O214" s="216"/>
      <c r="P214" s="216"/>
    </row>
    <row r="215" ht="21.75" customHeight="1">
      <c r="A215" s="210"/>
      <c r="B215" s="211"/>
      <c r="C215" s="211"/>
      <c r="D215" s="228"/>
      <c r="E215" s="233"/>
      <c r="F215" s="230"/>
      <c r="G215" s="260" t="s">
        <v>97</v>
      </c>
      <c r="H215" s="215" t="s">
        <v>38</v>
      </c>
      <c r="I215" s="222">
        <f>IFERROR(__xludf.DUMMYFUNCTION("IMPORTRANGE(""https://docs.google.com/spreadsheets/d/1XL5vhW3sbDhbH9Cz0tuDiY8C3ctxq1tqvaCgkFb8cCA/edit?usp=sharing"",""มหาสารคาม!I140"")"),0.0)</f>
        <v>0</v>
      </c>
      <c r="J215" s="238">
        <f>IFERROR(__xludf.DUMMYFUNCTION("IMPORTRANGE(""https://docs.google.com/spreadsheets/d/1XL5vhW3sbDhbH9Cz0tuDiY8C3ctxq1tqvaCgkFb8cCA/edit?usp=sharing"",""มหาสารคาม!J140"")"),0.0)</f>
        <v>0</v>
      </c>
      <c r="K215" s="258">
        <f t="shared" ref="K215:K216" si="72">IF(I215&gt;0,J215*100/I215,0)</f>
        <v>0</v>
      </c>
      <c r="L215" s="203"/>
      <c r="M215" s="203"/>
      <c r="N215" s="200"/>
      <c r="O215" s="203"/>
      <c r="P215" s="203"/>
    </row>
    <row r="216" ht="21.75" customHeight="1">
      <c r="A216" s="210"/>
      <c r="B216" s="211"/>
      <c r="C216" s="211"/>
      <c r="D216" s="228"/>
      <c r="E216" s="233"/>
      <c r="F216" s="230"/>
      <c r="G216" s="260" t="s">
        <v>98</v>
      </c>
      <c r="H216" s="215" t="s">
        <v>60</v>
      </c>
      <c r="I216" s="222">
        <f>IFERROR(__xludf.DUMMYFUNCTION("IMPORTRANGE(""https://docs.google.com/spreadsheets/d/1XL5vhW3sbDhbH9Cz0tuDiY8C3ctxq1tqvaCgkFb8cCA/edit?usp=sharing"",""มหาสารคาม!I141"")"),0.0)</f>
        <v>0</v>
      </c>
      <c r="J216" s="238">
        <f>IFERROR(__xludf.DUMMYFUNCTION("IMPORTRANGE(""https://docs.google.com/spreadsheets/d/1XL5vhW3sbDhbH9Cz0tuDiY8C3ctxq1tqvaCgkFb8cCA/edit?usp=sharing"",""มหาสารคาม!J141"")"),0.0)</f>
        <v>0</v>
      </c>
      <c r="K216" s="258">
        <f t="shared" si="72"/>
        <v>0</v>
      </c>
      <c r="L216" s="203"/>
      <c r="M216" s="203"/>
      <c r="N216" s="200"/>
      <c r="O216" s="203"/>
      <c r="P216" s="203"/>
    </row>
    <row r="217" ht="21.75" customHeight="1">
      <c r="A217" s="210"/>
      <c r="B217" s="211"/>
      <c r="C217" s="211"/>
      <c r="D217" s="228"/>
      <c r="E217" s="229" t="s">
        <v>55</v>
      </c>
      <c r="F217" s="230"/>
      <c r="G217" s="231"/>
      <c r="H217" s="221"/>
      <c r="I217" s="222"/>
      <c r="J217" s="222">
        <f>IFERROR(__xludf.DUMMYFUNCTION("IMPORTRANGE(""https://docs.google.com/spreadsheets/d/1XL5vhW3sbDhbH9Cz0tuDiY8C3ctxq1tqvaCgkFb8cCA/edit?usp=sharing"",""มหาสารคาม!J142"")"),0.0)</f>
        <v>0</v>
      </c>
      <c r="K217" s="258"/>
      <c r="L217" s="203"/>
      <c r="M217" s="203"/>
      <c r="N217" s="203"/>
      <c r="O217" s="216"/>
      <c r="P217" s="216"/>
    </row>
    <row r="218" ht="21.75" customHeight="1">
      <c r="A218" s="268"/>
      <c r="B218" s="269"/>
      <c r="C218" s="269"/>
      <c r="D218" s="270">
        <v>3.0</v>
      </c>
      <c r="E218" s="271" t="s">
        <v>56</v>
      </c>
      <c r="F218" s="272"/>
      <c r="G218" s="273"/>
      <c r="H218" s="274"/>
      <c r="I218" s="275"/>
      <c r="J218" s="276">
        <f>IFERROR(__xludf.DUMMYFUNCTION("IMPORTRANGE(""https://docs.google.com/spreadsheets/d/1XL5vhW3sbDhbH9Cz0tuDiY8C3ctxq1tqvaCgkFb8cCA/edit?usp=sharing"",""มหาสารคาม!J143"")"),0.0)</f>
        <v>0</v>
      </c>
      <c r="K218" s="277"/>
      <c r="L218" s="278"/>
      <c r="M218" s="278"/>
      <c r="N218" s="278"/>
      <c r="O218" s="279"/>
      <c r="P218" s="279"/>
    </row>
    <row r="219" ht="21.75" customHeight="1">
      <c r="A219" s="296"/>
      <c r="B219" s="297" t="s">
        <v>99</v>
      </c>
      <c r="C219" s="298"/>
      <c r="D219" s="297"/>
      <c r="E219" s="297"/>
      <c r="F219" s="297"/>
      <c r="G219" s="299"/>
      <c r="H219" s="300" t="s">
        <v>38</v>
      </c>
      <c r="I219" s="301">
        <f>IFERROR(__xludf.DUMMYFUNCTION("IMPORTRANGE(""https://docs.google.com/spreadsheets/d/1XL5vhW3sbDhbH9Cz0tuDiY8C3ctxq1tqvaCgkFb8cCA/edit?usp=sharing"",""มหาสารคาม!I144"")"),14.0)</f>
        <v>14</v>
      </c>
      <c r="J219" s="301">
        <f>IFERROR(__xludf.DUMMYFUNCTION("IMPORTRANGE(""https://docs.google.com/spreadsheets/d/1XL5vhW3sbDhbH9Cz0tuDiY8C3ctxq1tqvaCgkFb8cCA/edit?usp=sharing"",""มหาสารคาม!J144"")"),0.0)</f>
        <v>0</v>
      </c>
      <c r="K219" s="302">
        <f>IF(I219&gt;0,J219*100/I219,0)</f>
        <v>0</v>
      </c>
      <c r="L219" s="303"/>
      <c r="M219" s="303"/>
      <c r="N219" s="303"/>
      <c r="O219" s="302"/>
      <c r="P219" s="302"/>
    </row>
    <row r="220" ht="21.75" customHeight="1">
      <c r="A220" s="176"/>
      <c r="B220" s="177"/>
      <c r="C220" s="178" t="s">
        <v>17</v>
      </c>
      <c r="D220" s="179" t="s">
        <v>18</v>
      </c>
      <c r="E220" s="37"/>
      <c r="F220" s="37"/>
      <c r="G220" s="37"/>
      <c r="H220" s="180" t="s">
        <v>13</v>
      </c>
      <c r="I220" s="195"/>
      <c r="J220" s="195"/>
      <c r="K220" s="196"/>
      <c r="L220" s="183">
        <f t="shared" ref="L220:N220" si="73">L221+L222</f>
        <v>20210</v>
      </c>
      <c r="M220" s="183">
        <f t="shared" si="73"/>
        <v>20210</v>
      </c>
      <c r="N220" s="183">
        <f t="shared" si="73"/>
        <v>0</v>
      </c>
      <c r="O220" s="182">
        <f t="shared" ref="O220:O222" si="75">IF(L220&gt;0,N220*100/L220,0)</f>
        <v>0</v>
      </c>
      <c r="P220" s="182">
        <f t="shared" ref="P220:P222" si="76">IF(M220&gt;0,N220*100/M220,0)</f>
        <v>0</v>
      </c>
    </row>
    <row r="221" ht="21.75" customHeight="1">
      <c r="A221" s="184"/>
      <c r="B221" s="50"/>
      <c r="C221" s="50"/>
      <c r="D221" s="50"/>
      <c r="E221" s="50"/>
      <c r="F221" s="50"/>
      <c r="G221" s="51" t="s">
        <v>19</v>
      </c>
      <c r="H221" s="185" t="s">
        <v>13</v>
      </c>
      <c r="I221" s="195"/>
      <c r="J221" s="195"/>
      <c r="K221" s="196"/>
      <c r="L221" s="188">
        <f t="shared" ref="L221:N221" si="74">L223+L227</f>
        <v>0</v>
      </c>
      <c r="M221" s="188">
        <f t="shared" si="74"/>
        <v>0</v>
      </c>
      <c r="N221" s="188">
        <f t="shared" si="74"/>
        <v>0</v>
      </c>
      <c r="O221" s="187">
        <f t="shared" si="75"/>
        <v>0</v>
      </c>
      <c r="P221" s="187">
        <f t="shared" si="76"/>
        <v>0</v>
      </c>
    </row>
    <row r="222" ht="21.75" customHeight="1">
      <c r="A222" s="184"/>
      <c r="B222" s="50"/>
      <c r="C222" s="50"/>
      <c r="D222" s="50"/>
      <c r="E222" s="50"/>
      <c r="F222" s="50"/>
      <c r="G222" s="51" t="s">
        <v>20</v>
      </c>
      <c r="H222" s="185" t="s">
        <v>13</v>
      </c>
      <c r="I222" s="195"/>
      <c r="J222" s="195"/>
      <c r="K222" s="196"/>
      <c r="L222" s="188">
        <f t="shared" ref="L222:N222" si="77">L224+L228</f>
        <v>20210</v>
      </c>
      <c r="M222" s="188">
        <f t="shared" si="77"/>
        <v>20210</v>
      </c>
      <c r="N222" s="188">
        <f t="shared" si="77"/>
        <v>0</v>
      </c>
      <c r="O222" s="187">
        <f t="shared" si="75"/>
        <v>0</v>
      </c>
      <c r="P222" s="187">
        <f t="shared" si="76"/>
        <v>0</v>
      </c>
    </row>
    <row r="223" ht="21.75" customHeight="1">
      <c r="A223" s="189"/>
      <c r="B223" s="190"/>
      <c r="C223" s="190" t="s">
        <v>17</v>
      </c>
      <c r="D223" s="191" t="s">
        <v>39</v>
      </c>
      <c r="E223" s="192"/>
      <c r="F223" s="192"/>
      <c r="G223" s="193" t="s">
        <v>40</v>
      </c>
      <c r="H223" s="194" t="s">
        <v>13</v>
      </c>
      <c r="I223" s="195" t="s">
        <v>41</v>
      </c>
      <c r="J223" s="195"/>
      <c r="K223" s="196"/>
      <c r="L223" s="197">
        <v>0.0</v>
      </c>
      <c r="M223" s="197"/>
      <c r="N223" s="197">
        <v>0.0</v>
      </c>
      <c r="O223" s="198">
        <f>+IF(L223&gt;0,N223*100/L223,0)</f>
        <v>0</v>
      </c>
      <c r="P223" s="198"/>
    </row>
    <row r="224" ht="21.75" customHeight="1">
      <c r="A224" s="189"/>
      <c r="B224" s="190"/>
      <c r="C224" s="190"/>
      <c r="D224" s="199"/>
      <c r="E224" s="192"/>
      <c r="F224" s="192" t="s">
        <v>41</v>
      </c>
      <c r="G224" s="193" t="s">
        <v>42</v>
      </c>
      <c r="H224" s="194" t="s">
        <v>13</v>
      </c>
      <c r="I224" s="195"/>
      <c r="J224" s="195"/>
      <c r="K224" s="196"/>
      <c r="L224" s="200">
        <f>L225+L226</f>
        <v>20210</v>
      </c>
      <c r="M224" s="201">
        <f>IFERROR(__xludf.DUMMYFUNCTION("IMPORTRANGE(""https://docs.google.com/spreadsheets/d/1Yj_ptqi66GCucihVvJfMjLAmec39IyEx_6qawtMGysU/edit?usp=sharing"",""สบก!BS45"")"),20210.0)</f>
        <v>20210</v>
      </c>
      <c r="N224" s="202">
        <f>IFERROR(__xludf.DUMMYFUNCTION("IMPORTRANGE(""https://docs.google.com/spreadsheets/d/1Yj_ptqi66GCucihVvJfMjLAmec39IyEx_6qawtMGysU/edit?usp=sharing"",""สบก!BT45"")"),0.0)</f>
        <v>0</v>
      </c>
      <c r="O224" s="203">
        <f>IF(L224&gt;0,N224*100/L224,0)</f>
        <v>0</v>
      </c>
      <c r="P224" s="203">
        <f>IF(M224&gt;0,N224*100/M224,0)</f>
        <v>0</v>
      </c>
    </row>
    <row r="225" ht="21.75" customHeight="1">
      <c r="A225" s="189"/>
      <c r="B225" s="190"/>
      <c r="C225" s="190"/>
      <c r="D225" s="199"/>
      <c r="E225" s="192"/>
      <c r="F225" s="192"/>
      <c r="G225" s="204" t="s">
        <v>43</v>
      </c>
      <c r="H225" s="194" t="s">
        <v>13</v>
      </c>
      <c r="I225" s="195"/>
      <c r="J225" s="195"/>
      <c r="K225" s="196"/>
      <c r="L225" s="201">
        <f>IFERROR(__xludf.DUMMYFUNCTION("IMPORTRANGE(""https://docs.google.com/spreadsheets/d/1Yj_ptqi66GCucihVvJfMjLAmec39IyEx_6qawtMGysU/edit?usp=sharing"",""สบก!BO45"")"),0.0)</f>
        <v>0</v>
      </c>
      <c r="M225" s="200"/>
      <c r="N225" s="200"/>
      <c r="O225" s="203"/>
      <c r="P225" s="203"/>
    </row>
    <row r="226" ht="21.75" customHeight="1">
      <c r="A226" s="189"/>
      <c r="B226" s="190"/>
      <c r="C226" s="190"/>
      <c r="D226" s="199"/>
      <c r="E226" s="192"/>
      <c r="F226" s="192"/>
      <c r="G226" s="204" t="s">
        <v>44</v>
      </c>
      <c r="H226" s="194" t="s">
        <v>13</v>
      </c>
      <c r="I226" s="195"/>
      <c r="J226" s="195"/>
      <c r="K226" s="196"/>
      <c r="L226" s="201">
        <f>IFERROR(__xludf.DUMMYFUNCTION("IMPORTRANGE(""https://docs.google.com/spreadsheets/d/1Yj_ptqi66GCucihVvJfMjLAmec39IyEx_6qawtMGysU/edit?usp=sharing"",""สบก!BP45"")"),20210.0)</f>
        <v>20210</v>
      </c>
      <c r="M226" s="200"/>
      <c r="N226" s="200"/>
      <c r="O226" s="203"/>
      <c r="P226" s="203"/>
    </row>
    <row r="227" ht="21.75" customHeight="1">
      <c r="A227" s="205"/>
      <c r="B227" s="104"/>
      <c r="C227" s="105" t="s">
        <v>17</v>
      </c>
      <c r="D227" s="106" t="s">
        <v>24</v>
      </c>
      <c r="E227" s="53"/>
      <c r="F227" s="113"/>
      <c r="G227" s="107" t="s">
        <v>19</v>
      </c>
      <c r="H227" s="206" t="s">
        <v>13</v>
      </c>
      <c r="I227" s="235"/>
      <c r="J227" s="235"/>
      <c r="K227" s="323"/>
      <c r="L227" s="117">
        <v>0.0</v>
      </c>
      <c r="M227" s="117"/>
      <c r="N227" s="62"/>
      <c r="O227" s="117"/>
      <c r="P227" s="117"/>
    </row>
    <row r="228" ht="21.75" customHeight="1">
      <c r="A228" s="207"/>
      <c r="B228" s="119"/>
      <c r="C228" s="119"/>
      <c r="D228" s="208"/>
      <c r="E228" s="120"/>
      <c r="F228" s="120"/>
      <c r="G228" s="121" t="s">
        <v>20</v>
      </c>
      <c r="H228" s="209" t="s">
        <v>13</v>
      </c>
      <c r="I228" s="235"/>
      <c r="J228" s="235"/>
      <c r="K228" s="323"/>
      <c r="L228" s="115">
        <f>IFERROR(__xludf.DUMMYFUNCTION("IMPORTRANGE(""https://docs.google.com/spreadsheets/d/1Yj_ptqi66GCucihVvJfMjLAmec39IyEx_6qawtMGysU/edit?usp=sharing"",""สบก!BQ45"")"),0.0)</f>
        <v>0</v>
      </c>
      <c r="M228" s="125"/>
      <c r="N228" s="115">
        <f>IFERROR(__xludf.DUMMYFUNCTION("IMPORTRANGE(""https://docs.google.com/spreadsheets/d/1Yj_ptqi66GCucihVvJfMjLAmec39IyEx_6qawtMGysU/edit?usp=sharing"",""สบก!BU45"")"),0.0)</f>
        <v>0</v>
      </c>
      <c r="O228" s="125">
        <f>IF(L228&gt;0,N228*100/L228,0)</f>
        <v>0</v>
      </c>
      <c r="P228" s="125"/>
    </row>
    <row r="229" ht="21.75" customHeight="1">
      <c r="A229" s="210"/>
      <c r="B229" s="324"/>
      <c r="C229" s="298" t="s">
        <v>100</v>
      </c>
      <c r="D229" s="297"/>
      <c r="E229" s="297"/>
      <c r="F229" s="297"/>
      <c r="G229" s="299"/>
      <c r="H229" s="300" t="s">
        <v>38</v>
      </c>
      <c r="I229" s="301">
        <f>IFERROR(__xludf.DUMMYFUNCTION("IMPORTRANGE(""https://docs.google.com/spreadsheets/d/1XL5vhW3sbDhbH9Cz0tuDiY8C3ctxq1tqvaCgkFb8cCA/edit?usp=sharing"",""มหาสารคาม!I149"")"),14.0)</f>
        <v>14</v>
      </c>
      <c r="J229" s="301">
        <f>IFERROR(__xludf.DUMMYFUNCTION("IMPORTRANGE(""https://docs.google.com/spreadsheets/d/1XL5vhW3sbDhbH9Cz0tuDiY8C3ctxq1tqvaCgkFb8cCA/edit?usp=sharing"",""มหาสารคาม!J149"")"),0.0)</f>
        <v>0</v>
      </c>
      <c r="K229" s="302">
        <f>IF(I229&gt;0,J229*100/I229,0)</f>
        <v>0</v>
      </c>
      <c r="L229" s="325"/>
      <c r="M229" s="325"/>
      <c r="N229" s="325"/>
      <c r="O229" s="325"/>
      <c r="P229" s="325"/>
    </row>
    <row r="230" ht="21.75" customHeight="1">
      <c r="A230" s="210"/>
      <c r="B230" s="211"/>
      <c r="C230" s="190" t="s">
        <v>17</v>
      </c>
      <c r="D230" s="212" t="s">
        <v>45</v>
      </c>
      <c r="E230" s="213"/>
      <c r="F230" s="213"/>
      <c r="G230" s="214"/>
      <c r="H230" s="215"/>
      <c r="I230" s="195"/>
      <c r="J230" s="195"/>
      <c r="K230" s="196"/>
      <c r="L230" s="216"/>
      <c r="M230" s="216"/>
      <c r="N230" s="216"/>
      <c r="O230" s="216"/>
      <c r="P230" s="216"/>
    </row>
    <row r="231" ht="21.75" customHeight="1">
      <c r="A231" s="210"/>
      <c r="B231" s="211"/>
      <c r="C231" s="211"/>
      <c r="D231" s="217">
        <v>1.0</v>
      </c>
      <c r="E231" s="218" t="s">
        <v>46</v>
      </c>
      <c r="F231" s="219"/>
      <c r="G231" s="220"/>
      <c r="H231" s="221"/>
      <c r="I231" s="222"/>
      <c r="J231" s="232">
        <f>IFERROR(__xludf.DUMMYFUNCTION("IMPORTRANGE(""https://docs.google.com/spreadsheets/d/1XL5vhW3sbDhbH9Cz0tuDiY8C3ctxq1tqvaCgkFb8cCA/edit?usp=sharing"",""มหาสารคาม!J151"")"),1.0)</f>
        <v>1</v>
      </c>
      <c r="K231" s="196"/>
      <c r="L231" s="216"/>
      <c r="M231" s="216"/>
      <c r="N231" s="216"/>
      <c r="O231" s="216"/>
      <c r="P231" s="216"/>
    </row>
    <row r="232" ht="21.75" customHeight="1">
      <c r="A232" s="210"/>
      <c r="B232" s="211"/>
      <c r="C232" s="211"/>
      <c r="D232" s="224">
        <v>2.0</v>
      </c>
      <c r="E232" s="225" t="s">
        <v>47</v>
      </c>
      <c r="F232" s="226"/>
      <c r="G232" s="227"/>
      <c r="H232" s="221"/>
      <c r="I232" s="222"/>
      <c r="J232" s="223">
        <f>IFERROR(__xludf.DUMMYFUNCTION("IMPORTRANGE(""https://docs.google.com/spreadsheets/d/1XL5vhW3sbDhbH9Cz0tuDiY8C3ctxq1tqvaCgkFb8cCA/edit?usp=sharing"",""มหาสารคาม!J152"")"),0.0)</f>
        <v>0</v>
      </c>
      <c r="K232" s="196"/>
      <c r="L232" s="216" t="s">
        <v>41</v>
      </c>
      <c r="M232" s="216"/>
      <c r="N232" s="216" t="s">
        <v>41</v>
      </c>
      <c r="O232" s="216"/>
      <c r="P232" s="216"/>
    </row>
    <row r="233" ht="21.75" customHeight="1">
      <c r="A233" s="210"/>
      <c r="B233" s="211"/>
      <c r="C233" s="211"/>
      <c r="D233" s="228"/>
      <c r="E233" s="229" t="s">
        <v>48</v>
      </c>
      <c r="F233" s="230"/>
      <c r="G233" s="231"/>
      <c r="H233" s="221"/>
      <c r="I233" s="222"/>
      <c r="J233" s="223">
        <f>IFERROR(__xludf.DUMMYFUNCTION("IMPORTRANGE(""https://docs.google.com/spreadsheets/d/1XL5vhW3sbDhbH9Cz0tuDiY8C3ctxq1tqvaCgkFb8cCA/edit?usp=sharing"",""มหาสารคาม!J153"")"),0.0)</f>
        <v>0</v>
      </c>
      <c r="K233" s="196"/>
      <c r="L233" s="216"/>
      <c r="M233" s="216"/>
      <c r="N233" s="216"/>
      <c r="O233" s="216"/>
      <c r="P233" s="216"/>
    </row>
    <row r="234" ht="21.75" customHeight="1">
      <c r="A234" s="210"/>
      <c r="B234" s="211"/>
      <c r="C234" s="211"/>
      <c r="D234" s="228"/>
      <c r="E234" s="229" t="s">
        <v>49</v>
      </c>
      <c r="F234" s="230"/>
      <c r="G234" s="231"/>
      <c r="H234" s="221"/>
      <c r="I234" s="222"/>
      <c r="J234" s="232">
        <f>IFERROR(__xludf.DUMMYFUNCTION("IMPORTRANGE(""https://docs.google.com/spreadsheets/d/1XL5vhW3sbDhbH9Cz0tuDiY8C3ctxq1tqvaCgkFb8cCA/edit?usp=sharing"",""มหาสารคาม!J154"")"),0.0)</f>
        <v>0</v>
      </c>
      <c r="K234" s="196"/>
      <c r="L234" s="216"/>
      <c r="M234" s="216"/>
      <c r="N234" s="216"/>
      <c r="O234" s="216"/>
      <c r="P234" s="216"/>
    </row>
    <row r="235" ht="21.75" customHeight="1">
      <c r="A235" s="210"/>
      <c r="B235" s="211"/>
      <c r="C235" s="211"/>
      <c r="D235" s="228"/>
      <c r="E235" s="233"/>
      <c r="F235" s="230"/>
      <c r="G235" s="326" t="s">
        <v>71</v>
      </c>
      <c r="H235" s="221" t="s">
        <v>38</v>
      </c>
      <c r="I235" s="222">
        <f>IFERROR(__xludf.DUMMYFUNCTION("IMPORTRANGE(""https://docs.google.com/spreadsheets/d/1XL5vhW3sbDhbH9Cz0tuDiY8C3ctxq1tqvaCgkFb8cCA/edit?usp=sharing"",""มหาสารคาม!I155"")"),14.0)</f>
        <v>14</v>
      </c>
      <c r="J235" s="223">
        <f>IFERROR(__xludf.DUMMYFUNCTION("IMPORTRANGE(""https://docs.google.com/spreadsheets/d/1XL5vhW3sbDhbH9Cz0tuDiY8C3ctxq1tqvaCgkFb8cCA/edit?usp=sharing"",""มหาสารคาม!J155"")"),0.0)</f>
        <v>0</v>
      </c>
      <c r="K235" s="196">
        <f>IF(I235&gt;0,J235*100/I235,0)</f>
        <v>0</v>
      </c>
      <c r="L235" s="216"/>
      <c r="M235" s="216"/>
      <c r="N235" s="216"/>
      <c r="O235" s="216"/>
      <c r="P235" s="216"/>
    </row>
    <row r="236" ht="21.75" customHeight="1">
      <c r="A236" s="210"/>
      <c r="B236" s="211"/>
      <c r="C236" s="211"/>
      <c r="D236" s="228"/>
      <c r="E236" s="229" t="s">
        <v>55</v>
      </c>
      <c r="F236" s="230"/>
      <c r="G236" s="231"/>
      <c r="H236" s="221"/>
      <c r="I236" s="222"/>
      <c r="J236" s="232">
        <f>IFERROR(__xludf.DUMMYFUNCTION("IMPORTRANGE(""https://docs.google.com/spreadsheets/d/1XL5vhW3sbDhbH9Cz0tuDiY8C3ctxq1tqvaCgkFb8cCA/edit?usp=sharing"",""มหาสารคาม!J156"")"),0.0)</f>
        <v>0</v>
      </c>
      <c r="K236" s="196"/>
      <c r="L236" s="216"/>
      <c r="M236" s="216"/>
      <c r="N236" s="216"/>
      <c r="O236" s="216"/>
      <c r="P236" s="216"/>
    </row>
    <row r="237" ht="21.75" customHeight="1">
      <c r="A237" s="210"/>
      <c r="B237" s="211"/>
      <c r="C237" s="211"/>
      <c r="D237" s="240">
        <v>3.0</v>
      </c>
      <c r="E237" s="241" t="s">
        <v>56</v>
      </c>
      <c r="F237" s="242"/>
      <c r="G237" s="243"/>
      <c r="H237" s="221"/>
      <c r="I237" s="222"/>
      <c r="J237" s="244">
        <f>IFERROR(__xludf.DUMMYFUNCTION("IMPORTRANGE(""https://docs.google.com/spreadsheets/d/1XL5vhW3sbDhbH9Cz0tuDiY8C3ctxq1tqvaCgkFb8cCA/edit?usp=sharing"",""มหาสารคาม!J157"")"),0.0)</f>
        <v>0</v>
      </c>
      <c r="K237" s="196"/>
      <c r="L237" s="216"/>
      <c r="M237" s="216"/>
      <c r="N237" s="216"/>
      <c r="O237" s="216"/>
      <c r="P237" s="216"/>
    </row>
    <row r="238" ht="21.75" customHeight="1">
      <c r="A238" s="210"/>
      <c r="B238" s="211"/>
      <c r="C238" s="298" t="s">
        <v>101</v>
      </c>
      <c r="D238" s="327"/>
      <c r="E238" s="297"/>
      <c r="F238" s="297"/>
      <c r="G238" s="299"/>
      <c r="H238" s="300" t="s">
        <v>38</v>
      </c>
      <c r="I238" s="301">
        <f>IFERROR(__xludf.DUMMYFUNCTION("IMPORTRANGE(""https://docs.google.com/spreadsheets/d/1XL5vhW3sbDhbH9Cz0tuDiY8C3ctxq1tqvaCgkFb8cCA/edit?usp=sharing"",""มหาสารคาม!I158"")"),0.0)</f>
        <v>0</v>
      </c>
      <c r="J238" s="301">
        <f>IFERROR(__xludf.DUMMYFUNCTION("IMPORTRANGE(""https://docs.google.com/spreadsheets/d/1XL5vhW3sbDhbH9Cz0tuDiY8C3ctxq1tqvaCgkFb8cCA/edit?usp=sharing"",""มหาสารคาม!J158"")"),0.0)</f>
        <v>0</v>
      </c>
      <c r="K238" s="302">
        <f>IF(I238&gt;0,J238*100/I238,0)</f>
        <v>0</v>
      </c>
      <c r="L238" s="216"/>
      <c r="M238" s="216"/>
      <c r="N238" s="216"/>
      <c r="O238" s="216"/>
      <c r="P238" s="216"/>
    </row>
    <row r="239" ht="21.75" customHeight="1">
      <c r="A239" s="210"/>
      <c r="B239" s="211"/>
      <c r="C239" s="190" t="s">
        <v>17</v>
      </c>
      <c r="D239" s="212" t="s">
        <v>45</v>
      </c>
      <c r="E239" s="213"/>
      <c r="F239" s="213"/>
      <c r="G239" s="214"/>
      <c r="H239" s="215"/>
      <c r="I239" s="195"/>
      <c r="J239" s="195"/>
      <c r="K239" s="196"/>
      <c r="L239" s="216"/>
      <c r="M239" s="216"/>
      <c r="N239" s="216"/>
      <c r="O239" s="216"/>
      <c r="P239" s="216"/>
    </row>
    <row r="240" ht="21.75" customHeight="1">
      <c r="A240" s="210"/>
      <c r="B240" s="211"/>
      <c r="C240" s="211"/>
      <c r="D240" s="217">
        <v>1.0</v>
      </c>
      <c r="E240" s="218" t="s">
        <v>46</v>
      </c>
      <c r="F240" s="219"/>
      <c r="G240" s="220"/>
      <c r="H240" s="221"/>
      <c r="I240" s="222"/>
      <c r="J240" s="222" t="str">
        <f>IFERROR(__xludf.DUMMYFUNCTION("IMPORTRANGE(""https://docs.google.com/spreadsheets/d/1XL5vhW3sbDhbH9Cz0tuDiY8C3ctxq1tqvaCgkFb8cCA/edit?usp=sharing"",""มหาสารคาม!J159"")"),"")</f>
        <v/>
      </c>
      <c r="K240" s="196"/>
      <c r="L240" s="216"/>
      <c r="M240" s="216"/>
      <c r="N240" s="216"/>
      <c r="O240" s="216"/>
      <c r="P240" s="216"/>
    </row>
    <row r="241" ht="21.75" customHeight="1">
      <c r="A241" s="210"/>
      <c r="B241" s="211"/>
      <c r="C241" s="211"/>
      <c r="D241" s="224">
        <v>2.0</v>
      </c>
      <c r="E241" s="225" t="s">
        <v>47</v>
      </c>
      <c r="F241" s="226"/>
      <c r="G241" s="227"/>
      <c r="H241" s="221"/>
      <c r="I241" s="222"/>
      <c r="J241" s="222">
        <f>IFERROR(__xludf.DUMMYFUNCTION("IMPORTRANGE(""https://docs.google.com/spreadsheets/d/1XL5vhW3sbDhbH9Cz0tuDiY8C3ctxq1tqvaCgkFb8cCA/edit?usp=sharing"",""มหาสารคาม!J161"")"),0.0)</f>
        <v>0</v>
      </c>
      <c r="K241" s="196"/>
      <c r="L241" s="216" t="s">
        <v>41</v>
      </c>
      <c r="M241" s="216"/>
      <c r="N241" s="216" t="s">
        <v>41</v>
      </c>
      <c r="O241" s="216"/>
      <c r="P241" s="216"/>
    </row>
    <row r="242" ht="21.75" customHeight="1">
      <c r="A242" s="210"/>
      <c r="B242" s="211"/>
      <c r="C242" s="211"/>
      <c r="D242" s="228"/>
      <c r="E242" s="229" t="s">
        <v>48</v>
      </c>
      <c r="F242" s="230"/>
      <c r="G242" s="231"/>
      <c r="H242" s="221"/>
      <c r="I242" s="222"/>
      <c r="J242" s="222">
        <f>IFERROR(__xludf.DUMMYFUNCTION("IMPORTRANGE(""https://docs.google.com/spreadsheets/d/1XL5vhW3sbDhbH9Cz0tuDiY8C3ctxq1tqvaCgkFb8cCA/edit?usp=sharing"",""มหาสารคาม!J162"")"),0.0)</f>
        <v>0</v>
      </c>
      <c r="K242" s="196"/>
      <c r="L242" s="216"/>
      <c r="M242" s="216"/>
      <c r="N242" s="216"/>
      <c r="O242" s="216"/>
      <c r="P242" s="216"/>
    </row>
    <row r="243" ht="21.75" customHeight="1">
      <c r="A243" s="210"/>
      <c r="B243" s="211"/>
      <c r="C243" s="211"/>
      <c r="D243" s="228"/>
      <c r="E243" s="229" t="s">
        <v>49</v>
      </c>
      <c r="F243" s="230"/>
      <c r="G243" s="231"/>
      <c r="H243" s="221"/>
      <c r="I243" s="222"/>
      <c r="J243" s="222">
        <f>IFERROR(__xludf.DUMMYFUNCTION("IMPORTRANGE(""https://docs.google.com/spreadsheets/d/1XL5vhW3sbDhbH9Cz0tuDiY8C3ctxq1tqvaCgkFb8cCA/edit?usp=sharing"",""มหาสารคาม!J163"")"),0.0)</f>
        <v>0</v>
      </c>
      <c r="K243" s="196"/>
      <c r="L243" s="216"/>
      <c r="M243" s="216"/>
      <c r="N243" s="216"/>
      <c r="O243" s="216"/>
      <c r="P243" s="216"/>
    </row>
    <row r="244" ht="21.75" customHeight="1">
      <c r="A244" s="210"/>
      <c r="B244" s="211"/>
      <c r="C244" s="211"/>
      <c r="D244" s="228"/>
      <c r="E244" s="230"/>
      <c r="F244" s="229" t="s">
        <v>102</v>
      </c>
      <c r="G244" s="230"/>
      <c r="H244" s="221" t="s">
        <v>38</v>
      </c>
      <c r="I244" s="238">
        <f>IFERROR(__xludf.DUMMYFUNCTION("IMPORTRANGE(""https://docs.google.com/spreadsheets/d/1XL5vhW3sbDhbH9Cz0tuDiY8C3ctxq1tqvaCgkFb8cCA/edit?usp=sharing"",""มหาสารคาม!I164"")"),0.0)</f>
        <v>0</v>
      </c>
      <c r="J244" s="222">
        <f>IFERROR(__xludf.DUMMYFUNCTION("IMPORTRANGE(""https://docs.google.com/spreadsheets/d/1XL5vhW3sbDhbH9Cz0tuDiY8C3ctxq1tqvaCgkFb8cCA/edit?usp=sharing"",""มหาสารคาม!J164"")"),0.0)</f>
        <v>0</v>
      </c>
      <c r="K244" s="196">
        <f>IF(I244&gt;0,J244*100/I244,0)</f>
        <v>0</v>
      </c>
      <c r="L244" s="216"/>
      <c r="M244" s="216"/>
      <c r="N244" s="216"/>
      <c r="O244" s="216"/>
      <c r="P244" s="216"/>
    </row>
    <row r="245" ht="21.75" customHeight="1">
      <c r="A245" s="210"/>
      <c r="B245" s="211"/>
      <c r="C245" s="211"/>
      <c r="D245" s="228"/>
      <c r="E245" s="229" t="s">
        <v>55</v>
      </c>
      <c r="F245" s="230"/>
      <c r="G245" s="231"/>
      <c r="H245" s="221"/>
      <c r="I245" s="222"/>
      <c r="J245" s="222">
        <f>IFERROR(__xludf.DUMMYFUNCTION("IMPORTRANGE(""https://docs.google.com/spreadsheets/d/1XL5vhW3sbDhbH9Cz0tuDiY8C3ctxq1tqvaCgkFb8cCA/edit?usp=sharing"",""มหาสารคาม!J165"")"),0.0)</f>
        <v>0</v>
      </c>
      <c r="K245" s="196"/>
      <c r="L245" s="216"/>
      <c r="M245" s="216"/>
      <c r="N245" s="216"/>
      <c r="O245" s="216"/>
      <c r="P245" s="216"/>
    </row>
    <row r="246" ht="21.75" customHeight="1">
      <c r="A246" s="268"/>
      <c r="B246" s="269"/>
      <c r="C246" s="269"/>
      <c r="D246" s="270">
        <v>3.0</v>
      </c>
      <c r="E246" s="271" t="s">
        <v>56</v>
      </c>
      <c r="F246" s="272"/>
      <c r="G246" s="273"/>
      <c r="H246" s="274"/>
      <c r="I246" s="275"/>
      <c r="J246" s="276">
        <f>IFERROR(__xludf.DUMMYFUNCTION("IMPORTRANGE(""https://docs.google.com/spreadsheets/d/1XL5vhW3sbDhbH9Cz0tuDiY8C3ctxq1tqvaCgkFb8cCA/edit?usp=sharing"",""มหาสารคาม!J166"")"),0.0)</f>
        <v>0</v>
      </c>
      <c r="K246" s="321"/>
      <c r="L246" s="279"/>
      <c r="M246" s="279"/>
      <c r="N246" s="279"/>
      <c r="O246" s="279"/>
      <c r="P246" s="279"/>
    </row>
    <row r="247" ht="21.75" customHeight="1">
      <c r="A247" s="328" t="s">
        <v>103</v>
      </c>
      <c r="B247" s="329"/>
      <c r="C247" s="329"/>
      <c r="D247" s="329"/>
      <c r="E247" s="330"/>
      <c r="F247" s="330"/>
      <c r="G247" s="331"/>
      <c r="H247" s="332"/>
      <c r="I247" s="333"/>
      <c r="J247" s="333"/>
      <c r="K247" s="334"/>
      <c r="L247" s="335"/>
      <c r="M247" s="335"/>
      <c r="N247" s="335"/>
      <c r="O247" s="336"/>
      <c r="P247" s="336"/>
    </row>
    <row r="248" ht="21.75" customHeight="1">
      <c r="A248" s="337" t="s">
        <v>104</v>
      </c>
      <c r="B248" s="338"/>
      <c r="C248" s="338"/>
      <c r="D248" s="339"/>
      <c r="E248" s="339"/>
      <c r="F248" s="339"/>
      <c r="G248" s="340"/>
      <c r="H248" s="341"/>
      <c r="I248" s="342"/>
      <c r="J248" s="342"/>
      <c r="K248" s="343"/>
      <c r="L248" s="343"/>
      <c r="M248" s="343"/>
      <c r="N248" s="343"/>
      <c r="O248" s="344"/>
      <c r="P248" s="344"/>
    </row>
    <row r="249" ht="21.75" customHeight="1">
      <c r="A249" s="345"/>
      <c r="B249" s="346" t="s">
        <v>105</v>
      </c>
      <c r="C249" s="346"/>
      <c r="D249" s="346"/>
      <c r="E249" s="346"/>
      <c r="F249" s="346"/>
      <c r="G249" s="347"/>
      <c r="H249" s="348" t="s">
        <v>38</v>
      </c>
      <c r="I249" s="349">
        <f>IFERROR(__xludf.DUMMYFUNCTION("IMPORTRANGE(""https://docs.google.com/spreadsheets/d/1XL5vhW3sbDhbH9Cz0tuDiY8C3ctxq1tqvaCgkFb8cCA/edit?usp=sharing"",""มหาสารคาม!I169"")"),0.0)</f>
        <v>0</v>
      </c>
      <c r="J249" s="349">
        <f>IFERROR(__xludf.DUMMYFUNCTION("IMPORTRANGE(""https://docs.google.com/spreadsheets/d/1XL5vhW3sbDhbH9Cz0tuDiY8C3ctxq1tqvaCgkFb8cCA/edit?usp=sharing"",""มหาสารคาม!J169"")"),0.0)</f>
        <v>0</v>
      </c>
      <c r="K249" s="350">
        <f>IF(I249&gt;0,J249*100/I249,0)</f>
        <v>0</v>
      </c>
      <c r="L249" s="351"/>
      <c r="M249" s="351"/>
      <c r="N249" s="351"/>
      <c r="O249" s="350"/>
      <c r="P249" s="350"/>
    </row>
    <row r="250" ht="21.75" customHeight="1">
      <c r="A250" s="176"/>
      <c r="B250" s="177"/>
      <c r="C250" s="178" t="s">
        <v>17</v>
      </c>
      <c r="D250" s="179" t="s">
        <v>18</v>
      </c>
      <c r="E250" s="37"/>
      <c r="F250" s="37"/>
      <c r="G250" s="37"/>
      <c r="H250" s="180" t="s">
        <v>13</v>
      </c>
      <c r="I250" s="195"/>
      <c r="J250" s="195"/>
      <c r="K250" s="196"/>
      <c r="L250" s="183">
        <f t="shared" ref="L250:N250" si="78">L251+L252</f>
        <v>0</v>
      </c>
      <c r="M250" s="183">
        <f t="shared" si="78"/>
        <v>0</v>
      </c>
      <c r="N250" s="183">
        <f t="shared" si="78"/>
        <v>0</v>
      </c>
      <c r="O250" s="182">
        <f t="shared" ref="O250:O252" si="80">IF(L250&gt;0,N250*100/L250,0)</f>
        <v>0</v>
      </c>
      <c r="P250" s="182">
        <f t="shared" ref="P250:P252" si="81">IF(M250&gt;0,N250*100/M250,0)</f>
        <v>0</v>
      </c>
    </row>
    <row r="251" ht="21.75" customHeight="1">
      <c r="A251" s="184"/>
      <c r="B251" s="50"/>
      <c r="C251" s="50"/>
      <c r="D251" s="50"/>
      <c r="E251" s="50"/>
      <c r="F251" s="50"/>
      <c r="G251" s="51" t="s">
        <v>19</v>
      </c>
      <c r="H251" s="185" t="s">
        <v>13</v>
      </c>
      <c r="I251" s="195"/>
      <c r="J251" s="195"/>
      <c r="K251" s="196"/>
      <c r="L251" s="188">
        <f t="shared" ref="L251:N251" si="79">L253+L257</f>
        <v>0</v>
      </c>
      <c r="M251" s="188">
        <f t="shared" si="79"/>
        <v>0</v>
      </c>
      <c r="N251" s="188">
        <f t="shared" si="79"/>
        <v>0</v>
      </c>
      <c r="O251" s="187">
        <f t="shared" si="80"/>
        <v>0</v>
      </c>
      <c r="P251" s="187">
        <f t="shared" si="81"/>
        <v>0</v>
      </c>
    </row>
    <row r="252" ht="21.75" customHeight="1">
      <c r="A252" s="184"/>
      <c r="B252" s="50"/>
      <c r="C252" s="50"/>
      <c r="D252" s="50"/>
      <c r="E252" s="50"/>
      <c r="F252" s="50"/>
      <c r="G252" s="51" t="s">
        <v>20</v>
      </c>
      <c r="H252" s="185" t="s">
        <v>13</v>
      </c>
      <c r="I252" s="195"/>
      <c r="J252" s="195"/>
      <c r="K252" s="196"/>
      <c r="L252" s="188">
        <f t="shared" ref="L252:N252" si="82">L254+L258</f>
        <v>0</v>
      </c>
      <c r="M252" s="188">
        <f t="shared" si="82"/>
        <v>0</v>
      </c>
      <c r="N252" s="188">
        <f t="shared" si="82"/>
        <v>0</v>
      </c>
      <c r="O252" s="187">
        <f t="shared" si="80"/>
        <v>0</v>
      </c>
      <c r="P252" s="187">
        <f t="shared" si="81"/>
        <v>0</v>
      </c>
    </row>
    <row r="253" ht="21.75" customHeight="1">
      <c r="A253" s="189"/>
      <c r="B253" s="190"/>
      <c r="C253" s="190" t="s">
        <v>17</v>
      </c>
      <c r="D253" s="191" t="s">
        <v>39</v>
      </c>
      <c r="E253" s="192"/>
      <c r="F253" s="192"/>
      <c r="G253" s="193" t="s">
        <v>40</v>
      </c>
      <c r="H253" s="194" t="s">
        <v>13</v>
      </c>
      <c r="I253" s="195" t="s">
        <v>41</v>
      </c>
      <c r="J253" s="195"/>
      <c r="K253" s="196"/>
      <c r="L253" s="197">
        <v>0.0</v>
      </c>
      <c r="M253" s="197"/>
      <c r="N253" s="197">
        <v>0.0</v>
      </c>
      <c r="O253" s="198">
        <f>+IF(L253&gt;0,N253*100/L253,0)</f>
        <v>0</v>
      </c>
      <c r="P253" s="198"/>
    </row>
    <row r="254" ht="21.75" customHeight="1">
      <c r="A254" s="189"/>
      <c r="B254" s="190"/>
      <c r="C254" s="190"/>
      <c r="D254" s="199"/>
      <c r="E254" s="192"/>
      <c r="F254" s="192" t="s">
        <v>41</v>
      </c>
      <c r="G254" s="193" t="s">
        <v>42</v>
      </c>
      <c r="H254" s="194" t="s">
        <v>13</v>
      </c>
      <c r="I254" s="195"/>
      <c r="J254" s="195"/>
      <c r="K254" s="196"/>
      <c r="L254" s="200">
        <f>L255+L256</f>
        <v>0</v>
      </c>
      <c r="M254" s="201">
        <f>IFERROR(__xludf.DUMMYFUNCTION("IMPORTRANGE(""https://docs.google.com/spreadsheets/d/1Yj_ptqi66GCucihVvJfMjLAmec39IyEx_6qawtMGysU/edit?usp=sharing"",""สบก!CB45"")"),0.0)</f>
        <v>0</v>
      </c>
      <c r="N254" s="202">
        <f>IFERROR(__xludf.DUMMYFUNCTION("IMPORTRANGE(""https://docs.google.com/spreadsheets/d/1Yj_ptqi66GCucihVvJfMjLAmec39IyEx_6qawtMGysU/edit?usp=sharing"",""สบก!CC45"")"),0.0)</f>
        <v>0</v>
      </c>
      <c r="O254" s="203">
        <f>IF(L254&gt;0,N254*100/L254,0)</f>
        <v>0</v>
      </c>
      <c r="P254" s="203">
        <f>IF(M254&gt;0,N254*100/M254,0)</f>
        <v>0</v>
      </c>
    </row>
    <row r="255" ht="21.75" customHeight="1">
      <c r="A255" s="189"/>
      <c r="B255" s="190"/>
      <c r="C255" s="190"/>
      <c r="D255" s="199"/>
      <c r="E255" s="192"/>
      <c r="F255" s="192"/>
      <c r="G255" s="204" t="s">
        <v>43</v>
      </c>
      <c r="H255" s="194" t="s">
        <v>13</v>
      </c>
      <c r="I255" s="195"/>
      <c r="J255" s="195"/>
      <c r="K255" s="196"/>
      <c r="L255" s="201">
        <f>IFERROR(__xludf.DUMMYFUNCTION("IMPORTRANGE(""https://docs.google.com/spreadsheets/d/1Yj_ptqi66GCucihVvJfMjLAmec39IyEx_6qawtMGysU/edit?usp=sharing"",""สบก!BX45"")"),0.0)</f>
        <v>0</v>
      </c>
      <c r="M255" s="200"/>
      <c r="N255" s="200"/>
      <c r="O255" s="203"/>
      <c r="P255" s="203"/>
    </row>
    <row r="256" ht="21.75" customHeight="1">
      <c r="A256" s="189"/>
      <c r="B256" s="190"/>
      <c r="C256" s="190"/>
      <c r="D256" s="199"/>
      <c r="E256" s="192"/>
      <c r="F256" s="192"/>
      <c r="G256" s="204" t="s">
        <v>44</v>
      </c>
      <c r="H256" s="194" t="s">
        <v>13</v>
      </c>
      <c r="I256" s="195"/>
      <c r="J256" s="195"/>
      <c r="K256" s="196"/>
      <c r="L256" s="201">
        <f>IFERROR(__xludf.DUMMYFUNCTION("IMPORTRANGE(""https://docs.google.com/spreadsheets/d/1Yj_ptqi66GCucihVvJfMjLAmec39IyEx_6qawtMGysU/edit?usp=sharing"",""สบก!BY45"")"),0.0)</f>
        <v>0</v>
      </c>
      <c r="M256" s="200"/>
      <c r="N256" s="200"/>
      <c r="O256" s="203"/>
      <c r="P256" s="203"/>
    </row>
    <row r="257" ht="21.75" customHeight="1">
      <c r="A257" s="205"/>
      <c r="B257" s="104"/>
      <c r="C257" s="105" t="s">
        <v>17</v>
      </c>
      <c r="D257" s="106" t="s">
        <v>24</v>
      </c>
      <c r="E257" s="53"/>
      <c r="F257" s="113"/>
      <c r="G257" s="107" t="s">
        <v>19</v>
      </c>
      <c r="H257" s="206" t="s">
        <v>13</v>
      </c>
      <c r="I257" s="195"/>
      <c r="J257" s="195"/>
      <c r="K257" s="196"/>
      <c r="L257" s="117">
        <v>0.0</v>
      </c>
      <c r="M257" s="117"/>
      <c r="N257" s="62"/>
      <c r="O257" s="117"/>
      <c r="P257" s="117"/>
    </row>
    <row r="258" ht="21.75" customHeight="1">
      <c r="A258" s="207"/>
      <c r="B258" s="119"/>
      <c r="C258" s="119"/>
      <c r="D258" s="208"/>
      <c r="E258" s="120"/>
      <c r="F258" s="120"/>
      <c r="G258" s="121" t="s">
        <v>20</v>
      </c>
      <c r="H258" s="209" t="s">
        <v>13</v>
      </c>
      <c r="I258" s="195"/>
      <c r="J258" s="195"/>
      <c r="K258" s="196"/>
      <c r="L258" s="115">
        <f>IFERROR(__xludf.DUMMYFUNCTION("IMPORTRANGE(""https://docs.google.com/spreadsheets/d/1Yj_ptqi66GCucihVvJfMjLAmec39IyEx_6qawtMGysU/edit?usp=sharing"",""สบก!BZ45"")"),0.0)</f>
        <v>0</v>
      </c>
      <c r="M258" s="125"/>
      <c r="N258" s="115">
        <f>IFERROR(__xludf.DUMMYFUNCTION("IMPORTRANGE(""https://docs.google.com/spreadsheets/d/1Yj_ptqi66GCucihVvJfMjLAmec39IyEx_6qawtMGysU/edit?usp=sharing"",""สบก!CD45"")"),0.0)</f>
        <v>0</v>
      </c>
      <c r="O258" s="125">
        <f>IF(L258&gt;0,N258*100/L258,0)</f>
        <v>0</v>
      </c>
      <c r="P258" s="125"/>
    </row>
    <row r="259" ht="21.75" customHeight="1">
      <c r="A259" s="210"/>
      <c r="B259" s="211"/>
      <c r="C259" s="190" t="s">
        <v>17</v>
      </c>
      <c r="D259" s="212" t="s">
        <v>45</v>
      </c>
      <c r="E259" s="213"/>
      <c r="F259" s="213"/>
      <c r="G259" s="214"/>
      <c r="H259" s="215"/>
      <c r="I259" s="195"/>
      <c r="J259" s="195"/>
      <c r="K259" s="196"/>
      <c r="L259" s="216"/>
      <c r="M259" s="216"/>
      <c r="N259" s="216"/>
      <c r="O259" s="216"/>
      <c r="P259" s="216"/>
    </row>
    <row r="260" ht="21.75" customHeight="1">
      <c r="A260" s="210"/>
      <c r="B260" s="211"/>
      <c r="C260" s="211"/>
      <c r="D260" s="217">
        <v>1.0</v>
      </c>
      <c r="E260" s="218" t="s">
        <v>46</v>
      </c>
      <c r="F260" s="219"/>
      <c r="G260" s="220"/>
      <c r="H260" s="221"/>
      <c r="I260" s="222"/>
      <c r="J260" s="223">
        <f>IFERROR(__xludf.DUMMYFUNCTION("IMPORTRANGE(""https://docs.google.com/spreadsheets/d/1XL5vhW3sbDhbH9Cz0tuDiY8C3ctxq1tqvaCgkFb8cCA/edit?usp=sharing"",""มหาสารคาม!J175"")"),0.0)</f>
        <v>0</v>
      </c>
      <c r="K260" s="196"/>
      <c r="L260" s="216"/>
      <c r="M260" s="216"/>
      <c r="N260" s="216"/>
      <c r="O260" s="216"/>
      <c r="P260" s="216"/>
    </row>
    <row r="261" ht="21.75" customHeight="1">
      <c r="A261" s="210"/>
      <c r="B261" s="211"/>
      <c r="C261" s="211"/>
      <c r="D261" s="224">
        <v>2.0</v>
      </c>
      <c r="E261" s="225" t="s">
        <v>47</v>
      </c>
      <c r="F261" s="226"/>
      <c r="G261" s="227"/>
      <c r="H261" s="221"/>
      <c r="I261" s="222"/>
      <c r="J261" s="232">
        <f>IFERROR(__xludf.DUMMYFUNCTION("IMPORTRANGE(""https://docs.google.com/spreadsheets/d/1XL5vhW3sbDhbH9Cz0tuDiY8C3ctxq1tqvaCgkFb8cCA/edit?usp=sharing"",""มหาสารคาม!J176"")"),0.0)</f>
        <v>0</v>
      </c>
      <c r="K261" s="196"/>
      <c r="L261" s="216" t="s">
        <v>41</v>
      </c>
      <c r="M261" s="216"/>
      <c r="N261" s="216" t="s">
        <v>41</v>
      </c>
      <c r="O261" s="216"/>
      <c r="P261" s="216"/>
    </row>
    <row r="262" ht="21.75" customHeight="1">
      <c r="A262" s="210"/>
      <c r="B262" s="211"/>
      <c r="C262" s="211"/>
      <c r="D262" s="228"/>
      <c r="E262" s="229" t="s">
        <v>48</v>
      </c>
      <c r="F262" s="230"/>
      <c r="G262" s="231"/>
      <c r="H262" s="221"/>
      <c r="I262" s="222"/>
      <c r="J262" s="232">
        <f>IFERROR(__xludf.DUMMYFUNCTION("IMPORTRANGE(""https://docs.google.com/spreadsheets/d/1XL5vhW3sbDhbH9Cz0tuDiY8C3ctxq1tqvaCgkFb8cCA/edit?usp=sharing"",""มหาสารคาม!J177"")"),0.0)</f>
        <v>0</v>
      </c>
      <c r="K262" s="196"/>
      <c r="L262" s="216"/>
      <c r="M262" s="216"/>
      <c r="N262" s="216"/>
      <c r="O262" s="216"/>
      <c r="P262" s="216"/>
    </row>
    <row r="263" ht="21.75" customHeight="1">
      <c r="A263" s="210"/>
      <c r="B263" s="211"/>
      <c r="C263" s="211"/>
      <c r="D263" s="228"/>
      <c r="E263" s="229" t="s">
        <v>49</v>
      </c>
      <c r="F263" s="230"/>
      <c r="G263" s="231"/>
      <c r="H263" s="221"/>
      <c r="I263" s="222"/>
      <c r="J263" s="232">
        <f>IFERROR(__xludf.DUMMYFUNCTION("IMPORTRANGE(""https://docs.google.com/spreadsheets/d/1XL5vhW3sbDhbH9Cz0tuDiY8C3ctxq1tqvaCgkFb8cCA/edit?usp=sharing"",""มหาสารคาม!J178"")"),0.0)</f>
        <v>0</v>
      </c>
      <c r="K263" s="196"/>
      <c r="L263" s="216"/>
      <c r="M263" s="216"/>
      <c r="N263" s="216"/>
      <c r="O263" s="216"/>
      <c r="P263" s="216"/>
    </row>
    <row r="264" ht="21.75" customHeight="1">
      <c r="A264" s="210"/>
      <c r="B264" s="211"/>
      <c r="C264" s="211"/>
      <c r="D264" s="228"/>
      <c r="E264" s="233"/>
      <c r="F264" s="229" t="s">
        <v>106</v>
      </c>
      <c r="G264" s="231"/>
      <c r="H264" s="215" t="s">
        <v>60</v>
      </c>
      <c r="I264" s="222">
        <f>IFERROR(__xludf.DUMMYFUNCTION("IMPORTRANGE(""https://docs.google.com/spreadsheets/d/1XL5vhW3sbDhbH9Cz0tuDiY8C3ctxq1tqvaCgkFb8cCA/edit?usp=sharing"",""มหาสารคาม!I179"")"),0.0)</f>
        <v>0</v>
      </c>
      <c r="J264" s="223">
        <f>IFERROR(__xludf.DUMMYFUNCTION("IMPORTRANGE(""https://docs.google.com/spreadsheets/d/1XL5vhW3sbDhbH9Cz0tuDiY8C3ctxq1tqvaCgkFb8cCA/edit?usp=sharing"",""มหาสารคาม!J179"")"),0.0)</f>
        <v>0</v>
      </c>
      <c r="K264" s="196">
        <f t="shared" ref="K264:K267" si="83">IF(I264&gt;0,J264*100/I264,0)</f>
        <v>0</v>
      </c>
      <c r="L264" s="216"/>
      <c r="M264" s="216"/>
      <c r="N264" s="216"/>
      <c r="O264" s="216"/>
      <c r="P264" s="216"/>
    </row>
    <row r="265" ht="21.75" customHeight="1">
      <c r="A265" s="210"/>
      <c r="B265" s="211"/>
      <c r="C265" s="211"/>
      <c r="D265" s="228"/>
      <c r="E265" s="233"/>
      <c r="F265" s="229" t="s">
        <v>107</v>
      </c>
      <c r="G265" s="231"/>
      <c r="H265" s="215" t="s">
        <v>38</v>
      </c>
      <c r="I265" s="222">
        <f>IFERROR(__xludf.DUMMYFUNCTION("IMPORTRANGE(""https://docs.google.com/spreadsheets/d/1XL5vhW3sbDhbH9Cz0tuDiY8C3ctxq1tqvaCgkFb8cCA/edit?usp=sharing"",""มหาสารคาม!I180"")"),0.0)</f>
        <v>0</v>
      </c>
      <c r="J265" s="223">
        <f>IFERROR(__xludf.DUMMYFUNCTION("IMPORTRANGE(""https://docs.google.com/spreadsheets/d/1XL5vhW3sbDhbH9Cz0tuDiY8C3ctxq1tqvaCgkFb8cCA/edit?usp=sharing"",""มหาสารคาม!J180"")"),0.0)</f>
        <v>0</v>
      </c>
      <c r="K265" s="196">
        <f t="shared" si="83"/>
        <v>0</v>
      </c>
      <c r="L265" s="216"/>
      <c r="M265" s="216"/>
      <c r="N265" s="216"/>
      <c r="O265" s="216"/>
      <c r="P265" s="216"/>
    </row>
    <row r="266" ht="21.75" customHeight="1">
      <c r="A266" s="210"/>
      <c r="B266" s="211"/>
      <c r="C266" s="211"/>
      <c r="D266" s="228"/>
      <c r="E266" s="233"/>
      <c r="F266" s="229" t="s">
        <v>108</v>
      </c>
      <c r="G266" s="231"/>
      <c r="H266" s="215" t="s">
        <v>38</v>
      </c>
      <c r="I266" s="222">
        <f>IFERROR(__xludf.DUMMYFUNCTION("IMPORTRANGE(""https://docs.google.com/spreadsheets/d/1XL5vhW3sbDhbH9Cz0tuDiY8C3ctxq1tqvaCgkFb8cCA/edit?usp=sharing"",""มหาสารคาม!I181"")"),0.0)</f>
        <v>0</v>
      </c>
      <c r="J266" s="223">
        <f>IFERROR(__xludf.DUMMYFUNCTION("IMPORTRANGE(""https://docs.google.com/spreadsheets/d/1XL5vhW3sbDhbH9Cz0tuDiY8C3ctxq1tqvaCgkFb8cCA/edit?usp=sharing"",""มหาสารคาม!J181"")"),0.0)</f>
        <v>0</v>
      </c>
      <c r="K266" s="196">
        <f t="shared" si="83"/>
        <v>0</v>
      </c>
      <c r="L266" s="216"/>
      <c r="M266" s="216"/>
      <c r="N266" s="216"/>
      <c r="O266" s="216"/>
      <c r="P266" s="216"/>
    </row>
    <row r="267" ht="21.75" customHeight="1">
      <c r="A267" s="210"/>
      <c r="B267" s="211"/>
      <c r="C267" s="211"/>
      <c r="D267" s="228"/>
      <c r="E267" s="233"/>
      <c r="F267" s="229" t="s">
        <v>109</v>
      </c>
      <c r="G267" s="231"/>
      <c r="H267" s="215" t="s">
        <v>38</v>
      </c>
      <c r="I267" s="222">
        <f>IFERROR(__xludf.DUMMYFUNCTION("IMPORTRANGE(""https://docs.google.com/spreadsheets/d/1XL5vhW3sbDhbH9Cz0tuDiY8C3ctxq1tqvaCgkFb8cCA/edit?usp=sharing"",""มหาสารคาม!I182"")"),0.0)</f>
        <v>0</v>
      </c>
      <c r="J267" s="223">
        <f>IFERROR(__xludf.DUMMYFUNCTION("IMPORTRANGE(""https://docs.google.com/spreadsheets/d/1XL5vhW3sbDhbH9Cz0tuDiY8C3ctxq1tqvaCgkFb8cCA/edit?usp=sharing"",""มหาสารคาม!J182"")"),0.0)</f>
        <v>0</v>
      </c>
      <c r="K267" s="196">
        <f t="shared" si="83"/>
        <v>0</v>
      </c>
      <c r="L267" s="216"/>
      <c r="M267" s="216"/>
      <c r="N267" s="216"/>
      <c r="O267" s="216"/>
      <c r="P267" s="216"/>
    </row>
    <row r="268" ht="21.75" customHeight="1">
      <c r="A268" s="210"/>
      <c r="B268" s="211"/>
      <c r="C268" s="211"/>
      <c r="D268" s="228"/>
      <c r="E268" s="229" t="s">
        <v>55</v>
      </c>
      <c r="F268" s="230"/>
      <c r="G268" s="231"/>
      <c r="H268" s="221"/>
      <c r="I268" s="222"/>
      <c r="J268" s="232">
        <f>IFERROR(__xludf.DUMMYFUNCTION("IMPORTRANGE(""https://docs.google.com/spreadsheets/d/1XL5vhW3sbDhbH9Cz0tuDiY8C3ctxq1tqvaCgkFb8cCA/edit?usp=sharing"",""มหาสารคาม!J183"")"),0.0)</f>
        <v>0</v>
      </c>
      <c r="K268" s="196"/>
      <c r="L268" s="216"/>
      <c r="M268" s="216"/>
      <c r="N268" s="216"/>
      <c r="O268" s="216"/>
      <c r="P268" s="216"/>
    </row>
    <row r="269" ht="21.75" customHeight="1">
      <c r="A269" s="268"/>
      <c r="B269" s="269"/>
      <c r="C269" s="269"/>
      <c r="D269" s="270">
        <v>3.0</v>
      </c>
      <c r="E269" s="271" t="s">
        <v>56</v>
      </c>
      <c r="F269" s="272"/>
      <c r="G269" s="273"/>
      <c r="H269" s="274"/>
      <c r="I269" s="275"/>
      <c r="J269" s="320">
        <f>IFERROR(__xludf.DUMMYFUNCTION("IMPORTRANGE(""https://docs.google.com/spreadsheets/d/1XL5vhW3sbDhbH9Cz0tuDiY8C3ctxq1tqvaCgkFb8cCA/edit?usp=sharing"",""มหาสารคาม!J184"")"),0.0)</f>
        <v>0</v>
      </c>
      <c r="K269" s="321"/>
      <c r="L269" s="279"/>
      <c r="M269" s="279"/>
      <c r="N269" s="279"/>
      <c r="O269" s="279"/>
      <c r="P269" s="279"/>
    </row>
    <row r="270" ht="21.75" customHeight="1">
      <c r="A270" s="345"/>
      <c r="B270" s="346" t="s">
        <v>110</v>
      </c>
      <c r="C270" s="346"/>
      <c r="D270" s="346"/>
      <c r="E270" s="346"/>
      <c r="F270" s="346"/>
      <c r="G270" s="347"/>
      <c r="H270" s="348" t="s">
        <v>38</v>
      </c>
      <c r="I270" s="349">
        <f>IFERROR(__xludf.DUMMYFUNCTION("IMPORTRANGE(""https://docs.google.com/spreadsheets/d/1XL5vhW3sbDhbH9Cz0tuDiY8C3ctxq1tqvaCgkFb8cCA/edit?usp=sharing"",""มหาสารคาม!I185"")"),15.0)</f>
        <v>15</v>
      </c>
      <c r="J270" s="349">
        <f>IFERROR(__xludf.DUMMYFUNCTION("IMPORTRANGE(""https://docs.google.com/spreadsheets/d/1XL5vhW3sbDhbH9Cz0tuDiY8C3ctxq1tqvaCgkFb8cCA/edit?usp=sharing"",""มหาสารคาม!J185"")"),0.0)</f>
        <v>0</v>
      </c>
      <c r="K270" s="350">
        <f>IF(I270&gt;0,J270*100/I270,0)</f>
        <v>0</v>
      </c>
      <c r="L270" s="351"/>
      <c r="M270" s="351"/>
      <c r="N270" s="351"/>
      <c r="O270" s="350"/>
      <c r="P270" s="350"/>
    </row>
    <row r="271" ht="21.75" customHeight="1">
      <c r="A271" s="176"/>
      <c r="B271" s="177"/>
      <c r="C271" s="178" t="s">
        <v>17</v>
      </c>
      <c r="D271" s="179" t="s">
        <v>18</v>
      </c>
      <c r="E271" s="37"/>
      <c r="F271" s="37"/>
      <c r="G271" s="37"/>
      <c r="H271" s="180" t="s">
        <v>13</v>
      </c>
      <c r="I271" s="195"/>
      <c r="J271" s="195"/>
      <c r="K271" s="196"/>
      <c r="L271" s="183">
        <f t="shared" ref="L271:N271" si="84">L272+L273</f>
        <v>55200</v>
      </c>
      <c r="M271" s="183">
        <f t="shared" si="84"/>
        <v>32250</v>
      </c>
      <c r="N271" s="183">
        <f t="shared" si="84"/>
        <v>4320</v>
      </c>
      <c r="O271" s="182">
        <f t="shared" ref="O271:O273" si="86">IF(L271&gt;0,N271*100/L271,0)</f>
        <v>7.826086957</v>
      </c>
      <c r="P271" s="182">
        <f t="shared" ref="P271:P273" si="87">IF(M271&gt;0,N271*100/M271,0)</f>
        <v>13.39534884</v>
      </c>
    </row>
    <row r="272" ht="21.75" customHeight="1">
      <c r="A272" s="184"/>
      <c r="B272" s="50"/>
      <c r="C272" s="50"/>
      <c r="D272" s="50"/>
      <c r="E272" s="50"/>
      <c r="F272" s="50"/>
      <c r="G272" s="51" t="s">
        <v>19</v>
      </c>
      <c r="H272" s="185" t="s">
        <v>13</v>
      </c>
      <c r="I272" s="195"/>
      <c r="J272" s="195"/>
      <c r="K272" s="196"/>
      <c r="L272" s="188">
        <f t="shared" ref="L272:N272" si="85">L274+L278</f>
        <v>0</v>
      </c>
      <c r="M272" s="188">
        <f t="shared" si="85"/>
        <v>0</v>
      </c>
      <c r="N272" s="188">
        <f t="shared" si="85"/>
        <v>0</v>
      </c>
      <c r="O272" s="187">
        <f t="shared" si="86"/>
        <v>0</v>
      </c>
      <c r="P272" s="187">
        <f t="shared" si="87"/>
        <v>0</v>
      </c>
    </row>
    <row r="273" ht="21.75" customHeight="1">
      <c r="A273" s="184"/>
      <c r="B273" s="50"/>
      <c r="C273" s="50"/>
      <c r="D273" s="50"/>
      <c r="E273" s="50"/>
      <c r="F273" s="50"/>
      <c r="G273" s="51" t="s">
        <v>20</v>
      </c>
      <c r="H273" s="185" t="s">
        <v>13</v>
      </c>
      <c r="I273" s="195"/>
      <c r="J273" s="195"/>
      <c r="K273" s="196"/>
      <c r="L273" s="188">
        <f t="shared" ref="L273:N273" si="88">L275+L279</f>
        <v>55200</v>
      </c>
      <c r="M273" s="188">
        <f t="shared" si="88"/>
        <v>32250</v>
      </c>
      <c r="N273" s="188">
        <f t="shared" si="88"/>
        <v>4320</v>
      </c>
      <c r="O273" s="187">
        <f t="shared" si="86"/>
        <v>7.826086957</v>
      </c>
      <c r="P273" s="187">
        <f t="shared" si="87"/>
        <v>13.39534884</v>
      </c>
    </row>
    <row r="274" ht="21.75" customHeight="1">
      <c r="A274" s="189"/>
      <c r="B274" s="190"/>
      <c r="C274" s="190" t="s">
        <v>17</v>
      </c>
      <c r="D274" s="191" t="s">
        <v>39</v>
      </c>
      <c r="E274" s="192"/>
      <c r="F274" s="192"/>
      <c r="G274" s="193" t="s">
        <v>40</v>
      </c>
      <c r="H274" s="194" t="s">
        <v>13</v>
      </c>
      <c r="I274" s="195" t="s">
        <v>41</v>
      </c>
      <c r="J274" s="195"/>
      <c r="K274" s="196"/>
      <c r="L274" s="197">
        <v>0.0</v>
      </c>
      <c r="M274" s="197"/>
      <c r="N274" s="197">
        <v>0.0</v>
      </c>
      <c r="O274" s="198">
        <f>+IF(L274&gt;0,N274*100/L274,0)</f>
        <v>0</v>
      </c>
      <c r="P274" s="198"/>
    </row>
    <row r="275" ht="21.75" customHeight="1">
      <c r="A275" s="189"/>
      <c r="B275" s="190"/>
      <c r="C275" s="190"/>
      <c r="D275" s="199"/>
      <c r="E275" s="192"/>
      <c r="F275" s="192" t="s">
        <v>41</v>
      </c>
      <c r="G275" s="193" t="s">
        <v>42</v>
      </c>
      <c r="H275" s="194" t="s">
        <v>13</v>
      </c>
      <c r="I275" s="195"/>
      <c r="J275" s="195"/>
      <c r="K275" s="196"/>
      <c r="L275" s="200">
        <f>L276+L277</f>
        <v>55200</v>
      </c>
      <c r="M275" s="201">
        <f>IFERROR(__xludf.DUMMYFUNCTION("IMPORTRANGE(""https://docs.google.com/spreadsheets/d/1Yj_ptqi66GCucihVvJfMjLAmec39IyEx_6qawtMGysU/edit?usp=sharing"",""สบก!CK45"")"),32250.0)</f>
        <v>32250</v>
      </c>
      <c r="N275" s="202">
        <f>IFERROR(__xludf.DUMMYFUNCTION("IMPORTRANGE(""https://docs.google.com/spreadsheets/d/1Yj_ptqi66GCucihVvJfMjLAmec39IyEx_6qawtMGysU/edit?usp=sharing"",""สบก!CL45"")"),4320.0)</f>
        <v>4320</v>
      </c>
      <c r="O275" s="203">
        <f>IF(L275&gt;0,N275*100/L275,0)</f>
        <v>7.826086957</v>
      </c>
      <c r="P275" s="203">
        <f>IF(M275&gt;0,N275*100/M275,0)</f>
        <v>13.39534884</v>
      </c>
    </row>
    <row r="276" ht="21.75" customHeight="1">
      <c r="A276" s="189"/>
      <c r="B276" s="190"/>
      <c r="C276" s="190"/>
      <c r="D276" s="199"/>
      <c r="E276" s="192"/>
      <c r="F276" s="192"/>
      <c r="G276" s="204" t="s">
        <v>43</v>
      </c>
      <c r="H276" s="194" t="s">
        <v>13</v>
      </c>
      <c r="I276" s="195"/>
      <c r="J276" s="195"/>
      <c r="K276" s="196"/>
      <c r="L276" s="201">
        <f>IFERROR(__xludf.DUMMYFUNCTION("IMPORTRANGE(""https://docs.google.com/spreadsheets/d/1Yj_ptqi66GCucihVvJfMjLAmec39IyEx_6qawtMGysU/edit?usp=sharing"",""สบก!CG45"")"),0.0)</f>
        <v>0</v>
      </c>
      <c r="M276" s="200"/>
      <c r="N276" s="200"/>
      <c r="O276" s="203"/>
      <c r="P276" s="203"/>
    </row>
    <row r="277" ht="21.75" customHeight="1">
      <c r="A277" s="189"/>
      <c r="B277" s="190"/>
      <c r="C277" s="190"/>
      <c r="D277" s="199"/>
      <c r="E277" s="192"/>
      <c r="F277" s="192"/>
      <c r="G277" s="204" t="s">
        <v>44</v>
      </c>
      <c r="H277" s="194" t="s">
        <v>13</v>
      </c>
      <c r="I277" s="195"/>
      <c r="J277" s="195"/>
      <c r="K277" s="196"/>
      <c r="L277" s="201">
        <f>IFERROR(__xludf.DUMMYFUNCTION("IMPORTRANGE(""https://docs.google.com/spreadsheets/d/1Yj_ptqi66GCucihVvJfMjLAmec39IyEx_6qawtMGysU/edit?usp=sharing"",""สบก!CH45"")"),55200.0)</f>
        <v>55200</v>
      </c>
      <c r="M277" s="200"/>
      <c r="N277" s="200"/>
      <c r="O277" s="203"/>
      <c r="P277" s="203"/>
    </row>
    <row r="278" ht="21.75" customHeight="1">
      <c r="A278" s="205"/>
      <c r="B278" s="104"/>
      <c r="C278" s="105" t="s">
        <v>17</v>
      </c>
      <c r="D278" s="106" t="s">
        <v>24</v>
      </c>
      <c r="E278" s="53"/>
      <c r="F278" s="113"/>
      <c r="G278" s="107" t="s">
        <v>19</v>
      </c>
      <c r="H278" s="206" t="s">
        <v>13</v>
      </c>
      <c r="I278" s="195"/>
      <c r="J278" s="195"/>
      <c r="K278" s="196"/>
      <c r="L278" s="117">
        <v>0.0</v>
      </c>
      <c r="M278" s="117"/>
      <c r="N278" s="62"/>
      <c r="O278" s="117"/>
      <c r="P278" s="117"/>
    </row>
    <row r="279" ht="21.75" customHeight="1">
      <c r="A279" s="207"/>
      <c r="B279" s="119"/>
      <c r="C279" s="119"/>
      <c r="D279" s="208"/>
      <c r="E279" s="120"/>
      <c r="F279" s="120"/>
      <c r="G279" s="121" t="s">
        <v>20</v>
      </c>
      <c r="H279" s="209" t="s">
        <v>13</v>
      </c>
      <c r="I279" s="195"/>
      <c r="J279" s="195"/>
      <c r="K279" s="196"/>
      <c r="L279" s="115">
        <f>IFERROR(__xludf.DUMMYFUNCTION("IMPORTRANGE(""https://docs.google.com/spreadsheets/d/1Yj_ptqi66GCucihVvJfMjLAmec39IyEx_6qawtMGysU/edit?usp=sharing"",""สบก!CI45"")"),0.0)</f>
        <v>0</v>
      </c>
      <c r="M279" s="125"/>
      <c r="N279" s="115">
        <f>IFERROR(__xludf.DUMMYFUNCTION("IMPORTRANGE(""https://docs.google.com/spreadsheets/d/1Yj_ptqi66GCucihVvJfMjLAmec39IyEx_6qawtMGysU/edit?usp=sharing"",""สบก!CM45"")"),0.0)</f>
        <v>0</v>
      </c>
      <c r="O279" s="125">
        <f>IF(L279&gt;0,N279*100/L279,0)</f>
        <v>0</v>
      </c>
      <c r="P279" s="125"/>
    </row>
    <row r="280" ht="21.75" customHeight="1">
      <c r="A280" s="210"/>
      <c r="B280" s="211"/>
      <c r="C280" s="190" t="s">
        <v>17</v>
      </c>
      <c r="D280" s="212" t="s">
        <v>45</v>
      </c>
      <c r="E280" s="213"/>
      <c r="F280" s="213"/>
      <c r="G280" s="214"/>
      <c r="H280" s="215"/>
      <c r="I280" s="195"/>
      <c r="J280" s="195"/>
      <c r="K280" s="196"/>
      <c r="L280" s="216"/>
      <c r="M280" s="216"/>
      <c r="N280" s="216"/>
      <c r="O280" s="216"/>
      <c r="P280" s="216"/>
    </row>
    <row r="281" ht="21.75" customHeight="1">
      <c r="A281" s="210"/>
      <c r="B281" s="211"/>
      <c r="C281" s="211"/>
      <c r="D281" s="217">
        <v>1.0</v>
      </c>
      <c r="E281" s="218" t="s">
        <v>46</v>
      </c>
      <c r="F281" s="219"/>
      <c r="G281" s="220"/>
      <c r="H281" s="221"/>
      <c r="I281" s="222"/>
      <c r="J281" s="223">
        <f>IFERROR(__xludf.DUMMYFUNCTION("IMPORTRANGE(""https://docs.google.com/spreadsheets/d/1XL5vhW3sbDhbH9Cz0tuDiY8C3ctxq1tqvaCgkFb8cCA/edit?usp=sharing"",""มหาสารคาม!J191"")"),0.0)</f>
        <v>0</v>
      </c>
      <c r="K281" s="196"/>
      <c r="L281" s="216"/>
      <c r="M281" s="216"/>
      <c r="N281" s="216"/>
      <c r="O281" s="216"/>
      <c r="P281" s="216"/>
    </row>
    <row r="282" ht="21.75" customHeight="1">
      <c r="A282" s="210"/>
      <c r="B282" s="211"/>
      <c r="C282" s="211"/>
      <c r="D282" s="224">
        <v>2.0</v>
      </c>
      <c r="E282" s="225" t="s">
        <v>47</v>
      </c>
      <c r="F282" s="226"/>
      <c r="G282" s="227"/>
      <c r="H282" s="221"/>
      <c r="I282" s="222"/>
      <c r="J282" s="232">
        <f>IFERROR(__xludf.DUMMYFUNCTION("IMPORTRANGE(""https://docs.google.com/spreadsheets/d/1XL5vhW3sbDhbH9Cz0tuDiY8C3ctxq1tqvaCgkFb8cCA/edit?usp=sharing"",""มหาสารคาม!J192"")"),1.0)</f>
        <v>1</v>
      </c>
      <c r="K282" s="196"/>
      <c r="L282" s="216"/>
      <c r="M282" s="216"/>
      <c r="N282" s="216"/>
      <c r="O282" s="216"/>
      <c r="P282" s="216"/>
    </row>
    <row r="283" ht="21.75" customHeight="1">
      <c r="A283" s="210"/>
      <c r="B283" s="211"/>
      <c r="C283" s="211"/>
      <c r="D283" s="228"/>
      <c r="E283" s="229" t="s">
        <v>48</v>
      </c>
      <c r="F283" s="230"/>
      <c r="G283" s="231"/>
      <c r="H283" s="221"/>
      <c r="I283" s="222"/>
      <c r="J283" s="232">
        <f>IFERROR(__xludf.DUMMYFUNCTION("IMPORTRANGE(""https://docs.google.com/spreadsheets/d/1XL5vhW3sbDhbH9Cz0tuDiY8C3ctxq1tqvaCgkFb8cCA/edit?usp=sharing"",""มหาสารคาม!J193"")"),1.0)</f>
        <v>1</v>
      </c>
      <c r="K283" s="196"/>
      <c r="L283" s="216"/>
      <c r="M283" s="216"/>
      <c r="N283" s="216"/>
      <c r="O283" s="216"/>
      <c r="P283" s="216"/>
    </row>
    <row r="284" ht="21.75" customHeight="1">
      <c r="A284" s="210"/>
      <c r="B284" s="211"/>
      <c r="C284" s="211"/>
      <c r="D284" s="228"/>
      <c r="E284" s="229" t="s">
        <v>49</v>
      </c>
      <c r="F284" s="230"/>
      <c r="G284" s="231"/>
      <c r="H284" s="221"/>
      <c r="I284" s="222"/>
      <c r="J284" s="232">
        <f>IFERROR(__xludf.DUMMYFUNCTION("IMPORTRANGE(""https://docs.google.com/spreadsheets/d/1XL5vhW3sbDhbH9Cz0tuDiY8C3ctxq1tqvaCgkFb8cCA/edit?usp=sharing"",""มหาสารคาม!J194"")"),1.0)</f>
        <v>1</v>
      </c>
      <c r="K284" s="196"/>
      <c r="L284" s="216"/>
      <c r="M284" s="216"/>
      <c r="N284" s="216"/>
      <c r="O284" s="216"/>
      <c r="P284" s="216"/>
    </row>
    <row r="285" ht="21.75" customHeight="1">
      <c r="A285" s="210"/>
      <c r="B285" s="211"/>
      <c r="C285" s="211"/>
      <c r="D285" s="228"/>
      <c r="E285" s="230"/>
      <c r="F285" s="229" t="s">
        <v>111</v>
      </c>
      <c r="G285" s="231"/>
      <c r="H285" s="221" t="s">
        <v>38</v>
      </c>
      <c r="I285" s="222">
        <f>IFERROR(__xludf.DUMMYFUNCTION("IMPORTRANGE(""https://docs.google.com/spreadsheets/d/1XL5vhW3sbDhbH9Cz0tuDiY8C3ctxq1tqvaCgkFb8cCA/edit?usp=sharing"",""มหาสารคาม!I195"")"),15.0)</f>
        <v>15</v>
      </c>
      <c r="J285" s="223">
        <f>IFERROR(__xludf.DUMMYFUNCTION("IMPORTRANGE(""https://docs.google.com/spreadsheets/d/1XL5vhW3sbDhbH9Cz0tuDiY8C3ctxq1tqvaCgkFb8cCA/edit?usp=sharing"",""มหาสารคาม!J195"")"),0.0)</f>
        <v>0</v>
      </c>
      <c r="K285" s="196">
        <f>IF(I285&gt;0,J285*100/I285,0)</f>
        <v>0</v>
      </c>
      <c r="L285" s="216"/>
      <c r="M285" s="216"/>
      <c r="N285" s="216"/>
      <c r="O285" s="216"/>
      <c r="P285" s="216"/>
    </row>
    <row r="286" ht="21.75" customHeight="1">
      <c r="A286" s="210"/>
      <c r="B286" s="211"/>
      <c r="C286" s="211"/>
      <c r="D286" s="228"/>
      <c r="E286" s="229" t="s">
        <v>55</v>
      </c>
      <c r="F286" s="230"/>
      <c r="G286" s="231"/>
      <c r="H286" s="221"/>
      <c r="I286" s="222"/>
      <c r="J286" s="232">
        <f>IFERROR(__xludf.DUMMYFUNCTION("IMPORTRANGE(""https://docs.google.com/spreadsheets/d/1XL5vhW3sbDhbH9Cz0tuDiY8C3ctxq1tqvaCgkFb8cCA/edit?usp=sharing"",""มหาสารคาม!J196"")"),0.0)</f>
        <v>0</v>
      </c>
      <c r="K286" s="196"/>
      <c r="L286" s="216"/>
      <c r="M286" s="216"/>
      <c r="N286" s="216"/>
      <c r="O286" s="216"/>
      <c r="P286" s="216"/>
    </row>
    <row r="287" ht="21.75" customHeight="1">
      <c r="A287" s="210"/>
      <c r="B287" s="211"/>
      <c r="C287" s="211"/>
      <c r="D287" s="240">
        <v>3.0</v>
      </c>
      <c r="E287" s="241" t="s">
        <v>56</v>
      </c>
      <c r="F287" s="242"/>
      <c r="G287" s="243"/>
      <c r="H287" s="221"/>
      <c r="I287" s="222"/>
      <c r="J287" s="244">
        <f>IFERROR(__xludf.DUMMYFUNCTION("IMPORTRANGE(""https://docs.google.com/spreadsheets/d/1XL5vhW3sbDhbH9Cz0tuDiY8C3ctxq1tqvaCgkFb8cCA/edit?usp=sharing"",""มหาสารคาม!J197"")"),0.0)</f>
        <v>0</v>
      </c>
      <c r="K287" s="196"/>
      <c r="L287" s="216"/>
      <c r="M287" s="216"/>
      <c r="N287" s="216"/>
      <c r="O287" s="216"/>
      <c r="P287" s="216"/>
    </row>
    <row r="288" ht="21.75" customHeight="1">
      <c r="A288" s="337" t="s">
        <v>112</v>
      </c>
      <c r="B288" s="338"/>
      <c r="C288" s="338"/>
      <c r="D288" s="339"/>
      <c r="E288" s="338"/>
      <c r="F288" s="338"/>
      <c r="G288" s="352"/>
      <c r="H288" s="353"/>
      <c r="I288" s="354"/>
      <c r="J288" s="354"/>
      <c r="K288" s="355"/>
      <c r="L288" s="355"/>
      <c r="M288" s="355"/>
      <c r="N288" s="355"/>
      <c r="O288" s="344"/>
      <c r="P288" s="344"/>
    </row>
    <row r="289" ht="21.75" customHeight="1">
      <c r="A289" s="356"/>
      <c r="B289" s="346" t="s">
        <v>113</v>
      </c>
      <c r="C289" s="357"/>
      <c r="D289" s="358"/>
      <c r="E289" s="346"/>
      <c r="F289" s="346"/>
      <c r="G289" s="347"/>
      <c r="H289" s="348" t="s">
        <v>38</v>
      </c>
      <c r="I289" s="349">
        <f>IFERROR(__xludf.DUMMYFUNCTION("IMPORTRANGE(""https://docs.google.com/spreadsheets/d/1XL5vhW3sbDhbH9Cz0tuDiY8C3ctxq1tqvaCgkFb8cCA/edit?usp=sharing"",""มหาสารคาม!I199"")"),0.0)</f>
        <v>0</v>
      </c>
      <c r="J289" s="349">
        <f>IFERROR(__xludf.DUMMYFUNCTION("IMPORTRANGE(""https://docs.google.com/spreadsheets/d/1XL5vhW3sbDhbH9Cz0tuDiY8C3ctxq1tqvaCgkFb8cCA/edit?usp=sharing"",""มหาสารคาม!J199"")"),0.0)</f>
        <v>0</v>
      </c>
      <c r="K289" s="350">
        <f>IF(I289&gt;0,J289*100/I289,0)</f>
        <v>0</v>
      </c>
      <c r="L289" s="351"/>
      <c r="M289" s="351"/>
      <c r="N289" s="351"/>
      <c r="O289" s="350"/>
      <c r="P289" s="350"/>
    </row>
    <row r="290" ht="21.75" customHeight="1">
      <c r="A290" s="176"/>
      <c r="B290" s="177"/>
      <c r="C290" s="178" t="s">
        <v>17</v>
      </c>
      <c r="D290" s="179" t="s">
        <v>18</v>
      </c>
      <c r="E290" s="37"/>
      <c r="F290" s="37"/>
      <c r="G290" s="37"/>
      <c r="H290" s="180" t="s">
        <v>13</v>
      </c>
      <c r="I290" s="222"/>
      <c r="J290" s="222"/>
      <c r="K290" s="258"/>
      <c r="L290" s="183">
        <f t="shared" ref="L290:N290" si="89">L291+L292</f>
        <v>0</v>
      </c>
      <c r="M290" s="183">
        <f t="shared" si="89"/>
        <v>0</v>
      </c>
      <c r="N290" s="183">
        <f t="shared" si="89"/>
        <v>0</v>
      </c>
      <c r="O290" s="182">
        <f t="shared" ref="O290:O292" si="91">IF(L290&gt;0,N290*100/L290,0)</f>
        <v>0</v>
      </c>
      <c r="P290" s="182">
        <f t="shared" ref="P290:P292" si="92">IF(M290&gt;0,N290*100/M290,0)</f>
        <v>0</v>
      </c>
    </row>
    <row r="291" ht="21.75" customHeight="1">
      <c r="A291" s="184"/>
      <c r="B291" s="50"/>
      <c r="C291" s="50"/>
      <c r="D291" s="50"/>
      <c r="E291" s="50"/>
      <c r="F291" s="50"/>
      <c r="G291" s="51" t="s">
        <v>19</v>
      </c>
      <c r="H291" s="185" t="s">
        <v>13</v>
      </c>
      <c r="I291" s="222"/>
      <c r="J291" s="222"/>
      <c r="K291" s="258"/>
      <c r="L291" s="188">
        <f t="shared" ref="L291:N291" si="90">L293+L297</f>
        <v>0</v>
      </c>
      <c r="M291" s="188">
        <f t="shared" si="90"/>
        <v>0</v>
      </c>
      <c r="N291" s="188">
        <f t="shared" si="90"/>
        <v>0</v>
      </c>
      <c r="O291" s="187">
        <f t="shared" si="91"/>
        <v>0</v>
      </c>
      <c r="P291" s="187">
        <f t="shared" si="92"/>
        <v>0</v>
      </c>
    </row>
    <row r="292" ht="21.75" customHeight="1">
      <c r="A292" s="184"/>
      <c r="B292" s="50"/>
      <c r="C292" s="50"/>
      <c r="D292" s="50"/>
      <c r="E292" s="50"/>
      <c r="F292" s="50"/>
      <c r="G292" s="51" t="s">
        <v>20</v>
      </c>
      <c r="H292" s="185" t="s">
        <v>13</v>
      </c>
      <c r="I292" s="222"/>
      <c r="J292" s="222"/>
      <c r="K292" s="258"/>
      <c r="L292" s="188">
        <f t="shared" ref="L292:N292" si="93">L294+L298</f>
        <v>0</v>
      </c>
      <c r="M292" s="188">
        <f t="shared" si="93"/>
        <v>0</v>
      </c>
      <c r="N292" s="188">
        <f t="shared" si="93"/>
        <v>0</v>
      </c>
      <c r="O292" s="187">
        <f t="shared" si="91"/>
        <v>0</v>
      </c>
      <c r="P292" s="187">
        <f t="shared" si="92"/>
        <v>0</v>
      </c>
    </row>
    <row r="293" ht="21.75" customHeight="1">
      <c r="A293" s="189"/>
      <c r="B293" s="190"/>
      <c r="C293" s="190" t="s">
        <v>17</v>
      </c>
      <c r="D293" s="191" t="s">
        <v>39</v>
      </c>
      <c r="E293" s="192"/>
      <c r="F293" s="192"/>
      <c r="G293" s="193" t="s">
        <v>40</v>
      </c>
      <c r="H293" s="194" t="s">
        <v>13</v>
      </c>
      <c r="I293" s="222" t="s">
        <v>41</v>
      </c>
      <c r="J293" s="222"/>
      <c r="K293" s="258"/>
      <c r="L293" s="197">
        <v>0.0</v>
      </c>
      <c r="M293" s="197"/>
      <c r="N293" s="197">
        <v>0.0</v>
      </c>
      <c r="O293" s="198">
        <f>+IF(L293&gt;0,N293*100/L293,0)</f>
        <v>0</v>
      </c>
      <c r="P293" s="198"/>
    </row>
    <row r="294" ht="21.75" customHeight="1">
      <c r="A294" s="189"/>
      <c r="B294" s="190"/>
      <c r="C294" s="190"/>
      <c r="D294" s="199"/>
      <c r="E294" s="192"/>
      <c r="F294" s="192" t="s">
        <v>41</v>
      </c>
      <c r="G294" s="193" t="s">
        <v>42</v>
      </c>
      <c r="H294" s="194" t="s">
        <v>13</v>
      </c>
      <c r="I294" s="222"/>
      <c r="J294" s="222"/>
      <c r="K294" s="258"/>
      <c r="L294" s="200">
        <f>L295+L296</f>
        <v>0</v>
      </c>
      <c r="M294" s="201">
        <f>IFERROR(__xludf.DUMMYFUNCTION("IMPORTRANGE(""https://docs.google.com/spreadsheets/d/1Yj_ptqi66GCucihVvJfMjLAmec39IyEx_6qawtMGysU/edit?usp=sharing"",""สบก!CT45"")"),0.0)</f>
        <v>0</v>
      </c>
      <c r="N294" s="202">
        <f>IFERROR(__xludf.DUMMYFUNCTION("IMPORTRANGE(""https://docs.google.com/spreadsheets/d/1Yj_ptqi66GCucihVvJfMjLAmec39IyEx_6qawtMGysU/edit?usp=sharing"",""สบก!CU45"")"),0.0)</f>
        <v>0</v>
      </c>
      <c r="O294" s="203">
        <f>IF(L294&gt;0,N294*100/L294,0)</f>
        <v>0</v>
      </c>
      <c r="P294" s="203">
        <f>IF(M294&gt;0,N294*100/M294,0)</f>
        <v>0</v>
      </c>
    </row>
    <row r="295" ht="21.75" customHeight="1">
      <c r="A295" s="189"/>
      <c r="B295" s="190"/>
      <c r="C295" s="190"/>
      <c r="D295" s="199"/>
      <c r="E295" s="192"/>
      <c r="F295" s="192"/>
      <c r="G295" s="204" t="s">
        <v>43</v>
      </c>
      <c r="H295" s="194" t="s">
        <v>13</v>
      </c>
      <c r="I295" s="222"/>
      <c r="J295" s="222"/>
      <c r="K295" s="258"/>
      <c r="L295" s="201">
        <f>IFERROR(__xludf.DUMMYFUNCTION("IMPORTRANGE(""https://docs.google.com/spreadsheets/d/1Yj_ptqi66GCucihVvJfMjLAmec39IyEx_6qawtMGysU/edit?usp=sharing"",""สบก!CP45"")"),0.0)</f>
        <v>0</v>
      </c>
      <c r="M295" s="200"/>
      <c r="N295" s="200"/>
      <c r="O295" s="203"/>
      <c r="P295" s="203"/>
    </row>
    <row r="296" ht="21.75" customHeight="1">
      <c r="A296" s="189"/>
      <c r="B296" s="190"/>
      <c r="C296" s="190"/>
      <c r="D296" s="199"/>
      <c r="E296" s="192"/>
      <c r="F296" s="192"/>
      <c r="G296" s="204" t="s">
        <v>44</v>
      </c>
      <c r="H296" s="194" t="s">
        <v>13</v>
      </c>
      <c r="I296" s="222"/>
      <c r="J296" s="222"/>
      <c r="K296" s="258"/>
      <c r="L296" s="201">
        <f>IFERROR(__xludf.DUMMYFUNCTION("IMPORTRANGE(""https://docs.google.com/spreadsheets/d/1Yj_ptqi66GCucihVvJfMjLAmec39IyEx_6qawtMGysU/edit?usp=sharing"",""สบก!CQ45"")"),0.0)</f>
        <v>0</v>
      </c>
      <c r="M296" s="200"/>
      <c r="N296" s="200"/>
      <c r="O296" s="203"/>
      <c r="P296" s="203"/>
    </row>
    <row r="297" ht="21.75" customHeight="1">
      <c r="A297" s="205"/>
      <c r="B297" s="104"/>
      <c r="C297" s="105" t="s">
        <v>17</v>
      </c>
      <c r="D297" s="106" t="s">
        <v>24</v>
      </c>
      <c r="E297" s="53"/>
      <c r="F297" s="113"/>
      <c r="G297" s="107" t="s">
        <v>19</v>
      </c>
      <c r="H297" s="206" t="s">
        <v>13</v>
      </c>
      <c r="I297" s="222"/>
      <c r="J297" s="222"/>
      <c r="K297" s="258"/>
      <c r="L297" s="117">
        <v>0.0</v>
      </c>
      <c r="M297" s="117"/>
      <c r="N297" s="62"/>
      <c r="O297" s="117"/>
      <c r="P297" s="117"/>
    </row>
    <row r="298" ht="21.75" customHeight="1">
      <c r="A298" s="207"/>
      <c r="B298" s="119"/>
      <c r="C298" s="119"/>
      <c r="D298" s="208"/>
      <c r="E298" s="120"/>
      <c r="F298" s="120"/>
      <c r="G298" s="121" t="s">
        <v>20</v>
      </c>
      <c r="H298" s="209" t="s">
        <v>13</v>
      </c>
      <c r="I298" s="222"/>
      <c r="J298" s="222"/>
      <c r="K298" s="258"/>
      <c r="L298" s="115">
        <f>IFERROR(__xludf.DUMMYFUNCTION("IMPORTRANGE(""https://docs.google.com/spreadsheets/d/1Yj_ptqi66GCucihVvJfMjLAmec39IyEx_6qawtMGysU/edit?usp=sharing"",""สบก!CR45"")"),0.0)</f>
        <v>0</v>
      </c>
      <c r="M298" s="125"/>
      <c r="N298" s="115">
        <f>IFERROR(__xludf.DUMMYFUNCTION("IMPORTRANGE(""https://docs.google.com/spreadsheets/d/1Yj_ptqi66GCucihVvJfMjLAmec39IyEx_6qawtMGysU/edit?usp=sharing"",""สบก!CV45"")"),0.0)</f>
        <v>0</v>
      </c>
      <c r="O298" s="125">
        <f>IF(L298&gt;0,N298*100/L298,0)</f>
        <v>0</v>
      </c>
      <c r="P298" s="125"/>
    </row>
    <row r="299" ht="21.75" customHeight="1">
      <c r="A299" s="210"/>
      <c r="B299" s="211"/>
      <c r="C299" s="190" t="s">
        <v>17</v>
      </c>
      <c r="D299" s="212" t="s">
        <v>45</v>
      </c>
      <c r="E299" s="213"/>
      <c r="F299" s="213"/>
      <c r="G299" s="214"/>
      <c r="H299" s="215"/>
      <c r="I299" s="222"/>
      <c r="J299" s="222"/>
      <c r="K299" s="258"/>
      <c r="L299" s="203"/>
      <c r="M299" s="203"/>
      <c r="N299" s="203"/>
      <c r="O299" s="216"/>
      <c r="P299" s="216"/>
    </row>
    <row r="300" ht="21.75" customHeight="1">
      <c r="A300" s="210"/>
      <c r="B300" s="211"/>
      <c r="C300" s="211"/>
      <c r="D300" s="217">
        <v>1.0</v>
      </c>
      <c r="E300" s="218" t="s">
        <v>46</v>
      </c>
      <c r="F300" s="219"/>
      <c r="G300" s="220"/>
      <c r="H300" s="221"/>
      <c r="I300" s="222"/>
      <c r="J300" s="222">
        <f>IFERROR(__xludf.DUMMYFUNCTION("IMPORTRANGE(""https://docs.google.com/spreadsheets/d/1XL5vhW3sbDhbH9Cz0tuDiY8C3ctxq1tqvaCgkFb8cCA/edit?usp=sharing"",""มหาสารคาม!J205"")"),0.0)</f>
        <v>0</v>
      </c>
      <c r="K300" s="258"/>
      <c r="L300" s="203"/>
      <c r="M300" s="203"/>
      <c r="N300" s="203"/>
      <c r="O300" s="216"/>
      <c r="P300" s="216"/>
    </row>
    <row r="301" ht="21.75" customHeight="1">
      <c r="A301" s="210"/>
      <c r="B301" s="211"/>
      <c r="C301" s="211"/>
      <c r="D301" s="224">
        <v>2.0</v>
      </c>
      <c r="E301" s="225" t="s">
        <v>47</v>
      </c>
      <c r="F301" s="226"/>
      <c r="G301" s="227"/>
      <c r="H301" s="221"/>
      <c r="I301" s="222"/>
      <c r="J301" s="222">
        <f>IFERROR(__xludf.DUMMYFUNCTION("IMPORTRANGE(""https://docs.google.com/spreadsheets/d/1XL5vhW3sbDhbH9Cz0tuDiY8C3ctxq1tqvaCgkFb8cCA/edit?usp=sharing"",""มหาสารคาม!J206"")"),0.0)</f>
        <v>0</v>
      </c>
      <c r="K301" s="258"/>
      <c r="L301" s="203" t="s">
        <v>41</v>
      </c>
      <c r="M301" s="203"/>
      <c r="N301" s="203" t="s">
        <v>41</v>
      </c>
      <c r="O301" s="216"/>
      <c r="P301" s="216"/>
    </row>
    <row r="302" ht="21.75" customHeight="1">
      <c r="A302" s="210"/>
      <c r="B302" s="211"/>
      <c r="C302" s="211"/>
      <c r="D302" s="228"/>
      <c r="E302" s="229" t="s">
        <v>48</v>
      </c>
      <c r="F302" s="230"/>
      <c r="G302" s="231"/>
      <c r="H302" s="221"/>
      <c r="I302" s="222"/>
      <c r="J302" s="222">
        <f>IFERROR(__xludf.DUMMYFUNCTION("IMPORTRANGE(""https://docs.google.com/spreadsheets/d/1XL5vhW3sbDhbH9Cz0tuDiY8C3ctxq1tqvaCgkFb8cCA/edit?usp=sharing"",""มหาสารคาม!J207"")"),0.0)</f>
        <v>0</v>
      </c>
      <c r="K302" s="258"/>
      <c r="L302" s="203"/>
      <c r="M302" s="203"/>
      <c r="N302" s="203"/>
      <c r="O302" s="216"/>
      <c r="P302" s="216"/>
    </row>
    <row r="303" ht="21.75" customHeight="1">
      <c r="A303" s="210"/>
      <c r="B303" s="211"/>
      <c r="C303" s="211"/>
      <c r="D303" s="228"/>
      <c r="E303" s="229" t="s">
        <v>49</v>
      </c>
      <c r="F303" s="230"/>
      <c r="G303" s="231"/>
      <c r="H303" s="221"/>
      <c r="I303" s="222"/>
      <c r="J303" s="222">
        <f>IFERROR(__xludf.DUMMYFUNCTION("IMPORTRANGE(""https://docs.google.com/spreadsheets/d/1XL5vhW3sbDhbH9Cz0tuDiY8C3ctxq1tqvaCgkFb8cCA/edit?usp=sharing"",""มหาสารคาม!J208"")"),0.0)</f>
        <v>0</v>
      </c>
      <c r="K303" s="258"/>
      <c r="L303" s="203"/>
      <c r="M303" s="203"/>
      <c r="N303" s="203"/>
      <c r="O303" s="216"/>
      <c r="P303" s="216"/>
    </row>
    <row r="304" ht="21.75" customHeight="1">
      <c r="A304" s="210"/>
      <c r="B304" s="211"/>
      <c r="C304" s="211"/>
      <c r="D304" s="228"/>
      <c r="E304" s="233"/>
      <c r="F304" s="229" t="s">
        <v>114</v>
      </c>
      <c r="G304" s="231"/>
      <c r="H304" s="215" t="s">
        <v>38</v>
      </c>
      <c r="I304" s="222">
        <f>IFERROR(__xludf.DUMMYFUNCTION("IMPORTRANGE(""https://docs.google.com/spreadsheets/d/1XL5vhW3sbDhbH9Cz0tuDiY8C3ctxq1tqvaCgkFb8cCA/edit?usp=sharing"",""มหาสารคาม!I209"")"),0.0)</f>
        <v>0</v>
      </c>
      <c r="J304" s="238">
        <f>IFERROR(__xludf.DUMMYFUNCTION("IMPORTRANGE(""https://docs.google.com/spreadsheets/d/1XL5vhW3sbDhbH9Cz0tuDiY8C3ctxq1tqvaCgkFb8cCA/edit?usp=sharing"",""มหาสารคาม!J209"")"),0.0)</f>
        <v>0</v>
      </c>
      <c r="K304" s="258">
        <f>IF(I304&gt;0,J304*100/I304,0)</f>
        <v>0</v>
      </c>
      <c r="L304" s="203"/>
      <c r="M304" s="203"/>
      <c r="N304" s="203"/>
      <c r="O304" s="216"/>
      <c r="P304" s="216"/>
    </row>
    <row r="305" ht="21.75" customHeight="1">
      <c r="A305" s="210"/>
      <c r="B305" s="211"/>
      <c r="C305" s="211"/>
      <c r="D305" s="228"/>
      <c r="E305" s="233"/>
      <c r="F305" s="229" t="s">
        <v>115</v>
      </c>
      <c r="G305" s="231"/>
      <c r="H305" s="215"/>
      <c r="I305" s="222"/>
      <c r="J305" s="222"/>
      <c r="K305" s="258"/>
      <c r="L305" s="203"/>
      <c r="M305" s="203"/>
      <c r="N305" s="203"/>
      <c r="O305" s="216"/>
      <c r="P305" s="216"/>
    </row>
    <row r="306" ht="21.75" customHeight="1">
      <c r="A306" s="210"/>
      <c r="B306" s="211"/>
      <c r="C306" s="211"/>
      <c r="D306" s="228"/>
      <c r="E306" s="233"/>
      <c r="F306" s="230" t="s">
        <v>54</v>
      </c>
      <c r="G306" s="231"/>
      <c r="H306" s="215" t="s">
        <v>38</v>
      </c>
      <c r="I306" s="222">
        <f>IFERROR(__xludf.DUMMYFUNCTION("IMPORTRANGE(""https://docs.google.com/spreadsheets/d/1XL5vhW3sbDhbH9Cz0tuDiY8C3ctxq1tqvaCgkFb8cCA/edit?usp=sharing"",""มหาสารคาม!I211"")"),0.0)</f>
        <v>0</v>
      </c>
      <c r="J306" s="238">
        <f>IFERROR(__xludf.DUMMYFUNCTION("IMPORTRANGE(""https://docs.google.com/spreadsheets/d/1XL5vhW3sbDhbH9Cz0tuDiY8C3ctxq1tqvaCgkFb8cCA/edit?usp=sharing"",""มหาสารคาม!J211"")"),0.0)</f>
        <v>0</v>
      </c>
      <c r="K306" s="258">
        <f>IF(I306&gt;0,J306*100/I306,0)</f>
        <v>0</v>
      </c>
      <c r="L306" s="203"/>
      <c r="M306" s="203"/>
      <c r="N306" s="203"/>
      <c r="O306" s="216"/>
      <c r="P306" s="216"/>
    </row>
    <row r="307" ht="21.75" customHeight="1">
      <c r="A307" s="210"/>
      <c r="B307" s="211"/>
      <c r="C307" s="211"/>
      <c r="D307" s="228"/>
      <c r="E307" s="229" t="s">
        <v>55</v>
      </c>
      <c r="F307" s="230"/>
      <c r="G307" s="231"/>
      <c r="H307" s="221"/>
      <c r="I307" s="222"/>
      <c r="J307" s="222">
        <f>IFERROR(__xludf.DUMMYFUNCTION("IMPORTRANGE(""https://docs.google.com/spreadsheets/d/1XL5vhW3sbDhbH9Cz0tuDiY8C3ctxq1tqvaCgkFb8cCA/edit?usp=sharing"",""มหาสารคาม!J212"")"),0.0)</f>
        <v>0</v>
      </c>
      <c r="K307" s="258"/>
      <c r="L307" s="203"/>
      <c r="M307" s="203"/>
      <c r="N307" s="203"/>
      <c r="O307" s="216"/>
      <c r="P307" s="216"/>
    </row>
    <row r="308" ht="21.75" customHeight="1">
      <c r="A308" s="210"/>
      <c r="B308" s="211"/>
      <c r="C308" s="211"/>
      <c r="D308" s="240">
        <v>3.0</v>
      </c>
      <c r="E308" s="241" t="s">
        <v>56</v>
      </c>
      <c r="F308" s="242"/>
      <c r="G308" s="243"/>
      <c r="H308" s="221"/>
      <c r="I308" s="222"/>
      <c r="J308" s="359">
        <f>IFERROR(__xludf.DUMMYFUNCTION("IMPORTRANGE(""https://docs.google.com/spreadsheets/d/1XL5vhW3sbDhbH9Cz0tuDiY8C3ctxq1tqvaCgkFb8cCA/edit?usp=sharing"",""มหาสารคาม!J213"")"),0.0)</f>
        <v>0</v>
      </c>
      <c r="K308" s="258"/>
      <c r="L308" s="203"/>
      <c r="M308" s="203"/>
      <c r="N308" s="203"/>
      <c r="O308" s="216"/>
      <c r="P308" s="216"/>
    </row>
    <row r="309" ht="21.75" customHeight="1">
      <c r="A309" s="360"/>
      <c r="B309" s="361" t="s">
        <v>116</v>
      </c>
      <c r="C309" s="362"/>
      <c r="D309" s="363"/>
      <c r="E309" s="361"/>
      <c r="F309" s="361"/>
      <c r="G309" s="364"/>
      <c r="H309" s="365" t="s">
        <v>117</v>
      </c>
      <c r="I309" s="366">
        <f>IFERROR(__xludf.DUMMYFUNCTION("IMPORTRANGE(""https://docs.google.com/spreadsheets/d/1XL5vhW3sbDhbH9Cz0tuDiY8C3ctxq1tqvaCgkFb8cCA/edit?usp=sharing"",""มหาสารคาม!I214"")"),0.0)</f>
        <v>0</v>
      </c>
      <c r="J309" s="366">
        <f>IFERROR(__xludf.DUMMYFUNCTION("IMPORTRANGE(""https://docs.google.com/spreadsheets/d/1XL5vhW3sbDhbH9Cz0tuDiY8C3ctxq1tqvaCgkFb8cCA/edit?usp=sharing"",""มหาสารคาม!J214"")"),0.0)</f>
        <v>0</v>
      </c>
      <c r="K309" s="367">
        <f>IF(I309&gt;0,J309*100/I309,0)</f>
        <v>0</v>
      </c>
      <c r="L309" s="368"/>
      <c r="M309" s="368"/>
      <c r="N309" s="368"/>
      <c r="O309" s="367"/>
      <c r="P309" s="367"/>
    </row>
    <row r="310" ht="21.75" customHeight="1">
      <c r="A310" s="176"/>
      <c r="B310" s="177"/>
      <c r="C310" s="178" t="s">
        <v>17</v>
      </c>
      <c r="D310" s="179" t="s">
        <v>18</v>
      </c>
      <c r="E310" s="37"/>
      <c r="F310" s="37"/>
      <c r="G310" s="37"/>
      <c r="H310" s="180" t="s">
        <v>13</v>
      </c>
      <c r="I310" s="369"/>
      <c r="J310" s="369"/>
      <c r="K310" s="370"/>
      <c r="L310" s="183">
        <f t="shared" ref="L310:N310" si="94">L311+L312</f>
        <v>0</v>
      </c>
      <c r="M310" s="183">
        <f t="shared" si="94"/>
        <v>0</v>
      </c>
      <c r="N310" s="183">
        <f t="shared" si="94"/>
        <v>0</v>
      </c>
      <c r="O310" s="182">
        <f t="shared" ref="O310:O312" si="96">IF(L310&gt;0,N310*100/L310,0)</f>
        <v>0</v>
      </c>
      <c r="P310" s="182">
        <f t="shared" ref="P310:P312" si="97">IF(M310&gt;0,N310*100/M310,0)</f>
        <v>0</v>
      </c>
    </row>
    <row r="311" ht="21.75" customHeight="1">
      <c r="A311" s="184"/>
      <c r="B311" s="50"/>
      <c r="C311" s="50"/>
      <c r="D311" s="50"/>
      <c r="E311" s="50"/>
      <c r="F311" s="50"/>
      <c r="G311" s="51" t="s">
        <v>19</v>
      </c>
      <c r="H311" s="185" t="s">
        <v>13</v>
      </c>
      <c r="I311" s="369"/>
      <c r="J311" s="369"/>
      <c r="K311" s="370"/>
      <c r="L311" s="188">
        <f t="shared" ref="L311:N311" si="95">L313+L317</f>
        <v>0</v>
      </c>
      <c r="M311" s="188">
        <f t="shared" si="95"/>
        <v>0</v>
      </c>
      <c r="N311" s="188">
        <f t="shared" si="95"/>
        <v>0</v>
      </c>
      <c r="O311" s="187">
        <f t="shared" si="96"/>
        <v>0</v>
      </c>
      <c r="P311" s="187">
        <f t="shared" si="97"/>
        <v>0</v>
      </c>
    </row>
    <row r="312" ht="21.75" customHeight="1">
      <c r="A312" s="184"/>
      <c r="B312" s="50"/>
      <c r="C312" s="50"/>
      <c r="D312" s="50"/>
      <c r="E312" s="50"/>
      <c r="F312" s="50"/>
      <c r="G312" s="51" t="s">
        <v>20</v>
      </c>
      <c r="H312" s="185" t="s">
        <v>13</v>
      </c>
      <c r="I312" s="369"/>
      <c r="J312" s="369"/>
      <c r="K312" s="370"/>
      <c r="L312" s="188">
        <f t="shared" ref="L312:N312" si="98">L314+L318</f>
        <v>0</v>
      </c>
      <c r="M312" s="188">
        <f t="shared" si="98"/>
        <v>0</v>
      </c>
      <c r="N312" s="188">
        <f t="shared" si="98"/>
        <v>0</v>
      </c>
      <c r="O312" s="187">
        <f t="shared" si="96"/>
        <v>0</v>
      </c>
      <c r="P312" s="187">
        <f t="shared" si="97"/>
        <v>0</v>
      </c>
    </row>
    <row r="313" ht="21.75" customHeight="1">
      <c r="A313" s="189"/>
      <c r="B313" s="190"/>
      <c r="C313" s="190" t="s">
        <v>17</v>
      </c>
      <c r="D313" s="191" t="s">
        <v>39</v>
      </c>
      <c r="E313" s="192"/>
      <c r="F313" s="192"/>
      <c r="G313" s="193" t="s">
        <v>40</v>
      </c>
      <c r="H313" s="194" t="s">
        <v>13</v>
      </c>
      <c r="I313" s="195" t="s">
        <v>41</v>
      </c>
      <c r="J313" s="195"/>
      <c r="K313" s="196"/>
      <c r="L313" s="197">
        <v>0.0</v>
      </c>
      <c r="M313" s="197"/>
      <c r="N313" s="197">
        <v>0.0</v>
      </c>
      <c r="O313" s="198">
        <f>+IF(L313&gt;0,N313*100/L313,0)</f>
        <v>0</v>
      </c>
      <c r="P313" s="198"/>
    </row>
    <row r="314" ht="21.75" customHeight="1">
      <c r="A314" s="189"/>
      <c r="B314" s="190"/>
      <c r="C314" s="190"/>
      <c r="D314" s="199"/>
      <c r="E314" s="192"/>
      <c r="F314" s="192" t="s">
        <v>41</v>
      </c>
      <c r="G314" s="193" t="s">
        <v>42</v>
      </c>
      <c r="H314" s="194" t="s">
        <v>13</v>
      </c>
      <c r="I314" s="195"/>
      <c r="J314" s="195"/>
      <c r="K314" s="196"/>
      <c r="L314" s="200">
        <f>L315+L316</f>
        <v>0</v>
      </c>
      <c r="M314" s="201">
        <f>IFERROR(__xludf.DUMMYFUNCTION("IMPORTRANGE(""https://docs.google.com/spreadsheets/d/1Yj_ptqi66GCucihVvJfMjLAmec39IyEx_6qawtMGysU/edit?usp=sharing"",""สบก!DC45"")"),0.0)</f>
        <v>0</v>
      </c>
      <c r="N314" s="202">
        <f>IFERROR(__xludf.DUMMYFUNCTION("IMPORTRANGE(""https://docs.google.com/spreadsheets/d/1Yj_ptqi66GCucihVvJfMjLAmec39IyEx_6qawtMGysU/edit?usp=sharing"",""สบก!DD45"")"),0.0)</f>
        <v>0</v>
      </c>
      <c r="O314" s="203">
        <f>IF(L314&gt;0,N314*100/L314,0)</f>
        <v>0</v>
      </c>
      <c r="P314" s="203">
        <f>IF(M314&gt;0,N314*100/M314,0)</f>
        <v>0</v>
      </c>
    </row>
    <row r="315" ht="21.75" customHeight="1">
      <c r="A315" s="189"/>
      <c r="B315" s="190"/>
      <c r="C315" s="190"/>
      <c r="D315" s="199"/>
      <c r="E315" s="192"/>
      <c r="F315" s="192"/>
      <c r="G315" s="204" t="s">
        <v>43</v>
      </c>
      <c r="H315" s="194" t="s">
        <v>13</v>
      </c>
      <c r="I315" s="195"/>
      <c r="J315" s="195"/>
      <c r="K315" s="196"/>
      <c r="L315" s="201">
        <f>IFERROR(__xludf.DUMMYFUNCTION("IMPORTRANGE(""https://docs.google.com/spreadsheets/d/1Yj_ptqi66GCucihVvJfMjLAmec39IyEx_6qawtMGysU/edit?usp=sharing"",""สบก!CY45"")"),0.0)</f>
        <v>0</v>
      </c>
      <c r="M315" s="200"/>
      <c r="N315" s="200"/>
      <c r="O315" s="203"/>
      <c r="P315" s="203"/>
    </row>
    <row r="316" ht="21.75" customHeight="1">
      <c r="A316" s="189"/>
      <c r="B316" s="190"/>
      <c r="C316" s="190"/>
      <c r="D316" s="199"/>
      <c r="E316" s="192"/>
      <c r="F316" s="192"/>
      <c r="G316" s="204" t="s">
        <v>44</v>
      </c>
      <c r="H316" s="194" t="s">
        <v>13</v>
      </c>
      <c r="I316" s="195"/>
      <c r="J316" s="222"/>
      <c r="K316" s="258"/>
      <c r="L316" s="201">
        <f>IFERROR(__xludf.DUMMYFUNCTION("IMPORTRANGE(""https://docs.google.com/spreadsheets/d/1Yj_ptqi66GCucihVvJfMjLAmec39IyEx_6qawtMGysU/edit?usp=sharing"",""สบก!CZ45"")"),0.0)</f>
        <v>0</v>
      </c>
      <c r="M316" s="200"/>
      <c r="N316" s="200"/>
      <c r="O316" s="203"/>
      <c r="P316" s="203"/>
    </row>
    <row r="317" ht="21.75" customHeight="1">
      <c r="A317" s="205"/>
      <c r="B317" s="104"/>
      <c r="C317" s="105" t="s">
        <v>17</v>
      </c>
      <c r="D317" s="106" t="s">
        <v>24</v>
      </c>
      <c r="E317" s="53"/>
      <c r="F317" s="113"/>
      <c r="G317" s="107" t="s">
        <v>19</v>
      </c>
      <c r="H317" s="206" t="s">
        <v>13</v>
      </c>
      <c r="I317" s="195"/>
      <c r="J317" s="222"/>
      <c r="K317" s="258"/>
      <c r="L317" s="117">
        <v>0.0</v>
      </c>
      <c r="M317" s="117"/>
      <c r="N317" s="62"/>
      <c r="O317" s="117"/>
      <c r="P317" s="117"/>
    </row>
    <row r="318" ht="21.75" customHeight="1">
      <c r="A318" s="207"/>
      <c r="B318" s="119"/>
      <c r="C318" s="119"/>
      <c r="D318" s="208"/>
      <c r="E318" s="120"/>
      <c r="F318" s="120"/>
      <c r="G318" s="121" t="s">
        <v>20</v>
      </c>
      <c r="H318" s="209" t="s">
        <v>13</v>
      </c>
      <c r="I318" s="195"/>
      <c r="J318" s="222"/>
      <c r="K318" s="258"/>
      <c r="L318" s="115">
        <f>IFERROR(__xludf.DUMMYFUNCTION("IMPORTRANGE(""https://docs.google.com/spreadsheets/d/1Yj_ptqi66GCucihVvJfMjLAmec39IyEx_6qawtMGysU/edit?usp=sharing"",""สบก!DA45"")"),0.0)</f>
        <v>0</v>
      </c>
      <c r="M318" s="125"/>
      <c r="N318" s="115">
        <f>IFERROR(__xludf.DUMMYFUNCTION("IMPORTRANGE(""https://docs.google.com/spreadsheets/d/1Yj_ptqi66GCucihVvJfMjLAmec39IyEx_6qawtMGysU/edit?usp=sharing"",""สบก!DE45"")"),0.0)</f>
        <v>0</v>
      </c>
      <c r="O318" s="125">
        <f>IF(L318&gt;0,N318*100/L318,0)</f>
        <v>0</v>
      </c>
      <c r="P318" s="125"/>
    </row>
    <row r="319" ht="21.75" customHeight="1">
      <c r="A319" s="210"/>
      <c r="B319" s="211"/>
      <c r="C319" s="190" t="s">
        <v>17</v>
      </c>
      <c r="D319" s="212" t="s">
        <v>45</v>
      </c>
      <c r="E319" s="213"/>
      <c r="F319" s="213"/>
      <c r="G319" s="214"/>
      <c r="H319" s="215"/>
      <c r="I319" s="195"/>
      <c r="J319" s="222"/>
      <c r="K319" s="258"/>
      <c r="L319" s="203"/>
      <c r="M319" s="203"/>
      <c r="N319" s="203"/>
      <c r="O319" s="216"/>
      <c r="P319" s="216"/>
    </row>
    <row r="320" ht="21.75" customHeight="1">
      <c r="A320" s="210"/>
      <c r="B320" s="211"/>
      <c r="C320" s="211"/>
      <c r="D320" s="217">
        <v>1.0</v>
      </c>
      <c r="E320" s="218" t="s">
        <v>46</v>
      </c>
      <c r="F320" s="219"/>
      <c r="G320" s="220"/>
      <c r="H320" s="221"/>
      <c r="I320" s="222"/>
      <c r="J320" s="222">
        <f>IFERROR(__xludf.DUMMYFUNCTION("IMPORTRANGE(""https://docs.google.com/spreadsheets/d/1XL5vhW3sbDhbH9Cz0tuDiY8C3ctxq1tqvaCgkFb8cCA/edit?usp=sharing"",""มหาสารคาม!J220"")"),0.0)</f>
        <v>0</v>
      </c>
      <c r="K320" s="258"/>
      <c r="L320" s="203"/>
      <c r="M320" s="203"/>
      <c r="N320" s="203"/>
      <c r="O320" s="216"/>
      <c r="P320" s="216"/>
    </row>
    <row r="321" ht="21.75" customHeight="1">
      <c r="A321" s="210"/>
      <c r="B321" s="211"/>
      <c r="C321" s="211"/>
      <c r="D321" s="224">
        <v>2.0</v>
      </c>
      <c r="E321" s="225" t="s">
        <v>47</v>
      </c>
      <c r="F321" s="226"/>
      <c r="G321" s="227"/>
      <c r="H321" s="221"/>
      <c r="I321" s="222"/>
      <c r="J321" s="222">
        <f>IFERROR(__xludf.DUMMYFUNCTION("IMPORTRANGE(""https://docs.google.com/spreadsheets/d/1XL5vhW3sbDhbH9Cz0tuDiY8C3ctxq1tqvaCgkFb8cCA/edit?usp=sharing"",""มหาสารคาม!J221"")"),0.0)</f>
        <v>0</v>
      </c>
      <c r="K321" s="258"/>
      <c r="L321" s="203" t="s">
        <v>41</v>
      </c>
      <c r="M321" s="203"/>
      <c r="N321" s="203" t="s">
        <v>41</v>
      </c>
      <c r="O321" s="216"/>
      <c r="P321" s="216"/>
    </row>
    <row r="322" ht="21.75" customHeight="1">
      <c r="A322" s="210"/>
      <c r="B322" s="211"/>
      <c r="C322" s="211"/>
      <c r="D322" s="228"/>
      <c r="E322" s="229" t="s">
        <v>48</v>
      </c>
      <c r="F322" s="230"/>
      <c r="G322" s="231"/>
      <c r="H322" s="221"/>
      <c r="I322" s="222"/>
      <c r="J322" s="222">
        <f>IFERROR(__xludf.DUMMYFUNCTION("IMPORTRANGE(""https://docs.google.com/spreadsheets/d/1XL5vhW3sbDhbH9Cz0tuDiY8C3ctxq1tqvaCgkFb8cCA/edit?usp=sharing"",""มหาสารคาม!J222"")"),0.0)</f>
        <v>0</v>
      </c>
      <c r="K322" s="258"/>
      <c r="L322" s="203"/>
      <c r="M322" s="203"/>
      <c r="N322" s="203"/>
      <c r="O322" s="216"/>
      <c r="P322" s="216"/>
    </row>
    <row r="323" ht="21.75" customHeight="1">
      <c r="A323" s="210"/>
      <c r="B323" s="211"/>
      <c r="C323" s="211"/>
      <c r="D323" s="228"/>
      <c r="E323" s="229" t="s">
        <v>49</v>
      </c>
      <c r="F323" s="230"/>
      <c r="G323" s="231"/>
      <c r="H323" s="221"/>
      <c r="I323" s="222"/>
      <c r="J323" s="222">
        <f>IFERROR(__xludf.DUMMYFUNCTION("IMPORTRANGE(""https://docs.google.com/spreadsheets/d/1XL5vhW3sbDhbH9Cz0tuDiY8C3ctxq1tqvaCgkFb8cCA/edit?usp=sharing"",""มหาสารคาม!J223"")"),0.0)</f>
        <v>0</v>
      </c>
      <c r="K323" s="258"/>
      <c r="L323" s="203"/>
      <c r="M323" s="203"/>
      <c r="N323" s="203"/>
      <c r="O323" s="216"/>
      <c r="P323" s="216"/>
    </row>
    <row r="324" ht="21.75" customHeight="1">
      <c r="A324" s="210"/>
      <c r="B324" s="211"/>
      <c r="C324" s="211"/>
      <c r="D324" s="228"/>
      <c r="E324" s="233"/>
      <c r="F324" s="229" t="s">
        <v>118</v>
      </c>
      <c r="G324" s="231"/>
      <c r="H324" s="221" t="s">
        <v>117</v>
      </c>
      <c r="I324" s="222">
        <f>IFERROR(__xludf.DUMMYFUNCTION("IMPORTRANGE(""https://docs.google.com/spreadsheets/d/1XL5vhW3sbDhbH9Cz0tuDiY8C3ctxq1tqvaCgkFb8cCA/edit?usp=sharing"",""มหาสารคาม!I224"")"),0.0)</f>
        <v>0</v>
      </c>
      <c r="J324" s="238">
        <f>IFERROR(__xludf.DUMMYFUNCTION("IMPORTRANGE(""https://docs.google.com/spreadsheets/d/1XL5vhW3sbDhbH9Cz0tuDiY8C3ctxq1tqvaCgkFb8cCA/edit?usp=sharing"",""มหาสารคาม!J224"")"),0.0)</f>
        <v>0</v>
      </c>
      <c r="K324" s="258">
        <f>IF(I324&gt;0,J324*100/I324,0)</f>
        <v>0</v>
      </c>
      <c r="L324" s="203"/>
      <c r="M324" s="203"/>
      <c r="N324" s="203"/>
      <c r="O324" s="216"/>
      <c r="P324" s="216"/>
    </row>
    <row r="325" ht="21.75" customHeight="1">
      <c r="A325" s="210"/>
      <c r="B325" s="211"/>
      <c r="C325" s="211"/>
      <c r="D325" s="228"/>
      <c r="E325" s="229" t="s">
        <v>55</v>
      </c>
      <c r="F325" s="230"/>
      <c r="G325" s="231"/>
      <c r="H325" s="221"/>
      <c r="I325" s="222"/>
      <c r="J325" s="222">
        <f>IFERROR(__xludf.DUMMYFUNCTION("IMPORTRANGE(""https://docs.google.com/spreadsheets/d/1XL5vhW3sbDhbH9Cz0tuDiY8C3ctxq1tqvaCgkFb8cCA/edit?usp=sharing"",""มหาสารคาม!J225"")"),0.0)</f>
        <v>0</v>
      </c>
      <c r="K325" s="258"/>
      <c r="L325" s="203"/>
      <c r="M325" s="203"/>
      <c r="N325" s="203"/>
      <c r="O325" s="216"/>
      <c r="P325" s="216"/>
    </row>
    <row r="326" ht="21.75" customHeight="1">
      <c r="A326" s="210"/>
      <c r="B326" s="211"/>
      <c r="C326" s="211"/>
      <c r="D326" s="240">
        <v>3.0</v>
      </c>
      <c r="E326" s="241" t="s">
        <v>56</v>
      </c>
      <c r="F326" s="242"/>
      <c r="G326" s="243"/>
      <c r="H326" s="221"/>
      <c r="I326" s="222"/>
      <c r="J326" s="261">
        <f>IFERROR(__xludf.DUMMYFUNCTION("IMPORTRANGE(""https://docs.google.com/spreadsheets/d/1XL5vhW3sbDhbH9Cz0tuDiY8C3ctxq1tqvaCgkFb8cCA/edit?usp=sharing"",""มหาสารคาม!J226"")"),0.0)</f>
        <v>0</v>
      </c>
      <c r="K326" s="258"/>
      <c r="L326" s="203"/>
      <c r="M326" s="203"/>
      <c r="N326" s="203"/>
      <c r="O326" s="216"/>
      <c r="P326" s="216"/>
    </row>
    <row r="327" ht="21.75" customHeight="1">
      <c r="A327" s="337" t="s">
        <v>119</v>
      </c>
      <c r="B327" s="338"/>
      <c r="C327" s="338"/>
      <c r="D327" s="339"/>
      <c r="E327" s="338"/>
      <c r="F327" s="338"/>
      <c r="G327" s="352"/>
      <c r="H327" s="341"/>
      <c r="I327" s="342"/>
      <c r="J327" s="342"/>
      <c r="K327" s="343"/>
      <c r="L327" s="343"/>
      <c r="M327" s="343"/>
      <c r="N327" s="343"/>
      <c r="O327" s="344"/>
      <c r="P327" s="344"/>
    </row>
    <row r="328" ht="21.75" customHeight="1">
      <c r="A328" s="345"/>
      <c r="B328" s="371" t="s">
        <v>120</v>
      </c>
      <c r="C328" s="358"/>
      <c r="D328" s="346"/>
      <c r="E328" s="346"/>
      <c r="F328" s="346"/>
      <c r="G328" s="347"/>
      <c r="H328" s="348" t="s">
        <v>38</v>
      </c>
      <c r="I328" s="372">
        <f>IFERROR(__xludf.DUMMYFUNCTION("IMPORTRANGE(""https://docs.google.com/spreadsheets/d/1XL5vhW3sbDhbH9Cz0tuDiY8C3ctxq1tqvaCgkFb8cCA/edit?usp=sharing"",""มหาสารคาม!I228"")"),160.0)</f>
        <v>160</v>
      </c>
      <c r="J328" s="372">
        <f>IFERROR(__xludf.DUMMYFUNCTION("IMPORTRANGE(""https://docs.google.com/spreadsheets/d/1XL5vhW3sbDhbH9Cz0tuDiY8C3ctxq1tqvaCgkFb8cCA/edit?usp=sharing"",""มหาสารคาม!J228"")"),38.0)</f>
        <v>38</v>
      </c>
      <c r="K328" s="350">
        <f>IF(I328&gt;0,J328*100/I328,0)</f>
        <v>23.75</v>
      </c>
      <c r="L328" s="351"/>
      <c r="M328" s="351"/>
      <c r="N328" s="351"/>
      <c r="O328" s="350"/>
      <c r="P328" s="350"/>
    </row>
    <row r="329" ht="21.75" customHeight="1">
      <c r="A329" s="176"/>
      <c r="B329" s="177"/>
      <c r="C329" s="178" t="s">
        <v>17</v>
      </c>
      <c r="D329" s="179" t="s">
        <v>18</v>
      </c>
      <c r="E329" s="37"/>
      <c r="F329" s="37"/>
      <c r="G329" s="37"/>
      <c r="H329" s="180" t="s">
        <v>13</v>
      </c>
      <c r="I329" s="195"/>
      <c r="J329" s="195"/>
      <c r="K329" s="196"/>
      <c r="L329" s="183">
        <f t="shared" ref="L329:N329" si="99">L330+L331</f>
        <v>658010</v>
      </c>
      <c r="M329" s="183">
        <f t="shared" si="99"/>
        <v>351110</v>
      </c>
      <c r="N329" s="183">
        <f t="shared" si="99"/>
        <v>207952</v>
      </c>
      <c r="O329" s="182">
        <f t="shared" ref="O329:O331" si="101">IF(L329&gt;0,N329*100/L329,0)</f>
        <v>31.60316713</v>
      </c>
      <c r="P329" s="182">
        <f t="shared" ref="P329:P331" si="102">IF(M329&gt;0,N329*100/M329,0)</f>
        <v>59.22702287</v>
      </c>
    </row>
    <row r="330" ht="21.75" customHeight="1">
      <c r="A330" s="184"/>
      <c r="B330" s="50"/>
      <c r="C330" s="50"/>
      <c r="D330" s="50"/>
      <c r="E330" s="50"/>
      <c r="F330" s="50"/>
      <c r="G330" s="51" t="s">
        <v>19</v>
      </c>
      <c r="H330" s="185" t="s">
        <v>13</v>
      </c>
      <c r="I330" s="195"/>
      <c r="J330" s="195"/>
      <c r="K330" s="196"/>
      <c r="L330" s="188">
        <f t="shared" ref="L330:N330" si="100">L332+L336</f>
        <v>0</v>
      </c>
      <c r="M330" s="188">
        <f t="shared" si="100"/>
        <v>0</v>
      </c>
      <c r="N330" s="188">
        <f t="shared" si="100"/>
        <v>0</v>
      </c>
      <c r="O330" s="187">
        <f t="shared" si="101"/>
        <v>0</v>
      </c>
      <c r="P330" s="187">
        <f t="shared" si="102"/>
        <v>0</v>
      </c>
    </row>
    <row r="331" ht="21.75" customHeight="1">
      <c r="A331" s="184"/>
      <c r="B331" s="50"/>
      <c r="C331" s="50"/>
      <c r="D331" s="50"/>
      <c r="E331" s="50"/>
      <c r="F331" s="50"/>
      <c r="G331" s="51" t="s">
        <v>20</v>
      </c>
      <c r="H331" s="185" t="s">
        <v>13</v>
      </c>
      <c r="I331" s="195"/>
      <c r="J331" s="195"/>
      <c r="K331" s="196"/>
      <c r="L331" s="188">
        <f t="shared" ref="L331:N331" si="103">L333+L337</f>
        <v>658010</v>
      </c>
      <c r="M331" s="188">
        <f t="shared" si="103"/>
        <v>351110</v>
      </c>
      <c r="N331" s="188">
        <f t="shared" si="103"/>
        <v>207952</v>
      </c>
      <c r="O331" s="187">
        <f t="shared" si="101"/>
        <v>31.60316713</v>
      </c>
      <c r="P331" s="187">
        <f t="shared" si="102"/>
        <v>59.22702287</v>
      </c>
    </row>
    <row r="332" ht="21.75" customHeight="1">
      <c r="A332" s="189"/>
      <c r="B332" s="190"/>
      <c r="C332" s="190" t="s">
        <v>17</v>
      </c>
      <c r="D332" s="191" t="s">
        <v>39</v>
      </c>
      <c r="E332" s="192"/>
      <c r="F332" s="192"/>
      <c r="G332" s="193" t="s">
        <v>40</v>
      </c>
      <c r="H332" s="194" t="s">
        <v>13</v>
      </c>
      <c r="I332" s="195" t="s">
        <v>41</v>
      </c>
      <c r="J332" s="195"/>
      <c r="K332" s="196"/>
      <c r="L332" s="197">
        <v>0.0</v>
      </c>
      <c r="M332" s="197"/>
      <c r="N332" s="197">
        <v>0.0</v>
      </c>
      <c r="O332" s="198">
        <f>+IF(L332&gt;0,N332*100/L332,0)</f>
        <v>0</v>
      </c>
      <c r="P332" s="198"/>
    </row>
    <row r="333" ht="21.75" customHeight="1">
      <c r="A333" s="189"/>
      <c r="B333" s="190"/>
      <c r="C333" s="190"/>
      <c r="D333" s="199"/>
      <c r="E333" s="192"/>
      <c r="F333" s="192" t="s">
        <v>41</v>
      </c>
      <c r="G333" s="193" t="s">
        <v>42</v>
      </c>
      <c r="H333" s="194" t="s">
        <v>13</v>
      </c>
      <c r="I333" s="195"/>
      <c r="J333" s="195"/>
      <c r="K333" s="196"/>
      <c r="L333" s="200">
        <f>L334+L335</f>
        <v>658010</v>
      </c>
      <c r="M333" s="201">
        <f>IFERROR(__xludf.DUMMYFUNCTION("IMPORTRANGE(""https://docs.google.com/spreadsheets/d/1Yj_ptqi66GCucihVvJfMjLAmec39IyEx_6qawtMGysU/edit?usp=sharing"",""สบก!DL45"")"),351110.0)</f>
        <v>351110</v>
      </c>
      <c r="N333" s="202">
        <f>IFERROR(__xludf.DUMMYFUNCTION("IMPORTRANGE(""https://docs.google.com/spreadsheets/d/1Yj_ptqi66GCucihVvJfMjLAmec39IyEx_6qawtMGysU/edit?usp=sharing"",""สบก!DM45"")"),207952.0)</f>
        <v>207952</v>
      </c>
      <c r="O333" s="203">
        <f>IF(L333&gt;0,N333*100/L333,0)</f>
        <v>31.60316713</v>
      </c>
      <c r="P333" s="203">
        <f>IF(M333&gt;0,N333*100/M333,0)</f>
        <v>59.22702287</v>
      </c>
    </row>
    <row r="334" ht="21.75" customHeight="1">
      <c r="A334" s="189"/>
      <c r="B334" s="190"/>
      <c r="C334" s="190"/>
      <c r="D334" s="199"/>
      <c r="E334" s="192"/>
      <c r="F334" s="192"/>
      <c r="G334" s="204" t="s">
        <v>43</v>
      </c>
      <c r="H334" s="194" t="s">
        <v>13</v>
      </c>
      <c r="I334" s="195"/>
      <c r="J334" s="195"/>
      <c r="K334" s="196"/>
      <c r="L334" s="201">
        <f>IFERROR(__xludf.DUMMYFUNCTION("IMPORTRANGE(""https://docs.google.com/spreadsheets/d/1Yj_ptqi66GCucihVvJfMjLAmec39IyEx_6qawtMGysU/edit?usp=sharing"",""สบก!DH45"")"),306000.0)</f>
        <v>306000</v>
      </c>
      <c r="M334" s="200"/>
      <c r="N334" s="200"/>
      <c r="O334" s="203"/>
      <c r="P334" s="203"/>
    </row>
    <row r="335" ht="21.75" customHeight="1">
      <c r="A335" s="189"/>
      <c r="B335" s="190"/>
      <c r="C335" s="190"/>
      <c r="D335" s="199"/>
      <c r="E335" s="192"/>
      <c r="F335" s="192"/>
      <c r="G335" s="204" t="s">
        <v>44</v>
      </c>
      <c r="H335" s="194" t="s">
        <v>13</v>
      </c>
      <c r="I335" s="195"/>
      <c r="J335" s="195"/>
      <c r="K335" s="196"/>
      <c r="L335" s="201">
        <f>IFERROR(__xludf.DUMMYFUNCTION("IMPORTRANGE(""https://docs.google.com/spreadsheets/d/1Yj_ptqi66GCucihVvJfMjLAmec39IyEx_6qawtMGysU/edit?usp=sharing"",""สบก!DI45"")"),352010.0)</f>
        <v>352010</v>
      </c>
      <c r="M335" s="200"/>
      <c r="N335" s="200"/>
      <c r="O335" s="203"/>
      <c r="P335" s="203"/>
    </row>
    <row r="336" ht="21.75" customHeight="1">
      <c r="A336" s="205"/>
      <c r="B336" s="104"/>
      <c r="C336" s="105" t="s">
        <v>17</v>
      </c>
      <c r="D336" s="106" t="s">
        <v>24</v>
      </c>
      <c r="E336" s="53"/>
      <c r="F336" s="113"/>
      <c r="G336" s="107" t="s">
        <v>19</v>
      </c>
      <c r="H336" s="206" t="s">
        <v>13</v>
      </c>
      <c r="I336" s="195"/>
      <c r="J336" s="195"/>
      <c r="K336" s="196"/>
      <c r="L336" s="117">
        <v>0.0</v>
      </c>
      <c r="M336" s="117"/>
      <c r="N336" s="62"/>
      <c r="O336" s="117"/>
      <c r="P336" s="117"/>
    </row>
    <row r="337" ht="21.75" customHeight="1">
      <c r="A337" s="207"/>
      <c r="B337" s="119"/>
      <c r="C337" s="119"/>
      <c r="D337" s="208"/>
      <c r="E337" s="120"/>
      <c r="F337" s="120"/>
      <c r="G337" s="121" t="s">
        <v>20</v>
      </c>
      <c r="H337" s="209" t="s">
        <v>13</v>
      </c>
      <c r="I337" s="195"/>
      <c r="J337" s="195"/>
      <c r="K337" s="196"/>
      <c r="L337" s="115">
        <f>IFERROR(__xludf.DUMMYFUNCTION("IMPORTRANGE(""https://docs.google.com/spreadsheets/d/1Yj_ptqi66GCucihVvJfMjLAmec39IyEx_6qawtMGysU/edit?usp=sharing"",""สบก!DJ45"")"),0.0)</f>
        <v>0</v>
      </c>
      <c r="M337" s="125"/>
      <c r="N337" s="115">
        <f>IFERROR(__xludf.DUMMYFUNCTION("IMPORTRANGE(""https://docs.google.com/spreadsheets/d/1Yj_ptqi66GCucihVvJfMjLAmec39IyEx_6qawtMGysU/edit?usp=sharing"",""สบก!DN45"")"),0.0)</f>
        <v>0</v>
      </c>
      <c r="O337" s="125">
        <f>IF(L337&gt;0,N337*100/L337,0)</f>
        <v>0</v>
      </c>
      <c r="P337" s="125"/>
    </row>
    <row r="338" ht="21.75" customHeight="1">
      <c r="A338" s="210"/>
      <c r="B338" s="324"/>
      <c r="C338" s="373" t="s">
        <v>121</v>
      </c>
      <c r="D338" s="230"/>
      <c r="E338" s="230"/>
      <c r="F338" s="230"/>
      <c r="G338" s="231"/>
      <c r="H338" s="215"/>
      <c r="I338" s="374"/>
      <c r="J338" s="374"/>
      <c r="K338" s="375"/>
      <c r="L338" s="216"/>
      <c r="M338" s="216"/>
      <c r="N338" s="216"/>
      <c r="O338" s="376"/>
      <c r="P338" s="376"/>
    </row>
    <row r="339" ht="21.75" customHeight="1">
      <c r="A339" s="210"/>
      <c r="B339" s="324"/>
      <c r="C339" s="211"/>
      <c r="D339" s="230"/>
      <c r="E339" s="229" t="s">
        <v>122</v>
      </c>
      <c r="F339" s="230"/>
      <c r="G339" s="231"/>
      <c r="H339" s="377" t="s">
        <v>38</v>
      </c>
      <c r="I339" s="238">
        <f>IFERROR(__xludf.DUMMYFUNCTION("IMPORTRANGE(""https://docs.google.com/spreadsheets/d/1XL5vhW3sbDhbH9Cz0tuDiY8C3ctxq1tqvaCgkFb8cCA/edit?usp=sharing"",""มหาสารคาม!I234"")"),0.0)</f>
        <v>0</v>
      </c>
      <c r="J339" s="222">
        <f>IFERROR(__xludf.DUMMYFUNCTION("IMPORTRANGE(""https://docs.google.com/spreadsheets/d/1XL5vhW3sbDhbH9Cz0tuDiY8C3ctxq1tqvaCgkFb8cCA/edit?usp=sharing"",""มหาสารคาม!J234"")"),59.0)</f>
        <v>59</v>
      </c>
      <c r="K339" s="375">
        <f t="shared" ref="K339:K346" si="104">IF(I339&gt;0,J339*100/I339,0)</f>
        <v>0</v>
      </c>
      <c r="L339" s="216"/>
      <c r="M339" s="216"/>
      <c r="N339" s="216"/>
      <c r="O339" s="376"/>
      <c r="P339" s="376"/>
    </row>
    <row r="340" ht="21.75" customHeight="1">
      <c r="A340" s="210"/>
      <c r="B340" s="324"/>
      <c r="C340" s="211"/>
      <c r="D340" s="230"/>
      <c r="E340" s="230"/>
      <c r="F340" s="230"/>
      <c r="G340" s="231"/>
      <c r="H340" s="377" t="s">
        <v>123</v>
      </c>
      <c r="I340" s="222">
        <f>IFERROR(__xludf.DUMMYFUNCTION("IMPORTRANGE(""https://docs.google.com/spreadsheets/d/1XL5vhW3sbDhbH9Cz0tuDiY8C3ctxq1tqvaCgkFb8cCA/edit?usp=sharing"",""มหาสารคาม!I235"")"),1350.0)</f>
        <v>1350</v>
      </c>
      <c r="J340" s="222">
        <f>IFERROR(__xludf.DUMMYFUNCTION("IMPORTRANGE(""https://docs.google.com/spreadsheets/d/1XL5vhW3sbDhbH9Cz0tuDiY8C3ctxq1tqvaCgkFb8cCA/edit?usp=sharing"",""มหาสารคาม!J235"")"),476.03)</f>
        <v>476.03</v>
      </c>
      <c r="K340" s="375">
        <f t="shared" si="104"/>
        <v>35.26148148</v>
      </c>
      <c r="L340" s="216"/>
      <c r="M340" s="216"/>
      <c r="N340" s="216"/>
      <c r="O340" s="376"/>
      <c r="P340" s="376"/>
    </row>
    <row r="341" ht="21.75" customHeight="1">
      <c r="A341" s="210"/>
      <c r="B341" s="324"/>
      <c r="C341" s="211"/>
      <c r="D341" s="230"/>
      <c r="E341" s="229" t="s">
        <v>124</v>
      </c>
      <c r="F341" s="230"/>
      <c r="G341" s="231"/>
      <c r="H341" s="215" t="s">
        <v>38</v>
      </c>
      <c r="I341" s="222">
        <f>IFERROR(__xludf.DUMMYFUNCTION("IMPORTRANGE(""https://docs.google.com/spreadsheets/d/1XL5vhW3sbDhbH9Cz0tuDiY8C3ctxq1tqvaCgkFb8cCA/edit?usp=sharing"",""มหาสารคาม!I236"")"),160.0)</f>
        <v>160</v>
      </c>
      <c r="J341" s="222">
        <f>IFERROR(__xludf.DUMMYFUNCTION("IMPORTRANGE(""https://docs.google.com/spreadsheets/d/1XL5vhW3sbDhbH9Cz0tuDiY8C3ctxq1tqvaCgkFb8cCA/edit?usp=sharing"",""มหาสารคาม!J236"")"),40.0)</f>
        <v>40</v>
      </c>
      <c r="K341" s="375">
        <f t="shared" si="104"/>
        <v>25</v>
      </c>
      <c r="L341" s="216"/>
      <c r="M341" s="216"/>
      <c r="N341" s="216"/>
      <c r="O341" s="376"/>
      <c r="P341" s="376"/>
    </row>
    <row r="342" ht="21.75" customHeight="1">
      <c r="A342" s="210"/>
      <c r="B342" s="324"/>
      <c r="C342" s="211"/>
      <c r="D342" s="230"/>
      <c r="E342" s="230"/>
      <c r="F342" s="230"/>
      <c r="G342" s="231"/>
      <c r="H342" s="215" t="s">
        <v>123</v>
      </c>
      <c r="I342" s="378">
        <f>IFERROR(__xludf.DUMMYFUNCTION("IMPORTRANGE(""https://docs.google.com/spreadsheets/d/1XL5vhW3sbDhbH9Cz0tuDiY8C3ctxq1tqvaCgkFb8cCA/edit?usp=sharing"",""มหาสารคาม!I237"")"),0.0)</f>
        <v>0</v>
      </c>
      <c r="J342" s="222">
        <f>IFERROR(__xludf.DUMMYFUNCTION("IMPORTRANGE(""https://docs.google.com/spreadsheets/d/1XL5vhW3sbDhbH9Cz0tuDiY8C3ctxq1tqvaCgkFb8cCA/edit?usp=sharing"",""มหาสารคาม!J237"")"),432.74)</f>
        <v>432.74</v>
      </c>
      <c r="K342" s="375">
        <f t="shared" si="104"/>
        <v>0</v>
      </c>
      <c r="L342" s="216"/>
      <c r="M342" s="216"/>
      <c r="N342" s="216"/>
      <c r="O342" s="376"/>
      <c r="P342" s="376"/>
    </row>
    <row r="343" ht="21.75" customHeight="1">
      <c r="A343" s="210"/>
      <c r="B343" s="324"/>
      <c r="C343" s="211"/>
      <c r="D343" s="230"/>
      <c r="E343" s="229" t="s">
        <v>125</v>
      </c>
      <c r="F343" s="230"/>
      <c r="G343" s="231"/>
      <c r="H343" s="215" t="s">
        <v>38</v>
      </c>
      <c r="I343" s="222">
        <f>IFERROR(__xludf.DUMMYFUNCTION("IMPORTRANGE(""https://docs.google.com/spreadsheets/d/1XL5vhW3sbDhbH9Cz0tuDiY8C3ctxq1tqvaCgkFb8cCA/edit?usp=sharing"",""มหาสารคาม!I238"")"),160.0)</f>
        <v>160</v>
      </c>
      <c r="J343" s="222">
        <f>IFERROR(__xludf.DUMMYFUNCTION("IMPORTRANGE(""https://docs.google.com/spreadsheets/d/1XL5vhW3sbDhbH9Cz0tuDiY8C3ctxq1tqvaCgkFb8cCA/edit?usp=sharing"",""มหาสารคาม!J238"")"),0.0)</f>
        <v>0</v>
      </c>
      <c r="K343" s="375">
        <f t="shared" si="104"/>
        <v>0</v>
      </c>
      <c r="L343" s="216"/>
      <c r="M343" s="216"/>
      <c r="N343" s="216"/>
      <c r="O343" s="376"/>
      <c r="P343" s="376"/>
    </row>
    <row r="344" ht="21.75" customHeight="1">
      <c r="A344" s="210"/>
      <c r="B344" s="324"/>
      <c r="C344" s="211"/>
      <c r="D344" s="230"/>
      <c r="E344" s="230"/>
      <c r="F344" s="230"/>
      <c r="G344" s="231"/>
      <c r="H344" s="215" t="s">
        <v>123</v>
      </c>
      <c r="I344" s="378">
        <f>IFERROR(__xludf.DUMMYFUNCTION("IMPORTRANGE(""https://docs.google.com/spreadsheets/d/1XL5vhW3sbDhbH9Cz0tuDiY8C3ctxq1tqvaCgkFb8cCA/edit?usp=sharing"",""มหาสารคาม!I239"")"),0.0)</f>
        <v>0</v>
      </c>
      <c r="J344" s="222">
        <f>IFERROR(__xludf.DUMMYFUNCTION("IMPORTRANGE(""https://docs.google.com/spreadsheets/d/1XL5vhW3sbDhbH9Cz0tuDiY8C3ctxq1tqvaCgkFb8cCA/edit?usp=sharing"",""มหาสารคาม!J239"")"),0.0)</f>
        <v>0</v>
      </c>
      <c r="K344" s="375">
        <f t="shared" si="104"/>
        <v>0</v>
      </c>
      <c r="L344" s="216"/>
      <c r="M344" s="216"/>
      <c r="N344" s="216"/>
      <c r="O344" s="376"/>
      <c r="P344" s="376"/>
    </row>
    <row r="345" ht="21.75" customHeight="1">
      <c r="A345" s="210"/>
      <c r="B345" s="324"/>
      <c r="C345" s="211"/>
      <c r="D345" s="230"/>
      <c r="E345" s="229" t="s">
        <v>126</v>
      </c>
      <c r="F345" s="230"/>
      <c r="G345" s="231"/>
      <c r="H345" s="215" t="s">
        <v>38</v>
      </c>
      <c r="I345" s="222">
        <f>IFERROR(__xludf.DUMMYFUNCTION("IMPORTRANGE(""https://docs.google.com/spreadsheets/d/1XL5vhW3sbDhbH9Cz0tuDiY8C3ctxq1tqvaCgkFb8cCA/edit?usp=sharing"",""มหาสารคาม!I240"")"),160.0)</f>
        <v>160</v>
      </c>
      <c r="J345" s="222">
        <f>IFERROR(__xludf.DUMMYFUNCTION("IMPORTRANGE(""https://docs.google.com/spreadsheets/d/1XL5vhW3sbDhbH9Cz0tuDiY8C3ctxq1tqvaCgkFb8cCA/edit?usp=sharing"",""มหาสารคาม!J240"")"),38.0)</f>
        <v>38</v>
      </c>
      <c r="K345" s="375">
        <f t="shared" si="104"/>
        <v>23.75</v>
      </c>
      <c r="L345" s="216"/>
      <c r="M345" s="216"/>
      <c r="N345" s="216"/>
      <c r="O345" s="376"/>
      <c r="P345" s="376"/>
    </row>
    <row r="346" ht="21.75" customHeight="1">
      <c r="A346" s="268"/>
      <c r="B346" s="379"/>
      <c r="C346" s="269"/>
      <c r="D346" s="379"/>
      <c r="E346" s="380"/>
      <c r="F346" s="380"/>
      <c r="G346" s="381"/>
      <c r="H346" s="382" t="s">
        <v>123</v>
      </c>
      <c r="I346" s="383">
        <f>IFERROR(__xludf.DUMMYFUNCTION("IMPORTRANGE(""https://docs.google.com/spreadsheets/d/1XL5vhW3sbDhbH9Cz0tuDiY8C3ctxq1tqvaCgkFb8cCA/edit?usp=sharing"",""มหาสารคาม!I241"")"),0.0)</f>
        <v>0</v>
      </c>
      <c r="J346" s="222">
        <f>IFERROR(__xludf.DUMMYFUNCTION("IMPORTRANGE(""https://docs.google.com/spreadsheets/d/1XL5vhW3sbDhbH9Cz0tuDiY8C3ctxq1tqvaCgkFb8cCA/edit?usp=sharing"",""มหาสารคาม!J241"")"),416.69)</f>
        <v>416.69</v>
      </c>
      <c r="K346" s="384">
        <f t="shared" si="104"/>
        <v>0</v>
      </c>
      <c r="L346" s="279"/>
      <c r="M346" s="279"/>
      <c r="N346" s="279"/>
      <c r="O346" s="385"/>
      <c r="P346" s="385"/>
    </row>
    <row r="347" ht="21.75" customHeight="1">
      <c r="A347" s="386" t="s">
        <v>127</v>
      </c>
      <c r="B347" s="387"/>
      <c r="C347" s="387"/>
      <c r="D347" s="387"/>
      <c r="E347" s="387"/>
      <c r="F347" s="387"/>
      <c r="G347" s="388"/>
      <c r="H347" s="389"/>
      <c r="I347" s="390"/>
      <c r="J347" s="390"/>
      <c r="K347" s="391"/>
      <c r="L347" s="391">
        <f>IFERROR(__xludf.DUMMYFUNCTION("IMPORTRANGE(""https://docs.google.com/spreadsheets/d/1XL5vhW3sbDhbH9Cz0tuDiY8C3ctxq1tqvaCgkFb8cCA/edit?usp=sharing"",""มหาสารคาม!L242"")"),2360457.0)</f>
        <v>2360457</v>
      </c>
      <c r="M347" s="391"/>
      <c r="N347" s="391">
        <f>IFERROR(__xludf.DUMMYFUNCTION("IMPORTRANGE(""https://docs.google.com/spreadsheets/d/1XL5vhW3sbDhbH9Cz0tuDiY8C3ctxq1tqvaCgkFb8cCA/edit?usp=sharing"",""มหาสารคาม!M242"")"),149621.61)</f>
        <v>149621.61</v>
      </c>
      <c r="O347" s="391">
        <f>+IF(L347&gt;0,N347*100/L347,0)</f>
        <v>6.338671283</v>
      </c>
      <c r="P347" s="391"/>
    </row>
    <row r="348" ht="21.75" customHeight="1">
      <c r="A348" s="392" t="s">
        <v>128</v>
      </c>
      <c r="B348" s="393"/>
      <c r="C348" s="393"/>
      <c r="D348" s="393"/>
      <c r="E348" s="393"/>
      <c r="F348" s="393"/>
      <c r="G348" s="394"/>
      <c r="H348" s="395"/>
      <c r="I348" s="396"/>
      <c r="J348" s="396"/>
      <c r="K348" s="397"/>
      <c r="L348" s="397"/>
      <c r="M348" s="397"/>
      <c r="N348" s="397"/>
      <c r="O348" s="398"/>
      <c r="P348" s="398"/>
    </row>
    <row r="349" ht="21.75" customHeight="1">
      <c r="A349" s="399"/>
      <c r="B349" s="400">
        <v>1.0</v>
      </c>
      <c r="C349" s="401" t="s">
        <v>129</v>
      </c>
      <c r="D349" s="401"/>
      <c r="E349" s="401"/>
      <c r="F349" s="401"/>
      <c r="G349" s="402"/>
      <c r="H349" s="403" t="s">
        <v>123</v>
      </c>
      <c r="I349" s="404">
        <f>IFERROR(__xludf.DUMMYFUNCTION("IMPORTRANGE(""https://docs.google.com/spreadsheets/d/1XL5vhW3sbDhbH9Cz0tuDiY8C3ctxq1tqvaCgkFb8cCA/edit?usp=sharing"",""มหาสารคาม!I244"")"),300.0)</f>
        <v>300</v>
      </c>
      <c r="J349" s="404">
        <f>IFERROR(__xludf.DUMMYFUNCTION("IMPORTRANGE(""https://docs.google.com/spreadsheets/d/1XL5vhW3sbDhbH9Cz0tuDiY8C3ctxq1tqvaCgkFb8cCA/edit?usp=sharing"",""มหาสารคาม!J244"")"),0.0)</f>
        <v>0</v>
      </c>
      <c r="K349" s="405">
        <f t="shared" ref="K349:K350" si="105">IF(I349&gt;0,J349*100/I349,0)</f>
        <v>0</v>
      </c>
      <c r="L349" s="406">
        <f>IFERROR(__xludf.DUMMYFUNCTION("IMPORTRANGE(""https://docs.google.com/spreadsheets/d/1XL5vhW3sbDhbH9Cz0tuDiY8C3ctxq1tqvaCgkFb8cCA/edit?usp=sharing"",""มหาสารคาม!L244"")"),616300.0)</f>
        <v>616300</v>
      </c>
      <c r="M349" s="406"/>
      <c r="N349" s="406">
        <f>IFERROR(__xludf.DUMMYFUNCTION("IMPORTRANGE(""https://docs.google.com/spreadsheets/d/1XL5vhW3sbDhbH9Cz0tuDiY8C3ctxq1tqvaCgkFb8cCA/edit?usp=sharing"",""มหาสารคาม!M244"")"),69025.48)</f>
        <v>69025.48</v>
      </c>
      <c r="O349" s="406">
        <f>+IF(L349&gt;0,N349*100/L349,0)</f>
        <v>11.19998053</v>
      </c>
      <c r="P349" s="406"/>
    </row>
    <row r="350" ht="21.75" customHeight="1">
      <c r="A350" s="399"/>
      <c r="B350" s="400"/>
      <c r="C350" s="401"/>
      <c r="D350" s="401"/>
      <c r="E350" s="401"/>
      <c r="F350" s="401"/>
      <c r="G350" s="402"/>
      <c r="H350" s="403" t="s">
        <v>38</v>
      </c>
      <c r="I350" s="404">
        <f>IFERROR(__xludf.DUMMYFUNCTION("IMPORTRANGE(""https://docs.google.com/spreadsheets/d/1XL5vhW3sbDhbH9Cz0tuDiY8C3ctxq1tqvaCgkFb8cCA/edit?usp=sharing"",""มหาสารคาม!I245"")"),140.0)</f>
        <v>140</v>
      </c>
      <c r="J350" s="404">
        <f>IFERROR(__xludf.DUMMYFUNCTION("IMPORTRANGE(""https://docs.google.com/spreadsheets/d/1XL5vhW3sbDhbH9Cz0tuDiY8C3ctxq1tqvaCgkFb8cCA/edit?usp=sharing"",""มหาสารคาม!J245"")"),0.0)</f>
        <v>0</v>
      </c>
      <c r="K350" s="405">
        <f t="shared" si="105"/>
        <v>0</v>
      </c>
      <c r="L350" s="406"/>
      <c r="M350" s="406"/>
      <c r="N350" s="406"/>
      <c r="O350" s="406"/>
      <c r="P350" s="406"/>
    </row>
    <row r="351" ht="21.75" customHeight="1">
      <c r="A351" s="189"/>
      <c r="B351" s="190"/>
      <c r="C351" s="190" t="s">
        <v>17</v>
      </c>
      <c r="D351" s="191" t="s">
        <v>39</v>
      </c>
      <c r="E351" s="192"/>
      <c r="F351" s="192"/>
      <c r="G351" s="193" t="s">
        <v>40</v>
      </c>
      <c r="H351" s="194" t="s">
        <v>13</v>
      </c>
      <c r="I351" s="195" t="s">
        <v>41</v>
      </c>
      <c r="J351" s="195"/>
      <c r="K351" s="196"/>
      <c r="L351" s="197">
        <f>IFERROR(__xludf.DUMMYFUNCTION("IMPORTRANGE(""https://docs.google.com/spreadsheets/d/1XL5vhW3sbDhbH9Cz0tuDiY8C3ctxq1tqvaCgkFb8cCA/edit?usp=sharing"",""มหาสารคาม!L246"")"),0.0)</f>
        <v>0</v>
      </c>
      <c r="M351" s="197"/>
      <c r="N351" s="197">
        <f>IFERROR(__xludf.DUMMYFUNCTION("IMPORTRANGE(""https://docs.google.com/spreadsheets/d/1XL5vhW3sbDhbH9Cz0tuDiY8C3ctxq1tqvaCgkFb8cCA/edit?usp=sharing"",""มหาสารคาม!M246"")"),0.0)</f>
        <v>0</v>
      </c>
      <c r="O351" s="198">
        <f t="shared" ref="O351:O354" si="106">+IF(L351&gt;0,N351*100/L351,0)</f>
        <v>0</v>
      </c>
      <c r="P351" s="198"/>
    </row>
    <row r="352" ht="21.75" customHeight="1">
      <c r="A352" s="189"/>
      <c r="B352" s="190"/>
      <c r="C352" s="190"/>
      <c r="D352" s="199"/>
      <c r="E352" s="192"/>
      <c r="F352" s="192" t="s">
        <v>41</v>
      </c>
      <c r="G352" s="193" t="s">
        <v>42</v>
      </c>
      <c r="H352" s="194" t="s">
        <v>13</v>
      </c>
      <c r="I352" s="195"/>
      <c r="J352" s="195"/>
      <c r="K352" s="196"/>
      <c r="L352" s="198">
        <f>IFERROR(__xludf.DUMMYFUNCTION("IMPORTRANGE(""https://docs.google.com/spreadsheets/d/1XL5vhW3sbDhbH9Cz0tuDiY8C3ctxq1tqvaCgkFb8cCA/edit?usp=sharing"",""มหาสารคาม!L247"")"),616300.0)</f>
        <v>616300</v>
      </c>
      <c r="M352" s="198"/>
      <c r="N352" s="197">
        <f>IFERROR(__xludf.DUMMYFUNCTION("IMPORTRANGE(""https://docs.google.com/spreadsheets/d/1XL5vhW3sbDhbH9Cz0tuDiY8C3ctxq1tqvaCgkFb8cCA/edit?usp=sharing"",""มหาสารคาม!M247"")"),69025.48)</f>
        <v>69025.48</v>
      </c>
      <c r="O352" s="198">
        <f t="shared" si="106"/>
        <v>11.19998053</v>
      </c>
      <c r="P352" s="198"/>
    </row>
    <row r="353" ht="21.75" customHeight="1">
      <c r="A353" s="189"/>
      <c r="B353" s="190"/>
      <c r="C353" s="190"/>
      <c r="D353" s="199"/>
      <c r="E353" s="192"/>
      <c r="F353" s="192"/>
      <c r="G353" s="407" t="s">
        <v>130</v>
      </c>
      <c r="H353" s="194" t="s">
        <v>13</v>
      </c>
      <c r="I353" s="195"/>
      <c r="J353" s="195"/>
      <c r="K353" s="196"/>
      <c r="L353" s="203">
        <f>IFERROR(__xludf.DUMMYFUNCTION("IMPORTRANGE(""https://docs.google.com/spreadsheets/d/1XL5vhW3sbDhbH9Cz0tuDiY8C3ctxq1tqvaCgkFb8cCA/edit?usp=sharing"",""มหาสารคาม!L248"")"),0.0)</f>
        <v>0</v>
      </c>
      <c r="M353" s="203"/>
      <c r="N353" s="203">
        <f>IFERROR(__xludf.DUMMYFUNCTION("IMPORTRANGE(""https://docs.google.com/spreadsheets/d/1XL5vhW3sbDhbH9Cz0tuDiY8C3ctxq1tqvaCgkFb8cCA/edit?usp=sharing"",""มหาสารคาม!M248"")"),0.0)</f>
        <v>0</v>
      </c>
      <c r="O353" s="203">
        <f t="shared" si="106"/>
        <v>0</v>
      </c>
      <c r="P353" s="203"/>
    </row>
    <row r="354" ht="21.75" customHeight="1">
      <c r="A354" s="189"/>
      <c r="B354" s="190"/>
      <c r="C354" s="190"/>
      <c r="D354" s="199"/>
      <c r="E354" s="192"/>
      <c r="F354" s="192"/>
      <c r="G354" s="407" t="s">
        <v>131</v>
      </c>
      <c r="H354" s="194" t="s">
        <v>13</v>
      </c>
      <c r="I354" s="195"/>
      <c r="J354" s="195"/>
      <c r="K354" s="196"/>
      <c r="L354" s="203">
        <f>IFERROR(__xludf.DUMMYFUNCTION("IMPORTRANGE(""https://docs.google.com/spreadsheets/d/1XL5vhW3sbDhbH9Cz0tuDiY8C3ctxq1tqvaCgkFb8cCA/edit?usp=sharing"",""มหาสารคาม!L249"")"),616300.0)</f>
        <v>616300</v>
      </c>
      <c r="M354" s="203"/>
      <c r="N354" s="200">
        <f>IFERROR(__xludf.DUMMYFUNCTION("IMPORTRANGE(""https://docs.google.com/spreadsheets/d/1XL5vhW3sbDhbH9Cz0tuDiY8C3ctxq1tqvaCgkFb8cCA/edit?usp=sharing"",""มหาสารคาม!M249"")"),69025.48)</f>
        <v>69025.48</v>
      </c>
      <c r="O354" s="203">
        <f t="shared" si="106"/>
        <v>11.19998053</v>
      </c>
      <c r="P354" s="203"/>
    </row>
    <row r="355" ht="21.75" customHeight="1">
      <c r="A355" s="408"/>
      <c r="B355" s="409"/>
      <c r="C355" s="190"/>
      <c r="D355" s="410"/>
      <c r="E355" s="192"/>
      <c r="F355" s="192"/>
      <c r="G355" s="411" t="s">
        <v>132</v>
      </c>
      <c r="H355" s="194" t="s">
        <v>13</v>
      </c>
      <c r="I355" s="222"/>
      <c r="J355" s="222"/>
      <c r="K355" s="258"/>
      <c r="L355" s="203"/>
      <c r="M355" s="203"/>
      <c r="N355" s="412">
        <f>IFERROR(__xludf.DUMMYFUNCTION("IMPORTRANGE(""https://docs.google.com/spreadsheets/d/1XL5vhW3sbDhbH9Cz0tuDiY8C3ctxq1tqvaCgkFb8cCA/edit?usp=sharing"",""มหาสารคาม!M250"")"),37090.0)</f>
        <v>37090</v>
      </c>
      <c r="O355" s="203"/>
      <c r="P355" s="203"/>
    </row>
    <row r="356" ht="21.75" customHeight="1">
      <c r="A356" s="408"/>
      <c r="B356" s="409"/>
      <c r="C356" s="190"/>
      <c r="D356" s="410"/>
      <c r="E356" s="192"/>
      <c r="F356" s="192"/>
      <c r="G356" s="411" t="s">
        <v>133</v>
      </c>
      <c r="H356" s="194" t="s">
        <v>13</v>
      </c>
      <c r="I356" s="222"/>
      <c r="J356" s="222"/>
      <c r="K356" s="258"/>
      <c r="L356" s="203"/>
      <c r="M356" s="203"/>
      <c r="N356" s="412">
        <f>IFERROR(__xludf.DUMMYFUNCTION("IMPORTRANGE(""https://docs.google.com/spreadsheets/d/1XL5vhW3sbDhbH9Cz0tuDiY8C3ctxq1tqvaCgkFb8cCA/edit?usp=sharing"",""มหาสารคาม!M251"")"),0.0)</f>
        <v>0</v>
      </c>
      <c r="O356" s="203"/>
      <c r="P356" s="203"/>
    </row>
    <row r="357" ht="21.75" customHeight="1">
      <c r="A357" s="408"/>
      <c r="B357" s="409"/>
      <c r="C357" s="190"/>
      <c r="D357" s="410"/>
      <c r="E357" s="192"/>
      <c r="F357" s="192"/>
      <c r="G357" s="411" t="s">
        <v>134</v>
      </c>
      <c r="H357" s="194" t="s">
        <v>13</v>
      </c>
      <c r="I357" s="222"/>
      <c r="J357" s="222"/>
      <c r="K357" s="258"/>
      <c r="L357" s="203"/>
      <c r="M357" s="203"/>
      <c r="N357" s="412">
        <f>IFERROR(__xludf.DUMMYFUNCTION("IMPORTRANGE(""https://docs.google.com/spreadsheets/d/1XL5vhW3sbDhbH9Cz0tuDiY8C3ctxq1tqvaCgkFb8cCA/edit?usp=sharing"",""มหาสารคาม!M252"")"),31935.48)</f>
        <v>31935.48</v>
      </c>
      <c r="O357" s="203"/>
      <c r="P357" s="203"/>
    </row>
    <row r="358" ht="21.75" customHeight="1">
      <c r="A358" s="408"/>
      <c r="B358" s="409"/>
      <c r="C358" s="190"/>
      <c r="D358" s="410"/>
      <c r="E358" s="192"/>
      <c r="F358" s="192"/>
      <c r="G358" s="411" t="s">
        <v>135</v>
      </c>
      <c r="H358" s="194" t="s">
        <v>13</v>
      </c>
      <c r="I358" s="222"/>
      <c r="J358" s="222"/>
      <c r="K358" s="258"/>
      <c r="L358" s="203"/>
      <c r="M358" s="203"/>
      <c r="N358" s="412">
        <f>IFERROR(__xludf.DUMMYFUNCTION("IMPORTRANGE(""https://docs.google.com/spreadsheets/d/1XL5vhW3sbDhbH9Cz0tuDiY8C3ctxq1tqvaCgkFb8cCA/edit?usp=sharing"",""มหาสารคาม!M253"")"),0.0)</f>
        <v>0</v>
      </c>
      <c r="O358" s="203"/>
      <c r="P358" s="203"/>
    </row>
    <row r="359" ht="21.75" customHeight="1">
      <c r="A359" s="210"/>
      <c r="B359" s="211"/>
      <c r="C359" s="190" t="s">
        <v>17</v>
      </c>
      <c r="D359" s="212" t="s">
        <v>45</v>
      </c>
      <c r="E359" s="213"/>
      <c r="F359" s="213"/>
      <c r="G359" s="214"/>
      <c r="H359" s="215"/>
      <c r="I359" s="195"/>
      <c r="J359" s="195"/>
      <c r="K359" s="196"/>
      <c r="L359" s="216"/>
      <c r="M359" s="216"/>
      <c r="N359" s="216"/>
      <c r="O359" s="216"/>
      <c r="P359" s="216"/>
    </row>
    <row r="360" ht="21.75" customHeight="1">
      <c r="A360" s="210"/>
      <c r="B360" s="211"/>
      <c r="C360" s="211"/>
      <c r="D360" s="217">
        <v>1.0</v>
      </c>
      <c r="E360" s="218" t="s">
        <v>46</v>
      </c>
      <c r="F360" s="219"/>
      <c r="G360" s="220"/>
      <c r="H360" s="221"/>
      <c r="I360" s="222"/>
      <c r="J360" s="232">
        <f>IFERROR(__xludf.DUMMYFUNCTION("IMPORTRANGE(""https://docs.google.com/spreadsheets/d/1XL5vhW3sbDhbH9Cz0tuDiY8C3ctxq1tqvaCgkFb8cCA/edit?usp=sharing"",""มหาสารคาม!J255"")"),0.0)</f>
        <v>0</v>
      </c>
      <c r="K360" s="196"/>
      <c r="L360" s="216"/>
      <c r="M360" s="216"/>
      <c r="N360" s="216"/>
      <c r="O360" s="216"/>
      <c r="P360" s="216"/>
    </row>
    <row r="361" ht="21.75" customHeight="1">
      <c r="A361" s="210"/>
      <c r="B361" s="211"/>
      <c r="C361" s="211"/>
      <c r="D361" s="224">
        <v>2.0</v>
      </c>
      <c r="E361" s="225" t="s">
        <v>47</v>
      </c>
      <c r="F361" s="226"/>
      <c r="G361" s="227"/>
      <c r="H361" s="221"/>
      <c r="I361" s="222"/>
      <c r="J361" s="223">
        <f>IFERROR(__xludf.DUMMYFUNCTION("IMPORTRANGE(""https://docs.google.com/spreadsheets/d/1XL5vhW3sbDhbH9Cz0tuDiY8C3ctxq1tqvaCgkFb8cCA/edit?usp=sharing"",""มหาสารคาม!J256"")"),1.0)</f>
        <v>1</v>
      </c>
      <c r="K361" s="196"/>
      <c r="L361" s="216" t="s">
        <v>41</v>
      </c>
      <c r="M361" s="216"/>
      <c r="N361" s="216" t="s">
        <v>41</v>
      </c>
      <c r="O361" s="216"/>
      <c r="P361" s="216"/>
    </row>
    <row r="362" ht="21.75" customHeight="1">
      <c r="A362" s="210"/>
      <c r="B362" s="211"/>
      <c r="C362" s="211"/>
      <c r="D362" s="228"/>
      <c r="E362" s="229" t="s">
        <v>48</v>
      </c>
      <c r="F362" s="230"/>
      <c r="G362" s="231"/>
      <c r="H362" s="221"/>
      <c r="I362" s="222"/>
      <c r="J362" s="223">
        <f>IFERROR(__xludf.DUMMYFUNCTION("IMPORTRANGE(""https://docs.google.com/spreadsheets/d/1XL5vhW3sbDhbH9Cz0tuDiY8C3ctxq1tqvaCgkFb8cCA/edit?usp=sharing"",""มหาสารคาม!J257"")"),1.0)</f>
        <v>1</v>
      </c>
      <c r="K362" s="196"/>
      <c r="L362" s="216"/>
      <c r="M362" s="216"/>
      <c r="N362" s="216"/>
      <c r="O362" s="216"/>
      <c r="P362" s="216"/>
    </row>
    <row r="363" ht="21.75" customHeight="1">
      <c r="A363" s="210"/>
      <c r="B363" s="211"/>
      <c r="C363" s="211"/>
      <c r="D363" s="228"/>
      <c r="E363" s="229" t="s">
        <v>49</v>
      </c>
      <c r="F363" s="230"/>
      <c r="G363" s="231"/>
      <c r="H363" s="221"/>
      <c r="I363" s="222"/>
      <c r="J363" s="232">
        <f>IFERROR(__xludf.DUMMYFUNCTION("IMPORTRANGE(""https://docs.google.com/spreadsheets/d/1XL5vhW3sbDhbH9Cz0tuDiY8C3ctxq1tqvaCgkFb8cCA/edit?usp=sharing"",""มหาสารคาม!J258"")"),1.0)</f>
        <v>1</v>
      </c>
      <c r="K363" s="196"/>
      <c r="L363" s="216"/>
      <c r="M363" s="216"/>
      <c r="N363" s="216"/>
      <c r="O363" s="216"/>
      <c r="P363" s="216"/>
    </row>
    <row r="364" ht="21.75" hidden="1" customHeight="1">
      <c r="A364" s="210"/>
      <c r="B364" s="211"/>
      <c r="C364" s="211"/>
      <c r="D364" s="228"/>
      <c r="E364" s="233"/>
      <c r="F364" s="229" t="s">
        <v>71</v>
      </c>
      <c r="G364" s="231"/>
      <c r="H364" s="215"/>
      <c r="I364" s="222"/>
      <c r="J364" s="222">
        <f>IFERROR(__xludf.DUMMYFUNCTION("IMPORTRANGE(""https://docs.google.com/spreadsheets/d/1XL5vhW3sbDhbH9Cz0tuDiY8C3ctxq1tqvaCgkFb8cCA/edit?usp=sharing"",""มหาสารคาม!J166"")"),0.0)</f>
        <v>0</v>
      </c>
      <c r="K364" s="196"/>
      <c r="L364" s="216"/>
      <c r="M364" s="216"/>
      <c r="N364" s="216"/>
      <c r="O364" s="216"/>
      <c r="P364" s="216"/>
    </row>
    <row r="365" ht="21.75" hidden="1" customHeight="1">
      <c r="A365" s="210"/>
      <c r="B365" s="211"/>
      <c r="C365" s="211"/>
      <c r="D365" s="228"/>
      <c r="E365" s="233"/>
      <c r="F365" s="230"/>
      <c r="G365" s="260" t="s">
        <v>136</v>
      </c>
      <c r="H365" s="215" t="s">
        <v>38</v>
      </c>
      <c r="I365" s="222">
        <f>IFERROR(__xludf.DUMMYFUNCTION("IMPORTRANGE(""https://docs.google.com/spreadsheets/d/1C3CXT74ZlgGe6_JY_1olB1XN4rF0dxEuIIF-xsYjHgg/edit?usp=sharing"",""งบกองทุน!f63"")"),0.0)</f>
        <v>0</v>
      </c>
      <c r="J365" s="222">
        <f>IFERROR(__xludf.DUMMYFUNCTION("IMPORTRANGE(""https://docs.google.com/spreadsheets/d/1XL5vhW3sbDhbH9Cz0tuDiY8C3ctxq1tqvaCgkFb8cCA/edit?usp=sharing"",""มหาสารคาม!J166"")"),0.0)</f>
        <v>0</v>
      </c>
      <c r="K365" s="196">
        <f>IF(I365&gt;0,J365*100/I365,0)</f>
        <v>0</v>
      </c>
      <c r="L365" s="216"/>
      <c r="M365" s="216"/>
      <c r="N365" s="216"/>
      <c r="O365" s="216"/>
      <c r="P365" s="216"/>
    </row>
    <row r="366" ht="21.75" hidden="1" customHeight="1">
      <c r="A366" s="210"/>
      <c r="B366" s="211"/>
      <c r="C366" s="211"/>
      <c r="D366" s="228"/>
      <c r="E366" s="233"/>
      <c r="F366" s="230"/>
      <c r="G366" s="231" t="s">
        <v>137</v>
      </c>
      <c r="H366" s="215"/>
      <c r="I366" s="195"/>
      <c r="J366" s="222">
        <f>IFERROR(__xludf.DUMMYFUNCTION("IMPORTRANGE(""https://docs.google.com/spreadsheets/d/1XL5vhW3sbDhbH9Cz0tuDiY8C3ctxq1tqvaCgkFb8cCA/edit?usp=sharing"",""มหาสารคาม!J166"")"),0.0)</f>
        <v>0</v>
      </c>
      <c r="K366" s="196"/>
      <c r="L366" s="216"/>
      <c r="M366" s="216"/>
      <c r="N366" s="216"/>
      <c r="O366" s="216"/>
      <c r="P366" s="216"/>
    </row>
    <row r="367" ht="21.75" hidden="1" customHeight="1">
      <c r="A367" s="210"/>
      <c r="B367" s="211"/>
      <c r="C367" s="211"/>
      <c r="D367" s="228"/>
      <c r="E367" s="233"/>
      <c r="F367" s="230"/>
      <c r="G367" s="260" t="s">
        <v>138</v>
      </c>
      <c r="H367" s="221" t="s">
        <v>123</v>
      </c>
      <c r="I367" s="222">
        <f>SUM(I369,I371)</f>
        <v>0</v>
      </c>
      <c r="J367" s="222">
        <f>IFERROR(__xludf.DUMMYFUNCTION("IMPORTRANGE(""https://docs.google.com/spreadsheets/d/1XL5vhW3sbDhbH9Cz0tuDiY8C3ctxq1tqvaCgkFb8cCA/edit?usp=sharing"",""มหาสารคาม!J166"")"),0.0)</f>
        <v>0</v>
      </c>
      <c r="K367" s="196">
        <f t="shared" ref="K367:K373" si="107">IF(I367&gt;0,J367*100/I367,0)</f>
        <v>0</v>
      </c>
      <c r="L367" s="216"/>
      <c r="M367" s="216"/>
      <c r="N367" s="216"/>
      <c r="O367" s="216"/>
      <c r="P367" s="216"/>
    </row>
    <row r="368" ht="21.75" customHeight="1">
      <c r="A368" s="210"/>
      <c r="B368" s="211"/>
      <c r="C368" s="211"/>
      <c r="D368" s="228"/>
      <c r="E368" s="233"/>
      <c r="F368" s="413" t="s">
        <v>139</v>
      </c>
      <c r="G368" s="414"/>
      <c r="H368" s="221" t="s">
        <v>38</v>
      </c>
      <c r="I368" s="195">
        <f>IFERROR(__xludf.DUMMYFUNCTION("IMPORTRANGE(""https://docs.google.com/spreadsheets/d/1XL5vhW3sbDhbH9Cz0tuDiY8C3ctxq1tqvaCgkFb8cCA/edit?usp=sharing"",""มหาสารคาม!I263"")"),140.0)</f>
        <v>140</v>
      </c>
      <c r="J368" s="222">
        <f>IFERROR(__xludf.DUMMYFUNCTION("IMPORTRANGE(""https://docs.google.com/spreadsheets/d/1XL5vhW3sbDhbH9Cz0tuDiY8C3ctxq1tqvaCgkFb8cCA/edit?usp=sharing"",""มหาสารคาม!J263"")"),0.0)</f>
        <v>0</v>
      </c>
      <c r="K368" s="196">
        <f t="shared" si="107"/>
        <v>0</v>
      </c>
      <c r="L368" s="216"/>
      <c r="M368" s="216"/>
      <c r="N368" s="216"/>
      <c r="O368" s="216"/>
      <c r="P368" s="216"/>
    </row>
    <row r="369" ht="21.75" hidden="1" customHeight="1">
      <c r="A369" s="210"/>
      <c r="B369" s="211"/>
      <c r="C369" s="211"/>
      <c r="D369" s="228"/>
      <c r="E369" s="233"/>
      <c r="F369" s="230"/>
      <c r="G369" s="414"/>
      <c r="H369" s="215" t="s">
        <v>123</v>
      </c>
      <c r="I369" s="195">
        <f>IFERROR(__xludf.DUMMYFUNCTION("IMPORTRANGE(""https://docs.google.com/spreadsheets/d/1XL5vhW3sbDhbH9Cz0tuDiY8C3ctxq1tqvaCgkFb8cCA/edit?usp=sharing"",""มหาสารคาม!I164"")"),0.0)</f>
        <v>0</v>
      </c>
      <c r="J369" s="238">
        <f>IFERROR(__xludf.DUMMYFUNCTION("IMPORTRANGE(""https://docs.google.com/spreadsheets/d/1XL5vhW3sbDhbH9Cz0tuDiY8C3ctxq1tqvaCgkFb8cCA/edit?usp=sharing"",""มหาสารคาม!J164"")"),0.0)</f>
        <v>0</v>
      </c>
      <c r="K369" s="196">
        <f t="shared" si="107"/>
        <v>0</v>
      </c>
      <c r="L369" s="216"/>
      <c r="M369" s="216"/>
      <c r="N369" s="216"/>
      <c r="O369" s="216"/>
      <c r="P369" s="216"/>
    </row>
    <row r="370" ht="21.75" customHeight="1">
      <c r="A370" s="210"/>
      <c r="B370" s="211"/>
      <c r="C370" s="211"/>
      <c r="D370" s="228"/>
      <c r="E370" s="233"/>
      <c r="F370" s="230"/>
      <c r="G370" s="413" t="s">
        <v>140</v>
      </c>
      <c r="H370" s="215" t="s">
        <v>38</v>
      </c>
      <c r="I370" s="195">
        <f>IFERROR(__xludf.DUMMYFUNCTION("IMPORTRANGE(""https://docs.google.com/spreadsheets/d/1XL5vhW3sbDhbH9Cz0tuDiY8C3ctxq1tqvaCgkFb8cCA/edit?usp=sharing"",""มหาสารคาม!I265"")"),140.0)</f>
        <v>140</v>
      </c>
      <c r="J370" s="238">
        <f>IFERROR(__xludf.DUMMYFUNCTION("IMPORTRANGE(""https://docs.google.com/spreadsheets/d/1XL5vhW3sbDhbH9Cz0tuDiY8C3ctxq1tqvaCgkFb8cCA/edit?usp=sharing"",""มหาสารคาม!J265"")"),115.0)</f>
        <v>115</v>
      </c>
      <c r="K370" s="196">
        <f t="shared" si="107"/>
        <v>82.14285714</v>
      </c>
      <c r="L370" s="216"/>
      <c r="M370" s="216"/>
      <c r="N370" s="216"/>
      <c r="O370" s="216"/>
      <c r="P370" s="216"/>
    </row>
    <row r="371" ht="21.75" hidden="1" customHeight="1">
      <c r="A371" s="210"/>
      <c r="B371" s="211"/>
      <c r="C371" s="211"/>
      <c r="D371" s="228"/>
      <c r="E371" s="233"/>
      <c r="F371" s="230"/>
      <c r="G371" s="414"/>
      <c r="H371" s="215" t="s">
        <v>123</v>
      </c>
      <c r="I371" s="195">
        <f>IFERROR(__xludf.DUMMYFUNCTION("IMPORTRANGE(""https://docs.google.com/spreadsheets/d/1XL5vhW3sbDhbH9Cz0tuDiY8C3ctxq1tqvaCgkFb8cCA/edit?usp=sharing"",""มหาสารคาม!I164"")"),0.0)</f>
        <v>0</v>
      </c>
      <c r="J371" s="223">
        <f>IFERROR(__xludf.DUMMYFUNCTION("IMPORTRANGE(""https://docs.google.com/spreadsheets/d/1XL5vhW3sbDhbH9Cz0tuDiY8C3ctxq1tqvaCgkFb8cCA/edit?usp=sharing"",""มหาสารคาม!J164"")"),0.0)</f>
        <v>0</v>
      </c>
      <c r="K371" s="196">
        <f t="shared" si="107"/>
        <v>0</v>
      </c>
      <c r="L371" s="216"/>
      <c r="M371" s="216"/>
      <c r="N371" s="216"/>
      <c r="O371" s="216"/>
      <c r="P371" s="216"/>
    </row>
    <row r="372" ht="21.75" customHeight="1">
      <c r="A372" s="210"/>
      <c r="B372" s="211"/>
      <c r="C372" s="211"/>
      <c r="D372" s="228"/>
      <c r="E372" s="233"/>
      <c r="F372" s="230"/>
      <c r="G372" s="413" t="s">
        <v>141</v>
      </c>
      <c r="H372" s="215" t="s">
        <v>38</v>
      </c>
      <c r="I372" s="195">
        <f>IFERROR(__xludf.DUMMYFUNCTION("IMPORTRANGE(""https://docs.google.com/spreadsheets/d/1XL5vhW3sbDhbH9Cz0tuDiY8C3ctxq1tqvaCgkFb8cCA/edit?usp=sharing"",""มหาสารคาม!I267"")"),140.0)</f>
        <v>140</v>
      </c>
      <c r="J372" s="223">
        <f>IFERROR(__xludf.DUMMYFUNCTION("IMPORTRANGE(""https://docs.google.com/spreadsheets/d/1XL5vhW3sbDhbH9Cz0tuDiY8C3ctxq1tqvaCgkFb8cCA/edit?usp=sharing"",""มหาสารคาม!J267"")"),0.0)</f>
        <v>0</v>
      </c>
      <c r="K372" s="196">
        <f t="shared" si="107"/>
        <v>0</v>
      </c>
      <c r="L372" s="216"/>
      <c r="M372" s="216"/>
      <c r="N372" s="216"/>
      <c r="O372" s="216"/>
      <c r="P372" s="216"/>
    </row>
    <row r="373" ht="21.75" hidden="1" customHeight="1">
      <c r="A373" s="210"/>
      <c r="B373" s="211"/>
      <c r="C373" s="211"/>
      <c r="D373" s="228"/>
      <c r="E373" s="233"/>
      <c r="F373" s="230"/>
      <c r="G373" s="260" t="s">
        <v>142</v>
      </c>
      <c r="H373" s="215" t="s">
        <v>38</v>
      </c>
      <c r="I373" s="222">
        <f>IFERROR(__xludf.DUMMYFUNCTION("IMPORTRANGE(""https://docs.google.com/spreadsheets/d/1XL5vhW3sbDhbH9Cz0tuDiY8C3ctxq1tqvaCgkFb8cCA/edit?usp=sharing"",""มหาสารคาม!I164"")"),0.0)</f>
        <v>0</v>
      </c>
      <c r="J373" s="238">
        <f>IFERROR(__xludf.DUMMYFUNCTION("IMPORTRANGE(""https://docs.google.com/spreadsheets/d/1XL5vhW3sbDhbH9Cz0tuDiY8C3ctxq1tqvaCgkFb8cCA/edit?usp=sharing"",""มหาสารคาม!J164"")"),0.0)</f>
        <v>0</v>
      </c>
      <c r="K373" s="196">
        <f t="shared" si="107"/>
        <v>0</v>
      </c>
      <c r="L373" s="216"/>
      <c r="M373" s="216"/>
      <c r="N373" s="216"/>
      <c r="O373" s="216"/>
      <c r="P373" s="216"/>
    </row>
    <row r="374" ht="21.75" hidden="1" customHeight="1">
      <c r="A374" s="210"/>
      <c r="B374" s="211"/>
      <c r="C374" s="211"/>
      <c r="D374" s="228"/>
      <c r="E374" s="233"/>
      <c r="F374" s="230"/>
      <c r="G374" s="231" t="s">
        <v>143</v>
      </c>
      <c r="H374" s="215"/>
      <c r="I374" s="222">
        <f>IFERROR(__xludf.DUMMYFUNCTION("IMPORTRANGE(""https://docs.google.com/spreadsheets/d/1XL5vhW3sbDhbH9Cz0tuDiY8C3ctxq1tqvaCgkFb8cCA/edit?usp=sharing"",""มหาสารคาม!I164"")"),0.0)</f>
        <v>0</v>
      </c>
      <c r="J374" s="222">
        <f>IFERROR(__xludf.DUMMYFUNCTION("IMPORTRANGE(""https://docs.google.com/spreadsheets/d/1XL5vhW3sbDhbH9Cz0tuDiY8C3ctxq1tqvaCgkFb8cCA/edit?usp=sharing"",""มหาสารคาม!J164"")"),0.0)</f>
        <v>0</v>
      </c>
      <c r="K374" s="196"/>
      <c r="L374" s="216"/>
      <c r="M374" s="216"/>
      <c r="N374" s="216"/>
      <c r="O374" s="216"/>
      <c r="P374" s="216"/>
    </row>
    <row r="375" ht="21.75" customHeight="1">
      <c r="A375" s="210"/>
      <c r="B375" s="211"/>
      <c r="C375" s="211"/>
      <c r="D375" s="228"/>
      <c r="E375" s="230"/>
      <c r="F375" s="239" t="s">
        <v>54</v>
      </c>
      <c r="G375" s="231"/>
      <c r="H375" s="313" t="s">
        <v>123</v>
      </c>
      <c r="I375" s="222">
        <f>IFERROR(__xludf.DUMMYFUNCTION("IMPORTRANGE(""https://docs.google.com/spreadsheets/d/1XL5vhW3sbDhbH9Cz0tuDiY8C3ctxq1tqvaCgkFb8cCA/edit?usp=sharing"",""มหาสารคาม!I270"")"),300.0)</f>
        <v>300</v>
      </c>
      <c r="J375" s="222">
        <f>IFERROR(__xludf.DUMMYFUNCTION("IMPORTRANGE(""https://docs.google.com/spreadsheets/d/1XL5vhW3sbDhbH9Cz0tuDiY8C3ctxq1tqvaCgkFb8cCA/edit?usp=sharing"",""มหาสารคาม!J270"")"),0.0)</f>
        <v>0</v>
      </c>
      <c r="K375" s="196">
        <f t="shared" ref="K375:K377" si="108">IF(I375&gt;0,J375*100/I375,0)</f>
        <v>0</v>
      </c>
      <c r="L375" s="216"/>
      <c r="M375" s="216"/>
      <c r="N375" s="216"/>
      <c r="O375" s="216"/>
      <c r="P375" s="216"/>
    </row>
    <row r="376" ht="21.75" customHeight="1">
      <c r="A376" s="210"/>
      <c r="B376" s="211"/>
      <c r="C376" s="211"/>
      <c r="D376" s="228"/>
      <c r="E376" s="230"/>
      <c r="F376" s="230"/>
      <c r="G376" s="314" t="s">
        <v>144</v>
      </c>
      <c r="H376" s="313" t="s">
        <v>123</v>
      </c>
      <c r="I376" s="222">
        <f>IFERROR(__xludf.DUMMYFUNCTION("IMPORTRANGE(""https://docs.google.com/spreadsheets/d/1XL5vhW3sbDhbH9Cz0tuDiY8C3ctxq1tqvaCgkFb8cCA/edit?usp=sharing"",""มหาสารคาม!I271"")"),25.0)</f>
        <v>25</v>
      </c>
      <c r="J376" s="223">
        <f>IFERROR(__xludf.DUMMYFUNCTION("IMPORTRANGE(""https://docs.google.com/spreadsheets/d/1XL5vhW3sbDhbH9Cz0tuDiY8C3ctxq1tqvaCgkFb8cCA/edit?usp=sharing"",""มหาสารคาม!J271"")"),0.0)</f>
        <v>0</v>
      </c>
      <c r="K376" s="196">
        <f t="shared" si="108"/>
        <v>0</v>
      </c>
      <c r="L376" s="216"/>
      <c r="M376" s="216"/>
      <c r="N376" s="216"/>
      <c r="O376" s="216"/>
      <c r="P376" s="216"/>
    </row>
    <row r="377" ht="21.75" customHeight="1">
      <c r="A377" s="210"/>
      <c r="B377" s="211"/>
      <c r="C377" s="211"/>
      <c r="D377" s="228"/>
      <c r="E377" s="230"/>
      <c r="F377" s="230"/>
      <c r="G377" s="314" t="s">
        <v>145</v>
      </c>
      <c r="H377" s="313" t="s">
        <v>123</v>
      </c>
      <c r="I377" s="222">
        <f>IFERROR(__xludf.DUMMYFUNCTION("IMPORTRANGE(""https://docs.google.com/spreadsheets/d/1XL5vhW3sbDhbH9Cz0tuDiY8C3ctxq1tqvaCgkFb8cCA/edit?usp=sharing"",""มหาสารคาม!I272"")"),275.0)</f>
        <v>275</v>
      </c>
      <c r="J377" s="238" t="str">
        <f>IFERROR(__xludf.DUMMYFUNCTION("IMPORTRANGE(""https://docs.google.com/spreadsheets/d/1XL5vhW3sbDhbH9Cz0tuDiY8C3ctxq1tqvaCgkFb8cCA/edit?usp=sharing"",""มหาสารคาม!J272"")"),"")</f>
        <v/>
      </c>
      <c r="K377" s="196">
        <f t="shared" si="108"/>
        <v>0</v>
      </c>
      <c r="L377" s="216"/>
      <c r="M377" s="216"/>
      <c r="N377" s="216"/>
      <c r="O377" s="216"/>
      <c r="P377" s="216"/>
    </row>
    <row r="378" ht="21.75" customHeight="1">
      <c r="A378" s="210"/>
      <c r="B378" s="211"/>
      <c r="C378" s="211"/>
      <c r="D378" s="228"/>
      <c r="E378" s="229" t="s">
        <v>55</v>
      </c>
      <c r="F378" s="230"/>
      <c r="G378" s="231"/>
      <c r="H378" s="221"/>
      <c r="I378" s="222"/>
      <c r="J378" s="232">
        <f>IFERROR(__xludf.DUMMYFUNCTION("IMPORTRANGE(""https://docs.google.com/spreadsheets/d/1XL5vhW3sbDhbH9Cz0tuDiY8C3ctxq1tqvaCgkFb8cCA/edit?usp=sharing"",""มหาสารคาม!J273"")"),0.0)</f>
        <v>0</v>
      </c>
      <c r="K378" s="196"/>
      <c r="L378" s="216"/>
      <c r="M378" s="216"/>
      <c r="N378" s="216"/>
      <c r="O378" s="216"/>
      <c r="P378" s="216"/>
    </row>
    <row r="379" ht="21.75" customHeight="1">
      <c r="A379" s="210"/>
      <c r="B379" s="211"/>
      <c r="C379" s="211"/>
      <c r="D379" s="240">
        <v>3.0</v>
      </c>
      <c r="E379" s="241" t="s">
        <v>56</v>
      </c>
      <c r="F379" s="242"/>
      <c r="G379" s="243"/>
      <c r="H379" s="221"/>
      <c r="I379" s="222"/>
      <c r="J379" s="244">
        <f>IFERROR(__xludf.DUMMYFUNCTION("IMPORTRANGE(""https://docs.google.com/spreadsheets/d/1XL5vhW3sbDhbH9Cz0tuDiY8C3ctxq1tqvaCgkFb8cCA/edit?usp=sharing"",""มหาสารคาม!J274"")"),0.0)</f>
        <v>0</v>
      </c>
      <c r="K379" s="196"/>
      <c r="L379" s="216"/>
      <c r="M379" s="216"/>
      <c r="N379" s="216"/>
      <c r="O379" s="216"/>
      <c r="P379" s="216"/>
    </row>
    <row r="380" ht="21.75" customHeight="1">
      <c r="A380" s="399"/>
      <c r="B380" s="400">
        <v>2.0</v>
      </c>
      <c r="C380" s="401" t="s">
        <v>146</v>
      </c>
      <c r="D380" s="401"/>
      <c r="E380" s="415"/>
      <c r="F380" s="415"/>
      <c r="G380" s="416"/>
      <c r="H380" s="403" t="s">
        <v>123</v>
      </c>
      <c r="I380" s="404">
        <f>IFERROR(__xludf.DUMMYFUNCTION("IMPORTRANGE(""https://docs.google.com/spreadsheets/d/1XL5vhW3sbDhbH9Cz0tuDiY8C3ctxq1tqvaCgkFb8cCA/edit?usp=sharing"",""มหาสารคาม!I275"")"),1000.0)</f>
        <v>1000</v>
      </c>
      <c r="J380" s="404">
        <f>IFERROR(__xludf.DUMMYFUNCTION("IMPORTRANGE(""https://docs.google.com/spreadsheets/d/1XL5vhW3sbDhbH9Cz0tuDiY8C3ctxq1tqvaCgkFb8cCA/edit?usp=sharing"",""มหาสารคาม!J275"")"),0.0)</f>
        <v>0</v>
      </c>
      <c r="K380" s="405">
        <f t="shared" ref="K380:K381" si="109">IF(I380&gt;0,J380*100/I380,0)</f>
        <v>0</v>
      </c>
      <c r="L380" s="406">
        <f>IFERROR(__xludf.DUMMYFUNCTION("IMPORTRANGE(""https://docs.google.com/spreadsheets/d/1XL5vhW3sbDhbH9Cz0tuDiY8C3ctxq1tqvaCgkFb8cCA/edit?usp=sharing"",""มหาสารคาม!L275"")"),1028520.0)</f>
        <v>1028520</v>
      </c>
      <c r="M380" s="406"/>
      <c r="N380" s="406">
        <f>IFERROR(__xludf.DUMMYFUNCTION("IMPORTRANGE(""https://docs.google.com/spreadsheets/d/1XL5vhW3sbDhbH9Cz0tuDiY8C3ctxq1tqvaCgkFb8cCA/edit?usp=sharing"",""มหาสารคาม!M275"")"),31580.65)</f>
        <v>31580.65</v>
      </c>
      <c r="O380" s="406">
        <f>+IF(L380&gt;0,N380*100/L380,0)</f>
        <v>3.070494497</v>
      </c>
      <c r="P380" s="406"/>
    </row>
    <row r="381" ht="21.75" customHeight="1">
      <c r="A381" s="399"/>
      <c r="B381" s="400"/>
      <c r="C381" s="401"/>
      <c r="D381" s="417"/>
      <c r="E381" s="418"/>
      <c r="F381" s="418"/>
      <c r="G381" s="419"/>
      <c r="H381" s="403" t="s">
        <v>38</v>
      </c>
      <c r="I381" s="404">
        <f>IFERROR(__xludf.DUMMYFUNCTION("IMPORTRANGE(""https://docs.google.com/spreadsheets/d/1XL5vhW3sbDhbH9Cz0tuDiY8C3ctxq1tqvaCgkFb8cCA/edit?usp=sharing"",""มหาสารคาม!I276"")"),100.0)</f>
        <v>100</v>
      </c>
      <c r="J381" s="404">
        <f>IFERROR(__xludf.DUMMYFUNCTION("IMPORTRANGE(""https://docs.google.com/spreadsheets/d/1XL5vhW3sbDhbH9Cz0tuDiY8C3ctxq1tqvaCgkFb8cCA/edit?usp=sharing"",""มหาสารคาม!J276"")"),0.0)</f>
        <v>0</v>
      </c>
      <c r="K381" s="405">
        <f t="shared" si="109"/>
        <v>0</v>
      </c>
      <c r="L381" s="406"/>
      <c r="M381" s="406"/>
      <c r="N381" s="406"/>
      <c r="O381" s="406"/>
      <c r="P381" s="406"/>
    </row>
    <row r="382" ht="21.75" customHeight="1">
      <c r="A382" s="189"/>
      <c r="B382" s="190"/>
      <c r="C382" s="190" t="s">
        <v>17</v>
      </c>
      <c r="D382" s="191" t="s">
        <v>39</v>
      </c>
      <c r="E382" s="192"/>
      <c r="F382" s="192"/>
      <c r="G382" s="193" t="s">
        <v>40</v>
      </c>
      <c r="H382" s="194" t="s">
        <v>13</v>
      </c>
      <c r="I382" s="195" t="s">
        <v>41</v>
      </c>
      <c r="J382" s="195"/>
      <c r="K382" s="196"/>
      <c r="L382" s="197">
        <f>IFERROR(__xludf.DUMMYFUNCTION("IMPORTRANGE(""https://docs.google.com/spreadsheets/d/1XL5vhW3sbDhbH9Cz0tuDiY8C3ctxq1tqvaCgkFb8cCA/edit?usp=sharing"",""มหาสารคาม!L277"")"),0.0)</f>
        <v>0</v>
      </c>
      <c r="M382" s="197"/>
      <c r="N382" s="197">
        <f>IFERROR(__xludf.DUMMYFUNCTION("IMPORTRANGE(""https://docs.google.com/spreadsheets/d/1XL5vhW3sbDhbH9Cz0tuDiY8C3ctxq1tqvaCgkFb8cCA/edit?usp=sharing"",""มหาสารคาม!M277"")"),0.0)</f>
        <v>0</v>
      </c>
      <c r="O382" s="198">
        <f t="shared" ref="O382:O385" si="110">+IF(L382&gt;0,N382*100/L382,0)</f>
        <v>0</v>
      </c>
      <c r="P382" s="198"/>
    </row>
    <row r="383" ht="21.75" customHeight="1">
      <c r="A383" s="189"/>
      <c r="B383" s="190"/>
      <c r="C383" s="190"/>
      <c r="D383" s="199"/>
      <c r="E383" s="192"/>
      <c r="F383" s="192" t="s">
        <v>41</v>
      </c>
      <c r="G383" s="193" t="s">
        <v>42</v>
      </c>
      <c r="H383" s="194" t="s">
        <v>13</v>
      </c>
      <c r="I383" s="195"/>
      <c r="J383" s="195"/>
      <c r="K383" s="196"/>
      <c r="L383" s="198">
        <f>IFERROR(__xludf.DUMMYFUNCTION("IMPORTRANGE(""https://docs.google.com/spreadsheets/d/1XL5vhW3sbDhbH9Cz0tuDiY8C3ctxq1tqvaCgkFb8cCA/edit?usp=sharing"",""มหาสารคาม!L278"")"),1028520.0)</f>
        <v>1028520</v>
      </c>
      <c r="M383" s="198"/>
      <c r="N383" s="198">
        <f>IFERROR(__xludf.DUMMYFUNCTION("IMPORTRANGE(""https://docs.google.com/spreadsheets/d/1XL5vhW3sbDhbH9Cz0tuDiY8C3ctxq1tqvaCgkFb8cCA/edit?usp=sharing"",""มหาสารคาม!M278"")"),31580.65)</f>
        <v>31580.65</v>
      </c>
      <c r="O383" s="198">
        <f t="shared" si="110"/>
        <v>3.070494497</v>
      </c>
      <c r="P383" s="198"/>
    </row>
    <row r="384" ht="21.75" customHeight="1">
      <c r="A384" s="189"/>
      <c r="B384" s="190"/>
      <c r="C384" s="190"/>
      <c r="D384" s="199"/>
      <c r="E384" s="192"/>
      <c r="F384" s="192"/>
      <c r="G384" s="407" t="s">
        <v>130</v>
      </c>
      <c r="H384" s="194" t="s">
        <v>13</v>
      </c>
      <c r="I384" s="195"/>
      <c r="J384" s="195"/>
      <c r="K384" s="196"/>
      <c r="L384" s="203">
        <f>IFERROR(__xludf.DUMMYFUNCTION("IMPORTRANGE(""https://docs.google.com/spreadsheets/d/1XL5vhW3sbDhbH9Cz0tuDiY8C3ctxq1tqvaCgkFb8cCA/edit?usp=sharing"",""มหาสารคาม!L279"")"),0.0)</f>
        <v>0</v>
      </c>
      <c r="M384" s="203"/>
      <c r="N384" s="203">
        <f>IFERROR(__xludf.DUMMYFUNCTION("IMPORTRANGE(""https://docs.google.com/spreadsheets/d/1XL5vhW3sbDhbH9Cz0tuDiY8C3ctxq1tqvaCgkFb8cCA/edit?usp=sharing"",""มหาสารคาม!M279"")"),0.0)</f>
        <v>0</v>
      </c>
      <c r="O384" s="203">
        <f t="shared" si="110"/>
        <v>0</v>
      </c>
      <c r="P384" s="203"/>
    </row>
    <row r="385" ht="21.75" customHeight="1">
      <c r="A385" s="189"/>
      <c r="B385" s="190"/>
      <c r="C385" s="190"/>
      <c r="D385" s="199"/>
      <c r="E385" s="192"/>
      <c r="F385" s="192"/>
      <c r="G385" s="407" t="s">
        <v>131</v>
      </c>
      <c r="H385" s="194" t="s">
        <v>13</v>
      </c>
      <c r="I385" s="195"/>
      <c r="J385" s="195"/>
      <c r="K385" s="196"/>
      <c r="L385" s="203">
        <f>IFERROR(__xludf.DUMMYFUNCTION("IMPORTRANGE(""https://docs.google.com/spreadsheets/d/1XL5vhW3sbDhbH9Cz0tuDiY8C3ctxq1tqvaCgkFb8cCA/edit?usp=sharing"",""มหาสารคาม!L280"")"),1028520.0)</f>
        <v>1028520</v>
      </c>
      <c r="M385" s="203"/>
      <c r="N385" s="200">
        <f>IFERROR(__xludf.DUMMYFUNCTION("IMPORTRANGE(""https://docs.google.com/spreadsheets/d/1XL5vhW3sbDhbH9Cz0tuDiY8C3ctxq1tqvaCgkFb8cCA/edit?usp=sharing"",""มหาสารคาม!M280"")"),31580.65)</f>
        <v>31580.65</v>
      </c>
      <c r="O385" s="203">
        <f t="shared" si="110"/>
        <v>3.070494497</v>
      </c>
      <c r="P385" s="203"/>
    </row>
    <row r="386" ht="21.75" customHeight="1">
      <c r="A386" s="408"/>
      <c r="B386" s="409"/>
      <c r="C386" s="190"/>
      <c r="D386" s="410"/>
      <c r="E386" s="192"/>
      <c r="F386" s="192"/>
      <c r="G386" s="411" t="s">
        <v>132</v>
      </c>
      <c r="H386" s="194" t="s">
        <v>13</v>
      </c>
      <c r="I386" s="222"/>
      <c r="J386" s="222"/>
      <c r="K386" s="258"/>
      <c r="L386" s="203"/>
      <c r="M386" s="203"/>
      <c r="N386" s="412">
        <f>IFERROR(__xludf.DUMMYFUNCTION("IMPORTRANGE(""https://docs.google.com/spreadsheets/d/1XL5vhW3sbDhbH9Cz0tuDiY8C3ctxq1tqvaCgkFb8cCA/edit?usp=sharing"",""มหาสารคาม!M281"")"),0.0)</f>
        <v>0</v>
      </c>
      <c r="O386" s="203"/>
      <c r="P386" s="203"/>
    </row>
    <row r="387" ht="21.75" customHeight="1">
      <c r="A387" s="408"/>
      <c r="B387" s="409"/>
      <c r="C387" s="190"/>
      <c r="D387" s="410"/>
      <c r="E387" s="192"/>
      <c r="F387" s="192"/>
      <c r="G387" s="411" t="s">
        <v>133</v>
      </c>
      <c r="H387" s="194" t="s">
        <v>13</v>
      </c>
      <c r="I387" s="222"/>
      <c r="J387" s="222"/>
      <c r="K387" s="258"/>
      <c r="L387" s="203"/>
      <c r="M387" s="203"/>
      <c r="N387" s="412">
        <f>IFERROR(__xludf.DUMMYFUNCTION("IMPORTRANGE(""https://docs.google.com/spreadsheets/d/1XL5vhW3sbDhbH9Cz0tuDiY8C3ctxq1tqvaCgkFb8cCA/edit?usp=sharing"",""มหาสารคาม!M282"")"),0.0)</f>
        <v>0</v>
      </c>
      <c r="O387" s="203"/>
      <c r="P387" s="203"/>
    </row>
    <row r="388" ht="21.75" customHeight="1">
      <c r="A388" s="408"/>
      <c r="B388" s="409"/>
      <c r="C388" s="190"/>
      <c r="D388" s="410"/>
      <c r="E388" s="192"/>
      <c r="F388" s="192"/>
      <c r="G388" s="411" t="s">
        <v>134</v>
      </c>
      <c r="H388" s="194" t="s">
        <v>13</v>
      </c>
      <c r="I388" s="222"/>
      <c r="J388" s="222"/>
      <c r="K388" s="258"/>
      <c r="L388" s="203"/>
      <c r="M388" s="203"/>
      <c r="N388" s="412">
        <f>IFERROR(__xludf.DUMMYFUNCTION("IMPORTRANGE(""https://docs.google.com/spreadsheets/d/1XL5vhW3sbDhbH9Cz0tuDiY8C3ctxq1tqvaCgkFb8cCA/edit?usp=sharing"",""มหาสารคาม!M283"")"),31580.65)</f>
        <v>31580.65</v>
      </c>
      <c r="O388" s="203"/>
      <c r="P388" s="203"/>
    </row>
    <row r="389" ht="21.75" customHeight="1">
      <c r="A389" s="408"/>
      <c r="B389" s="409"/>
      <c r="C389" s="190"/>
      <c r="D389" s="410"/>
      <c r="E389" s="192"/>
      <c r="F389" s="192"/>
      <c r="G389" s="411" t="s">
        <v>135</v>
      </c>
      <c r="H389" s="194" t="s">
        <v>13</v>
      </c>
      <c r="I389" s="222"/>
      <c r="J389" s="222"/>
      <c r="K389" s="258"/>
      <c r="L389" s="203"/>
      <c r="M389" s="203"/>
      <c r="N389" s="412">
        <f>IFERROR(__xludf.DUMMYFUNCTION("IMPORTRANGE(""https://docs.google.com/spreadsheets/d/1XL5vhW3sbDhbH9Cz0tuDiY8C3ctxq1tqvaCgkFb8cCA/edit?usp=sharing"",""มหาสารคาม!M284"")"),0.0)</f>
        <v>0</v>
      </c>
      <c r="O389" s="203"/>
      <c r="P389" s="203"/>
    </row>
    <row r="390" ht="21.75" customHeight="1">
      <c r="A390" s="210"/>
      <c r="B390" s="211"/>
      <c r="C390" s="190" t="s">
        <v>17</v>
      </c>
      <c r="D390" s="212" t="s">
        <v>45</v>
      </c>
      <c r="E390" s="213"/>
      <c r="F390" s="213"/>
      <c r="G390" s="214"/>
      <c r="H390" s="215"/>
      <c r="I390" s="195"/>
      <c r="J390" s="195"/>
      <c r="K390" s="196"/>
      <c r="L390" s="216"/>
      <c r="M390" s="216"/>
      <c r="N390" s="216"/>
      <c r="O390" s="216"/>
      <c r="P390" s="216"/>
    </row>
    <row r="391" ht="21.75" customHeight="1">
      <c r="A391" s="210"/>
      <c r="B391" s="211"/>
      <c r="C391" s="211"/>
      <c r="D391" s="217">
        <v>1.0</v>
      </c>
      <c r="E391" s="218" t="s">
        <v>46</v>
      </c>
      <c r="F391" s="219"/>
      <c r="G391" s="220"/>
      <c r="H391" s="221"/>
      <c r="I391" s="222"/>
      <c r="J391" s="232">
        <f>IFERROR(__xludf.DUMMYFUNCTION("IMPORTRANGE(""https://docs.google.com/spreadsheets/d/1XL5vhW3sbDhbH9Cz0tuDiY8C3ctxq1tqvaCgkFb8cCA/edit?usp=sharing"",""มหาสารคาม!J286"")"),0.0)</f>
        <v>0</v>
      </c>
      <c r="K391" s="196"/>
      <c r="L391" s="216"/>
      <c r="M391" s="216"/>
      <c r="N391" s="216"/>
      <c r="O391" s="216"/>
      <c r="P391" s="216"/>
    </row>
    <row r="392" ht="21.75" customHeight="1">
      <c r="A392" s="210"/>
      <c r="B392" s="211"/>
      <c r="C392" s="211"/>
      <c r="D392" s="224">
        <v>2.0</v>
      </c>
      <c r="E392" s="225" t="s">
        <v>47</v>
      </c>
      <c r="F392" s="226"/>
      <c r="G392" s="227"/>
      <c r="H392" s="221"/>
      <c r="I392" s="222"/>
      <c r="J392" s="223">
        <f>IFERROR(__xludf.DUMMYFUNCTION("IMPORTRANGE(""https://docs.google.com/spreadsheets/d/1XL5vhW3sbDhbH9Cz0tuDiY8C3ctxq1tqvaCgkFb8cCA/edit?usp=sharing"",""มหาสารคาม!J287"")"),1.0)</f>
        <v>1</v>
      </c>
      <c r="K392" s="196"/>
      <c r="L392" s="216" t="s">
        <v>41</v>
      </c>
      <c r="M392" s="216"/>
      <c r="N392" s="216" t="s">
        <v>41</v>
      </c>
      <c r="O392" s="216"/>
      <c r="P392" s="216"/>
    </row>
    <row r="393" ht="21.75" customHeight="1">
      <c r="A393" s="210"/>
      <c r="B393" s="211"/>
      <c r="C393" s="211"/>
      <c r="D393" s="228"/>
      <c r="E393" s="229" t="s">
        <v>48</v>
      </c>
      <c r="F393" s="230"/>
      <c r="G393" s="231"/>
      <c r="H393" s="221"/>
      <c r="I393" s="222"/>
      <c r="J393" s="223">
        <f>IFERROR(__xludf.DUMMYFUNCTION("IMPORTRANGE(""https://docs.google.com/spreadsheets/d/1XL5vhW3sbDhbH9Cz0tuDiY8C3ctxq1tqvaCgkFb8cCA/edit?usp=sharing"",""มหาสารคาม!J288"")"),1.0)</f>
        <v>1</v>
      </c>
      <c r="K393" s="196"/>
      <c r="L393" s="216"/>
      <c r="M393" s="216"/>
      <c r="N393" s="216"/>
      <c r="O393" s="216"/>
      <c r="P393" s="216"/>
    </row>
    <row r="394" ht="21.75" customHeight="1">
      <c r="A394" s="210"/>
      <c r="B394" s="211"/>
      <c r="C394" s="211"/>
      <c r="D394" s="228"/>
      <c r="E394" s="229" t="s">
        <v>49</v>
      </c>
      <c r="F394" s="230"/>
      <c r="G394" s="231"/>
      <c r="H394" s="221"/>
      <c r="I394" s="222"/>
      <c r="J394" s="232">
        <f>IFERROR(__xludf.DUMMYFUNCTION("IMPORTRANGE(""https://docs.google.com/spreadsheets/d/1XL5vhW3sbDhbH9Cz0tuDiY8C3ctxq1tqvaCgkFb8cCA/edit?usp=sharing"",""มหาสารคาม!J289"")"),1.0)</f>
        <v>1</v>
      </c>
      <c r="K394" s="196"/>
      <c r="L394" s="216"/>
      <c r="M394" s="216"/>
      <c r="N394" s="216"/>
      <c r="O394" s="216"/>
      <c r="P394" s="216"/>
    </row>
    <row r="395" ht="21.75" customHeight="1">
      <c r="A395" s="210"/>
      <c r="B395" s="211"/>
      <c r="C395" s="211"/>
      <c r="D395" s="228"/>
      <c r="E395" s="233"/>
      <c r="F395" s="229" t="s">
        <v>147</v>
      </c>
      <c r="G395" s="230"/>
      <c r="H395" s="221"/>
      <c r="I395" s="222"/>
      <c r="J395" s="222"/>
      <c r="K395" s="196"/>
      <c r="L395" s="216"/>
      <c r="M395" s="216"/>
      <c r="N395" s="216"/>
      <c r="O395" s="216"/>
      <c r="P395" s="216"/>
    </row>
    <row r="396" ht="21.75" customHeight="1">
      <c r="A396" s="210"/>
      <c r="B396" s="211"/>
      <c r="C396" s="211"/>
      <c r="D396" s="228"/>
      <c r="E396" s="233"/>
      <c r="F396" s="230"/>
      <c r="G396" s="326" t="s">
        <v>71</v>
      </c>
      <c r="H396" s="221" t="s">
        <v>38</v>
      </c>
      <c r="I396" s="222">
        <f>IFERROR(__xludf.DUMMYFUNCTION("IMPORTRANGE(""https://docs.google.com/spreadsheets/d/1XL5vhW3sbDhbH9Cz0tuDiY8C3ctxq1tqvaCgkFb8cCA/edit?usp=sharing"",""มหาสารคาม!I291"")"),100.0)</f>
        <v>100</v>
      </c>
      <c r="J396" s="232">
        <f>IFERROR(__xludf.DUMMYFUNCTION("IMPORTRANGE(""https://docs.google.com/spreadsheets/d/1XL5vhW3sbDhbH9Cz0tuDiY8C3ctxq1tqvaCgkFb8cCA/edit?usp=sharing"",""มหาสารคาม!J291"")"),0.0)</f>
        <v>0</v>
      </c>
      <c r="K396" s="196">
        <f t="shared" ref="K396:K398" si="111">IF(I396&gt;0,J396*100/I396,0)</f>
        <v>0</v>
      </c>
      <c r="L396" s="216"/>
      <c r="M396" s="216"/>
      <c r="N396" s="216"/>
      <c r="O396" s="216"/>
      <c r="P396" s="216"/>
    </row>
    <row r="397" ht="21.75" customHeight="1">
      <c r="A397" s="210"/>
      <c r="B397" s="211"/>
      <c r="C397" s="211"/>
      <c r="D397" s="228"/>
      <c r="E397" s="233"/>
      <c r="F397" s="230"/>
      <c r="G397" s="231" t="s">
        <v>54</v>
      </c>
      <c r="H397" s="221" t="s">
        <v>123</v>
      </c>
      <c r="I397" s="222">
        <f>IFERROR(__xludf.DUMMYFUNCTION("IMPORTRANGE(""https://docs.google.com/spreadsheets/d/1XL5vhW3sbDhbH9Cz0tuDiY8C3ctxq1tqvaCgkFb8cCA/edit?usp=sharing"",""มหาสารคาม!I292"")"),1000.0)</f>
        <v>1000</v>
      </c>
      <c r="J397" s="232">
        <f>IFERROR(__xludf.DUMMYFUNCTION("IMPORTRANGE(""https://docs.google.com/spreadsheets/d/1XL5vhW3sbDhbH9Cz0tuDiY8C3ctxq1tqvaCgkFb8cCA/edit?usp=sharing"",""มหาสารคาม!J292"")"),0.0)</f>
        <v>0</v>
      </c>
      <c r="K397" s="196">
        <f t="shared" si="111"/>
        <v>0</v>
      </c>
      <c r="L397" s="216"/>
      <c r="M397" s="216"/>
      <c r="N397" s="216"/>
      <c r="O397" s="216"/>
      <c r="P397" s="216"/>
    </row>
    <row r="398" ht="21.75" customHeight="1">
      <c r="A398" s="210"/>
      <c r="B398" s="211"/>
      <c r="C398" s="211"/>
      <c r="D398" s="228"/>
      <c r="E398" s="233"/>
      <c r="F398" s="230"/>
      <c r="G398" s="231"/>
      <c r="H398" s="221" t="s">
        <v>38</v>
      </c>
      <c r="I398" s="222">
        <f>IFERROR(__xludf.DUMMYFUNCTION("IMPORTRANGE(""https://docs.google.com/spreadsheets/d/1XL5vhW3sbDhbH9Cz0tuDiY8C3ctxq1tqvaCgkFb8cCA/edit?usp=sharing"",""มหาสารคาม!I293"")"),100.0)</f>
        <v>100</v>
      </c>
      <c r="J398" s="232">
        <f>IFERROR(__xludf.DUMMYFUNCTION("IMPORTRANGE(""https://docs.google.com/spreadsheets/d/1XL5vhW3sbDhbH9Cz0tuDiY8C3ctxq1tqvaCgkFb8cCA/edit?usp=sharing"",""มหาสารคาม!J293"")"),0.0)</f>
        <v>0</v>
      </c>
      <c r="K398" s="196">
        <f t="shared" si="111"/>
        <v>0</v>
      </c>
      <c r="L398" s="216"/>
      <c r="M398" s="216"/>
      <c r="N398" s="216"/>
      <c r="O398" s="216"/>
      <c r="P398" s="216"/>
    </row>
    <row r="399" ht="21.75" customHeight="1">
      <c r="A399" s="210"/>
      <c r="B399" s="211"/>
      <c r="C399" s="211"/>
      <c r="D399" s="228"/>
      <c r="E399" s="229" t="s">
        <v>55</v>
      </c>
      <c r="F399" s="230"/>
      <c r="G399" s="231"/>
      <c r="H399" s="221"/>
      <c r="I399" s="222"/>
      <c r="J399" s="232">
        <f>IFERROR(__xludf.DUMMYFUNCTION("IMPORTRANGE(""https://docs.google.com/spreadsheets/d/1XL5vhW3sbDhbH9Cz0tuDiY8C3ctxq1tqvaCgkFb8cCA/edit?usp=sharing"",""มหาสารคาม!J294"")"),0.0)</f>
        <v>0</v>
      </c>
      <c r="K399" s="196"/>
      <c r="L399" s="216"/>
      <c r="M399" s="216"/>
      <c r="N399" s="216"/>
      <c r="O399" s="216"/>
      <c r="P399" s="216"/>
    </row>
    <row r="400" ht="21.75" customHeight="1">
      <c r="A400" s="210"/>
      <c r="B400" s="211"/>
      <c r="C400" s="211"/>
      <c r="D400" s="240">
        <v>3.0</v>
      </c>
      <c r="E400" s="241" t="s">
        <v>56</v>
      </c>
      <c r="F400" s="242"/>
      <c r="G400" s="243"/>
      <c r="H400" s="221"/>
      <c r="I400" s="222"/>
      <c r="J400" s="244">
        <f>IFERROR(__xludf.DUMMYFUNCTION("IMPORTRANGE(""https://docs.google.com/spreadsheets/d/1XL5vhW3sbDhbH9Cz0tuDiY8C3ctxq1tqvaCgkFb8cCA/edit?usp=sharing"",""มหาสารคาม!J295"")"),0.0)</f>
        <v>0</v>
      </c>
      <c r="K400" s="196"/>
      <c r="L400" s="216"/>
      <c r="M400" s="216"/>
      <c r="N400" s="216"/>
      <c r="O400" s="216"/>
      <c r="P400" s="216"/>
    </row>
    <row r="401" ht="21.75" customHeight="1">
      <c r="A401" s="399"/>
      <c r="B401" s="400">
        <v>3.0</v>
      </c>
      <c r="C401" s="400" t="s">
        <v>148</v>
      </c>
      <c r="D401" s="401"/>
      <c r="E401" s="401"/>
      <c r="F401" s="401"/>
      <c r="G401" s="402"/>
      <c r="H401" s="403" t="s">
        <v>123</v>
      </c>
      <c r="I401" s="404">
        <f>IFERROR(__xludf.DUMMYFUNCTION("IMPORTRANGE(""https://docs.google.com/spreadsheets/d/1XL5vhW3sbDhbH9Cz0tuDiY8C3ctxq1tqvaCgkFb8cCA/edit?usp=sharing"",""มหาสารคาม!I296"")"),210.0)</f>
        <v>210</v>
      </c>
      <c r="J401" s="404">
        <f>IFERROR(__xludf.DUMMYFUNCTION("IMPORTRANGE(""https://docs.google.com/spreadsheets/d/1XL5vhW3sbDhbH9Cz0tuDiY8C3ctxq1tqvaCgkFb8cCA/edit?usp=sharing"",""มหาสารคาม!J296"")"),60.0)</f>
        <v>60</v>
      </c>
      <c r="K401" s="405">
        <f t="shared" ref="K401:K402" si="112">IF(I401&gt;0,J401*100/I401,0)</f>
        <v>28.57142857</v>
      </c>
      <c r="L401" s="406">
        <f>IFERROR(__xludf.DUMMYFUNCTION("IMPORTRANGE(""https://docs.google.com/spreadsheets/d/1XL5vhW3sbDhbH9Cz0tuDiY8C3ctxq1tqvaCgkFb8cCA/edit?usp=sharing"",""มหาสารคาม!L296"")"),234280.0)</f>
        <v>234280</v>
      </c>
      <c r="M401" s="406"/>
      <c r="N401" s="406">
        <f>IFERROR(__xludf.DUMMYFUNCTION("IMPORTRANGE(""https://docs.google.com/spreadsheets/d/1XL5vhW3sbDhbH9Cz0tuDiY8C3ctxq1tqvaCgkFb8cCA/edit?usp=sharing"",""มหาสารคาม!M296"")"),0.0)</f>
        <v>0</v>
      </c>
      <c r="O401" s="406">
        <f>+IF(L401&gt;0,N401*100/L401,0)</f>
        <v>0</v>
      </c>
      <c r="P401" s="406"/>
    </row>
    <row r="402" ht="21.75" customHeight="1">
      <c r="A402" s="399"/>
      <c r="B402" s="400"/>
      <c r="C402" s="400"/>
      <c r="D402" s="417"/>
      <c r="E402" s="417"/>
      <c r="F402" s="417"/>
      <c r="G402" s="420"/>
      <c r="H402" s="403" t="s">
        <v>38</v>
      </c>
      <c r="I402" s="404">
        <f>IFERROR(__xludf.DUMMYFUNCTION("IMPORTRANGE(""https://docs.google.com/spreadsheets/d/1XL5vhW3sbDhbH9Cz0tuDiY8C3ctxq1tqvaCgkFb8cCA/edit?usp=sharing"",""มหาสารคาม!I297"")"),70.0)</f>
        <v>70</v>
      </c>
      <c r="J402" s="404">
        <f>IFERROR(__xludf.DUMMYFUNCTION("IMPORTRANGE(""https://docs.google.com/spreadsheets/d/1XL5vhW3sbDhbH9Cz0tuDiY8C3ctxq1tqvaCgkFb8cCA/edit?usp=sharing"",""มหาสารคาม!J297"")"),0.0)</f>
        <v>0</v>
      </c>
      <c r="K402" s="405">
        <f t="shared" si="112"/>
        <v>0</v>
      </c>
      <c r="L402" s="406"/>
      <c r="M402" s="406"/>
      <c r="N402" s="406"/>
      <c r="O402" s="406"/>
      <c r="P402" s="406"/>
    </row>
    <row r="403" ht="21.75" customHeight="1">
      <c r="A403" s="189"/>
      <c r="B403" s="190"/>
      <c r="C403" s="190" t="s">
        <v>17</v>
      </c>
      <c r="D403" s="191" t="s">
        <v>39</v>
      </c>
      <c r="E403" s="192"/>
      <c r="F403" s="192"/>
      <c r="G403" s="193" t="s">
        <v>40</v>
      </c>
      <c r="H403" s="194" t="s">
        <v>13</v>
      </c>
      <c r="I403" s="195" t="s">
        <v>41</v>
      </c>
      <c r="J403" s="195"/>
      <c r="K403" s="196"/>
      <c r="L403" s="197">
        <f>IFERROR(__xludf.DUMMYFUNCTION("IMPORTRANGE(""https://docs.google.com/spreadsheets/d/1XL5vhW3sbDhbH9Cz0tuDiY8C3ctxq1tqvaCgkFb8cCA/edit?usp=sharing"",""มหาสารคาม!L298"")"),0.0)</f>
        <v>0</v>
      </c>
      <c r="M403" s="197"/>
      <c r="N403" s="203">
        <f>IFERROR(__xludf.DUMMYFUNCTION("IMPORTRANGE(""https://docs.google.com/spreadsheets/d/1XL5vhW3sbDhbH9Cz0tuDiY8C3ctxq1tqvaCgkFb8cCA/edit?usp=sharing"",""มหาสารคาม!M298"")"),0.0)</f>
        <v>0</v>
      </c>
      <c r="O403" s="203">
        <f t="shared" ref="O403:O406" si="113">+IF(L403&gt;0,N403*100/L403,0)</f>
        <v>0</v>
      </c>
      <c r="P403" s="203"/>
    </row>
    <row r="404" ht="21.75" customHeight="1">
      <c r="A404" s="189"/>
      <c r="B404" s="190"/>
      <c r="C404" s="190"/>
      <c r="D404" s="199"/>
      <c r="E404" s="192"/>
      <c r="F404" s="192" t="s">
        <v>41</v>
      </c>
      <c r="G404" s="193" t="s">
        <v>42</v>
      </c>
      <c r="H404" s="194" t="s">
        <v>13</v>
      </c>
      <c r="I404" s="195"/>
      <c r="J404" s="195"/>
      <c r="K404" s="196"/>
      <c r="L404" s="198">
        <f>IFERROR(__xludf.DUMMYFUNCTION("IMPORTRANGE(""https://docs.google.com/spreadsheets/d/1XL5vhW3sbDhbH9Cz0tuDiY8C3ctxq1tqvaCgkFb8cCA/edit?usp=sharing"",""มหาสารคาม!L299"")"),234280.0)</f>
        <v>234280</v>
      </c>
      <c r="M404" s="198"/>
      <c r="N404" s="203">
        <f>IFERROR(__xludf.DUMMYFUNCTION("IMPORTRANGE(""https://docs.google.com/spreadsheets/d/1XL5vhW3sbDhbH9Cz0tuDiY8C3ctxq1tqvaCgkFb8cCA/edit?usp=sharing"",""มหาสารคาม!M299"")"),0.0)</f>
        <v>0</v>
      </c>
      <c r="O404" s="203">
        <f t="shared" si="113"/>
        <v>0</v>
      </c>
      <c r="P404" s="203"/>
    </row>
    <row r="405" ht="21.75" customHeight="1">
      <c r="A405" s="189"/>
      <c r="B405" s="190"/>
      <c r="C405" s="190"/>
      <c r="D405" s="199"/>
      <c r="E405" s="192"/>
      <c r="F405" s="192"/>
      <c r="G405" s="407" t="s">
        <v>130</v>
      </c>
      <c r="H405" s="194" t="s">
        <v>13</v>
      </c>
      <c r="I405" s="195"/>
      <c r="J405" s="195"/>
      <c r="K405" s="196"/>
      <c r="L405" s="203">
        <f>IFERROR(__xludf.DUMMYFUNCTION("IMPORTRANGE(""https://docs.google.com/spreadsheets/d/1XL5vhW3sbDhbH9Cz0tuDiY8C3ctxq1tqvaCgkFb8cCA/edit?usp=sharing"",""มหาสารคาม!L300"")"),0.0)</f>
        <v>0</v>
      </c>
      <c r="M405" s="203"/>
      <c r="N405" s="203">
        <f>IFERROR(__xludf.DUMMYFUNCTION("IMPORTRANGE(""https://docs.google.com/spreadsheets/d/1XL5vhW3sbDhbH9Cz0tuDiY8C3ctxq1tqvaCgkFb8cCA/edit?usp=sharing"",""มหาสารคาม!M300"")"),0.0)</f>
        <v>0</v>
      </c>
      <c r="O405" s="203">
        <f t="shared" si="113"/>
        <v>0</v>
      </c>
      <c r="P405" s="203"/>
    </row>
    <row r="406" ht="21.75" customHeight="1">
      <c r="A406" s="189"/>
      <c r="B406" s="190"/>
      <c r="C406" s="190"/>
      <c r="D406" s="199"/>
      <c r="E406" s="192"/>
      <c r="F406" s="192"/>
      <c r="G406" s="407" t="s">
        <v>131</v>
      </c>
      <c r="H406" s="194" t="s">
        <v>13</v>
      </c>
      <c r="I406" s="195"/>
      <c r="J406" s="195"/>
      <c r="K406" s="196"/>
      <c r="L406" s="203">
        <f>IFERROR(__xludf.DUMMYFUNCTION("IMPORTRANGE(""https://docs.google.com/spreadsheets/d/1XL5vhW3sbDhbH9Cz0tuDiY8C3ctxq1tqvaCgkFb8cCA/edit?usp=sharing"",""มหาสารคาม!L301"")"),234280.0)</f>
        <v>234280</v>
      </c>
      <c r="M406" s="203"/>
      <c r="N406" s="203">
        <f>IFERROR(__xludf.DUMMYFUNCTION("IMPORTRANGE(""https://docs.google.com/spreadsheets/d/1XL5vhW3sbDhbH9Cz0tuDiY8C3ctxq1tqvaCgkFb8cCA/edit?usp=sharing"",""มหาสารคาม!M301"")"),0.0)</f>
        <v>0</v>
      </c>
      <c r="O406" s="203">
        <f t="shared" si="113"/>
        <v>0</v>
      </c>
      <c r="P406" s="203"/>
    </row>
    <row r="407" ht="21.75" customHeight="1">
      <c r="A407" s="408"/>
      <c r="B407" s="409"/>
      <c r="C407" s="190"/>
      <c r="D407" s="410"/>
      <c r="E407" s="192"/>
      <c r="F407" s="192"/>
      <c r="G407" s="411" t="s">
        <v>132</v>
      </c>
      <c r="H407" s="194" t="s">
        <v>13</v>
      </c>
      <c r="I407" s="222"/>
      <c r="J407" s="222"/>
      <c r="K407" s="258"/>
      <c r="L407" s="203"/>
      <c r="M407" s="203"/>
      <c r="N407" s="412">
        <f>IFERROR(__xludf.DUMMYFUNCTION("IMPORTRANGE(""https://docs.google.com/spreadsheets/d/1XL5vhW3sbDhbH9Cz0tuDiY8C3ctxq1tqvaCgkFb8cCA/edit?usp=sharing"",""มหาสารคาม!M302"")"),0.0)</f>
        <v>0</v>
      </c>
      <c r="O407" s="203"/>
      <c r="P407" s="203"/>
    </row>
    <row r="408" ht="21.75" customHeight="1">
      <c r="A408" s="408"/>
      <c r="B408" s="409"/>
      <c r="C408" s="190"/>
      <c r="D408" s="410"/>
      <c r="E408" s="192"/>
      <c r="F408" s="192"/>
      <c r="G408" s="411" t="s">
        <v>133</v>
      </c>
      <c r="H408" s="194" t="s">
        <v>13</v>
      </c>
      <c r="I408" s="222"/>
      <c r="J408" s="222"/>
      <c r="K408" s="258"/>
      <c r="L408" s="203"/>
      <c r="M408" s="203"/>
      <c r="N408" s="412">
        <f>IFERROR(__xludf.DUMMYFUNCTION("IMPORTRANGE(""https://docs.google.com/spreadsheets/d/1XL5vhW3sbDhbH9Cz0tuDiY8C3ctxq1tqvaCgkFb8cCA/edit?usp=sharing"",""มหาสารคาม!M303"")"),0.0)</f>
        <v>0</v>
      </c>
      <c r="O408" s="203"/>
      <c r="P408" s="203"/>
    </row>
    <row r="409" ht="21.75" customHeight="1">
      <c r="A409" s="408"/>
      <c r="B409" s="409"/>
      <c r="C409" s="190"/>
      <c r="D409" s="410"/>
      <c r="E409" s="192"/>
      <c r="F409" s="192"/>
      <c r="G409" s="411" t="s">
        <v>134</v>
      </c>
      <c r="H409" s="194" t="s">
        <v>13</v>
      </c>
      <c r="I409" s="222"/>
      <c r="J409" s="222"/>
      <c r="K409" s="258"/>
      <c r="L409" s="203"/>
      <c r="M409" s="203"/>
      <c r="N409" s="412">
        <f>IFERROR(__xludf.DUMMYFUNCTION("IMPORTRANGE(""https://docs.google.com/spreadsheets/d/1XL5vhW3sbDhbH9Cz0tuDiY8C3ctxq1tqvaCgkFb8cCA/edit?usp=sharing"",""มหาสารคาม!M304"")"),0.0)</f>
        <v>0</v>
      </c>
      <c r="O409" s="203"/>
      <c r="P409" s="203"/>
    </row>
    <row r="410" ht="21.75" customHeight="1">
      <c r="A410" s="408"/>
      <c r="B410" s="409"/>
      <c r="C410" s="190"/>
      <c r="D410" s="410"/>
      <c r="E410" s="192"/>
      <c r="F410" s="192"/>
      <c r="G410" s="411" t="s">
        <v>135</v>
      </c>
      <c r="H410" s="194" t="s">
        <v>13</v>
      </c>
      <c r="I410" s="222"/>
      <c r="J410" s="222"/>
      <c r="K410" s="258"/>
      <c r="L410" s="203"/>
      <c r="M410" s="203"/>
      <c r="N410" s="412">
        <f>IFERROR(__xludf.DUMMYFUNCTION("IMPORTRANGE(""https://docs.google.com/spreadsheets/d/1XL5vhW3sbDhbH9Cz0tuDiY8C3ctxq1tqvaCgkFb8cCA/edit?usp=sharing"",""มหาสารคาม!M305"")"),0.0)</f>
        <v>0</v>
      </c>
      <c r="O410" s="203"/>
      <c r="P410" s="203"/>
    </row>
    <row r="411" ht="21.75" customHeight="1">
      <c r="A411" s="210"/>
      <c r="B411" s="211"/>
      <c r="C411" s="190" t="s">
        <v>17</v>
      </c>
      <c r="D411" s="212" t="s">
        <v>45</v>
      </c>
      <c r="E411" s="213"/>
      <c r="F411" s="213"/>
      <c r="G411" s="214"/>
      <c r="H411" s="215"/>
      <c r="I411" s="195"/>
      <c r="J411" s="195"/>
      <c r="K411" s="196"/>
      <c r="L411" s="216"/>
      <c r="M411" s="216"/>
      <c r="N411" s="216"/>
      <c r="O411" s="216"/>
      <c r="P411" s="216"/>
    </row>
    <row r="412" ht="21.75" customHeight="1">
      <c r="A412" s="210"/>
      <c r="B412" s="211"/>
      <c r="C412" s="211"/>
      <c r="D412" s="217">
        <v>1.0</v>
      </c>
      <c r="E412" s="218" t="s">
        <v>46</v>
      </c>
      <c r="F412" s="219"/>
      <c r="G412" s="220"/>
      <c r="H412" s="221"/>
      <c r="I412" s="222"/>
      <c r="J412" s="232">
        <f>IFERROR(__xludf.DUMMYFUNCTION("IMPORTRANGE(""https://docs.google.com/spreadsheets/d/1XL5vhW3sbDhbH9Cz0tuDiY8C3ctxq1tqvaCgkFb8cCA/edit?usp=sharing"",""มหาสารคาม!J307"")"),0.0)</f>
        <v>0</v>
      </c>
      <c r="K412" s="196"/>
      <c r="L412" s="216"/>
      <c r="M412" s="216"/>
      <c r="N412" s="216"/>
      <c r="O412" s="216"/>
      <c r="P412" s="216"/>
    </row>
    <row r="413" ht="21.75" customHeight="1">
      <c r="A413" s="210"/>
      <c r="B413" s="211"/>
      <c r="C413" s="211"/>
      <c r="D413" s="224">
        <v>2.0</v>
      </c>
      <c r="E413" s="225" t="s">
        <v>47</v>
      </c>
      <c r="F413" s="226"/>
      <c r="G413" s="227"/>
      <c r="H413" s="221"/>
      <c r="I413" s="222"/>
      <c r="J413" s="223">
        <f>IFERROR(__xludf.DUMMYFUNCTION("IMPORTRANGE(""https://docs.google.com/spreadsheets/d/1XL5vhW3sbDhbH9Cz0tuDiY8C3ctxq1tqvaCgkFb8cCA/edit?usp=sharing"",""มหาสารคาม!J308"")"),1.0)</f>
        <v>1</v>
      </c>
      <c r="K413" s="196"/>
      <c r="L413" s="216" t="s">
        <v>41</v>
      </c>
      <c r="M413" s="216"/>
      <c r="N413" s="216" t="s">
        <v>41</v>
      </c>
      <c r="O413" s="216"/>
      <c r="P413" s="216"/>
    </row>
    <row r="414" ht="21.75" customHeight="1">
      <c r="A414" s="210"/>
      <c r="B414" s="211"/>
      <c r="C414" s="211"/>
      <c r="D414" s="228"/>
      <c r="E414" s="229" t="s">
        <v>48</v>
      </c>
      <c r="F414" s="230"/>
      <c r="G414" s="231"/>
      <c r="H414" s="221"/>
      <c r="I414" s="222"/>
      <c r="J414" s="223">
        <f>IFERROR(__xludf.DUMMYFUNCTION("IMPORTRANGE(""https://docs.google.com/spreadsheets/d/1XL5vhW3sbDhbH9Cz0tuDiY8C3ctxq1tqvaCgkFb8cCA/edit?usp=sharing"",""มหาสารคาม!J309"")"),1.0)</f>
        <v>1</v>
      </c>
      <c r="K414" s="196"/>
      <c r="L414" s="216"/>
      <c r="M414" s="216"/>
      <c r="N414" s="216"/>
      <c r="O414" s="216"/>
      <c r="P414" s="216"/>
    </row>
    <row r="415" ht="21.75" customHeight="1">
      <c r="A415" s="210"/>
      <c r="B415" s="211"/>
      <c r="C415" s="211"/>
      <c r="D415" s="228"/>
      <c r="E415" s="229" t="s">
        <v>49</v>
      </c>
      <c r="F415" s="230"/>
      <c r="G415" s="231"/>
      <c r="H415" s="221"/>
      <c r="I415" s="222"/>
      <c r="J415" s="232">
        <f>IFERROR(__xludf.DUMMYFUNCTION("IMPORTRANGE(""https://docs.google.com/spreadsheets/d/1XL5vhW3sbDhbH9Cz0tuDiY8C3ctxq1tqvaCgkFb8cCA/edit?usp=sharing"",""มหาสารคาม!J310"")"),1.0)</f>
        <v>1</v>
      </c>
      <c r="K415" s="196"/>
      <c r="L415" s="216"/>
      <c r="M415" s="216"/>
      <c r="N415" s="216"/>
      <c r="O415" s="216"/>
      <c r="P415" s="216"/>
    </row>
    <row r="416" ht="21.75" customHeight="1">
      <c r="A416" s="210"/>
      <c r="B416" s="211"/>
      <c r="C416" s="211"/>
      <c r="D416" s="228"/>
      <c r="E416" s="233"/>
      <c r="F416" s="229" t="s">
        <v>71</v>
      </c>
      <c r="G416" s="421"/>
      <c r="H416" s="422" t="s">
        <v>38</v>
      </c>
      <c r="I416" s="235">
        <f>IFERROR(__xludf.DUMMYFUNCTION("IMPORTRANGE(""https://docs.google.com/spreadsheets/d/1XL5vhW3sbDhbH9Cz0tuDiY8C3ctxq1tqvaCgkFb8cCA/edit?usp=sharing"",""มหาสารคาม!I311"")"),70.0)</f>
        <v>70</v>
      </c>
      <c r="J416" s="235">
        <f>IFERROR(__xludf.DUMMYFUNCTION("IMPORTRANGE(""https://docs.google.com/spreadsheets/d/1XL5vhW3sbDhbH9Cz0tuDiY8C3ctxq1tqvaCgkFb8cCA/edit?usp=sharing"",""มหาสารคาม!J311"")"),0.0)</f>
        <v>0</v>
      </c>
      <c r="K416" s="236">
        <f t="shared" ref="K416:K432" si="114">IF(I416&gt;0,J416*100/I416,0)</f>
        <v>0</v>
      </c>
      <c r="L416" s="216"/>
      <c r="M416" s="216"/>
      <c r="N416" s="216"/>
      <c r="O416" s="216"/>
      <c r="P416" s="216"/>
    </row>
    <row r="417" ht="21.75" customHeight="1">
      <c r="A417" s="210"/>
      <c r="B417" s="211"/>
      <c r="C417" s="211"/>
      <c r="D417" s="228"/>
      <c r="E417" s="233"/>
      <c r="F417" s="423" t="s">
        <v>149</v>
      </c>
      <c r="G417" s="231"/>
      <c r="H417" s="234" t="s">
        <v>38</v>
      </c>
      <c r="I417" s="424">
        <f>IFERROR(__xludf.DUMMYFUNCTION("IMPORTRANGE(""https://docs.google.com/spreadsheets/d/1XL5vhW3sbDhbH9Cz0tuDiY8C3ctxq1tqvaCgkFb8cCA/edit?usp=sharing"",""มหาสารคาม!I312"")"),20.0)</f>
        <v>20</v>
      </c>
      <c r="J417" s="425">
        <f>IFERROR(__xludf.DUMMYFUNCTION("IMPORTRANGE(""https://docs.google.com/spreadsheets/d/1XL5vhW3sbDhbH9Cz0tuDiY8C3ctxq1tqvaCgkFb8cCA/edit?usp=sharing"",""มหาสารคาม!J312"")"),0.0)</f>
        <v>0</v>
      </c>
      <c r="K417" s="236">
        <f t="shared" si="114"/>
        <v>0</v>
      </c>
      <c r="L417" s="216"/>
      <c r="M417" s="216"/>
      <c r="N417" s="216"/>
      <c r="O417" s="216"/>
      <c r="P417" s="216"/>
    </row>
    <row r="418" ht="21.75" customHeight="1">
      <c r="A418" s="210"/>
      <c r="B418" s="211"/>
      <c r="C418" s="211"/>
      <c r="D418" s="228"/>
      <c r="E418" s="233"/>
      <c r="F418" s="230"/>
      <c r="G418" s="231"/>
      <c r="H418" s="234" t="s">
        <v>123</v>
      </c>
      <c r="I418" s="424">
        <f>IFERROR(__xludf.DUMMYFUNCTION("IMPORTRANGE(""https://docs.google.com/spreadsheets/d/1XL5vhW3sbDhbH9Cz0tuDiY8C3ctxq1tqvaCgkFb8cCA/edit?usp=sharing"",""มหาสารคาม!I313"")"),60.0)</f>
        <v>60</v>
      </c>
      <c r="J418" s="426">
        <f>IFERROR(__xludf.DUMMYFUNCTION("IMPORTRANGE(""https://docs.google.com/spreadsheets/d/1XL5vhW3sbDhbH9Cz0tuDiY8C3ctxq1tqvaCgkFb8cCA/edit?usp=sharing"",""มหาสารคาม!J313"")"),0.0)</f>
        <v>0</v>
      </c>
      <c r="K418" s="236">
        <f t="shared" si="114"/>
        <v>0</v>
      </c>
      <c r="L418" s="216"/>
      <c r="M418" s="216"/>
      <c r="N418" s="216"/>
      <c r="O418" s="216"/>
      <c r="P418" s="216"/>
    </row>
    <row r="419" ht="21.75" customHeight="1">
      <c r="A419" s="210"/>
      <c r="B419" s="211"/>
      <c r="C419" s="211"/>
      <c r="D419" s="228"/>
      <c r="E419" s="233"/>
      <c r="F419" s="230"/>
      <c r="G419" s="260" t="s">
        <v>150</v>
      </c>
      <c r="H419" s="215" t="s">
        <v>38</v>
      </c>
      <c r="I419" s="374">
        <f>IFERROR(__xludf.DUMMYFUNCTION("IMPORTRANGE(""https://docs.google.com/spreadsheets/d/1XL5vhW3sbDhbH9Cz0tuDiY8C3ctxq1tqvaCgkFb8cCA/edit?usp=sharing"",""มหาสารคาม!I314"")"),20.0)</f>
        <v>20</v>
      </c>
      <c r="J419" s="427">
        <f>IFERROR(__xludf.DUMMYFUNCTION("IMPORTRANGE(""https://docs.google.com/spreadsheets/d/1XL5vhW3sbDhbH9Cz0tuDiY8C3ctxq1tqvaCgkFb8cCA/edit?usp=sharing"",""มหาสารคาม!J314"")"),0.0)</f>
        <v>0</v>
      </c>
      <c r="K419" s="196">
        <f t="shared" si="114"/>
        <v>0</v>
      </c>
      <c r="L419" s="216"/>
      <c r="M419" s="216"/>
      <c r="N419" s="216"/>
      <c r="O419" s="216"/>
      <c r="P419" s="216"/>
    </row>
    <row r="420" ht="21.75" customHeight="1">
      <c r="A420" s="268"/>
      <c r="B420" s="269"/>
      <c r="C420" s="269"/>
      <c r="D420" s="428"/>
      <c r="E420" s="429"/>
      <c r="F420" s="380"/>
      <c r="G420" s="430" t="s">
        <v>151</v>
      </c>
      <c r="H420" s="382" t="s">
        <v>38</v>
      </c>
      <c r="I420" s="431">
        <f>IFERROR(__xludf.DUMMYFUNCTION("IMPORTRANGE(""https://docs.google.com/spreadsheets/d/1XL5vhW3sbDhbH9Cz0tuDiY8C3ctxq1tqvaCgkFb8cCA/edit?usp=sharing"",""มหาสารคาม!I315"")"),20.0)</f>
        <v>20</v>
      </c>
      <c r="J420" s="427">
        <f>IFERROR(__xludf.DUMMYFUNCTION("IMPORTRANGE(""https://docs.google.com/spreadsheets/d/1XL5vhW3sbDhbH9Cz0tuDiY8C3ctxq1tqvaCgkFb8cCA/edit?usp=sharing"",""มหาสารคาม!J315"")"),0.0)</f>
        <v>0</v>
      </c>
      <c r="K420" s="321">
        <f t="shared" si="114"/>
        <v>0</v>
      </c>
      <c r="L420" s="279"/>
      <c r="M420" s="279"/>
      <c r="N420" s="279"/>
      <c r="O420" s="279"/>
      <c r="P420" s="279"/>
    </row>
    <row r="421" ht="21.75" customHeight="1">
      <c r="A421" s="210"/>
      <c r="B421" s="211"/>
      <c r="C421" s="211"/>
      <c r="D421" s="228"/>
      <c r="E421" s="233"/>
      <c r="F421" s="423" t="s">
        <v>152</v>
      </c>
      <c r="G421" s="231"/>
      <c r="H421" s="234" t="s">
        <v>38</v>
      </c>
      <c r="I421" s="424">
        <f>IFERROR(__xludf.DUMMYFUNCTION("IMPORTRANGE(""https://docs.google.com/spreadsheets/d/1XL5vhW3sbDhbH9Cz0tuDiY8C3ctxq1tqvaCgkFb8cCA/edit?usp=sharing"",""มหาสารคาม!I316"")"),40.0)</f>
        <v>40</v>
      </c>
      <c r="J421" s="425">
        <f>IFERROR(__xludf.DUMMYFUNCTION("IMPORTRANGE(""https://docs.google.com/spreadsheets/d/1XL5vhW3sbDhbH9Cz0tuDiY8C3ctxq1tqvaCgkFb8cCA/edit?usp=sharing"",""มหาสารคาม!J316"")"),0.0)</f>
        <v>0</v>
      </c>
      <c r="K421" s="236">
        <f t="shared" si="114"/>
        <v>0</v>
      </c>
      <c r="L421" s="216"/>
      <c r="M421" s="216"/>
      <c r="N421" s="216"/>
      <c r="O421" s="216"/>
      <c r="P421" s="216"/>
    </row>
    <row r="422" ht="21.75" customHeight="1">
      <c r="A422" s="210"/>
      <c r="B422" s="211"/>
      <c r="C422" s="211"/>
      <c r="D422" s="228"/>
      <c r="E422" s="233"/>
      <c r="F422" s="230"/>
      <c r="G422" s="231"/>
      <c r="H422" s="234" t="s">
        <v>123</v>
      </c>
      <c r="I422" s="424">
        <f>IFERROR(__xludf.DUMMYFUNCTION("IMPORTRANGE(""https://docs.google.com/spreadsheets/d/1XL5vhW3sbDhbH9Cz0tuDiY8C3ctxq1tqvaCgkFb8cCA/edit?usp=sharing"",""มหาสารคาม!I317"")"),120.0)</f>
        <v>120</v>
      </c>
      <c r="J422" s="426">
        <f>IFERROR(__xludf.DUMMYFUNCTION("IMPORTRANGE(""https://docs.google.com/spreadsheets/d/1XL5vhW3sbDhbH9Cz0tuDiY8C3ctxq1tqvaCgkFb8cCA/edit?usp=sharing"",""มหาสารคาม!J317"")"),60.0)</f>
        <v>60</v>
      </c>
      <c r="K422" s="236">
        <f t="shared" si="114"/>
        <v>50</v>
      </c>
      <c r="L422" s="216"/>
      <c r="M422" s="216"/>
      <c r="N422" s="216"/>
      <c r="O422" s="216"/>
      <c r="P422" s="216"/>
    </row>
    <row r="423" ht="21.75" customHeight="1">
      <c r="A423" s="210"/>
      <c r="B423" s="211"/>
      <c r="C423" s="211"/>
      <c r="D423" s="228"/>
      <c r="E423" s="233"/>
      <c r="F423" s="230"/>
      <c r="G423" s="260" t="s">
        <v>153</v>
      </c>
      <c r="H423" s="215" t="s">
        <v>38</v>
      </c>
      <c r="I423" s="374">
        <f>IFERROR(__xludf.DUMMYFUNCTION("IMPORTRANGE(""https://docs.google.com/spreadsheets/d/1XL5vhW3sbDhbH9Cz0tuDiY8C3ctxq1tqvaCgkFb8cCA/edit?usp=sharing"",""มหาสารคาม!I318"")"),40.0)</f>
        <v>40</v>
      </c>
      <c r="J423" s="427">
        <f>IFERROR(__xludf.DUMMYFUNCTION("IMPORTRANGE(""https://docs.google.com/spreadsheets/d/1XL5vhW3sbDhbH9Cz0tuDiY8C3ctxq1tqvaCgkFb8cCA/edit?usp=sharing"",""มหาสารคาม!J318"")"),20.0)</f>
        <v>20</v>
      </c>
      <c r="K423" s="196">
        <f t="shared" si="114"/>
        <v>50</v>
      </c>
      <c r="L423" s="216"/>
      <c r="M423" s="216"/>
      <c r="N423" s="216"/>
      <c r="O423" s="216"/>
      <c r="P423" s="216"/>
    </row>
    <row r="424" ht="21.75" customHeight="1">
      <c r="A424" s="210"/>
      <c r="B424" s="211"/>
      <c r="C424" s="211"/>
      <c r="D424" s="228"/>
      <c r="E424" s="233"/>
      <c r="F424" s="230"/>
      <c r="G424" s="260" t="s">
        <v>154</v>
      </c>
      <c r="H424" s="215" t="s">
        <v>38</v>
      </c>
      <c r="I424" s="374">
        <f>IFERROR(__xludf.DUMMYFUNCTION("IMPORTRANGE(""https://docs.google.com/spreadsheets/d/1XL5vhW3sbDhbH9Cz0tuDiY8C3ctxq1tqvaCgkFb8cCA/edit?usp=sharing"",""มหาสารคาม!I319"")"),40.0)</f>
        <v>40</v>
      </c>
      <c r="J424" s="427" t="str">
        <f>IFERROR(__xludf.DUMMYFUNCTION("IMPORTRANGE(""https://docs.google.com/spreadsheets/d/1XL5vhW3sbDhbH9Cz0tuDiY8C3ctxq1tqvaCgkFb8cCA/edit?usp=sharing"",""มหาสารคาม!J319"")"),"")</f>
        <v/>
      </c>
      <c r="K424" s="196">
        <f t="shared" si="114"/>
        <v>0</v>
      </c>
      <c r="L424" s="216"/>
      <c r="M424" s="216"/>
      <c r="N424" s="216"/>
      <c r="O424" s="216"/>
      <c r="P424" s="216"/>
    </row>
    <row r="425" ht="21.75" customHeight="1">
      <c r="A425" s="210"/>
      <c r="B425" s="211"/>
      <c r="C425" s="211"/>
      <c r="D425" s="228"/>
      <c r="E425" s="233"/>
      <c r="F425" s="230"/>
      <c r="G425" s="260" t="s">
        <v>155</v>
      </c>
      <c r="H425" s="215" t="s">
        <v>38</v>
      </c>
      <c r="I425" s="374">
        <f>IFERROR(__xludf.DUMMYFUNCTION("IMPORTRANGE(""https://docs.google.com/spreadsheets/d/1XL5vhW3sbDhbH9Cz0tuDiY8C3ctxq1tqvaCgkFb8cCA/edit?usp=sharing"",""มหาสารคาม!I320"")"),40.0)</f>
        <v>40</v>
      </c>
      <c r="J425" s="427" t="str">
        <f>IFERROR(__xludf.DUMMYFUNCTION("IMPORTRANGE(""https://docs.google.com/spreadsheets/d/1XL5vhW3sbDhbH9Cz0tuDiY8C3ctxq1tqvaCgkFb8cCA/edit?usp=sharing"",""มหาสารคาม!J320"")"),"")</f>
        <v/>
      </c>
      <c r="K425" s="196">
        <f t="shared" si="114"/>
        <v>0</v>
      </c>
      <c r="L425" s="216"/>
      <c r="M425" s="216"/>
      <c r="N425" s="216"/>
      <c r="O425" s="216"/>
      <c r="P425" s="216"/>
    </row>
    <row r="426" ht="21.75" customHeight="1">
      <c r="A426" s="210"/>
      <c r="B426" s="211"/>
      <c r="C426" s="211"/>
      <c r="D426" s="228"/>
      <c r="E426" s="233"/>
      <c r="F426" s="432" t="s">
        <v>156</v>
      </c>
      <c r="G426" s="231"/>
      <c r="H426" s="234" t="s">
        <v>38</v>
      </c>
      <c r="I426" s="424">
        <f>IFERROR(__xludf.DUMMYFUNCTION("IMPORTRANGE(""https://docs.google.com/spreadsheets/d/1XL5vhW3sbDhbH9Cz0tuDiY8C3ctxq1tqvaCgkFb8cCA/edit?usp=sharing"",""มหาสารคาม!I321"")"),10.0)</f>
        <v>10</v>
      </c>
      <c r="J426" s="425">
        <f>IFERROR(__xludf.DUMMYFUNCTION("IMPORTRANGE(""https://docs.google.com/spreadsheets/d/1XL5vhW3sbDhbH9Cz0tuDiY8C3ctxq1tqvaCgkFb8cCA/edit?usp=sharing"",""มหาสารคาม!J321"")"),0.0)</f>
        <v>0</v>
      </c>
      <c r="K426" s="236">
        <f t="shared" si="114"/>
        <v>0</v>
      </c>
      <c r="L426" s="216"/>
      <c r="M426" s="216"/>
      <c r="N426" s="216"/>
      <c r="O426" s="216"/>
      <c r="P426" s="216"/>
    </row>
    <row r="427" ht="21.75" customHeight="1">
      <c r="A427" s="210"/>
      <c r="B427" s="211"/>
      <c r="C427" s="211"/>
      <c r="D427" s="228"/>
      <c r="E427" s="233"/>
      <c r="F427" s="230"/>
      <c r="G427" s="231"/>
      <c r="H427" s="234" t="s">
        <v>123</v>
      </c>
      <c r="I427" s="424">
        <f>IFERROR(__xludf.DUMMYFUNCTION("IMPORTRANGE(""https://docs.google.com/spreadsheets/d/1XL5vhW3sbDhbH9Cz0tuDiY8C3ctxq1tqvaCgkFb8cCA/edit?usp=sharing"",""มหาสารคาม!I322"")"),30.0)</f>
        <v>30</v>
      </c>
      <c r="J427" s="426">
        <f>IFERROR(__xludf.DUMMYFUNCTION("IMPORTRANGE(""https://docs.google.com/spreadsheets/d/1XL5vhW3sbDhbH9Cz0tuDiY8C3ctxq1tqvaCgkFb8cCA/edit?usp=sharing"",""มหาสารคาม!J322"")"),0.0)</f>
        <v>0</v>
      </c>
      <c r="K427" s="236">
        <f t="shared" si="114"/>
        <v>0</v>
      </c>
      <c r="L427" s="216"/>
      <c r="M427" s="216"/>
      <c r="N427" s="216"/>
      <c r="O427" s="216"/>
      <c r="P427" s="216"/>
    </row>
    <row r="428" ht="21.75" customHeight="1">
      <c r="A428" s="210"/>
      <c r="B428" s="211"/>
      <c r="C428" s="211"/>
      <c r="D428" s="228"/>
      <c r="E428" s="233"/>
      <c r="F428" s="230"/>
      <c r="G428" s="260" t="s">
        <v>157</v>
      </c>
      <c r="H428" s="215" t="s">
        <v>38</v>
      </c>
      <c r="I428" s="433">
        <f>IFERROR(__xludf.DUMMYFUNCTION("IMPORTRANGE(""https://docs.google.com/spreadsheets/d/1XL5vhW3sbDhbH9Cz0tuDiY8C3ctxq1tqvaCgkFb8cCA/edit?usp=sharing"",""มหาสารคาม!I323"")"),10.0)</f>
        <v>10</v>
      </c>
      <c r="J428" s="427">
        <f>IFERROR(__xludf.DUMMYFUNCTION("IMPORTRANGE(""https://docs.google.com/spreadsheets/d/1XL5vhW3sbDhbH9Cz0tuDiY8C3ctxq1tqvaCgkFb8cCA/edit?usp=sharing"",""มหาสารคาม!J323"")"),0.0)</f>
        <v>0</v>
      </c>
      <c r="K428" s="196">
        <f t="shared" si="114"/>
        <v>0</v>
      </c>
      <c r="L428" s="216"/>
      <c r="M428" s="216"/>
      <c r="N428" s="216"/>
      <c r="O428" s="216"/>
      <c r="P428" s="216"/>
    </row>
    <row r="429" ht="21.75" customHeight="1">
      <c r="A429" s="210"/>
      <c r="B429" s="211"/>
      <c r="C429" s="211"/>
      <c r="D429" s="228"/>
      <c r="E429" s="233"/>
      <c r="F429" s="230"/>
      <c r="G429" s="260" t="s">
        <v>158</v>
      </c>
      <c r="H429" s="215" t="s">
        <v>38</v>
      </c>
      <c r="I429" s="433">
        <f>IFERROR(__xludf.DUMMYFUNCTION("IMPORTRANGE(""https://docs.google.com/spreadsheets/d/1XL5vhW3sbDhbH9Cz0tuDiY8C3ctxq1tqvaCgkFb8cCA/edit?usp=sharing"",""มหาสารคาม!I324"")"),10.0)</f>
        <v>10</v>
      </c>
      <c r="J429" s="427">
        <f>IFERROR(__xludf.DUMMYFUNCTION("IMPORTRANGE(""https://docs.google.com/spreadsheets/d/1XL5vhW3sbDhbH9Cz0tuDiY8C3ctxq1tqvaCgkFb8cCA/edit?usp=sharing"",""มหาสารคาม!J324"")"),0.0)</f>
        <v>0</v>
      </c>
      <c r="K429" s="196">
        <f t="shared" si="114"/>
        <v>0</v>
      </c>
      <c r="L429" s="216"/>
      <c r="M429" s="216"/>
      <c r="N429" s="216"/>
      <c r="O429" s="216"/>
      <c r="P429" s="216"/>
    </row>
    <row r="430" ht="21.75" customHeight="1">
      <c r="A430" s="210"/>
      <c r="B430" s="211"/>
      <c r="C430" s="211"/>
      <c r="D430" s="228"/>
      <c r="E430" s="233"/>
      <c r="F430" s="229" t="s">
        <v>54</v>
      </c>
      <c r="G430" s="421"/>
      <c r="H430" s="434" t="s">
        <v>38</v>
      </c>
      <c r="I430" s="235">
        <f>IFERROR(__xludf.DUMMYFUNCTION("IMPORTRANGE(""https://docs.google.com/spreadsheets/d/1XL5vhW3sbDhbH9Cz0tuDiY8C3ctxq1tqvaCgkFb8cCA/edit?usp=sharing"",""มหาสารคาม!I325"")"),60.0)</f>
        <v>60</v>
      </c>
      <c r="J430" s="425">
        <f>IFERROR(__xludf.DUMMYFUNCTION("IMPORTRANGE(""https://docs.google.com/spreadsheets/d/1XL5vhW3sbDhbH9Cz0tuDiY8C3ctxq1tqvaCgkFb8cCA/edit?usp=sharing"",""มหาสารคาม!J325"")"),0.0)</f>
        <v>0</v>
      </c>
      <c r="K430" s="236">
        <f t="shared" si="114"/>
        <v>0</v>
      </c>
      <c r="L430" s="216"/>
      <c r="M430" s="216"/>
      <c r="N430" s="216"/>
      <c r="O430" s="216"/>
      <c r="P430" s="216"/>
    </row>
    <row r="431" ht="21.75" customHeight="1">
      <c r="A431" s="435"/>
      <c r="B431" s="436"/>
      <c r="C431" s="436"/>
      <c r="D431" s="437"/>
      <c r="E431" s="233"/>
      <c r="F431" s="230"/>
      <c r="G431" s="260" t="s">
        <v>159</v>
      </c>
      <c r="H431" s="215" t="s">
        <v>38</v>
      </c>
      <c r="I431" s="433">
        <f>IFERROR(__xludf.DUMMYFUNCTION("IMPORTRANGE(""https://docs.google.com/spreadsheets/d/1XL5vhW3sbDhbH9Cz0tuDiY8C3ctxq1tqvaCgkFb8cCA/edit?usp=sharing"",""มหาสารคาม!I326"")"),20.0)</f>
        <v>20</v>
      </c>
      <c r="J431" s="427">
        <f>IFERROR(__xludf.DUMMYFUNCTION("IMPORTRANGE(""https://docs.google.com/spreadsheets/d/1XL5vhW3sbDhbH9Cz0tuDiY8C3ctxq1tqvaCgkFb8cCA/edit?usp=sharing"",""มหาสารคาม!J326"")"),0.0)</f>
        <v>0</v>
      </c>
      <c r="K431" s="196">
        <f t="shared" si="114"/>
        <v>0</v>
      </c>
      <c r="L431" s="216"/>
      <c r="M431" s="216"/>
      <c r="N431" s="216"/>
      <c r="O431" s="216"/>
      <c r="P431" s="216"/>
    </row>
    <row r="432" ht="21.75" customHeight="1">
      <c r="A432" s="435"/>
      <c r="B432" s="436"/>
      <c r="C432" s="436"/>
      <c r="D432" s="437"/>
      <c r="E432" s="233"/>
      <c r="F432" s="230"/>
      <c r="G432" s="260" t="s">
        <v>160</v>
      </c>
      <c r="H432" s="215" t="s">
        <v>38</v>
      </c>
      <c r="I432" s="433">
        <f>IFERROR(__xludf.DUMMYFUNCTION("IMPORTRANGE(""https://docs.google.com/spreadsheets/d/1XL5vhW3sbDhbH9Cz0tuDiY8C3ctxq1tqvaCgkFb8cCA/edit?usp=sharing"",""มหาสารคาม!I327"")"),40.0)</f>
        <v>40</v>
      </c>
      <c r="J432" s="427">
        <f>IFERROR(__xludf.DUMMYFUNCTION("IMPORTRANGE(""https://docs.google.com/spreadsheets/d/1XL5vhW3sbDhbH9Cz0tuDiY8C3ctxq1tqvaCgkFb8cCA/edit?usp=sharing"",""มหาสารคาม!J327"")"),0.0)</f>
        <v>0</v>
      </c>
      <c r="K432" s="196">
        <f t="shared" si="114"/>
        <v>0</v>
      </c>
      <c r="L432" s="216"/>
      <c r="M432" s="216"/>
      <c r="N432" s="216"/>
      <c r="O432" s="216"/>
      <c r="P432" s="216"/>
    </row>
    <row r="433" ht="21.75" customHeight="1">
      <c r="A433" s="210"/>
      <c r="B433" s="211"/>
      <c r="C433" s="211"/>
      <c r="D433" s="228"/>
      <c r="E433" s="229" t="s">
        <v>55</v>
      </c>
      <c r="F433" s="230"/>
      <c r="G433" s="231"/>
      <c r="H433" s="221"/>
      <c r="I433" s="222"/>
      <c r="J433" s="232">
        <f>IFERROR(__xludf.DUMMYFUNCTION("IMPORTRANGE(""https://docs.google.com/spreadsheets/d/1XL5vhW3sbDhbH9Cz0tuDiY8C3ctxq1tqvaCgkFb8cCA/edit?usp=sharing"",""มหาสารคาม!J328"")"),0.0)</f>
        <v>0</v>
      </c>
      <c r="K433" s="196"/>
      <c r="L433" s="216"/>
      <c r="M433" s="216"/>
      <c r="N433" s="216"/>
      <c r="O433" s="216"/>
      <c r="P433" s="216"/>
    </row>
    <row r="434" ht="21.75" customHeight="1">
      <c r="A434" s="210"/>
      <c r="B434" s="211"/>
      <c r="C434" s="211"/>
      <c r="D434" s="240">
        <v>3.0</v>
      </c>
      <c r="E434" s="241" t="s">
        <v>56</v>
      </c>
      <c r="F434" s="242"/>
      <c r="G434" s="243"/>
      <c r="H434" s="221"/>
      <c r="I434" s="222"/>
      <c r="J434" s="244">
        <f>IFERROR(__xludf.DUMMYFUNCTION("IMPORTRANGE(""https://docs.google.com/spreadsheets/d/1XL5vhW3sbDhbH9Cz0tuDiY8C3ctxq1tqvaCgkFb8cCA/edit?usp=sharing"",""มหาสารคาม!J329"")"),0.0)</f>
        <v>0</v>
      </c>
      <c r="K434" s="196"/>
      <c r="L434" s="216"/>
      <c r="M434" s="216"/>
      <c r="N434" s="216"/>
      <c r="O434" s="216"/>
      <c r="P434" s="216"/>
    </row>
    <row r="435" ht="21.75" customHeight="1">
      <c r="A435" s="438"/>
      <c r="B435" s="439">
        <v>4.0</v>
      </c>
      <c r="C435" s="439" t="s">
        <v>161</v>
      </c>
      <c r="D435" s="440"/>
      <c r="E435" s="440"/>
      <c r="F435" s="440"/>
      <c r="G435" s="441"/>
      <c r="H435" s="442" t="s">
        <v>38</v>
      </c>
      <c r="I435" s="443">
        <f>IFERROR(__xludf.DUMMYFUNCTION("IMPORTRANGE(""https://docs.google.com/spreadsheets/d/1XL5vhW3sbDhbH9Cz0tuDiY8C3ctxq1tqvaCgkFb8cCA/edit?usp=sharing"",""มหาสารคาม!I330"")"),21.0)</f>
        <v>21</v>
      </c>
      <c r="J435" s="443">
        <f>IFERROR(__xludf.DUMMYFUNCTION("IMPORTRANGE(""https://docs.google.com/spreadsheets/d/1XL5vhW3sbDhbH9Cz0tuDiY8C3ctxq1tqvaCgkFb8cCA/edit?usp=sharing"",""มหาสารคาม!J330"")"),0.0)</f>
        <v>0</v>
      </c>
      <c r="K435" s="444">
        <f>IF(I435&gt;0,J435*100/I435,0)</f>
        <v>0</v>
      </c>
      <c r="L435" s="445">
        <f>IFERROR(__xludf.DUMMYFUNCTION("IMPORTRANGE(""https://docs.google.com/spreadsheets/d/1XL5vhW3sbDhbH9Cz0tuDiY8C3ctxq1tqvaCgkFb8cCA/edit?usp=sharing"",""มหาสารคาม!L330"")"),96000.0)</f>
        <v>96000</v>
      </c>
      <c r="M435" s="445"/>
      <c r="N435" s="445">
        <f>IFERROR(__xludf.DUMMYFUNCTION("IMPORTRANGE(""https://docs.google.com/spreadsheets/d/1XL5vhW3sbDhbH9Cz0tuDiY8C3ctxq1tqvaCgkFb8cCA/edit?usp=sharing"",""มหาสารคาม!M330"")"),0.0)</f>
        <v>0</v>
      </c>
      <c r="O435" s="445">
        <f t="shared" ref="O435:O439" si="115">+IF(L435&gt;0,N435*100/L435,0)</f>
        <v>0</v>
      </c>
      <c r="P435" s="445"/>
    </row>
    <row r="436" ht="21.75" customHeight="1">
      <c r="A436" s="189"/>
      <c r="B436" s="190"/>
      <c r="C436" s="190" t="s">
        <v>17</v>
      </c>
      <c r="D436" s="191" t="s">
        <v>39</v>
      </c>
      <c r="E436" s="192"/>
      <c r="F436" s="192"/>
      <c r="G436" s="193" t="s">
        <v>40</v>
      </c>
      <c r="H436" s="194" t="s">
        <v>13</v>
      </c>
      <c r="I436" s="195" t="s">
        <v>41</v>
      </c>
      <c r="J436" s="195"/>
      <c r="K436" s="196"/>
      <c r="L436" s="197">
        <f>IFERROR(__xludf.DUMMYFUNCTION("IMPORTRANGE(""https://docs.google.com/spreadsheets/d/1XL5vhW3sbDhbH9Cz0tuDiY8C3ctxq1tqvaCgkFb8cCA/edit?usp=sharing"",""มหาสารคาม!L331"")"),0.0)</f>
        <v>0</v>
      </c>
      <c r="M436" s="197"/>
      <c r="N436" s="203">
        <f>IFERROR(__xludf.DUMMYFUNCTION("IMPORTRANGE(""https://docs.google.com/spreadsheets/d/1XL5vhW3sbDhbH9Cz0tuDiY8C3ctxq1tqvaCgkFb8cCA/edit?usp=sharing"",""มหาสารคาม!M331"")"),0.0)</f>
        <v>0</v>
      </c>
      <c r="O436" s="203">
        <f t="shared" si="115"/>
        <v>0</v>
      </c>
      <c r="P436" s="203"/>
    </row>
    <row r="437" ht="21.75" customHeight="1">
      <c r="A437" s="189"/>
      <c r="B437" s="190"/>
      <c r="C437" s="190"/>
      <c r="D437" s="199"/>
      <c r="E437" s="192"/>
      <c r="F437" s="192" t="s">
        <v>41</v>
      </c>
      <c r="G437" s="193" t="s">
        <v>42</v>
      </c>
      <c r="H437" s="194" t="s">
        <v>13</v>
      </c>
      <c r="I437" s="195"/>
      <c r="J437" s="195"/>
      <c r="K437" s="196"/>
      <c r="L437" s="198">
        <f>IFERROR(__xludf.DUMMYFUNCTION("IMPORTRANGE(""https://docs.google.com/spreadsheets/d/1XL5vhW3sbDhbH9Cz0tuDiY8C3ctxq1tqvaCgkFb8cCA/edit?usp=sharing"",""มหาสารคาม!L332"")"),96000.0)</f>
        <v>96000</v>
      </c>
      <c r="M437" s="198"/>
      <c r="N437" s="203">
        <f>IFERROR(__xludf.DUMMYFUNCTION("IMPORTRANGE(""https://docs.google.com/spreadsheets/d/1XL5vhW3sbDhbH9Cz0tuDiY8C3ctxq1tqvaCgkFb8cCA/edit?usp=sharing"",""มหาสารคาม!M332"")"),0.0)</f>
        <v>0</v>
      </c>
      <c r="O437" s="203">
        <f t="shared" si="115"/>
        <v>0</v>
      </c>
      <c r="P437" s="203"/>
    </row>
    <row r="438" ht="21.75" customHeight="1">
      <c r="A438" s="189"/>
      <c r="B438" s="190"/>
      <c r="C438" s="190"/>
      <c r="D438" s="199"/>
      <c r="E438" s="192"/>
      <c r="F438" s="192"/>
      <c r="G438" s="407" t="s">
        <v>130</v>
      </c>
      <c r="H438" s="194" t="s">
        <v>13</v>
      </c>
      <c r="I438" s="195"/>
      <c r="J438" s="195"/>
      <c r="K438" s="196"/>
      <c r="L438" s="203">
        <f>IFERROR(__xludf.DUMMYFUNCTION("IMPORTRANGE(""https://docs.google.com/spreadsheets/d/1XL5vhW3sbDhbH9Cz0tuDiY8C3ctxq1tqvaCgkFb8cCA/edit?usp=sharing"",""มหาสารคาม!L333"")"),0.0)</f>
        <v>0</v>
      </c>
      <c r="M438" s="203"/>
      <c r="N438" s="203">
        <f>IFERROR(__xludf.DUMMYFUNCTION("IMPORTRANGE(""https://docs.google.com/spreadsheets/d/1XL5vhW3sbDhbH9Cz0tuDiY8C3ctxq1tqvaCgkFb8cCA/edit?usp=sharing"",""มหาสารคาม!M333"")"),0.0)</f>
        <v>0</v>
      </c>
      <c r="O438" s="203">
        <f t="shared" si="115"/>
        <v>0</v>
      </c>
      <c r="P438" s="203"/>
    </row>
    <row r="439" ht="21.75" customHeight="1">
      <c r="A439" s="189"/>
      <c r="B439" s="190"/>
      <c r="C439" s="190"/>
      <c r="D439" s="199"/>
      <c r="E439" s="192"/>
      <c r="F439" s="192"/>
      <c r="G439" s="407" t="s">
        <v>131</v>
      </c>
      <c r="H439" s="194" t="s">
        <v>13</v>
      </c>
      <c r="I439" s="195"/>
      <c r="J439" s="195"/>
      <c r="K439" s="196"/>
      <c r="L439" s="203">
        <f>IFERROR(__xludf.DUMMYFUNCTION("IMPORTRANGE(""https://docs.google.com/spreadsheets/d/1XL5vhW3sbDhbH9Cz0tuDiY8C3ctxq1tqvaCgkFb8cCA/edit?usp=sharing"",""มหาสารคาม!L334"")"),96000.0)</f>
        <v>96000</v>
      </c>
      <c r="M439" s="203"/>
      <c r="N439" s="203">
        <f>IFERROR(__xludf.DUMMYFUNCTION("IMPORTRANGE(""https://docs.google.com/spreadsheets/d/1XL5vhW3sbDhbH9Cz0tuDiY8C3ctxq1tqvaCgkFb8cCA/edit?usp=sharing"",""มหาสารคาม!M334"")"),0.0)</f>
        <v>0</v>
      </c>
      <c r="O439" s="203">
        <f t="shared" si="115"/>
        <v>0</v>
      </c>
      <c r="P439" s="203"/>
    </row>
    <row r="440" ht="21.75" customHeight="1">
      <c r="A440" s="408"/>
      <c r="B440" s="409"/>
      <c r="C440" s="190"/>
      <c r="D440" s="410"/>
      <c r="E440" s="192"/>
      <c r="F440" s="192"/>
      <c r="G440" s="411" t="s">
        <v>132</v>
      </c>
      <c r="H440" s="194" t="s">
        <v>13</v>
      </c>
      <c r="I440" s="222"/>
      <c r="J440" s="222"/>
      <c r="K440" s="258"/>
      <c r="L440" s="203"/>
      <c r="M440" s="203"/>
      <c r="N440" s="412">
        <f>IFERROR(__xludf.DUMMYFUNCTION("IMPORTRANGE(""https://docs.google.com/spreadsheets/d/1XL5vhW3sbDhbH9Cz0tuDiY8C3ctxq1tqvaCgkFb8cCA/edit?usp=sharing"",""มหาสารคาม!M335"")"),0.0)</f>
        <v>0</v>
      </c>
      <c r="O440" s="203"/>
      <c r="P440" s="203"/>
    </row>
    <row r="441" ht="21.75" customHeight="1">
      <c r="A441" s="408"/>
      <c r="B441" s="409"/>
      <c r="C441" s="190"/>
      <c r="D441" s="410"/>
      <c r="E441" s="192"/>
      <c r="F441" s="192"/>
      <c r="G441" s="411" t="s">
        <v>133</v>
      </c>
      <c r="H441" s="194" t="s">
        <v>13</v>
      </c>
      <c r="I441" s="222"/>
      <c r="J441" s="222"/>
      <c r="K441" s="258"/>
      <c r="L441" s="203"/>
      <c r="M441" s="203"/>
      <c r="N441" s="412">
        <f>IFERROR(__xludf.DUMMYFUNCTION("IMPORTRANGE(""https://docs.google.com/spreadsheets/d/1XL5vhW3sbDhbH9Cz0tuDiY8C3ctxq1tqvaCgkFb8cCA/edit?usp=sharing"",""มหาสารคาม!M336"")"),0.0)</f>
        <v>0</v>
      </c>
      <c r="O441" s="203"/>
      <c r="P441" s="203"/>
    </row>
    <row r="442" ht="21.75" customHeight="1">
      <c r="A442" s="408"/>
      <c r="B442" s="409"/>
      <c r="C442" s="190"/>
      <c r="D442" s="410"/>
      <c r="E442" s="192"/>
      <c r="F442" s="192"/>
      <c r="G442" s="411" t="s">
        <v>134</v>
      </c>
      <c r="H442" s="194" t="s">
        <v>13</v>
      </c>
      <c r="I442" s="222"/>
      <c r="J442" s="222"/>
      <c r="K442" s="258"/>
      <c r="L442" s="203"/>
      <c r="M442" s="203"/>
      <c r="N442" s="412">
        <f>IFERROR(__xludf.DUMMYFUNCTION("IMPORTRANGE(""https://docs.google.com/spreadsheets/d/1XL5vhW3sbDhbH9Cz0tuDiY8C3ctxq1tqvaCgkFb8cCA/edit?usp=sharing"",""มหาสารคาม!M337"")"),0.0)</f>
        <v>0</v>
      </c>
      <c r="O442" s="203"/>
      <c r="P442" s="203"/>
    </row>
    <row r="443" ht="21.75" customHeight="1">
      <c r="A443" s="408"/>
      <c r="B443" s="409"/>
      <c r="C443" s="190"/>
      <c r="D443" s="410"/>
      <c r="E443" s="192"/>
      <c r="F443" s="192"/>
      <c r="G443" s="411" t="s">
        <v>135</v>
      </c>
      <c r="H443" s="194" t="s">
        <v>13</v>
      </c>
      <c r="I443" s="222"/>
      <c r="J443" s="222"/>
      <c r="K443" s="258"/>
      <c r="L443" s="203"/>
      <c r="M443" s="203"/>
      <c r="N443" s="412">
        <f>IFERROR(__xludf.DUMMYFUNCTION("IMPORTRANGE(""https://docs.google.com/spreadsheets/d/1XL5vhW3sbDhbH9Cz0tuDiY8C3ctxq1tqvaCgkFb8cCA/edit?usp=sharing"",""มหาสารคาม!M338"")"),0.0)</f>
        <v>0</v>
      </c>
      <c r="O443" s="203"/>
      <c r="P443" s="203"/>
    </row>
    <row r="444" ht="21.75" customHeight="1">
      <c r="A444" s="210"/>
      <c r="B444" s="211"/>
      <c r="C444" s="190" t="s">
        <v>17</v>
      </c>
      <c r="D444" s="212" t="s">
        <v>45</v>
      </c>
      <c r="E444" s="213"/>
      <c r="F444" s="213"/>
      <c r="G444" s="214"/>
      <c r="H444" s="215"/>
      <c r="I444" s="195"/>
      <c r="J444" s="195"/>
      <c r="K444" s="196"/>
      <c r="L444" s="216"/>
      <c r="M444" s="216"/>
      <c r="N444" s="216"/>
      <c r="O444" s="216"/>
      <c r="P444" s="216"/>
    </row>
    <row r="445" ht="21.75" customHeight="1">
      <c r="A445" s="210"/>
      <c r="B445" s="211"/>
      <c r="C445" s="211"/>
      <c r="D445" s="217">
        <v>1.0</v>
      </c>
      <c r="E445" s="218" t="s">
        <v>46</v>
      </c>
      <c r="F445" s="219"/>
      <c r="G445" s="220"/>
      <c r="H445" s="221"/>
      <c r="I445" s="222"/>
      <c r="J445" s="244">
        <f>IFERROR(__xludf.DUMMYFUNCTION("IMPORTRANGE(""https://docs.google.com/spreadsheets/d/1XL5vhW3sbDhbH9Cz0tuDiY8C3ctxq1tqvaCgkFb8cCA/edit?usp=sharing"",""มหาสารคาม!J340"")"),0.0)</f>
        <v>0</v>
      </c>
      <c r="K445" s="196"/>
      <c r="L445" s="216"/>
      <c r="M445" s="216"/>
      <c r="N445" s="216"/>
      <c r="O445" s="216"/>
      <c r="P445" s="216"/>
    </row>
    <row r="446" ht="21.75" customHeight="1">
      <c r="A446" s="210"/>
      <c r="B446" s="211"/>
      <c r="C446" s="211"/>
      <c r="D446" s="224">
        <v>2.0</v>
      </c>
      <c r="E446" s="225" t="s">
        <v>47</v>
      </c>
      <c r="F446" s="226"/>
      <c r="G446" s="227"/>
      <c r="H446" s="221"/>
      <c r="I446" s="222"/>
      <c r="J446" s="446">
        <f>IFERROR(__xludf.DUMMYFUNCTION("IMPORTRANGE(""https://docs.google.com/spreadsheets/d/1XL5vhW3sbDhbH9Cz0tuDiY8C3ctxq1tqvaCgkFb8cCA/edit?usp=sharing"",""มหาสารคาม!J341"")"),1.0)</f>
        <v>1</v>
      </c>
      <c r="K446" s="196"/>
      <c r="L446" s="216" t="s">
        <v>41</v>
      </c>
      <c r="M446" s="216"/>
      <c r="N446" s="216" t="s">
        <v>41</v>
      </c>
      <c r="O446" s="216"/>
      <c r="P446" s="216"/>
    </row>
    <row r="447" ht="21.75" customHeight="1">
      <c r="A447" s="210"/>
      <c r="B447" s="211"/>
      <c r="C447" s="211"/>
      <c r="D447" s="228"/>
      <c r="E447" s="229" t="s">
        <v>162</v>
      </c>
      <c r="F447" s="230"/>
      <c r="G447" s="231"/>
      <c r="H447" s="221"/>
      <c r="I447" s="222"/>
      <c r="J447" s="223">
        <f>IFERROR(__xludf.DUMMYFUNCTION("IMPORTRANGE(""https://docs.google.com/spreadsheets/d/1XL5vhW3sbDhbH9Cz0tuDiY8C3ctxq1tqvaCgkFb8cCA/edit?usp=sharing"",""มหาสารคาม!J342"")"),1.0)</f>
        <v>1</v>
      </c>
      <c r="K447" s="196"/>
      <c r="L447" s="216"/>
      <c r="M447" s="216"/>
      <c r="N447" s="216"/>
      <c r="O447" s="216"/>
      <c r="P447" s="216"/>
    </row>
    <row r="448" ht="21.75" customHeight="1">
      <c r="A448" s="210"/>
      <c r="B448" s="211"/>
      <c r="C448" s="211"/>
      <c r="D448" s="228"/>
      <c r="E448" s="229" t="s">
        <v>49</v>
      </c>
      <c r="F448" s="230"/>
      <c r="G448" s="231"/>
      <c r="H448" s="221"/>
      <c r="I448" s="222"/>
      <c r="J448" s="223">
        <f>IFERROR(__xludf.DUMMYFUNCTION("IMPORTRANGE(""https://docs.google.com/spreadsheets/d/1XL5vhW3sbDhbH9Cz0tuDiY8C3ctxq1tqvaCgkFb8cCA/edit?usp=sharing"",""มหาสารคาม!J343"")"),1.0)</f>
        <v>1</v>
      </c>
      <c r="K448" s="196"/>
      <c r="L448" s="216"/>
      <c r="M448" s="216"/>
      <c r="N448" s="216"/>
      <c r="O448" s="216"/>
      <c r="P448" s="216"/>
    </row>
    <row r="449" ht="21.75" customHeight="1">
      <c r="A449" s="210"/>
      <c r="B449" s="211"/>
      <c r="C449" s="211"/>
      <c r="D449" s="228"/>
      <c r="E449" s="233"/>
      <c r="F449" s="447" t="s">
        <v>102</v>
      </c>
      <c r="G449" s="231"/>
      <c r="H449" s="221" t="s">
        <v>38</v>
      </c>
      <c r="I449" s="424">
        <f>IFERROR(__xludf.DUMMYFUNCTION("IMPORTRANGE(""https://docs.google.com/spreadsheets/d/1XL5vhW3sbDhbH9Cz0tuDiY8C3ctxq1tqvaCgkFb8cCA/edit?usp=sharing"",""มหาสารคาม!I344"")"),21.0)</f>
        <v>21</v>
      </c>
      <c r="J449" s="235">
        <f>IFERROR(__xludf.DUMMYFUNCTION("IMPORTRANGE(""https://docs.google.com/spreadsheets/d/1XL5vhW3sbDhbH9Cz0tuDiY8C3ctxq1tqvaCgkFb8cCA/edit?usp=sharing"",""มหาสารคาม!J344"")"),0.0)</f>
        <v>0</v>
      </c>
      <c r="K449" s="196">
        <f t="shared" ref="K449:K452" si="116">IF(I449&gt;0,J449*100/I449,0)</f>
        <v>0</v>
      </c>
      <c r="L449" s="216"/>
      <c r="M449" s="216"/>
      <c r="N449" s="216"/>
      <c r="O449" s="216"/>
      <c r="P449" s="216"/>
    </row>
    <row r="450" ht="21.75" customHeight="1">
      <c r="A450" s="210"/>
      <c r="B450" s="211"/>
      <c r="C450" s="211"/>
      <c r="D450" s="228"/>
      <c r="E450" s="233"/>
      <c r="F450" s="230"/>
      <c r="G450" s="260" t="s">
        <v>163</v>
      </c>
      <c r="H450" s="221" t="s">
        <v>38</v>
      </c>
      <c r="I450" s="374">
        <f>IFERROR(__xludf.DUMMYFUNCTION("IMPORTRANGE(""https://docs.google.com/spreadsheets/d/1XL5vhW3sbDhbH9Cz0tuDiY8C3ctxq1tqvaCgkFb8cCA/edit?usp=sharing"",""มหาสารคาม!I345"")"),21.0)</f>
        <v>21</v>
      </c>
      <c r="J450" s="223">
        <f>IFERROR(__xludf.DUMMYFUNCTION("IMPORTRANGE(""https://docs.google.com/spreadsheets/d/1XL5vhW3sbDhbH9Cz0tuDiY8C3ctxq1tqvaCgkFb8cCA/edit?usp=sharing"",""มหาสารคาม!J345"")"),0.0)</f>
        <v>0</v>
      </c>
      <c r="K450" s="196">
        <f t="shared" si="116"/>
        <v>0</v>
      </c>
      <c r="L450" s="216"/>
      <c r="M450" s="216"/>
      <c r="N450" s="216"/>
      <c r="O450" s="216"/>
      <c r="P450" s="216"/>
    </row>
    <row r="451" ht="21.75" customHeight="1">
      <c r="A451" s="210"/>
      <c r="B451" s="211"/>
      <c r="C451" s="211"/>
      <c r="D451" s="228"/>
      <c r="E451" s="233"/>
      <c r="F451" s="230"/>
      <c r="G451" s="314" t="s">
        <v>164</v>
      </c>
      <c r="H451" s="221" t="s">
        <v>38</v>
      </c>
      <c r="I451" s="374">
        <f>IFERROR(__xludf.DUMMYFUNCTION("IMPORTRANGE(""https://docs.google.com/spreadsheets/d/1XL5vhW3sbDhbH9Cz0tuDiY8C3ctxq1tqvaCgkFb8cCA/edit?usp=sharing"",""มหาสารคาม!I346"")"),0.0)</f>
        <v>0</v>
      </c>
      <c r="J451" s="222">
        <f>IFERROR(__xludf.DUMMYFUNCTION("IMPORTRANGE(""https://docs.google.com/spreadsheets/d/1XL5vhW3sbDhbH9Cz0tuDiY8C3ctxq1tqvaCgkFb8cCA/edit?usp=sharing"",""มหาสารคาม!J346"")"),0.0)</f>
        <v>0</v>
      </c>
      <c r="K451" s="196">
        <f t="shared" si="116"/>
        <v>0</v>
      </c>
      <c r="L451" s="216"/>
      <c r="M451" s="216"/>
      <c r="N451" s="216"/>
      <c r="O451" s="216"/>
      <c r="P451" s="216"/>
    </row>
    <row r="452" ht="21.75" customHeight="1">
      <c r="A452" s="210"/>
      <c r="B452" s="211"/>
      <c r="C452" s="211"/>
      <c r="D452" s="228"/>
      <c r="E452" s="233"/>
      <c r="F452" s="230"/>
      <c r="G452" s="231" t="s">
        <v>165</v>
      </c>
      <c r="H452" s="221" t="s">
        <v>38</v>
      </c>
      <c r="I452" s="222">
        <f>IFERROR(__xludf.DUMMYFUNCTION("IMPORTRANGE(""https://docs.google.com/spreadsheets/d/1XL5vhW3sbDhbH9Cz0tuDiY8C3ctxq1tqvaCgkFb8cCA/edit?usp=sharing"",""มหาสารคาม!I347"")"),0.0)</f>
        <v>0</v>
      </c>
      <c r="J452" s="222">
        <f>IFERROR(__xludf.DUMMYFUNCTION("IMPORTRANGE(""https://docs.google.com/spreadsheets/d/1XL5vhW3sbDhbH9Cz0tuDiY8C3ctxq1tqvaCgkFb8cCA/edit?usp=sharing"",""มหาสารคาม!J347"")"),0.0)</f>
        <v>0</v>
      </c>
      <c r="K452" s="196">
        <f t="shared" si="116"/>
        <v>0</v>
      </c>
      <c r="L452" s="216"/>
      <c r="M452" s="216"/>
      <c r="N452" s="216"/>
      <c r="O452" s="216"/>
      <c r="P452" s="216"/>
    </row>
    <row r="453" ht="21.75" customHeight="1">
      <c r="A453" s="210"/>
      <c r="B453" s="211"/>
      <c r="C453" s="211"/>
      <c r="D453" s="228"/>
      <c r="E453" s="229" t="s">
        <v>55</v>
      </c>
      <c r="F453" s="230"/>
      <c r="G453" s="231"/>
      <c r="H453" s="221"/>
      <c r="I453" s="222"/>
      <c r="J453" s="232">
        <f>IFERROR(__xludf.DUMMYFUNCTION("IMPORTRANGE(""https://docs.google.com/spreadsheets/d/1XL5vhW3sbDhbH9Cz0tuDiY8C3ctxq1tqvaCgkFb8cCA/edit?usp=sharing"",""มหาสารคาม!J348"")"),0.0)</f>
        <v>0</v>
      </c>
      <c r="K453" s="196"/>
      <c r="L453" s="216"/>
      <c r="M453" s="216"/>
      <c r="N453" s="216"/>
      <c r="O453" s="216"/>
      <c r="P453" s="216"/>
    </row>
    <row r="454" ht="21.75" customHeight="1">
      <c r="A454" s="210"/>
      <c r="B454" s="211"/>
      <c r="C454" s="211"/>
      <c r="D454" s="240">
        <v>3.0</v>
      </c>
      <c r="E454" s="241" t="s">
        <v>56</v>
      </c>
      <c r="F454" s="242"/>
      <c r="G454" s="243"/>
      <c r="H454" s="221"/>
      <c r="I454" s="222"/>
      <c r="J454" s="244">
        <f>IFERROR(__xludf.DUMMYFUNCTION("IMPORTRANGE(""https://docs.google.com/spreadsheets/d/1XL5vhW3sbDhbH9Cz0tuDiY8C3ctxq1tqvaCgkFb8cCA/edit?usp=sharing"",""มหาสารคาม!J349"")"),0.0)</f>
        <v>0</v>
      </c>
      <c r="K454" s="196"/>
      <c r="L454" s="216"/>
      <c r="M454" s="216"/>
      <c r="N454" s="216"/>
      <c r="O454" s="216"/>
      <c r="P454" s="216"/>
    </row>
    <row r="455" ht="21.75" customHeight="1">
      <c r="A455" s="399"/>
      <c r="B455" s="400">
        <v>5.0</v>
      </c>
      <c r="C455" s="401" t="s">
        <v>166</v>
      </c>
      <c r="D455" s="401"/>
      <c r="E455" s="401"/>
      <c r="F455" s="401"/>
      <c r="G455" s="402"/>
      <c r="H455" s="403" t="s">
        <v>123</v>
      </c>
      <c r="I455" s="404">
        <f>IFERROR(__xludf.DUMMYFUNCTION("IMPORTRANGE(""https://docs.google.com/spreadsheets/d/1XL5vhW3sbDhbH9Cz0tuDiY8C3ctxq1tqvaCgkFb8cCA/edit?usp=sharing"",""มหาสารคาม!I350"")"),23588.0)</f>
        <v>23588</v>
      </c>
      <c r="J455" s="404">
        <f>IFERROR(__xludf.DUMMYFUNCTION("IMPORTRANGE(""https://docs.google.com/spreadsheets/d/1XL5vhW3sbDhbH9Cz0tuDiY8C3ctxq1tqvaCgkFb8cCA/edit?usp=sharing"",""มหาสารคาม!J350"")"),0.0)</f>
        <v>0</v>
      </c>
      <c r="K455" s="405">
        <f>IF(I455&gt;0,J455*100/I455,0)</f>
        <v>0</v>
      </c>
      <c r="L455" s="406">
        <f>IFERROR(__xludf.DUMMYFUNCTION("IMPORTRANGE(""https://docs.google.com/spreadsheets/d/1XL5vhW3sbDhbH9Cz0tuDiY8C3ctxq1tqvaCgkFb8cCA/edit?usp=sharing"",""มหาสารคาม!L350"")"),209637.0)</f>
        <v>209637</v>
      </c>
      <c r="M455" s="406"/>
      <c r="N455" s="406">
        <f>IFERROR(__xludf.DUMMYFUNCTION("IMPORTRANGE(""https://docs.google.com/spreadsheets/d/1XL5vhW3sbDhbH9Cz0tuDiY8C3ctxq1tqvaCgkFb8cCA/edit?usp=sharing"",""มหาสารคาม!M350"")"),0.0)</f>
        <v>0</v>
      </c>
      <c r="O455" s="406">
        <f t="shared" ref="O455:O459" si="117">+IF(L455&gt;0,N455*100/L455,0)</f>
        <v>0</v>
      </c>
      <c r="P455" s="406"/>
    </row>
    <row r="456" ht="21.75" customHeight="1">
      <c r="A456" s="189"/>
      <c r="B456" s="190"/>
      <c r="C456" s="190" t="s">
        <v>17</v>
      </c>
      <c r="D456" s="191" t="s">
        <v>39</v>
      </c>
      <c r="E456" s="192"/>
      <c r="F456" s="192"/>
      <c r="G456" s="193" t="s">
        <v>40</v>
      </c>
      <c r="H456" s="194" t="s">
        <v>13</v>
      </c>
      <c r="I456" s="195" t="s">
        <v>41</v>
      </c>
      <c r="J456" s="195"/>
      <c r="K456" s="196"/>
      <c r="L456" s="197">
        <f>IFERROR(__xludf.DUMMYFUNCTION("IMPORTRANGE(""https://docs.google.com/spreadsheets/d/1XL5vhW3sbDhbH9Cz0tuDiY8C3ctxq1tqvaCgkFb8cCA/edit?usp=sharing"",""มหาสารคาม!L351"")"),0.0)</f>
        <v>0</v>
      </c>
      <c r="M456" s="197"/>
      <c r="N456" s="203">
        <f>IFERROR(__xludf.DUMMYFUNCTION("IMPORTRANGE(""https://docs.google.com/spreadsheets/d/1XL5vhW3sbDhbH9Cz0tuDiY8C3ctxq1tqvaCgkFb8cCA/edit?usp=sharing"",""มหาสารคาม!M351"")"),0.0)</f>
        <v>0</v>
      </c>
      <c r="O456" s="203">
        <f t="shared" si="117"/>
        <v>0</v>
      </c>
      <c r="P456" s="203"/>
    </row>
    <row r="457" ht="21.75" customHeight="1">
      <c r="A457" s="189"/>
      <c r="B457" s="190"/>
      <c r="C457" s="190"/>
      <c r="D457" s="199"/>
      <c r="E457" s="192"/>
      <c r="F457" s="192" t="s">
        <v>41</v>
      </c>
      <c r="G457" s="193" t="s">
        <v>42</v>
      </c>
      <c r="H457" s="194" t="s">
        <v>13</v>
      </c>
      <c r="I457" s="195"/>
      <c r="J457" s="195"/>
      <c r="K457" s="196"/>
      <c r="L457" s="198">
        <f>IFERROR(__xludf.DUMMYFUNCTION("IMPORTRANGE(""https://docs.google.com/spreadsheets/d/1XL5vhW3sbDhbH9Cz0tuDiY8C3ctxq1tqvaCgkFb8cCA/edit?usp=sharing"",""มหาสารคาม!L352"")"),209637.0)</f>
        <v>209637</v>
      </c>
      <c r="M457" s="198"/>
      <c r="N457" s="203">
        <f>IFERROR(__xludf.DUMMYFUNCTION("IMPORTRANGE(""https://docs.google.com/spreadsheets/d/1XL5vhW3sbDhbH9Cz0tuDiY8C3ctxq1tqvaCgkFb8cCA/edit?usp=sharing"",""มหาสารคาม!M352"")"),0.0)</f>
        <v>0</v>
      </c>
      <c r="O457" s="203">
        <f t="shared" si="117"/>
        <v>0</v>
      </c>
      <c r="P457" s="203"/>
    </row>
    <row r="458" ht="21.75" customHeight="1">
      <c r="A458" s="189"/>
      <c r="B458" s="190"/>
      <c r="C458" s="190"/>
      <c r="D458" s="199"/>
      <c r="E458" s="192"/>
      <c r="F458" s="192"/>
      <c r="G458" s="407" t="s">
        <v>130</v>
      </c>
      <c r="H458" s="194" t="s">
        <v>13</v>
      </c>
      <c r="I458" s="195"/>
      <c r="J458" s="195"/>
      <c r="K458" s="196"/>
      <c r="L458" s="203">
        <f>IFERROR(__xludf.DUMMYFUNCTION("IMPORTRANGE(""https://docs.google.com/spreadsheets/d/1XL5vhW3sbDhbH9Cz0tuDiY8C3ctxq1tqvaCgkFb8cCA/edit?usp=sharing"",""มหาสารคาม!L353"")"),0.0)</f>
        <v>0</v>
      </c>
      <c r="M458" s="203"/>
      <c r="N458" s="203">
        <f>IFERROR(__xludf.DUMMYFUNCTION("IMPORTRANGE(""https://docs.google.com/spreadsheets/d/1XL5vhW3sbDhbH9Cz0tuDiY8C3ctxq1tqvaCgkFb8cCA/edit?usp=sharing"",""มหาสารคาม!M353"")"),0.0)</f>
        <v>0</v>
      </c>
      <c r="O458" s="203">
        <f t="shared" si="117"/>
        <v>0</v>
      </c>
      <c r="P458" s="203"/>
    </row>
    <row r="459" ht="21.75" customHeight="1">
      <c r="A459" s="189"/>
      <c r="B459" s="190"/>
      <c r="C459" s="190"/>
      <c r="D459" s="199"/>
      <c r="E459" s="192"/>
      <c r="F459" s="192"/>
      <c r="G459" s="407" t="s">
        <v>131</v>
      </c>
      <c r="H459" s="194" t="s">
        <v>13</v>
      </c>
      <c r="I459" s="195"/>
      <c r="J459" s="195"/>
      <c r="K459" s="196"/>
      <c r="L459" s="203">
        <f>IFERROR(__xludf.DUMMYFUNCTION("IMPORTRANGE(""https://docs.google.com/spreadsheets/d/1XL5vhW3sbDhbH9Cz0tuDiY8C3ctxq1tqvaCgkFb8cCA/edit?usp=sharing"",""มหาสารคาม!L354"")"),209637.0)</f>
        <v>209637</v>
      </c>
      <c r="M459" s="203"/>
      <c r="N459" s="203">
        <f>IFERROR(__xludf.DUMMYFUNCTION("IMPORTRANGE(""https://docs.google.com/spreadsheets/d/1XL5vhW3sbDhbH9Cz0tuDiY8C3ctxq1tqvaCgkFb8cCA/edit?usp=sharing"",""มหาสารคาม!M354"")"),0.0)</f>
        <v>0</v>
      </c>
      <c r="O459" s="203">
        <f t="shared" si="117"/>
        <v>0</v>
      </c>
      <c r="P459" s="203"/>
    </row>
    <row r="460" ht="21.75" customHeight="1">
      <c r="A460" s="408"/>
      <c r="B460" s="409"/>
      <c r="C460" s="190"/>
      <c r="D460" s="410"/>
      <c r="E460" s="192"/>
      <c r="F460" s="192"/>
      <c r="G460" s="411" t="s">
        <v>132</v>
      </c>
      <c r="H460" s="194" t="s">
        <v>13</v>
      </c>
      <c r="I460" s="222"/>
      <c r="J460" s="222"/>
      <c r="K460" s="258"/>
      <c r="L460" s="203"/>
      <c r="M460" s="203"/>
      <c r="N460" s="200">
        <f>IFERROR(__xludf.DUMMYFUNCTION("IMPORTRANGE(""https://docs.google.com/spreadsheets/d/1XL5vhW3sbDhbH9Cz0tuDiY8C3ctxq1tqvaCgkFb8cCA/edit?usp=sharing"",""มหาสารคาม!M355"")"),0.0)</f>
        <v>0</v>
      </c>
      <c r="O460" s="203"/>
      <c r="P460" s="203"/>
    </row>
    <row r="461" ht="21.75" customHeight="1">
      <c r="A461" s="408"/>
      <c r="B461" s="409"/>
      <c r="C461" s="190"/>
      <c r="D461" s="410"/>
      <c r="E461" s="192"/>
      <c r="F461" s="192"/>
      <c r="G461" s="411" t="s">
        <v>133</v>
      </c>
      <c r="H461" s="194" t="s">
        <v>13</v>
      </c>
      <c r="I461" s="222"/>
      <c r="J461" s="222"/>
      <c r="K461" s="258"/>
      <c r="L461" s="203"/>
      <c r="M461" s="203"/>
      <c r="N461" s="200">
        <f>IFERROR(__xludf.DUMMYFUNCTION("IMPORTRANGE(""https://docs.google.com/spreadsheets/d/1XL5vhW3sbDhbH9Cz0tuDiY8C3ctxq1tqvaCgkFb8cCA/edit?usp=sharing"",""มหาสารคาม!M356"")"),0.0)</f>
        <v>0</v>
      </c>
      <c r="O461" s="203"/>
      <c r="P461" s="203"/>
    </row>
    <row r="462" ht="21.75" customHeight="1">
      <c r="A462" s="408"/>
      <c r="B462" s="409"/>
      <c r="C462" s="190"/>
      <c r="D462" s="410"/>
      <c r="E462" s="192"/>
      <c r="F462" s="192"/>
      <c r="G462" s="411" t="s">
        <v>134</v>
      </c>
      <c r="H462" s="194" t="s">
        <v>13</v>
      </c>
      <c r="I462" s="222"/>
      <c r="J462" s="222"/>
      <c r="K462" s="258"/>
      <c r="L462" s="203"/>
      <c r="M462" s="203"/>
      <c r="N462" s="412">
        <f>IFERROR(__xludf.DUMMYFUNCTION("IMPORTRANGE(""https://docs.google.com/spreadsheets/d/1XL5vhW3sbDhbH9Cz0tuDiY8C3ctxq1tqvaCgkFb8cCA/edit?usp=sharing"",""มหาสารคาม!M357"")"),0.0)</f>
        <v>0</v>
      </c>
      <c r="O462" s="203"/>
      <c r="P462" s="203"/>
    </row>
    <row r="463" ht="21.75" customHeight="1">
      <c r="A463" s="408"/>
      <c r="B463" s="409"/>
      <c r="C463" s="190"/>
      <c r="D463" s="410"/>
      <c r="E463" s="192"/>
      <c r="F463" s="192"/>
      <c r="G463" s="411" t="s">
        <v>135</v>
      </c>
      <c r="H463" s="194" t="s">
        <v>13</v>
      </c>
      <c r="I463" s="222"/>
      <c r="J463" s="222"/>
      <c r="K463" s="258"/>
      <c r="L463" s="203"/>
      <c r="M463" s="203"/>
      <c r="N463" s="412">
        <f>IFERROR(__xludf.DUMMYFUNCTION("IMPORTRANGE(""https://docs.google.com/spreadsheets/d/1XL5vhW3sbDhbH9Cz0tuDiY8C3ctxq1tqvaCgkFb8cCA/edit?usp=sharing"",""มหาสารคาม!M358"")"),0.0)</f>
        <v>0</v>
      </c>
      <c r="O463" s="203"/>
      <c r="P463" s="203"/>
    </row>
    <row r="464" ht="21.75" customHeight="1">
      <c r="A464" s="210"/>
      <c r="B464" s="211"/>
      <c r="C464" s="448" t="s">
        <v>167</v>
      </c>
      <c r="D464" s="448"/>
      <c r="E464" s="449"/>
      <c r="F464" s="449"/>
      <c r="G464" s="450"/>
      <c r="H464" s="300" t="s">
        <v>123</v>
      </c>
      <c r="I464" s="301">
        <f>IFERROR(__xludf.DUMMYFUNCTION("IMPORTRANGE(""https://docs.google.com/spreadsheets/d/1XL5vhW3sbDhbH9Cz0tuDiY8C3ctxq1tqvaCgkFb8cCA/edit?usp=sharing"",""มหาสารคาม!I359"")"),23588.0)</f>
        <v>23588</v>
      </c>
      <c r="J464" s="301">
        <f>IFERROR(__xludf.DUMMYFUNCTION("IMPORTRANGE(""https://docs.google.com/spreadsheets/d/1XL5vhW3sbDhbH9Cz0tuDiY8C3ctxq1tqvaCgkFb8cCA/edit?usp=sharing"",""มหาสารคาม!J359"")"),0.0)</f>
        <v>0</v>
      </c>
      <c r="K464" s="302">
        <f t="shared" ref="K464:K515" si="118">IF(I464&gt;0,J464*100/I464,0)</f>
        <v>0</v>
      </c>
      <c r="L464" s="325"/>
      <c r="M464" s="325"/>
      <c r="N464" s="325"/>
      <c r="O464" s="325"/>
      <c r="P464" s="325"/>
    </row>
    <row r="465" ht="21.75" customHeight="1">
      <c r="A465" s="435"/>
      <c r="B465" s="436"/>
      <c r="C465" s="436"/>
      <c r="D465" s="437"/>
      <c r="E465" s="228" t="s">
        <v>168</v>
      </c>
      <c r="F465" s="230"/>
      <c r="G465" s="231"/>
      <c r="H465" s="451" t="s">
        <v>123</v>
      </c>
      <c r="I465" s="452">
        <f>IFERROR(__xludf.DUMMYFUNCTION("IMPORTRANGE(""https://docs.google.com/spreadsheets/d/1XL5vhW3sbDhbH9Cz0tuDiY8C3ctxq1tqvaCgkFb8cCA/edit?usp=sharing"",""มหาสารคาม!I360"")"),23588.0)</f>
        <v>23588</v>
      </c>
      <c r="J465" s="453">
        <f>IFERROR(__xludf.DUMMYFUNCTION("IMPORTRANGE(""https://docs.google.com/spreadsheets/d/1XL5vhW3sbDhbH9Cz0tuDiY8C3ctxq1tqvaCgkFb8cCA/edit?usp=sharing"",""มหาสารคาม!J360"")"),16520.0)</f>
        <v>16520</v>
      </c>
      <c r="K465" s="236">
        <f t="shared" si="118"/>
        <v>70.03561133</v>
      </c>
      <c r="L465" s="216"/>
      <c r="M465" s="216"/>
      <c r="N465" s="216"/>
      <c r="O465" s="216"/>
      <c r="P465" s="216"/>
    </row>
    <row r="466" ht="21.75" customHeight="1">
      <c r="A466" s="435"/>
      <c r="B466" s="436"/>
      <c r="C466" s="436"/>
      <c r="D466" s="437"/>
      <c r="E466" s="230"/>
      <c r="F466" s="230"/>
      <c r="G466" s="231"/>
      <c r="H466" s="451" t="s">
        <v>37</v>
      </c>
      <c r="I466" s="452">
        <f>IFERROR(__xludf.DUMMYFUNCTION("IMPORTRANGE(""https://docs.google.com/spreadsheets/d/1XL5vhW3sbDhbH9Cz0tuDiY8C3ctxq1tqvaCgkFb8cCA/edit?usp=sharing"",""มหาสารคาม!I361"")"),3166.0)</f>
        <v>3166</v>
      </c>
      <c r="J466" s="453">
        <f>IFERROR(__xludf.DUMMYFUNCTION("IMPORTRANGE(""https://docs.google.com/spreadsheets/d/1XL5vhW3sbDhbH9Cz0tuDiY8C3ctxq1tqvaCgkFb8cCA/edit?usp=sharing"",""มหาสารคาม!J361"")"),2040.0)</f>
        <v>2040</v>
      </c>
      <c r="K466" s="236">
        <f t="shared" si="118"/>
        <v>64.43461781</v>
      </c>
      <c r="L466" s="216"/>
      <c r="M466" s="216"/>
      <c r="N466" s="216"/>
      <c r="O466" s="216"/>
      <c r="P466" s="216"/>
    </row>
    <row r="467" ht="21.75" customHeight="1">
      <c r="A467" s="435"/>
      <c r="B467" s="436"/>
      <c r="C467" s="436"/>
      <c r="D467" s="437"/>
      <c r="E467" s="230"/>
      <c r="F467" s="423" t="s">
        <v>169</v>
      </c>
      <c r="G467" s="454"/>
      <c r="H467" s="455" t="s">
        <v>123</v>
      </c>
      <c r="I467" s="237">
        <f>IFERROR(__xludf.DUMMYFUNCTION("IMPORTRANGE(""https://docs.google.com/spreadsheets/d/1XL5vhW3sbDhbH9Cz0tuDiY8C3ctxq1tqvaCgkFb8cCA/edit?usp=sharing"",""มหาสารคาม!I362"")"),0.0)</f>
        <v>0</v>
      </c>
      <c r="J467" s="223">
        <f>IFERROR(__xludf.DUMMYFUNCTION("IMPORTRANGE(""https://docs.google.com/spreadsheets/d/1XL5vhW3sbDhbH9Cz0tuDiY8C3ctxq1tqvaCgkFb8cCA/edit?usp=sharing"",""มหาสารคาม!J362"")"),15074.0)</f>
        <v>15074</v>
      </c>
      <c r="K467" s="196">
        <f t="shared" si="118"/>
        <v>0</v>
      </c>
      <c r="L467" s="216"/>
      <c r="M467" s="216"/>
      <c r="N467" s="216"/>
      <c r="O467" s="216"/>
      <c r="P467" s="216"/>
    </row>
    <row r="468" ht="21.75" customHeight="1">
      <c r="A468" s="435"/>
      <c r="B468" s="436"/>
      <c r="C468" s="436"/>
      <c r="D468" s="437"/>
      <c r="E468" s="230"/>
      <c r="F468" s="230"/>
      <c r="G468" s="454"/>
      <c r="H468" s="455" t="s">
        <v>37</v>
      </c>
      <c r="I468" s="237">
        <f>IFERROR(__xludf.DUMMYFUNCTION("IMPORTRANGE(""https://docs.google.com/spreadsheets/d/1XL5vhW3sbDhbH9Cz0tuDiY8C3ctxq1tqvaCgkFb8cCA/edit?usp=sharing"",""มหาสารคาม!I363"")"),0.0)</f>
        <v>0</v>
      </c>
      <c r="J468" s="223">
        <f>IFERROR(__xludf.DUMMYFUNCTION("IMPORTRANGE(""https://docs.google.com/spreadsheets/d/1XL5vhW3sbDhbH9Cz0tuDiY8C3ctxq1tqvaCgkFb8cCA/edit?usp=sharing"",""มหาสารคาม!J363"")"),1865.0)</f>
        <v>1865</v>
      </c>
      <c r="K468" s="196">
        <f t="shared" si="118"/>
        <v>0</v>
      </c>
      <c r="L468" s="216"/>
      <c r="M468" s="216"/>
      <c r="N468" s="216"/>
      <c r="O468" s="216"/>
      <c r="P468" s="216"/>
    </row>
    <row r="469" ht="21.75" customHeight="1">
      <c r="A469" s="435"/>
      <c r="B469" s="436"/>
      <c r="C469" s="436"/>
      <c r="D469" s="437"/>
      <c r="E469" s="230"/>
      <c r="F469" s="423" t="s">
        <v>170</v>
      </c>
      <c r="G469" s="454"/>
      <c r="H469" s="455" t="s">
        <v>123</v>
      </c>
      <c r="I469" s="237">
        <f>IFERROR(__xludf.DUMMYFUNCTION("IMPORTRANGE(""https://docs.google.com/spreadsheets/d/1XL5vhW3sbDhbH9Cz0tuDiY8C3ctxq1tqvaCgkFb8cCA/edit?usp=sharing"",""มหาสารคาม!I364"")"),0.0)</f>
        <v>0</v>
      </c>
      <c r="J469" s="223">
        <f>IFERROR(__xludf.DUMMYFUNCTION("IMPORTRANGE(""https://docs.google.com/spreadsheets/d/1XL5vhW3sbDhbH9Cz0tuDiY8C3ctxq1tqvaCgkFb8cCA/edit?usp=sharing"",""มหาสารคาม!J364"")"),475.0)</f>
        <v>475</v>
      </c>
      <c r="K469" s="196">
        <f t="shared" si="118"/>
        <v>0</v>
      </c>
      <c r="L469" s="216"/>
      <c r="M469" s="216"/>
      <c r="N469" s="216"/>
      <c r="O469" s="216"/>
      <c r="P469" s="216"/>
    </row>
    <row r="470" ht="21.75" customHeight="1">
      <c r="A470" s="435"/>
      <c r="B470" s="436"/>
      <c r="C470" s="436"/>
      <c r="D470" s="437"/>
      <c r="E470" s="230"/>
      <c r="F470" s="230"/>
      <c r="G470" s="454"/>
      <c r="H470" s="455" t="s">
        <v>37</v>
      </c>
      <c r="I470" s="237">
        <f>IFERROR(__xludf.DUMMYFUNCTION("IMPORTRANGE(""https://docs.google.com/spreadsheets/d/1XL5vhW3sbDhbH9Cz0tuDiY8C3ctxq1tqvaCgkFb8cCA/edit?usp=sharing"",""มหาสารคาม!I365"")"),0.0)</f>
        <v>0</v>
      </c>
      <c r="J470" s="223">
        <f>IFERROR(__xludf.DUMMYFUNCTION("IMPORTRANGE(""https://docs.google.com/spreadsheets/d/1XL5vhW3sbDhbH9Cz0tuDiY8C3ctxq1tqvaCgkFb8cCA/edit?usp=sharing"",""มหาสารคาม!J365"")"),58.0)</f>
        <v>58</v>
      </c>
      <c r="K470" s="196">
        <f t="shared" si="118"/>
        <v>0</v>
      </c>
      <c r="L470" s="216"/>
      <c r="M470" s="216"/>
      <c r="N470" s="216"/>
      <c r="O470" s="216"/>
      <c r="P470" s="216"/>
    </row>
    <row r="471" ht="21.75" customHeight="1">
      <c r="A471" s="435"/>
      <c r="B471" s="436"/>
      <c r="C471" s="436"/>
      <c r="D471" s="437"/>
      <c r="E471" s="230"/>
      <c r="F471" s="423" t="s">
        <v>171</v>
      </c>
      <c r="G471" s="454"/>
      <c r="H471" s="455" t="s">
        <v>123</v>
      </c>
      <c r="I471" s="237">
        <f>IFERROR(__xludf.DUMMYFUNCTION("IMPORTRANGE(""https://docs.google.com/spreadsheets/d/1XL5vhW3sbDhbH9Cz0tuDiY8C3ctxq1tqvaCgkFb8cCA/edit?usp=sharing"",""มหาสารคาม!I366"")"),0.0)</f>
        <v>0</v>
      </c>
      <c r="J471" s="223">
        <f>IFERROR(__xludf.DUMMYFUNCTION("IMPORTRANGE(""https://docs.google.com/spreadsheets/d/1XL5vhW3sbDhbH9Cz0tuDiY8C3ctxq1tqvaCgkFb8cCA/edit?usp=sharing"",""มหาสารคาม!J366"")"),971.0)</f>
        <v>971</v>
      </c>
      <c r="K471" s="196">
        <f t="shared" si="118"/>
        <v>0</v>
      </c>
      <c r="L471" s="216"/>
      <c r="M471" s="216"/>
      <c r="N471" s="216"/>
      <c r="O471" s="216"/>
      <c r="P471" s="216"/>
    </row>
    <row r="472" ht="21.75" customHeight="1">
      <c r="A472" s="435"/>
      <c r="B472" s="436"/>
      <c r="C472" s="436"/>
      <c r="D472" s="437"/>
      <c r="E472" s="230"/>
      <c r="F472" s="230"/>
      <c r="G472" s="230"/>
      <c r="H472" s="455" t="s">
        <v>37</v>
      </c>
      <c r="I472" s="237">
        <f>IFERROR(__xludf.DUMMYFUNCTION("IMPORTRANGE(""https://docs.google.com/spreadsheets/d/1XL5vhW3sbDhbH9Cz0tuDiY8C3ctxq1tqvaCgkFb8cCA/edit?usp=sharing"",""มหาสารคาม!I367"")"),0.0)</f>
        <v>0</v>
      </c>
      <c r="J472" s="223">
        <f>IFERROR(__xludf.DUMMYFUNCTION("IMPORTRANGE(""https://docs.google.com/spreadsheets/d/1XL5vhW3sbDhbH9Cz0tuDiY8C3ctxq1tqvaCgkFb8cCA/edit?usp=sharing"",""มหาสารคาม!J367"")"),117.0)</f>
        <v>117</v>
      </c>
      <c r="K472" s="196">
        <f t="shared" si="118"/>
        <v>0</v>
      </c>
      <c r="L472" s="216"/>
      <c r="M472" s="216"/>
      <c r="N472" s="216"/>
      <c r="O472" s="216"/>
      <c r="P472" s="216"/>
    </row>
    <row r="473" ht="21.75" customHeight="1">
      <c r="A473" s="435"/>
      <c r="B473" s="436"/>
      <c r="C473" s="436"/>
      <c r="D473" s="437"/>
      <c r="E473" s="324" t="s">
        <v>172</v>
      </c>
      <c r="F473" s="230"/>
      <c r="G473" s="231"/>
      <c r="H473" s="451" t="s">
        <v>123</v>
      </c>
      <c r="I473" s="453">
        <f>IFERROR(__xludf.DUMMYFUNCTION("IMPORTRANGE(""https://docs.google.com/spreadsheets/d/1XL5vhW3sbDhbH9Cz0tuDiY8C3ctxq1tqvaCgkFb8cCA/edit?usp=sharing"",""มหาสารคาม!I368"")"),23588.0)</f>
        <v>23588</v>
      </c>
      <c r="J473" s="453">
        <f>IFERROR(__xludf.DUMMYFUNCTION("IMPORTRANGE(""https://docs.google.com/spreadsheets/d/1XL5vhW3sbDhbH9Cz0tuDiY8C3ctxq1tqvaCgkFb8cCA/edit?usp=sharing"",""มหาสารคาม!J368"")"),0.0)</f>
        <v>0</v>
      </c>
      <c r="K473" s="236">
        <f t="shared" si="118"/>
        <v>0</v>
      </c>
      <c r="L473" s="216"/>
      <c r="M473" s="216"/>
      <c r="N473" s="216"/>
      <c r="O473" s="216"/>
      <c r="P473" s="216"/>
    </row>
    <row r="474" ht="21.75" customHeight="1">
      <c r="A474" s="435"/>
      <c r="B474" s="436"/>
      <c r="C474" s="436"/>
      <c r="D474" s="437"/>
      <c r="E474" s="230"/>
      <c r="F474" s="230"/>
      <c r="G474" s="231"/>
      <c r="H474" s="451" t="s">
        <v>37</v>
      </c>
      <c r="I474" s="452">
        <f>IFERROR(__xludf.DUMMYFUNCTION("IMPORTRANGE(""https://docs.google.com/spreadsheets/d/1XL5vhW3sbDhbH9Cz0tuDiY8C3ctxq1tqvaCgkFb8cCA/edit?usp=sharing"",""มหาสารคาม!I369"")"),3166.0)</f>
        <v>3166</v>
      </c>
      <c r="J474" s="453">
        <f>IFERROR(__xludf.DUMMYFUNCTION("IMPORTRANGE(""https://docs.google.com/spreadsheets/d/1XL5vhW3sbDhbH9Cz0tuDiY8C3ctxq1tqvaCgkFb8cCA/edit?usp=sharing"",""มหาสารคาม!J369"")"),0.0)</f>
        <v>0</v>
      </c>
      <c r="K474" s="196">
        <f t="shared" si="118"/>
        <v>0</v>
      </c>
      <c r="L474" s="216"/>
      <c r="M474" s="216"/>
      <c r="N474" s="216"/>
      <c r="O474" s="216"/>
      <c r="P474" s="216"/>
    </row>
    <row r="475" ht="21.75" customHeight="1">
      <c r="A475" s="435"/>
      <c r="B475" s="436"/>
      <c r="C475" s="436"/>
      <c r="D475" s="437"/>
      <c r="E475" s="230"/>
      <c r="F475" s="229" t="s">
        <v>173</v>
      </c>
      <c r="G475" s="454"/>
      <c r="H475" s="455" t="s">
        <v>123</v>
      </c>
      <c r="I475" s="237">
        <f>IFERROR(__xludf.DUMMYFUNCTION("IMPORTRANGE(""https://docs.google.com/spreadsheets/d/1XL5vhW3sbDhbH9Cz0tuDiY8C3ctxq1tqvaCgkFb8cCA/edit?usp=sharing"",""มหาสารคาม!I370"")"),0.0)</f>
        <v>0</v>
      </c>
      <c r="J475" s="223">
        <f>IFERROR(__xludf.DUMMYFUNCTION("IMPORTRANGE(""https://docs.google.com/spreadsheets/d/1XL5vhW3sbDhbH9Cz0tuDiY8C3ctxq1tqvaCgkFb8cCA/edit?usp=sharing"",""มหาสารคาม!J370"")"),0.0)</f>
        <v>0</v>
      </c>
      <c r="K475" s="196">
        <f t="shared" si="118"/>
        <v>0</v>
      </c>
      <c r="L475" s="216"/>
      <c r="M475" s="216"/>
      <c r="N475" s="216"/>
      <c r="O475" s="216"/>
      <c r="P475" s="216"/>
    </row>
    <row r="476" ht="21.75" customHeight="1">
      <c r="A476" s="435"/>
      <c r="B476" s="436"/>
      <c r="C476" s="436"/>
      <c r="D476" s="437"/>
      <c r="E476" s="230"/>
      <c r="F476" s="230"/>
      <c r="G476" s="454"/>
      <c r="H476" s="455" t="s">
        <v>37</v>
      </c>
      <c r="I476" s="237">
        <f>IFERROR(__xludf.DUMMYFUNCTION("IMPORTRANGE(""https://docs.google.com/spreadsheets/d/1XL5vhW3sbDhbH9Cz0tuDiY8C3ctxq1tqvaCgkFb8cCA/edit?usp=sharing"",""มหาสารคาม!I371"")"),0.0)</f>
        <v>0</v>
      </c>
      <c r="J476" s="223">
        <f>IFERROR(__xludf.DUMMYFUNCTION("IMPORTRANGE(""https://docs.google.com/spreadsheets/d/1XL5vhW3sbDhbH9Cz0tuDiY8C3ctxq1tqvaCgkFb8cCA/edit?usp=sharing"",""มหาสารคาม!J371"")"),0.0)</f>
        <v>0</v>
      </c>
      <c r="K476" s="196">
        <f t="shared" si="118"/>
        <v>0</v>
      </c>
      <c r="L476" s="216"/>
      <c r="M476" s="216"/>
      <c r="N476" s="216"/>
      <c r="O476" s="216"/>
      <c r="P476" s="216"/>
    </row>
    <row r="477" ht="21.75" customHeight="1">
      <c r="A477" s="435"/>
      <c r="B477" s="436"/>
      <c r="C477" s="436"/>
      <c r="D477" s="437"/>
      <c r="E477" s="230"/>
      <c r="F477" s="229" t="s">
        <v>174</v>
      </c>
      <c r="G477" s="454"/>
      <c r="H477" s="455" t="s">
        <v>123</v>
      </c>
      <c r="I477" s="237">
        <f>IFERROR(__xludf.DUMMYFUNCTION("IMPORTRANGE(""https://docs.google.com/spreadsheets/d/1XL5vhW3sbDhbH9Cz0tuDiY8C3ctxq1tqvaCgkFb8cCA/edit?usp=sharing"",""มหาสารคาม!I372"")"),0.0)</f>
        <v>0</v>
      </c>
      <c r="J477" s="223">
        <f>IFERROR(__xludf.DUMMYFUNCTION("IMPORTRANGE(""https://docs.google.com/spreadsheets/d/1XL5vhW3sbDhbH9Cz0tuDiY8C3ctxq1tqvaCgkFb8cCA/edit?usp=sharing"",""มหาสารคาม!J372"")"),0.0)</f>
        <v>0</v>
      </c>
      <c r="K477" s="196">
        <f t="shared" si="118"/>
        <v>0</v>
      </c>
      <c r="L477" s="216"/>
      <c r="M477" s="216"/>
      <c r="N477" s="216"/>
      <c r="O477" s="216"/>
      <c r="P477" s="216"/>
    </row>
    <row r="478" ht="21.75" customHeight="1">
      <c r="A478" s="435"/>
      <c r="B478" s="436"/>
      <c r="C478" s="436"/>
      <c r="D478" s="437"/>
      <c r="E478" s="230"/>
      <c r="F478" s="230"/>
      <c r="G478" s="454"/>
      <c r="H478" s="455" t="s">
        <v>37</v>
      </c>
      <c r="I478" s="237">
        <f>IFERROR(__xludf.DUMMYFUNCTION("IMPORTRANGE(""https://docs.google.com/spreadsheets/d/1XL5vhW3sbDhbH9Cz0tuDiY8C3ctxq1tqvaCgkFb8cCA/edit?usp=sharing"",""มหาสารคาม!I373"")"),0.0)</f>
        <v>0</v>
      </c>
      <c r="J478" s="223">
        <f>IFERROR(__xludf.DUMMYFUNCTION("IMPORTRANGE(""https://docs.google.com/spreadsheets/d/1XL5vhW3sbDhbH9Cz0tuDiY8C3ctxq1tqvaCgkFb8cCA/edit?usp=sharing"",""มหาสารคาม!J373"")"),0.0)</f>
        <v>0</v>
      </c>
      <c r="K478" s="196">
        <f t="shared" si="118"/>
        <v>0</v>
      </c>
      <c r="L478" s="216"/>
      <c r="M478" s="216"/>
      <c r="N478" s="216"/>
      <c r="O478" s="216"/>
      <c r="P478" s="216"/>
    </row>
    <row r="479" ht="21.75" customHeight="1">
      <c r="A479" s="435"/>
      <c r="B479" s="436"/>
      <c r="C479" s="436"/>
      <c r="D479" s="437"/>
      <c r="E479" s="230"/>
      <c r="F479" s="229" t="s">
        <v>175</v>
      </c>
      <c r="G479" s="454"/>
      <c r="H479" s="455" t="s">
        <v>123</v>
      </c>
      <c r="I479" s="237">
        <f>IFERROR(__xludf.DUMMYFUNCTION("IMPORTRANGE(""https://docs.google.com/spreadsheets/d/1XL5vhW3sbDhbH9Cz0tuDiY8C3ctxq1tqvaCgkFb8cCA/edit?usp=sharing"",""มหาสารคาม!I374"")"),0.0)</f>
        <v>0</v>
      </c>
      <c r="J479" s="223">
        <f>IFERROR(__xludf.DUMMYFUNCTION("IMPORTRANGE(""https://docs.google.com/spreadsheets/d/1XL5vhW3sbDhbH9Cz0tuDiY8C3ctxq1tqvaCgkFb8cCA/edit?usp=sharing"",""มหาสารคาม!J374"")"),0.0)</f>
        <v>0</v>
      </c>
      <c r="K479" s="196">
        <f t="shared" si="118"/>
        <v>0</v>
      </c>
      <c r="L479" s="216"/>
      <c r="M479" s="216"/>
      <c r="N479" s="216"/>
      <c r="O479" s="216"/>
      <c r="P479" s="216"/>
    </row>
    <row r="480" ht="21.75" customHeight="1">
      <c r="A480" s="435"/>
      <c r="B480" s="436"/>
      <c r="C480" s="436"/>
      <c r="D480" s="437"/>
      <c r="E480" s="230"/>
      <c r="F480" s="230"/>
      <c r="G480" s="231"/>
      <c r="H480" s="455" t="s">
        <v>37</v>
      </c>
      <c r="I480" s="237">
        <f>IFERROR(__xludf.DUMMYFUNCTION("IMPORTRANGE(""https://docs.google.com/spreadsheets/d/1XL5vhW3sbDhbH9Cz0tuDiY8C3ctxq1tqvaCgkFb8cCA/edit?usp=sharing"",""มหาสารคาม!I375"")"),0.0)</f>
        <v>0</v>
      </c>
      <c r="J480" s="223">
        <f>IFERROR(__xludf.DUMMYFUNCTION("IMPORTRANGE(""https://docs.google.com/spreadsheets/d/1XL5vhW3sbDhbH9Cz0tuDiY8C3ctxq1tqvaCgkFb8cCA/edit?usp=sharing"",""มหาสารคาม!J375"")"),0.0)</f>
        <v>0</v>
      </c>
      <c r="K480" s="196">
        <f t="shared" si="118"/>
        <v>0</v>
      </c>
      <c r="L480" s="216"/>
      <c r="M480" s="216"/>
      <c r="N480" s="216"/>
      <c r="O480" s="216"/>
      <c r="P480" s="216"/>
    </row>
    <row r="481" ht="21.75" customHeight="1">
      <c r="A481" s="456"/>
      <c r="B481" s="457"/>
      <c r="C481" s="457"/>
      <c r="D481" s="458"/>
      <c r="E481" s="459" t="s">
        <v>176</v>
      </c>
      <c r="F481" s="460"/>
      <c r="G481" s="461"/>
      <c r="H481" s="462" t="s">
        <v>123</v>
      </c>
      <c r="I481" s="453">
        <f>IFERROR(__xludf.DUMMYFUNCTION("IMPORTRANGE(""https://docs.google.com/spreadsheets/d/1XL5vhW3sbDhbH9Cz0tuDiY8C3ctxq1tqvaCgkFb8cCA/edit?usp=sharing"",""มหาสารคาม!I376"")"),23588.0)</f>
        <v>23588</v>
      </c>
      <c r="J481" s="453">
        <f>IFERROR(__xludf.DUMMYFUNCTION("IMPORTRANGE(""https://docs.google.com/spreadsheets/d/1XL5vhW3sbDhbH9Cz0tuDiY8C3ctxq1tqvaCgkFb8cCA/edit?usp=sharing"",""มหาสารคาม!J376"")"),0.0)</f>
        <v>0</v>
      </c>
      <c r="K481" s="236">
        <f t="shared" si="118"/>
        <v>0</v>
      </c>
      <c r="L481" s="463"/>
      <c r="M481" s="463"/>
      <c r="N481" s="463"/>
      <c r="O481" s="463"/>
      <c r="P481" s="463"/>
    </row>
    <row r="482" ht="21.75" customHeight="1">
      <c r="A482" s="435"/>
      <c r="B482" s="436"/>
      <c r="C482" s="436"/>
      <c r="D482" s="437"/>
      <c r="E482" s="230"/>
      <c r="F482" s="230"/>
      <c r="G482" s="231"/>
      <c r="H482" s="451" t="s">
        <v>37</v>
      </c>
      <c r="I482" s="452">
        <f>IFERROR(__xludf.DUMMYFUNCTION("IMPORTRANGE(""https://docs.google.com/spreadsheets/d/1XL5vhW3sbDhbH9Cz0tuDiY8C3ctxq1tqvaCgkFb8cCA/edit?usp=sharing"",""มหาสารคาม!I377"")"),3166.0)</f>
        <v>3166</v>
      </c>
      <c r="J482" s="453">
        <f>IFERROR(__xludf.DUMMYFUNCTION("IMPORTRANGE(""https://docs.google.com/spreadsheets/d/1XL5vhW3sbDhbH9Cz0tuDiY8C3ctxq1tqvaCgkFb8cCA/edit?usp=sharing"",""มหาสารคาม!J377"")"),0.0)</f>
        <v>0</v>
      </c>
      <c r="K482" s="196">
        <f t="shared" si="118"/>
        <v>0</v>
      </c>
      <c r="L482" s="216"/>
      <c r="M482" s="216"/>
      <c r="N482" s="216"/>
      <c r="O482" s="216"/>
      <c r="P482" s="216"/>
    </row>
    <row r="483" ht="21.75" customHeight="1">
      <c r="A483" s="435"/>
      <c r="B483" s="436"/>
      <c r="C483" s="436"/>
      <c r="D483" s="437"/>
      <c r="E483" s="230"/>
      <c r="F483" s="229" t="s">
        <v>177</v>
      </c>
      <c r="G483" s="454"/>
      <c r="H483" s="455" t="s">
        <v>123</v>
      </c>
      <c r="I483" s="237">
        <f>IFERROR(__xludf.DUMMYFUNCTION("IMPORTRANGE(""https://docs.google.com/spreadsheets/d/1XL5vhW3sbDhbH9Cz0tuDiY8C3ctxq1tqvaCgkFb8cCA/edit?usp=sharing"",""มหาสารคาม!I378"")"),0.0)</f>
        <v>0</v>
      </c>
      <c r="J483" s="223">
        <f>IFERROR(__xludf.DUMMYFUNCTION("IMPORTRANGE(""https://docs.google.com/spreadsheets/d/1XL5vhW3sbDhbH9Cz0tuDiY8C3ctxq1tqvaCgkFb8cCA/edit?usp=sharing"",""มหาสารคาม!J378"")"),0.0)</f>
        <v>0</v>
      </c>
      <c r="K483" s="196">
        <f t="shared" si="118"/>
        <v>0</v>
      </c>
      <c r="L483" s="216"/>
      <c r="M483" s="216"/>
      <c r="N483" s="216"/>
      <c r="O483" s="216"/>
      <c r="P483" s="216"/>
    </row>
    <row r="484" ht="21.75" customHeight="1">
      <c r="A484" s="435"/>
      <c r="B484" s="436"/>
      <c r="C484" s="436"/>
      <c r="D484" s="437"/>
      <c r="E484" s="230"/>
      <c r="F484" s="230"/>
      <c r="G484" s="454"/>
      <c r="H484" s="455" t="s">
        <v>37</v>
      </c>
      <c r="I484" s="237">
        <f>IFERROR(__xludf.DUMMYFUNCTION("IMPORTRANGE(""https://docs.google.com/spreadsheets/d/1XL5vhW3sbDhbH9Cz0tuDiY8C3ctxq1tqvaCgkFb8cCA/edit?usp=sharing"",""มหาสารคาม!I379"")"),0.0)</f>
        <v>0</v>
      </c>
      <c r="J484" s="223">
        <f>IFERROR(__xludf.DUMMYFUNCTION("IMPORTRANGE(""https://docs.google.com/spreadsheets/d/1XL5vhW3sbDhbH9Cz0tuDiY8C3ctxq1tqvaCgkFb8cCA/edit?usp=sharing"",""มหาสารคาม!J379"")"),0.0)</f>
        <v>0</v>
      </c>
      <c r="K484" s="196">
        <f t="shared" si="118"/>
        <v>0</v>
      </c>
      <c r="L484" s="216"/>
      <c r="M484" s="216"/>
      <c r="N484" s="216"/>
      <c r="O484" s="216"/>
      <c r="P484" s="216"/>
    </row>
    <row r="485" ht="21.75" customHeight="1">
      <c r="A485" s="435"/>
      <c r="B485" s="436"/>
      <c r="C485" s="436"/>
      <c r="D485" s="437"/>
      <c r="E485" s="230"/>
      <c r="F485" s="229" t="s">
        <v>178</v>
      </c>
      <c r="G485" s="454"/>
      <c r="H485" s="455" t="s">
        <v>123</v>
      </c>
      <c r="I485" s="237">
        <f>IFERROR(__xludf.DUMMYFUNCTION("IMPORTRANGE(""https://docs.google.com/spreadsheets/d/1XL5vhW3sbDhbH9Cz0tuDiY8C3ctxq1tqvaCgkFb8cCA/edit?usp=sharing"",""มหาสารคาม!I380"")"),0.0)</f>
        <v>0</v>
      </c>
      <c r="J485" s="223">
        <f>IFERROR(__xludf.DUMMYFUNCTION("IMPORTRANGE(""https://docs.google.com/spreadsheets/d/1XL5vhW3sbDhbH9Cz0tuDiY8C3ctxq1tqvaCgkFb8cCA/edit?usp=sharing"",""มหาสารคาม!J380"")"),0.0)</f>
        <v>0</v>
      </c>
      <c r="K485" s="196">
        <f t="shared" si="118"/>
        <v>0</v>
      </c>
      <c r="L485" s="216"/>
      <c r="M485" s="216"/>
      <c r="N485" s="216"/>
      <c r="O485" s="216"/>
      <c r="P485" s="216"/>
    </row>
    <row r="486" ht="21.75" customHeight="1">
      <c r="A486" s="435"/>
      <c r="B486" s="436"/>
      <c r="C486" s="436"/>
      <c r="D486" s="437"/>
      <c r="E486" s="230"/>
      <c r="F486" s="230"/>
      <c r="G486" s="454"/>
      <c r="H486" s="455" t="s">
        <v>37</v>
      </c>
      <c r="I486" s="237">
        <f>IFERROR(__xludf.DUMMYFUNCTION("IMPORTRANGE(""https://docs.google.com/spreadsheets/d/1XL5vhW3sbDhbH9Cz0tuDiY8C3ctxq1tqvaCgkFb8cCA/edit?usp=sharing"",""มหาสารคาม!I381"")"),0.0)</f>
        <v>0</v>
      </c>
      <c r="J486" s="223">
        <f>IFERROR(__xludf.DUMMYFUNCTION("IMPORTRANGE(""https://docs.google.com/spreadsheets/d/1XL5vhW3sbDhbH9Cz0tuDiY8C3ctxq1tqvaCgkFb8cCA/edit?usp=sharing"",""มหาสารคาม!J381"")"),0.0)</f>
        <v>0</v>
      </c>
      <c r="K486" s="196">
        <f t="shared" si="118"/>
        <v>0</v>
      </c>
      <c r="L486" s="216"/>
      <c r="M486" s="216"/>
      <c r="N486" s="216"/>
      <c r="O486" s="216"/>
      <c r="P486" s="216"/>
    </row>
    <row r="487" ht="21.75" customHeight="1">
      <c r="A487" s="435"/>
      <c r="B487" s="436"/>
      <c r="C487" s="436"/>
      <c r="D487" s="437"/>
      <c r="E487" s="230"/>
      <c r="F487" s="229" t="s">
        <v>179</v>
      </c>
      <c r="G487" s="454"/>
      <c r="H487" s="455" t="s">
        <v>123</v>
      </c>
      <c r="I487" s="237">
        <f>IFERROR(__xludf.DUMMYFUNCTION("IMPORTRANGE(""https://docs.google.com/spreadsheets/d/1XL5vhW3sbDhbH9Cz0tuDiY8C3ctxq1tqvaCgkFb8cCA/edit?usp=sharing"",""มหาสารคาม!I382"")"),0.0)</f>
        <v>0</v>
      </c>
      <c r="J487" s="453">
        <f>IFERROR(__xludf.DUMMYFUNCTION("IMPORTRANGE(""https://docs.google.com/spreadsheets/d/1XL5vhW3sbDhbH9Cz0tuDiY8C3ctxq1tqvaCgkFb8cCA/edit?usp=sharing"",""มหาสารคาม!J382"")"),0.0)</f>
        <v>0</v>
      </c>
      <c r="K487" s="196">
        <f t="shared" si="118"/>
        <v>0</v>
      </c>
      <c r="L487" s="216"/>
      <c r="M487" s="216"/>
      <c r="N487" s="216"/>
      <c r="O487" s="216"/>
      <c r="P487" s="216"/>
    </row>
    <row r="488" ht="21.75" customHeight="1">
      <c r="A488" s="435"/>
      <c r="B488" s="436"/>
      <c r="C488" s="436"/>
      <c r="D488" s="437"/>
      <c r="E488" s="230"/>
      <c r="F488" s="230"/>
      <c r="G488" s="230"/>
      <c r="H488" s="455" t="s">
        <v>37</v>
      </c>
      <c r="I488" s="237">
        <f>IFERROR(__xludf.DUMMYFUNCTION("IMPORTRANGE(""https://docs.google.com/spreadsheets/d/1XL5vhW3sbDhbH9Cz0tuDiY8C3ctxq1tqvaCgkFb8cCA/edit?usp=sharing"",""มหาสารคาม!I383"")"),0.0)</f>
        <v>0</v>
      </c>
      <c r="J488" s="453">
        <f>IFERROR(__xludf.DUMMYFUNCTION("IMPORTRANGE(""https://docs.google.com/spreadsheets/d/1XL5vhW3sbDhbH9Cz0tuDiY8C3ctxq1tqvaCgkFb8cCA/edit?usp=sharing"",""มหาสารคาม!J383"")"),0.0)</f>
        <v>0</v>
      </c>
      <c r="K488" s="196">
        <f t="shared" si="118"/>
        <v>0</v>
      </c>
      <c r="L488" s="216"/>
      <c r="M488" s="216"/>
      <c r="N488" s="216"/>
      <c r="O488" s="216"/>
      <c r="P488" s="216"/>
    </row>
    <row r="489" ht="21.75" customHeight="1">
      <c r="A489" s="435"/>
      <c r="B489" s="436"/>
      <c r="C489" s="436"/>
      <c r="D489" s="437"/>
      <c r="E489" s="230"/>
      <c r="F489" s="230"/>
      <c r="G489" s="229" t="s">
        <v>180</v>
      </c>
      <c r="H489" s="455" t="s">
        <v>123</v>
      </c>
      <c r="I489" s="237">
        <f>IFERROR(__xludf.DUMMYFUNCTION("IMPORTRANGE(""https://docs.google.com/spreadsheets/d/1XL5vhW3sbDhbH9Cz0tuDiY8C3ctxq1tqvaCgkFb8cCA/edit?usp=sharing"",""มหาสารคาม!I384"")"),0.0)</f>
        <v>0</v>
      </c>
      <c r="J489" s="223">
        <f>IFERROR(__xludf.DUMMYFUNCTION("IMPORTRANGE(""https://docs.google.com/spreadsheets/d/1XL5vhW3sbDhbH9Cz0tuDiY8C3ctxq1tqvaCgkFb8cCA/edit?usp=sharing"",""มหาสารคาม!J384"")"),0.0)</f>
        <v>0</v>
      </c>
      <c r="K489" s="196">
        <f t="shared" si="118"/>
        <v>0</v>
      </c>
      <c r="L489" s="216"/>
      <c r="M489" s="216"/>
      <c r="N489" s="216"/>
      <c r="O489" s="216"/>
      <c r="P489" s="216"/>
    </row>
    <row r="490" ht="21.75" customHeight="1">
      <c r="A490" s="435"/>
      <c r="B490" s="436"/>
      <c r="C490" s="436"/>
      <c r="D490" s="437"/>
      <c r="E490" s="230"/>
      <c r="F490" s="230"/>
      <c r="G490" s="230"/>
      <c r="H490" s="455" t="s">
        <v>37</v>
      </c>
      <c r="I490" s="237">
        <f>IFERROR(__xludf.DUMMYFUNCTION("IMPORTRANGE(""https://docs.google.com/spreadsheets/d/1XL5vhW3sbDhbH9Cz0tuDiY8C3ctxq1tqvaCgkFb8cCA/edit?usp=sharing"",""มหาสารคาม!I385"")"),0.0)</f>
        <v>0</v>
      </c>
      <c r="J490" s="223">
        <f>IFERROR(__xludf.DUMMYFUNCTION("IMPORTRANGE(""https://docs.google.com/spreadsheets/d/1XL5vhW3sbDhbH9Cz0tuDiY8C3ctxq1tqvaCgkFb8cCA/edit?usp=sharing"",""มหาสารคาม!J385"")"),0.0)</f>
        <v>0</v>
      </c>
      <c r="K490" s="196">
        <f t="shared" si="118"/>
        <v>0</v>
      </c>
      <c r="L490" s="216"/>
      <c r="M490" s="216"/>
      <c r="N490" s="216"/>
      <c r="O490" s="216"/>
      <c r="P490" s="216"/>
    </row>
    <row r="491" ht="21.75" customHeight="1">
      <c r="A491" s="435"/>
      <c r="B491" s="436"/>
      <c r="C491" s="436"/>
      <c r="D491" s="437"/>
      <c r="E491" s="230"/>
      <c r="F491" s="230"/>
      <c r="G491" s="229" t="s">
        <v>181</v>
      </c>
      <c r="H491" s="455" t="s">
        <v>123</v>
      </c>
      <c r="I491" s="237">
        <f>IFERROR(__xludf.DUMMYFUNCTION("IMPORTRANGE(""https://docs.google.com/spreadsheets/d/1XL5vhW3sbDhbH9Cz0tuDiY8C3ctxq1tqvaCgkFb8cCA/edit?usp=sharing"",""มหาสารคาม!I386"")"),0.0)</f>
        <v>0</v>
      </c>
      <c r="J491" s="223">
        <f>IFERROR(__xludf.DUMMYFUNCTION("IMPORTRANGE(""https://docs.google.com/spreadsheets/d/1XL5vhW3sbDhbH9Cz0tuDiY8C3ctxq1tqvaCgkFb8cCA/edit?usp=sharing"",""มหาสารคาม!J386"")"),0.0)</f>
        <v>0</v>
      </c>
      <c r="K491" s="196">
        <f t="shared" si="118"/>
        <v>0</v>
      </c>
      <c r="L491" s="216"/>
      <c r="M491" s="216"/>
      <c r="N491" s="216"/>
      <c r="O491" s="216"/>
      <c r="P491" s="216"/>
    </row>
    <row r="492" ht="21.75" customHeight="1">
      <c r="A492" s="435"/>
      <c r="B492" s="436"/>
      <c r="C492" s="436"/>
      <c r="D492" s="437"/>
      <c r="E492" s="230"/>
      <c r="F492" s="230"/>
      <c r="G492" s="231"/>
      <c r="H492" s="455" t="s">
        <v>37</v>
      </c>
      <c r="I492" s="237">
        <f>IFERROR(__xludf.DUMMYFUNCTION("IMPORTRANGE(""https://docs.google.com/spreadsheets/d/1XL5vhW3sbDhbH9Cz0tuDiY8C3ctxq1tqvaCgkFb8cCA/edit?usp=sharing"",""มหาสารคาม!I387"")"),0.0)</f>
        <v>0</v>
      </c>
      <c r="J492" s="223">
        <f>IFERROR(__xludf.DUMMYFUNCTION("IMPORTRANGE(""https://docs.google.com/spreadsheets/d/1XL5vhW3sbDhbH9Cz0tuDiY8C3ctxq1tqvaCgkFb8cCA/edit?usp=sharing"",""มหาสารคาม!J387"")"),0.0)</f>
        <v>0</v>
      </c>
      <c r="K492" s="196">
        <f t="shared" si="118"/>
        <v>0</v>
      </c>
      <c r="L492" s="216"/>
      <c r="M492" s="216"/>
      <c r="N492" s="216"/>
      <c r="O492" s="216"/>
      <c r="P492" s="216"/>
    </row>
    <row r="493" ht="21.75" customHeight="1">
      <c r="A493" s="435"/>
      <c r="B493" s="436"/>
      <c r="C493" s="436"/>
      <c r="D493" s="437"/>
      <c r="E493" s="230"/>
      <c r="F493" s="229" t="s">
        <v>182</v>
      </c>
      <c r="G493" s="454"/>
      <c r="H493" s="455" t="s">
        <v>123</v>
      </c>
      <c r="I493" s="237">
        <f>IFERROR(__xludf.DUMMYFUNCTION("IMPORTRANGE(""https://docs.google.com/spreadsheets/d/1XL5vhW3sbDhbH9Cz0tuDiY8C3ctxq1tqvaCgkFb8cCA/edit?usp=sharing"",""มหาสารคาม!I388"")"),0.0)</f>
        <v>0</v>
      </c>
      <c r="J493" s="223">
        <f>IFERROR(__xludf.DUMMYFUNCTION("IMPORTRANGE(""https://docs.google.com/spreadsheets/d/1XL5vhW3sbDhbH9Cz0tuDiY8C3ctxq1tqvaCgkFb8cCA/edit?usp=sharing"",""มหาสารคาม!J388"")"),0.0)</f>
        <v>0</v>
      </c>
      <c r="K493" s="196">
        <f t="shared" si="118"/>
        <v>0</v>
      </c>
      <c r="L493" s="216"/>
      <c r="M493" s="216"/>
      <c r="N493" s="216"/>
      <c r="O493" s="216"/>
      <c r="P493" s="216"/>
    </row>
    <row r="494" ht="21.75" customHeight="1">
      <c r="A494" s="464"/>
      <c r="B494" s="465"/>
      <c r="C494" s="465"/>
      <c r="D494" s="466"/>
      <c r="E494" s="380"/>
      <c r="F494" s="380"/>
      <c r="G494" s="380"/>
      <c r="H494" s="467" t="s">
        <v>37</v>
      </c>
      <c r="I494" s="468">
        <f>IFERROR(__xludf.DUMMYFUNCTION("IMPORTRANGE(""https://docs.google.com/spreadsheets/d/1XL5vhW3sbDhbH9Cz0tuDiY8C3ctxq1tqvaCgkFb8cCA/edit?usp=sharing"",""มหาสารคาม!I389"")"),0.0)</f>
        <v>0</v>
      </c>
      <c r="J494" s="469">
        <f>IFERROR(__xludf.DUMMYFUNCTION("IMPORTRANGE(""https://docs.google.com/spreadsheets/d/1XL5vhW3sbDhbH9Cz0tuDiY8C3ctxq1tqvaCgkFb8cCA/edit?usp=sharing"",""มหาสารคาม!J389"")"),0.0)</f>
        <v>0</v>
      </c>
      <c r="K494" s="321">
        <f t="shared" si="118"/>
        <v>0</v>
      </c>
      <c r="L494" s="279"/>
      <c r="M494" s="279"/>
      <c r="N494" s="279"/>
      <c r="O494" s="279"/>
      <c r="P494" s="279"/>
    </row>
    <row r="495" ht="21.75" customHeight="1">
      <c r="A495" s="435"/>
      <c r="B495" s="436"/>
      <c r="C495" s="436"/>
      <c r="D495" s="437"/>
      <c r="E495" s="230"/>
      <c r="F495" s="230">
        <v>3.5</v>
      </c>
      <c r="G495" s="454" t="s">
        <v>183</v>
      </c>
      <c r="H495" s="455" t="s">
        <v>123</v>
      </c>
      <c r="I495" s="468">
        <f>IFERROR(__xludf.DUMMYFUNCTION("IMPORTRANGE(""https://docs.google.com/spreadsheets/d/1XL5vhW3sbDhbH9Cz0tuDiY8C3ctxq1tqvaCgkFb8cCA/edit?usp=sharing"",""มหาสารคาม!I390"")"),0.0)</f>
        <v>0</v>
      </c>
      <c r="J495" s="469">
        <f>IFERROR(__xludf.DUMMYFUNCTION("IMPORTRANGE(""https://docs.google.com/spreadsheets/d/1XL5vhW3sbDhbH9Cz0tuDiY8C3ctxq1tqvaCgkFb8cCA/edit?usp=sharing"",""มหาสารคาม!J390"")"),0.0)</f>
        <v>0</v>
      </c>
      <c r="K495" s="196">
        <f t="shared" si="118"/>
        <v>0</v>
      </c>
      <c r="L495" s="216"/>
      <c r="M495" s="216"/>
      <c r="N495" s="216"/>
      <c r="O495" s="216"/>
      <c r="P495" s="216"/>
    </row>
    <row r="496" ht="21.75" customHeight="1">
      <c r="A496" s="464"/>
      <c r="B496" s="465"/>
      <c r="C496" s="465"/>
      <c r="D496" s="466"/>
      <c r="E496" s="380"/>
      <c r="F496" s="380"/>
      <c r="G496" s="380"/>
      <c r="H496" s="467" t="s">
        <v>37</v>
      </c>
      <c r="I496" s="468">
        <f>IFERROR(__xludf.DUMMYFUNCTION("IMPORTRANGE(""https://docs.google.com/spreadsheets/d/1XL5vhW3sbDhbH9Cz0tuDiY8C3ctxq1tqvaCgkFb8cCA/edit?usp=sharing"",""มหาสารคาม!I391"")"),0.0)</f>
        <v>0</v>
      </c>
      <c r="J496" s="469">
        <f>IFERROR(__xludf.DUMMYFUNCTION("IMPORTRANGE(""https://docs.google.com/spreadsheets/d/1XL5vhW3sbDhbH9Cz0tuDiY8C3ctxq1tqvaCgkFb8cCA/edit?usp=sharing"",""มหาสารคาม!J391"")"),0.0)</f>
        <v>0</v>
      </c>
      <c r="K496" s="321">
        <f t="shared" si="118"/>
        <v>0</v>
      </c>
      <c r="L496" s="279"/>
      <c r="M496" s="279"/>
      <c r="N496" s="279"/>
      <c r="O496" s="279"/>
      <c r="P496" s="279"/>
    </row>
    <row r="497" ht="21.75" customHeight="1">
      <c r="A497" s="470"/>
      <c r="B497" s="471"/>
      <c r="C497" s="472" t="s">
        <v>184</v>
      </c>
      <c r="D497" s="472"/>
      <c r="E497" s="473"/>
      <c r="F497" s="473"/>
      <c r="G497" s="474"/>
      <c r="H497" s="475" t="s">
        <v>123</v>
      </c>
      <c r="I497" s="476">
        <f>IFERROR(__xludf.DUMMYFUNCTION("IMPORTRANGE(""https://docs.google.com/spreadsheets/d/1XL5vhW3sbDhbH9Cz0tuDiY8C3ctxq1tqvaCgkFb8cCA/edit?usp=sharing"",""มหาสารคาม!I392"")"),408.0)</f>
        <v>408</v>
      </c>
      <c r="J497" s="476">
        <f>IFERROR(__xludf.DUMMYFUNCTION("IMPORTRANGE(""https://docs.google.com/spreadsheets/d/1XL5vhW3sbDhbH9Cz0tuDiY8C3ctxq1tqvaCgkFb8cCA/edit?usp=sharing"",""มหาสารคาม!J392"")"),0.0)</f>
        <v>0</v>
      </c>
      <c r="K497" s="477">
        <f t="shared" si="118"/>
        <v>0</v>
      </c>
      <c r="L497" s="478"/>
      <c r="M497" s="478"/>
      <c r="N497" s="478"/>
      <c r="O497" s="478"/>
      <c r="P497" s="478"/>
    </row>
    <row r="498" ht="21.75" customHeight="1">
      <c r="A498" s="210"/>
      <c r="B498" s="211"/>
      <c r="C498" s="211"/>
      <c r="D498" s="437"/>
      <c r="E498" s="479" t="s">
        <v>185</v>
      </c>
      <c r="F498" s="480"/>
      <c r="G498" s="481"/>
      <c r="H498" s="482" t="s">
        <v>123</v>
      </c>
      <c r="I498" s="453">
        <f>IFERROR(__xludf.DUMMYFUNCTION("IMPORTRANGE(""https://docs.google.com/spreadsheets/d/1XL5vhW3sbDhbH9Cz0tuDiY8C3ctxq1tqvaCgkFb8cCA/edit?usp=sharing"",""มหาสารคาม!I393"")"),408.0)</f>
        <v>408</v>
      </c>
      <c r="J498" s="453">
        <f>IFERROR(__xludf.DUMMYFUNCTION("IMPORTRANGE(""https://docs.google.com/spreadsheets/d/1XL5vhW3sbDhbH9Cz0tuDiY8C3ctxq1tqvaCgkFb8cCA/edit?usp=sharing"",""มหาสารคาม!J393"")"),0.0)</f>
        <v>0</v>
      </c>
      <c r="K498" s="196">
        <f t="shared" si="118"/>
        <v>0</v>
      </c>
      <c r="L498" s="216"/>
      <c r="M498" s="216"/>
      <c r="N498" s="216"/>
      <c r="O498" s="216"/>
      <c r="P498" s="216"/>
    </row>
    <row r="499" ht="21.75" customHeight="1">
      <c r="A499" s="210"/>
      <c r="B499" s="211"/>
      <c r="C499" s="211"/>
      <c r="D499" s="228"/>
      <c r="E499" s="480"/>
      <c r="F499" s="480"/>
      <c r="G499" s="481"/>
      <c r="H499" s="482" t="s">
        <v>37</v>
      </c>
      <c r="I499" s="453">
        <f>IFERROR(__xludf.DUMMYFUNCTION("IMPORTRANGE(""https://docs.google.com/spreadsheets/d/1XL5vhW3sbDhbH9Cz0tuDiY8C3ctxq1tqvaCgkFb8cCA/edit?usp=sharing"",""มหาสารคาม!I394"")"),36.0)</f>
        <v>36</v>
      </c>
      <c r="J499" s="453">
        <f>IFERROR(__xludf.DUMMYFUNCTION("IMPORTRANGE(""https://docs.google.com/spreadsheets/d/1XL5vhW3sbDhbH9Cz0tuDiY8C3ctxq1tqvaCgkFb8cCA/edit?usp=sharing"",""มหาสารคาม!J394"")"),0.0)</f>
        <v>0</v>
      </c>
      <c r="K499" s="236">
        <f t="shared" si="118"/>
        <v>0</v>
      </c>
      <c r="L499" s="216"/>
      <c r="M499" s="216"/>
      <c r="N499" s="216"/>
      <c r="O499" s="216"/>
      <c r="P499" s="216"/>
    </row>
    <row r="500" ht="21.75" customHeight="1">
      <c r="A500" s="210"/>
      <c r="B500" s="211"/>
      <c r="C500" s="211"/>
      <c r="D500" s="437"/>
      <c r="E500" s="437" t="s">
        <v>186</v>
      </c>
      <c r="F500" s="230"/>
      <c r="G500" s="231"/>
      <c r="H500" s="455" t="s">
        <v>123</v>
      </c>
      <c r="I500" s="237">
        <f>IFERROR(__xludf.DUMMYFUNCTION("IMPORTRANGE(""https://docs.google.com/spreadsheets/d/1XL5vhW3sbDhbH9Cz0tuDiY8C3ctxq1tqvaCgkFb8cCA/edit?usp=sharing"",""มหาสารคาม!I395"")"),0.0)</f>
        <v>0</v>
      </c>
      <c r="J500" s="195">
        <f>IFERROR(__xludf.DUMMYFUNCTION("IMPORTRANGE(""https://docs.google.com/spreadsheets/d/1XL5vhW3sbDhbH9Cz0tuDiY8C3ctxq1tqvaCgkFb8cCA/edit?usp=sharing"",""มหาสารคาม!J395"")"),0.0)</f>
        <v>0</v>
      </c>
      <c r="K500" s="196">
        <f t="shared" si="118"/>
        <v>0</v>
      </c>
      <c r="L500" s="216"/>
      <c r="M500" s="216"/>
      <c r="N500" s="216"/>
      <c r="O500" s="216"/>
      <c r="P500" s="216"/>
    </row>
    <row r="501" ht="21.75" customHeight="1">
      <c r="A501" s="210"/>
      <c r="B501" s="211"/>
      <c r="C501" s="211"/>
      <c r="D501" s="228"/>
      <c r="E501" s="230"/>
      <c r="F501" s="230"/>
      <c r="G501" s="231"/>
      <c r="H501" s="455" t="s">
        <v>37</v>
      </c>
      <c r="I501" s="237">
        <f>IFERROR(__xludf.DUMMYFUNCTION("IMPORTRANGE(""https://docs.google.com/spreadsheets/d/1XL5vhW3sbDhbH9Cz0tuDiY8C3ctxq1tqvaCgkFb8cCA/edit?usp=sharing"",""มหาสารคาม!I396"")"),0.0)</f>
        <v>0</v>
      </c>
      <c r="J501" s="195">
        <f>IFERROR(__xludf.DUMMYFUNCTION("IMPORTRANGE(""https://docs.google.com/spreadsheets/d/1XL5vhW3sbDhbH9Cz0tuDiY8C3ctxq1tqvaCgkFb8cCA/edit?usp=sharing"",""มหาสารคาม!J396"")"),0.0)</f>
        <v>0</v>
      </c>
      <c r="K501" s="196">
        <f t="shared" si="118"/>
        <v>0</v>
      </c>
      <c r="L501" s="216"/>
      <c r="M501" s="216"/>
      <c r="N501" s="216"/>
      <c r="O501" s="216"/>
      <c r="P501" s="216"/>
    </row>
    <row r="502" ht="21.75" customHeight="1">
      <c r="A502" s="210"/>
      <c r="B502" s="211"/>
      <c r="C502" s="211"/>
      <c r="D502" s="228"/>
      <c r="E502" s="230"/>
      <c r="F502" s="432" t="s">
        <v>187</v>
      </c>
      <c r="G502" s="454"/>
      <c r="H502" s="455" t="s">
        <v>123</v>
      </c>
      <c r="I502" s="237">
        <f>IFERROR(__xludf.DUMMYFUNCTION("IMPORTRANGE(""https://docs.google.com/spreadsheets/d/1XL5vhW3sbDhbH9Cz0tuDiY8C3ctxq1tqvaCgkFb8cCA/edit?usp=sharing"",""มหาสารคาม!I397"")"),0.0)</f>
        <v>0</v>
      </c>
      <c r="J502" s="223">
        <f>IFERROR(__xludf.DUMMYFUNCTION("IMPORTRANGE(""https://docs.google.com/spreadsheets/d/1XL5vhW3sbDhbH9Cz0tuDiY8C3ctxq1tqvaCgkFb8cCA/edit?usp=sharing"",""มหาสารคาม!J397"")"),0.0)</f>
        <v>0</v>
      </c>
      <c r="K502" s="196">
        <f t="shared" si="118"/>
        <v>0</v>
      </c>
      <c r="L502" s="216"/>
      <c r="M502" s="216"/>
      <c r="N502" s="216"/>
      <c r="O502" s="216"/>
      <c r="P502" s="216"/>
    </row>
    <row r="503" ht="21.75" customHeight="1">
      <c r="A503" s="210"/>
      <c r="B503" s="211"/>
      <c r="C503" s="211"/>
      <c r="D503" s="228"/>
      <c r="E503" s="230"/>
      <c r="F503" s="230"/>
      <c r="G503" s="454"/>
      <c r="H503" s="455" t="s">
        <v>37</v>
      </c>
      <c r="I503" s="222">
        <f>IFERROR(__xludf.DUMMYFUNCTION("IMPORTRANGE(""https://docs.google.com/spreadsheets/d/1XL5vhW3sbDhbH9Cz0tuDiY8C3ctxq1tqvaCgkFb8cCA/edit?usp=sharing"",""มหาสารคาม!I398"")"),0.0)</f>
        <v>0</v>
      </c>
      <c r="J503" s="232">
        <f>IFERROR(__xludf.DUMMYFUNCTION("IMPORTRANGE(""https://docs.google.com/spreadsheets/d/1XL5vhW3sbDhbH9Cz0tuDiY8C3ctxq1tqvaCgkFb8cCA/edit?usp=sharing"",""มหาสารคาม!J398"")"),0.0)</f>
        <v>0</v>
      </c>
      <c r="K503" s="196">
        <f t="shared" si="118"/>
        <v>0</v>
      </c>
      <c r="L503" s="216"/>
      <c r="M503" s="216"/>
      <c r="N503" s="216"/>
      <c r="O503" s="216"/>
      <c r="P503" s="216"/>
    </row>
    <row r="504" ht="21.75" customHeight="1">
      <c r="A504" s="210"/>
      <c r="B504" s="211"/>
      <c r="C504" s="211"/>
      <c r="D504" s="228"/>
      <c r="E504" s="230"/>
      <c r="F504" s="423" t="s">
        <v>188</v>
      </c>
      <c r="G504" s="454"/>
      <c r="H504" s="455" t="s">
        <v>123</v>
      </c>
      <c r="I504" s="238">
        <f>IFERROR(__xludf.DUMMYFUNCTION("IMPORTRANGE(""https://docs.google.com/spreadsheets/d/1XL5vhW3sbDhbH9Cz0tuDiY8C3ctxq1tqvaCgkFb8cCA/edit?usp=sharing"",""มหาสารคาม!I399"")"),0.0)</f>
        <v>0</v>
      </c>
      <c r="J504" s="223">
        <f>IFERROR(__xludf.DUMMYFUNCTION("IMPORTRANGE(""https://docs.google.com/spreadsheets/d/1XL5vhW3sbDhbH9Cz0tuDiY8C3ctxq1tqvaCgkFb8cCA/edit?usp=sharing"",""มหาสารคาม!J399"")"),0.0)</f>
        <v>0</v>
      </c>
      <c r="K504" s="196">
        <f t="shared" si="118"/>
        <v>0</v>
      </c>
      <c r="L504" s="216"/>
      <c r="M504" s="216"/>
      <c r="N504" s="216"/>
      <c r="O504" s="216"/>
      <c r="P504" s="216"/>
    </row>
    <row r="505" ht="21.75" customHeight="1">
      <c r="A505" s="210"/>
      <c r="B505" s="211"/>
      <c r="C505" s="211"/>
      <c r="D505" s="228"/>
      <c r="E505" s="230"/>
      <c r="F505" s="230"/>
      <c r="G505" s="454"/>
      <c r="H505" s="455" t="s">
        <v>37</v>
      </c>
      <c r="I505" s="222">
        <f>IFERROR(__xludf.DUMMYFUNCTION("IMPORTRANGE(""https://docs.google.com/spreadsheets/d/1XL5vhW3sbDhbH9Cz0tuDiY8C3ctxq1tqvaCgkFb8cCA/edit?usp=sharing"",""มหาสารคาม!I400"")"),0.0)</f>
        <v>0</v>
      </c>
      <c r="J505" s="232">
        <f>IFERROR(__xludf.DUMMYFUNCTION("IMPORTRANGE(""https://docs.google.com/spreadsheets/d/1XL5vhW3sbDhbH9Cz0tuDiY8C3ctxq1tqvaCgkFb8cCA/edit?usp=sharing"",""มหาสารคาม!J400"")"),0.0)</f>
        <v>0</v>
      </c>
      <c r="K505" s="196">
        <f t="shared" si="118"/>
        <v>0</v>
      </c>
      <c r="L505" s="216"/>
      <c r="M505" s="216"/>
      <c r="N505" s="216"/>
      <c r="O505" s="216"/>
      <c r="P505" s="216"/>
    </row>
    <row r="506" ht="21.75" customHeight="1">
      <c r="A506" s="210"/>
      <c r="B506" s="211"/>
      <c r="C506" s="211"/>
      <c r="D506" s="228"/>
      <c r="E506" s="230"/>
      <c r="F506" s="432" t="s">
        <v>189</v>
      </c>
      <c r="G506" s="454"/>
      <c r="H506" s="455" t="s">
        <v>123</v>
      </c>
      <c r="I506" s="238">
        <f>IFERROR(__xludf.DUMMYFUNCTION("IMPORTRANGE(""https://docs.google.com/spreadsheets/d/1XL5vhW3sbDhbH9Cz0tuDiY8C3ctxq1tqvaCgkFb8cCA/edit?usp=sharing"",""มหาสารคาม!I401"")"),0.0)</f>
        <v>0</v>
      </c>
      <c r="J506" s="223">
        <f>IFERROR(__xludf.DUMMYFUNCTION("IMPORTRANGE(""https://docs.google.com/spreadsheets/d/1XL5vhW3sbDhbH9Cz0tuDiY8C3ctxq1tqvaCgkFb8cCA/edit?usp=sharing"",""มหาสารคาม!J401"")"),0.0)</f>
        <v>0</v>
      </c>
      <c r="K506" s="196">
        <f t="shared" si="118"/>
        <v>0</v>
      </c>
      <c r="L506" s="216"/>
      <c r="M506" s="216"/>
      <c r="N506" s="216"/>
      <c r="O506" s="216"/>
      <c r="P506" s="216"/>
    </row>
    <row r="507" ht="21.75" customHeight="1">
      <c r="A507" s="210"/>
      <c r="B507" s="211"/>
      <c r="C507" s="211"/>
      <c r="D507" s="228"/>
      <c r="E507" s="230"/>
      <c r="F507" s="230"/>
      <c r="G507" s="230"/>
      <c r="H507" s="455" t="s">
        <v>37</v>
      </c>
      <c r="I507" s="222">
        <f>IFERROR(__xludf.DUMMYFUNCTION("IMPORTRANGE(""https://docs.google.com/spreadsheets/d/1XL5vhW3sbDhbH9Cz0tuDiY8C3ctxq1tqvaCgkFb8cCA/edit?usp=sharing"",""มหาสารคาม!I402"")"),0.0)</f>
        <v>0</v>
      </c>
      <c r="J507" s="232">
        <f>IFERROR(__xludf.DUMMYFUNCTION("IMPORTRANGE(""https://docs.google.com/spreadsheets/d/1XL5vhW3sbDhbH9Cz0tuDiY8C3ctxq1tqvaCgkFb8cCA/edit?usp=sharing"",""มหาสารคาม!J402"")"),0.0)</f>
        <v>0</v>
      </c>
      <c r="K507" s="196">
        <f t="shared" si="118"/>
        <v>0</v>
      </c>
      <c r="L507" s="216"/>
      <c r="M507" s="216"/>
      <c r="N507" s="216"/>
      <c r="O507" s="216"/>
      <c r="P507" s="216"/>
    </row>
    <row r="508" ht="21.75" customHeight="1">
      <c r="A508" s="210"/>
      <c r="B508" s="211"/>
      <c r="C508" s="211"/>
      <c r="D508" s="228"/>
      <c r="E508" s="229" t="s">
        <v>190</v>
      </c>
      <c r="F508" s="230"/>
      <c r="G508" s="454"/>
      <c r="H508" s="455" t="s">
        <v>123</v>
      </c>
      <c r="I508" s="222">
        <f>IFERROR(__xludf.DUMMYFUNCTION("IMPORTRANGE(""https://docs.google.com/spreadsheets/d/1XL5vhW3sbDhbH9Cz0tuDiY8C3ctxq1tqvaCgkFb8cCA/edit?usp=sharing"",""มหาสารคาม!I403"")"),0.0)</f>
        <v>0</v>
      </c>
      <c r="J508" s="195">
        <f>IFERROR(__xludf.DUMMYFUNCTION("IMPORTRANGE(""https://docs.google.com/spreadsheets/d/1XL5vhW3sbDhbH9Cz0tuDiY8C3ctxq1tqvaCgkFb8cCA/edit?usp=sharing"",""มหาสารคาม!J403"")"),0.0)</f>
        <v>0</v>
      </c>
      <c r="K508" s="196">
        <f t="shared" si="118"/>
        <v>0</v>
      </c>
      <c r="L508" s="216"/>
      <c r="M508" s="216"/>
      <c r="N508" s="216"/>
      <c r="O508" s="216"/>
      <c r="P508" s="216"/>
    </row>
    <row r="509" ht="21.75" customHeight="1">
      <c r="A509" s="210"/>
      <c r="B509" s="211"/>
      <c r="C509" s="211"/>
      <c r="D509" s="228"/>
      <c r="E509" s="230"/>
      <c r="F509" s="230"/>
      <c r="G509" s="230"/>
      <c r="H509" s="455" t="s">
        <v>37</v>
      </c>
      <c r="I509" s="222">
        <f>IFERROR(__xludf.DUMMYFUNCTION("IMPORTRANGE(""https://docs.google.com/spreadsheets/d/1XL5vhW3sbDhbH9Cz0tuDiY8C3ctxq1tqvaCgkFb8cCA/edit?usp=sharing"",""มหาสารคาม!I404"")"),0.0)</f>
        <v>0</v>
      </c>
      <c r="J509" s="195">
        <f>IFERROR(__xludf.DUMMYFUNCTION("IMPORTRANGE(""https://docs.google.com/spreadsheets/d/1XL5vhW3sbDhbH9Cz0tuDiY8C3ctxq1tqvaCgkFb8cCA/edit?usp=sharing"",""มหาสารคาม!J404"")"),0.0)</f>
        <v>0</v>
      </c>
      <c r="K509" s="196">
        <f t="shared" si="118"/>
        <v>0</v>
      </c>
      <c r="L509" s="216"/>
      <c r="M509" s="216"/>
      <c r="N509" s="216"/>
      <c r="O509" s="216"/>
      <c r="P509" s="216"/>
    </row>
    <row r="510" ht="21.75" customHeight="1">
      <c r="A510" s="210"/>
      <c r="B510" s="211"/>
      <c r="C510" s="211"/>
      <c r="D510" s="228"/>
      <c r="E510" s="230"/>
      <c r="F510" s="229" t="s">
        <v>191</v>
      </c>
      <c r="G510" s="230"/>
      <c r="H510" s="455" t="s">
        <v>123</v>
      </c>
      <c r="I510" s="222">
        <f>IFERROR(__xludf.DUMMYFUNCTION("IMPORTRANGE(""https://docs.google.com/spreadsheets/d/1XL5vhW3sbDhbH9Cz0tuDiY8C3ctxq1tqvaCgkFb8cCA/edit?usp=sharing"",""มหาสารคาม!I405"")"),0.0)</f>
        <v>0</v>
      </c>
      <c r="J510" s="232">
        <f>IFERROR(__xludf.DUMMYFUNCTION("IMPORTRANGE(""https://docs.google.com/spreadsheets/d/1XL5vhW3sbDhbH9Cz0tuDiY8C3ctxq1tqvaCgkFb8cCA/edit?usp=sharing"",""มหาสารคาม!J405"")"),0.0)</f>
        <v>0</v>
      </c>
      <c r="K510" s="196">
        <f t="shared" si="118"/>
        <v>0</v>
      </c>
      <c r="L510" s="216"/>
      <c r="M510" s="216"/>
      <c r="N510" s="216"/>
      <c r="O510" s="216"/>
      <c r="P510" s="216"/>
    </row>
    <row r="511" ht="21.75" customHeight="1">
      <c r="A511" s="210"/>
      <c r="B511" s="211"/>
      <c r="C511" s="211"/>
      <c r="D511" s="228"/>
      <c r="E511" s="230"/>
      <c r="F511" s="230"/>
      <c r="G511" s="230"/>
      <c r="H511" s="455" t="s">
        <v>37</v>
      </c>
      <c r="I511" s="222">
        <f>IFERROR(__xludf.DUMMYFUNCTION("IMPORTRANGE(""https://docs.google.com/spreadsheets/d/1XL5vhW3sbDhbH9Cz0tuDiY8C3ctxq1tqvaCgkFb8cCA/edit?usp=sharing"",""มหาสารคาม!I406"")"),0.0)</f>
        <v>0</v>
      </c>
      <c r="J511" s="232">
        <f>IFERROR(__xludf.DUMMYFUNCTION("IMPORTRANGE(""https://docs.google.com/spreadsheets/d/1XL5vhW3sbDhbH9Cz0tuDiY8C3ctxq1tqvaCgkFb8cCA/edit?usp=sharing"",""มหาสารคาม!J406"")"),0.0)</f>
        <v>0</v>
      </c>
      <c r="K511" s="196">
        <f t="shared" si="118"/>
        <v>0</v>
      </c>
      <c r="L511" s="216"/>
      <c r="M511" s="216"/>
      <c r="N511" s="216"/>
      <c r="O511" s="216"/>
      <c r="P511" s="216"/>
    </row>
    <row r="512" ht="21.75" customHeight="1">
      <c r="A512" s="210"/>
      <c r="B512" s="211"/>
      <c r="C512" s="211"/>
      <c r="D512" s="228"/>
      <c r="E512" s="230"/>
      <c r="F512" s="229" t="s">
        <v>192</v>
      </c>
      <c r="G512" s="230"/>
      <c r="H512" s="455" t="s">
        <v>123</v>
      </c>
      <c r="I512" s="222">
        <f>IFERROR(__xludf.DUMMYFUNCTION("IMPORTRANGE(""https://docs.google.com/spreadsheets/d/1XL5vhW3sbDhbH9Cz0tuDiY8C3ctxq1tqvaCgkFb8cCA/edit?usp=sharing"",""มหาสารคาม!I407"")"),0.0)</f>
        <v>0</v>
      </c>
      <c r="J512" s="232">
        <f>IFERROR(__xludf.DUMMYFUNCTION("IMPORTRANGE(""https://docs.google.com/spreadsheets/d/1XL5vhW3sbDhbH9Cz0tuDiY8C3ctxq1tqvaCgkFb8cCA/edit?usp=sharing"",""มหาสารคาม!J407"")"),0.0)</f>
        <v>0</v>
      </c>
      <c r="K512" s="196">
        <f t="shared" si="118"/>
        <v>0</v>
      </c>
      <c r="L512" s="216"/>
      <c r="M512" s="216"/>
      <c r="N512" s="216"/>
      <c r="O512" s="216"/>
      <c r="P512" s="216"/>
    </row>
    <row r="513" ht="21.75" customHeight="1">
      <c r="A513" s="210"/>
      <c r="B513" s="211"/>
      <c r="C513" s="211"/>
      <c r="D513" s="228"/>
      <c r="E513" s="230"/>
      <c r="F513" s="230"/>
      <c r="G513" s="231"/>
      <c r="H513" s="455" t="s">
        <v>37</v>
      </c>
      <c r="I513" s="222">
        <f>IFERROR(__xludf.DUMMYFUNCTION("IMPORTRANGE(""https://docs.google.com/spreadsheets/d/1XL5vhW3sbDhbH9Cz0tuDiY8C3ctxq1tqvaCgkFb8cCA/edit?usp=sharing"",""มหาสารคาม!I408"")"),0.0)</f>
        <v>0</v>
      </c>
      <c r="J513" s="232">
        <f>IFERROR(__xludf.DUMMYFUNCTION("IMPORTRANGE(""https://docs.google.com/spreadsheets/d/1XL5vhW3sbDhbH9Cz0tuDiY8C3ctxq1tqvaCgkFb8cCA/edit?usp=sharing"",""มหาสารคาม!J408"")"),0.0)</f>
        <v>0</v>
      </c>
      <c r="K513" s="196">
        <f t="shared" si="118"/>
        <v>0</v>
      </c>
      <c r="L513" s="216"/>
      <c r="M513" s="216"/>
      <c r="N513" s="216"/>
      <c r="O513" s="216"/>
      <c r="P513" s="216"/>
    </row>
    <row r="514" ht="21.75" customHeight="1">
      <c r="A514" s="210"/>
      <c r="B514" s="211"/>
      <c r="C514" s="211"/>
      <c r="D514" s="437"/>
      <c r="E514" s="483" t="s">
        <v>193</v>
      </c>
      <c r="F514" s="230"/>
      <c r="G514" s="231"/>
      <c r="H514" s="455" t="s">
        <v>123</v>
      </c>
      <c r="I514" s="222">
        <f>IFERROR(__xludf.DUMMYFUNCTION("IMPORTRANGE(""https://docs.google.com/spreadsheets/d/1XL5vhW3sbDhbH9Cz0tuDiY8C3ctxq1tqvaCgkFb8cCA/edit?usp=sharing"",""มหาสารคาม!I409"")"),0.0)</f>
        <v>0</v>
      </c>
      <c r="J514" s="232">
        <f>IFERROR(__xludf.DUMMYFUNCTION("IMPORTRANGE(""https://docs.google.com/spreadsheets/d/1XL5vhW3sbDhbH9Cz0tuDiY8C3ctxq1tqvaCgkFb8cCA/edit?usp=sharing"",""มหาสารคาม!J409"")"),0.0)</f>
        <v>0</v>
      </c>
      <c r="K514" s="196">
        <f t="shared" si="118"/>
        <v>0</v>
      </c>
      <c r="L514" s="216"/>
      <c r="M514" s="216"/>
      <c r="N514" s="216"/>
      <c r="O514" s="216"/>
      <c r="P514" s="216"/>
    </row>
    <row r="515" ht="21.75" customHeight="1">
      <c r="A515" s="210"/>
      <c r="B515" s="211"/>
      <c r="C515" s="211"/>
      <c r="D515" s="228"/>
      <c r="E515" s="230"/>
      <c r="F515" s="230"/>
      <c r="G515" s="231"/>
      <c r="H515" s="455" t="s">
        <v>37</v>
      </c>
      <c r="I515" s="222">
        <f>IFERROR(__xludf.DUMMYFUNCTION("IMPORTRANGE(""https://docs.google.com/spreadsheets/d/1XL5vhW3sbDhbH9Cz0tuDiY8C3ctxq1tqvaCgkFb8cCA/edit?usp=sharing"",""มหาสารคาม!I410"")"),0.0)</f>
        <v>0</v>
      </c>
      <c r="J515" s="232">
        <f>IFERROR(__xludf.DUMMYFUNCTION("IMPORTRANGE(""https://docs.google.com/spreadsheets/d/1XL5vhW3sbDhbH9Cz0tuDiY8C3ctxq1tqvaCgkFb8cCA/edit?usp=sharing"",""มหาสารคาม!J410"")"),0.0)</f>
        <v>0</v>
      </c>
      <c r="K515" s="196">
        <f t="shared" si="118"/>
        <v>0</v>
      </c>
      <c r="L515" s="216"/>
      <c r="M515" s="216"/>
      <c r="N515" s="216"/>
      <c r="O515" s="216"/>
      <c r="P515" s="216"/>
    </row>
    <row r="516" ht="21.75" customHeight="1">
      <c r="A516" s="210"/>
      <c r="B516" s="211"/>
      <c r="C516" s="448" t="s">
        <v>194</v>
      </c>
      <c r="D516" s="448"/>
      <c r="E516" s="484"/>
      <c r="F516" s="484"/>
      <c r="G516" s="485"/>
      <c r="H516" s="486" t="s">
        <v>123</v>
      </c>
      <c r="I516" s="301">
        <f>IFERROR(__xludf.DUMMYFUNCTION("IMPORTRANGE(""https://docs.google.com/spreadsheets/d/1XL5vhW3sbDhbH9Cz0tuDiY8C3ctxq1tqvaCgkFb8cCA/edit?usp=sharing"",""มหาสารคาม!I411"")"),0.0)</f>
        <v>0</v>
      </c>
      <c r="J516" s="301">
        <f>IFERROR(__xludf.DUMMYFUNCTION("IMPORTRANGE(""https://docs.google.com/spreadsheets/d/1XL5vhW3sbDhbH9Cz0tuDiY8C3ctxq1tqvaCgkFb8cCA/edit?usp=sharing"",""มหาสารคาม!J411"")"),0.0)</f>
        <v>0</v>
      </c>
      <c r="K516" s="302">
        <v>0.0</v>
      </c>
      <c r="L516" s="216"/>
      <c r="M516" s="216"/>
      <c r="N516" s="216"/>
      <c r="O516" s="216"/>
      <c r="P516" s="216"/>
    </row>
    <row r="517" ht="21.75" customHeight="1">
      <c r="A517" s="210"/>
      <c r="B517" s="211"/>
      <c r="C517" s="487"/>
      <c r="D517" s="487"/>
      <c r="E517" s="487" t="s">
        <v>195</v>
      </c>
      <c r="F517" s="488"/>
      <c r="G517" s="489"/>
      <c r="H517" s="490" t="s">
        <v>123</v>
      </c>
      <c r="I517" s="317">
        <f>IFERROR(__xludf.DUMMYFUNCTION("IMPORTRANGE(""https://docs.google.com/spreadsheets/d/1XL5vhW3sbDhbH9Cz0tuDiY8C3ctxq1tqvaCgkFb8cCA/edit?usp=sharing"",""มหาสารคาม!I412"")"),0.0)</f>
        <v>0</v>
      </c>
      <c r="J517" s="317">
        <f>IFERROR(__xludf.DUMMYFUNCTION("IMPORTRANGE(""https://docs.google.com/spreadsheets/d/1XL5vhW3sbDhbH9Cz0tuDiY8C3ctxq1tqvaCgkFb8cCA/edit?usp=sharing"",""มหาสารคาม!J412"")"),0.0)</f>
        <v>0</v>
      </c>
      <c r="K517" s="318">
        <v>0.0</v>
      </c>
      <c r="L517" s="216"/>
      <c r="M517" s="216"/>
      <c r="N517" s="216"/>
      <c r="O517" s="216"/>
      <c r="P517" s="216"/>
    </row>
    <row r="518" ht="21.75" customHeight="1">
      <c r="A518" s="210"/>
      <c r="B518" s="211"/>
      <c r="C518" s="487"/>
      <c r="D518" s="487"/>
      <c r="E518" s="487" t="s">
        <v>196</v>
      </c>
      <c r="F518" s="488"/>
      <c r="G518" s="489"/>
      <c r="H518" s="490" t="s">
        <v>37</v>
      </c>
      <c r="I518" s="317">
        <f>IFERROR(__xludf.DUMMYFUNCTION("IMPORTRANGE(""https://docs.google.com/spreadsheets/d/1XL5vhW3sbDhbH9Cz0tuDiY8C3ctxq1tqvaCgkFb8cCA/edit?usp=sharing"",""มหาสารคาม!I413"")"),0.0)</f>
        <v>0</v>
      </c>
      <c r="J518" s="317">
        <f>IFERROR(__xludf.DUMMYFUNCTION("IMPORTRANGE(""https://docs.google.com/spreadsheets/d/1XL5vhW3sbDhbH9Cz0tuDiY8C3ctxq1tqvaCgkFb8cCA/edit?usp=sharing"",""มหาสารคาม!J413"")"),0.0)</f>
        <v>0</v>
      </c>
      <c r="K518" s="318">
        <v>0.0</v>
      </c>
      <c r="L518" s="216"/>
      <c r="M518" s="216"/>
      <c r="N518" s="216"/>
      <c r="O518" s="216"/>
      <c r="P518" s="216"/>
    </row>
    <row r="519" ht="21.75" customHeight="1">
      <c r="A519" s="210"/>
      <c r="B519" s="211"/>
      <c r="C519" s="211"/>
      <c r="D519" s="228"/>
      <c r="E519" s="230"/>
      <c r="F519" s="230"/>
      <c r="G519" s="260" t="s">
        <v>197</v>
      </c>
      <c r="H519" s="455" t="s">
        <v>123</v>
      </c>
      <c r="I519" s="222">
        <f>IFERROR(__xludf.DUMMYFUNCTION("IMPORTRANGE(""https://docs.google.com/spreadsheets/d/1XL5vhW3sbDhbH9Cz0tuDiY8C3ctxq1tqvaCgkFb8cCA/edit?usp=sharing"",""มหาสารคาม!I414"")"),0.0)</f>
        <v>0</v>
      </c>
      <c r="J519" s="222">
        <f>IFERROR(__xludf.DUMMYFUNCTION("IMPORTRANGE(""https://docs.google.com/spreadsheets/d/1XL5vhW3sbDhbH9Cz0tuDiY8C3ctxq1tqvaCgkFb8cCA/edit?usp=sharing"",""มหาสารคาม!J414"")"),0.0)</f>
        <v>0</v>
      </c>
      <c r="K519" s="196">
        <v>0.0</v>
      </c>
      <c r="L519" s="216"/>
      <c r="M519" s="216"/>
      <c r="N519" s="216"/>
      <c r="O519" s="216"/>
      <c r="P519" s="216"/>
    </row>
    <row r="520" ht="21.75" customHeight="1">
      <c r="A520" s="210"/>
      <c r="B520" s="211"/>
      <c r="C520" s="211"/>
      <c r="D520" s="228"/>
      <c r="E520" s="230"/>
      <c r="F520" s="230"/>
      <c r="G520" s="231"/>
      <c r="H520" s="455" t="s">
        <v>37</v>
      </c>
      <c r="I520" s="222">
        <f>IFERROR(__xludf.DUMMYFUNCTION("IMPORTRANGE(""https://docs.google.com/spreadsheets/d/1XL5vhW3sbDhbH9Cz0tuDiY8C3ctxq1tqvaCgkFb8cCA/edit?usp=sharing"",""มหาสารคาม!I415"")"),0.0)</f>
        <v>0</v>
      </c>
      <c r="J520" s="222">
        <f>IFERROR(__xludf.DUMMYFUNCTION("IMPORTRANGE(""https://docs.google.com/spreadsheets/d/1XL5vhW3sbDhbH9Cz0tuDiY8C3ctxq1tqvaCgkFb8cCA/edit?usp=sharing"",""มหาสารคาม!J415"")"),0.0)</f>
        <v>0</v>
      </c>
      <c r="K520" s="196">
        <v>0.0</v>
      </c>
      <c r="L520" s="216"/>
      <c r="M520" s="216"/>
      <c r="N520" s="216"/>
      <c r="O520" s="216"/>
      <c r="P520" s="216"/>
    </row>
    <row r="521" ht="21.75" customHeight="1">
      <c r="A521" s="210"/>
      <c r="B521" s="211"/>
      <c r="C521" s="211"/>
      <c r="D521" s="228"/>
      <c r="E521" s="230"/>
      <c r="F521" s="230"/>
      <c r="G521" s="260" t="s">
        <v>198</v>
      </c>
      <c r="H521" s="455" t="s">
        <v>123</v>
      </c>
      <c r="I521" s="222">
        <f>IFERROR(__xludf.DUMMYFUNCTION("IMPORTRANGE(""https://docs.google.com/spreadsheets/d/1XL5vhW3sbDhbH9Cz0tuDiY8C3ctxq1tqvaCgkFb8cCA/edit?usp=sharing"",""มหาสารคาม!I416"")"),0.0)</f>
        <v>0</v>
      </c>
      <c r="J521" s="222">
        <f>IFERROR(__xludf.DUMMYFUNCTION("IMPORTRANGE(""https://docs.google.com/spreadsheets/d/1XL5vhW3sbDhbH9Cz0tuDiY8C3ctxq1tqvaCgkFb8cCA/edit?usp=sharing"",""มหาสารคาม!J416"")"),0.0)</f>
        <v>0</v>
      </c>
      <c r="K521" s="196">
        <v>0.0</v>
      </c>
      <c r="L521" s="216"/>
      <c r="M521" s="216"/>
      <c r="N521" s="216"/>
      <c r="O521" s="216"/>
      <c r="P521" s="216"/>
    </row>
    <row r="522" ht="21.75" customHeight="1">
      <c r="A522" s="210"/>
      <c r="B522" s="211"/>
      <c r="C522" s="211"/>
      <c r="D522" s="228"/>
      <c r="E522" s="230"/>
      <c r="F522" s="230"/>
      <c r="G522" s="231"/>
      <c r="H522" s="455" t="s">
        <v>37</v>
      </c>
      <c r="I522" s="222">
        <f>IFERROR(__xludf.DUMMYFUNCTION("IMPORTRANGE(""https://docs.google.com/spreadsheets/d/1XL5vhW3sbDhbH9Cz0tuDiY8C3ctxq1tqvaCgkFb8cCA/edit?usp=sharing"",""มหาสารคาม!I417"")"),0.0)</f>
        <v>0</v>
      </c>
      <c r="J522" s="222">
        <f>IFERROR(__xludf.DUMMYFUNCTION("IMPORTRANGE(""https://docs.google.com/spreadsheets/d/1XL5vhW3sbDhbH9Cz0tuDiY8C3ctxq1tqvaCgkFb8cCA/edit?usp=sharing"",""มหาสารคาม!J417"")"),0.0)</f>
        <v>0</v>
      </c>
      <c r="K522" s="196">
        <v>0.0</v>
      </c>
      <c r="L522" s="216"/>
      <c r="M522" s="216"/>
      <c r="N522" s="216"/>
      <c r="O522" s="216"/>
      <c r="P522" s="216"/>
    </row>
    <row r="523" ht="21.75" customHeight="1">
      <c r="A523" s="210"/>
      <c r="B523" s="211"/>
      <c r="C523" s="211"/>
      <c r="D523" s="228"/>
      <c r="E523" s="230"/>
      <c r="F523" s="230"/>
      <c r="G523" s="491" t="s">
        <v>199</v>
      </c>
      <c r="H523" s="455" t="s">
        <v>123</v>
      </c>
      <c r="I523" s="222">
        <f>IFERROR(__xludf.DUMMYFUNCTION("IMPORTRANGE(""https://docs.google.com/spreadsheets/d/1XL5vhW3sbDhbH9Cz0tuDiY8C3ctxq1tqvaCgkFb8cCA/edit?usp=sharing"",""มหาสารคาม!I418"")"),0.0)</f>
        <v>0</v>
      </c>
      <c r="J523" s="222">
        <f>IFERROR(__xludf.DUMMYFUNCTION("IMPORTRANGE(""https://docs.google.com/spreadsheets/d/1XL5vhW3sbDhbH9Cz0tuDiY8C3ctxq1tqvaCgkFb8cCA/edit?usp=sharing"",""มหาสารคาม!J418"")"),0.0)</f>
        <v>0</v>
      </c>
      <c r="K523" s="196">
        <v>0.0</v>
      </c>
      <c r="L523" s="216"/>
      <c r="M523" s="216"/>
      <c r="N523" s="216"/>
      <c r="O523" s="216"/>
      <c r="P523" s="216"/>
    </row>
    <row r="524" ht="21.75" customHeight="1">
      <c r="A524" s="210"/>
      <c r="B524" s="211"/>
      <c r="C524" s="211"/>
      <c r="D524" s="228"/>
      <c r="E524" s="230"/>
      <c r="F524" s="230"/>
      <c r="G524" s="231"/>
      <c r="H524" s="455" t="s">
        <v>37</v>
      </c>
      <c r="I524" s="222">
        <f>IFERROR(__xludf.DUMMYFUNCTION("IMPORTRANGE(""https://docs.google.com/spreadsheets/d/1XL5vhW3sbDhbH9Cz0tuDiY8C3ctxq1tqvaCgkFb8cCA/edit?usp=sharing"",""มหาสารคาม!I419"")"),0.0)</f>
        <v>0</v>
      </c>
      <c r="J524" s="222">
        <f>IFERROR(__xludf.DUMMYFUNCTION("IMPORTRANGE(""https://docs.google.com/spreadsheets/d/1XL5vhW3sbDhbH9Cz0tuDiY8C3ctxq1tqvaCgkFb8cCA/edit?usp=sharing"",""มหาสารคาม!J419"")"),0.0)</f>
        <v>0</v>
      </c>
      <c r="K524" s="196">
        <v>0.0</v>
      </c>
      <c r="L524" s="216"/>
      <c r="M524" s="216"/>
      <c r="N524" s="216"/>
      <c r="O524" s="216"/>
      <c r="P524" s="216"/>
    </row>
    <row r="525" ht="21.75" customHeight="1">
      <c r="A525" s="210"/>
      <c r="B525" s="211"/>
      <c r="C525" s="487"/>
      <c r="D525" s="487"/>
      <c r="E525" s="487" t="s">
        <v>200</v>
      </c>
      <c r="F525" s="488"/>
      <c r="G525" s="489"/>
      <c r="H525" s="490" t="s">
        <v>123</v>
      </c>
      <c r="I525" s="317">
        <f>IFERROR(__xludf.DUMMYFUNCTION("IMPORTRANGE(""https://docs.google.com/spreadsheets/d/1XL5vhW3sbDhbH9Cz0tuDiY8C3ctxq1tqvaCgkFb8cCA/edit?usp=sharing"",""มหาสารคาม!I420"")"),0.0)</f>
        <v>0</v>
      </c>
      <c r="J525" s="317">
        <f>IFERROR(__xludf.DUMMYFUNCTION("IMPORTRANGE(""https://docs.google.com/spreadsheets/d/1XL5vhW3sbDhbH9Cz0tuDiY8C3ctxq1tqvaCgkFb8cCA/edit?usp=sharing"",""มหาสารคาม!J420"")"),0.0)</f>
        <v>0</v>
      </c>
      <c r="K525" s="318">
        <v>0.0</v>
      </c>
      <c r="L525" s="216"/>
      <c r="M525" s="216"/>
      <c r="N525" s="216"/>
      <c r="O525" s="216"/>
      <c r="P525" s="216"/>
    </row>
    <row r="526" ht="21.75" customHeight="1">
      <c r="A526" s="210"/>
      <c r="B526" s="211"/>
      <c r="C526" s="487"/>
      <c r="D526" s="487"/>
      <c r="E526" s="487" t="s">
        <v>201</v>
      </c>
      <c r="F526" s="488"/>
      <c r="G526" s="489"/>
      <c r="H526" s="490" t="s">
        <v>37</v>
      </c>
      <c r="I526" s="317">
        <f>IFERROR(__xludf.DUMMYFUNCTION("IMPORTRANGE(""https://docs.google.com/spreadsheets/d/1XL5vhW3sbDhbH9Cz0tuDiY8C3ctxq1tqvaCgkFb8cCA/edit?usp=sharing"",""มหาสารคาม!I421"")"),0.0)</f>
        <v>0</v>
      </c>
      <c r="J526" s="317">
        <f>IFERROR(__xludf.DUMMYFUNCTION("IMPORTRANGE(""https://docs.google.com/spreadsheets/d/1XL5vhW3sbDhbH9Cz0tuDiY8C3ctxq1tqvaCgkFb8cCA/edit?usp=sharing"",""มหาสารคาม!J421"")"),0.0)</f>
        <v>0</v>
      </c>
      <c r="K526" s="318">
        <v>0.0</v>
      </c>
      <c r="L526" s="216"/>
      <c r="M526" s="216"/>
      <c r="N526" s="216"/>
      <c r="O526" s="216"/>
      <c r="P526" s="216"/>
    </row>
    <row r="527" ht="21.75" customHeight="1">
      <c r="A527" s="210"/>
      <c r="B527" s="211"/>
      <c r="C527" s="211"/>
      <c r="D527" s="228"/>
      <c r="E527" s="230"/>
      <c r="F527" s="230"/>
      <c r="G527" s="260" t="s">
        <v>197</v>
      </c>
      <c r="H527" s="455" t="s">
        <v>123</v>
      </c>
      <c r="I527" s="222">
        <f>IFERROR(__xludf.DUMMYFUNCTION("IMPORTRANGE(""https://docs.google.com/spreadsheets/d/1XL5vhW3sbDhbH9Cz0tuDiY8C3ctxq1tqvaCgkFb8cCA/edit?usp=sharing"",""มหาสารคาม!I422"")"),0.0)</f>
        <v>0</v>
      </c>
      <c r="J527" s="232">
        <f>IFERROR(__xludf.DUMMYFUNCTION("IMPORTRANGE(""https://docs.google.com/spreadsheets/d/1XL5vhW3sbDhbH9Cz0tuDiY8C3ctxq1tqvaCgkFb8cCA/edit?usp=sharing"",""มหาสารคาม!J422"")"),0.0)</f>
        <v>0</v>
      </c>
      <c r="K527" s="196">
        <v>0.0</v>
      </c>
      <c r="L527" s="216"/>
      <c r="M527" s="216"/>
      <c r="N527" s="216"/>
      <c r="O527" s="216"/>
      <c r="P527" s="216"/>
    </row>
    <row r="528" ht="21.75" customHeight="1">
      <c r="A528" s="210"/>
      <c r="B528" s="211"/>
      <c r="C528" s="211"/>
      <c r="D528" s="228"/>
      <c r="E528" s="230"/>
      <c r="F528" s="230"/>
      <c r="G528" s="231"/>
      <c r="H528" s="455" t="s">
        <v>37</v>
      </c>
      <c r="I528" s="222">
        <f>IFERROR(__xludf.DUMMYFUNCTION("IMPORTRANGE(""https://docs.google.com/spreadsheets/d/1XL5vhW3sbDhbH9Cz0tuDiY8C3ctxq1tqvaCgkFb8cCA/edit?usp=sharing"",""มหาสารคาม!I423"")"),0.0)</f>
        <v>0</v>
      </c>
      <c r="J528" s="232">
        <f>IFERROR(__xludf.DUMMYFUNCTION("IMPORTRANGE(""https://docs.google.com/spreadsheets/d/1XL5vhW3sbDhbH9Cz0tuDiY8C3ctxq1tqvaCgkFb8cCA/edit?usp=sharing"",""มหาสารคาม!J423"")"),0.0)</f>
        <v>0</v>
      </c>
      <c r="K528" s="196">
        <v>0.0</v>
      </c>
      <c r="L528" s="216"/>
      <c r="M528" s="216"/>
      <c r="N528" s="216"/>
      <c r="O528" s="216"/>
      <c r="P528" s="216"/>
    </row>
    <row r="529" ht="21.75" customHeight="1">
      <c r="A529" s="210"/>
      <c r="B529" s="211"/>
      <c r="C529" s="211"/>
      <c r="D529" s="228"/>
      <c r="E529" s="230"/>
      <c r="F529" s="230"/>
      <c r="G529" s="260" t="s">
        <v>198</v>
      </c>
      <c r="H529" s="455" t="s">
        <v>123</v>
      </c>
      <c r="I529" s="222">
        <f>IFERROR(__xludf.DUMMYFUNCTION("IMPORTRANGE(""https://docs.google.com/spreadsheets/d/1XL5vhW3sbDhbH9Cz0tuDiY8C3ctxq1tqvaCgkFb8cCA/edit?usp=sharing"",""มหาสารคาม!I424"")"),0.0)</f>
        <v>0</v>
      </c>
      <c r="J529" s="232">
        <f>IFERROR(__xludf.DUMMYFUNCTION("IMPORTRANGE(""https://docs.google.com/spreadsheets/d/1XL5vhW3sbDhbH9Cz0tuDiY8C3ctxq1tqvaCgkFb8cCA/edit?usp=sharing"",""มหาสารคาม!J424"")"),0.0)</f>
        <v>0</v>
      </c>
      <c r="K529" s="196">
        <v>0.0</v>
      </c>
      <c r="L529" s="216"/>
      <c r="M529" s="216"/>
      <c r="N529" s="216"/>
      <c r="O529" s="216"/>
      <c r="P529" s="216"/>
    </row>
    <row r="530" ht="21.75" customHeight="1">
      <c r="A530" s="210"/>
      <c r="B530" s="211"/>
      <c r="C530" s="211"/>
      <c r="D530" s="228"/>
      <c r="E530" s="230"/>
      <c r="F530" s="230"/>
      <c r="G530" s="231"/>
      <c r="H530" s="455" t="s">
        <v>37</v>
      </c>
      <c r="I530" s="222">
        <f>IFERROR(__xludf.DUMMYFUNCTION("IMPORTRANGE(""https://docs.google.com/spreadsheets/d/1XL5vhW3sbDhbH9Cz0tuDiY8C3ctxq1tqvaCgkFb8cCA/edit?usp=sharing"",""มหาสารคาม!I425"")"),0.0)</f>
        <v>0</v>
      </c>
      <c r="J530" s="232">
        <f>IFERROR(__xludf.DUMMYFUNCTION("IMPORTRANGE(""https://docs.google.com/spreadsheets/d/1XL5vhW3sbDhbH9Cz0tuDiY8C3ctxq1tqvaCgkFb8cCA/edit?usp=sharing"",""มหาสารคาม!J425"")"),0.0)</f>
        <v>0</v>
      </c>
      <c r="K530" s="196">
        <v>0.0</v>
      </c>
      <c r="L530" s="216"/>
      <c r="M530" s="216"/>
      <c r="N530" s="216"/>
      <c r="O530" s="216"/>
      <c r="P530" s="216"/>
    </row>
    <row r="531" ht="21.75" customHeight="1">
      <c r="A531" s="210"/>
      <c r="B531" s="211"/>
      <c r="C531" s="211"/>
      <c r="D531" s="228"/>
      <c r="E531" s="230"/>
      <c r="F531" s="230"/>
      <c r="G531" s="260" t="s">
        <v>202</v>
      </c>
      <c r="H531" s="455" t="s">
        <v>123</v>
      </c>
      <c r="I531" s="222">
        <f>IFERROR(__xludf.DUMMYFUNCTION("IMPORTRANGE(""https://docs.google.com/spreadsheets/d/1XL5vhW3sbDhbH9Cz0tuDiY8C3ctxq1tqvaCgkFb8cCA/edit?usp=sharing"",""มหาสารคาม!I426"")"),0.0)</f>
        <v>0</v>
      </c>
      <c r="J531" s="232">
        <f>IFERROR(__xludf.DUMMYFUNCTION("IMPORTRANGE(""https://docs.google.com/spreadsheets/d/1XL5vhW3sbDhbH9Cz0tuDiY8C3ctxq1tqvaCgkFb8cCA/edit?usp=sharing"",""มหาสารคาม!J426"")"),0.0)</f>
        <v>0</v>
      </c>
      <c r="K531" s="196">
        <v>0.0</v>
      </c>
      <c r="L531" s="216"/>
      <c r="M531" s="216"/>
      <c r="N531" s="216"/>
      <c r="O531" s="216"/>
      <c r="P531" s="216"/>
    </row>
    <row r="532" ht="21.75" customHeight="1">
      <c r="A532" s="492"/>
      <c r="B532" s="493"/>
      <c r="C532" s="493"/>
      <c r="D532" s="494"/>
      <c r="E532" s="495"/>
      <c r="F532" s="495"/>
      <c r="G532" s="496"/>
      <c r="H532" s="497" t="s">
        <v>37</v>
      </c>
      <c r="I532" s="498">
        <f>IFERROR(__xludf.DUMMYFUNCTION("IMPORTRANGE(""https://docs.google.com/spreadsheets/d/1XL5vhW3sbDhbH9Cz0tuDiY8C3ctxq1tqvaCgkFb8cCA/edit?usp=sharing"",""มหาสารคาม!I427"")"),0.0)</f>
        <v>0</v>
      </c>
      <c r="J532" s="499">
        <f>IFERROR(__xludf.DUMMYFUNCTION("IMPORTRANGE(""https://docs.google.com/spreadsheets/d/1XL5vhW3sbDhbH9Cz0tuDiY8C3ctxq1tqvaCgkFb8cCA/edit?usp=sharing"",""มหาสารคาม!J427"")"),0.0)</f>
        <v>0</v>
      </c>
      <c r="K532" s="500">
        <v>0.0</v>
      </c>
      <c r="L532" s="501"/>
      <c r="M532" s="501"/>
      <c r="N532" s="501"/>
      <c r="O532" s="501"/>
      <c r="P532" s="501"/>
    </row>
    <row r="533" ht="21.75" customHeight="1">
      <c r="A533" s="438"/>
      <c r="B533" s="439">
        <v>6.0</v>
      </c>
      <c r="C533" s="440" t="s">
        <v>203</v>
      </c>
      <c r="D533" s="440"/>
      <c r="E533" s="440"/>
      <c r="F533" s="440"/>
      <c r="G533" s="441"/>
      <c r="H533" s="442" t="s">
        <v>38</v>
      </c>
      <c r="I533" s="443">
        <f>IFERROR(__xludf.DUMMYFUNCTION("IMPORTRANGE(""https://docs.google.com/spreadsheets/d/1XL5vhW3sbDhbH9Cz0tuDiY8C3ctxq1tqvaCgkFb8cCA/edit?usp=sharing"",""มหาสารคาม!I428"")"),22.0)</f>
        <v>22</v>
      </c>
      <c r="J533" s="443">
        <f>IFERROR(__xludf.DUMMYFUNCTION("IMPORTRANGE(""https://docs.google.com/spreadsheets/d/1XL5vhW3sbDhbH9Cz0tuDiY8C3ctxq1tqvaCgkFb8cCA/edit?usp=sharing"",""มหาสารคาม!J428"")"),0.0)</f>
        <v>0</v>
      </c>
      <c r="K533" s="444">
        <f>IF(I533&gt;0,J533*100/I533,0)</f>
        <v>0</v>
      </c>
      <c r="L533" s="445">
        <f>IFERROR(__xludf.DUMMYFUNCTION("IMPORTRANGE(""https://docs.google.com/spreadsheets/d/1XL5vhW3sbDhbH9Cz0tuDiY8C3ctxq1tqvaCgkFb8cCA/edit?usp=sharing"",""มหาสารคาม!L428"")"),34340.0)</f>
        <v>34340</v>
      </c>
      <c r="M533" s="445"/>
      <c r="N533" s="445">
        <f>IFERROR(__xludf.DUMMYFUNCTION("IMPORTRANGE(""https://docs.google.com/spreadsheets/d/1XL5vhW3sbDhbH9Cz0tuDiY8C3ctxq1tqvaCgkFb8cCA/edit?usp=sharing"",""มหาสารคาม!M428"")"),0.0)</f>
        <v>0</v>
      </c>
      <c r="O533" s="445">
        <f t="shared" ref="O533:O537" si="119">+IF(L533&gt;0,N533*100/L533,0)</f>
        <v>0</v>
      </c>
      <c r="P533" s="445"/>
    </row>
    <row r="534" ht="21.75" customHeight="1">
      <c r="A534" s="189"/>
      <c r="B534" s="190"/>
      <c r="C534" s="190" t="s">
        <v>17</v>
      </c>
      <c r="D534" s="191" t="s">
        <v>39</v>
      </c>
      <c r="E534" s="192"/>
      <c r="F534" s="192"/>
      <c r="G534" s="193" t="s">
        <v>40</v>
      </c>
      <c r="H534" s="194" t="s">
        <v>13</v>
      </c>
      <c r="I534" s="195" t="s">
        <v>41</v>
      </c>
      <c r="J534" s="195"/>
      <c r="K534" s="196"/>
      <c r="L534" s="197">
        <f>IFERROR(__xludf.DUMMYFUNCTION("IMPORTRANGE(""https://docs.google.com/spreadsheets/d/1XL5vhW3sbDhbH9Cz0tuDiY8C3ctxq1tqvaCgkFb8cCA/edit?usp=sharing"",""มหาสารคาม!L429"")"),0.0)</f>
        <v>0</v>
      </c>
      <c r="M534" s="197"/>
      <c r="N534" s="203">
        <f>IFERROR(__xludf.DUMMYFUNCTION("IMPORTRANGE(""https://docs.google.com/spreadsheets/d/1XL5vhW3sbDhbH9Cz0tuDiY8C3ctxq1tqvaCgkFb8cCA/edit?usp=sharing"",""มหาสารคาม!M429"")"),0.0)</f>
        <v>0</v>
      </c>
      <c r="O534" s="203">
        <f t="shared" si="119"/>
        <v>0</v>
      </c>
      <c r="P534" s="203"/>
    </row>
    <row r="535" ht="21.75" customHeight="1">
      <c r="A535" s="189"/>
      <c r="B535" s="190"/>
      <c r="C535" s="190"/>
      <c r="D535" s="199"/>
      <c r="E535" s="192"/>
      <c r="F535" s="192" t="s">
        <v>41</v>
      </c>
      <c r="G535" s="193" t="s">
        <v>42</v>
      </c>
      <c r="H535" s="194" t="s">
        <v>13</v>
      </c>
      <c r="I535" s="195"/>
      <c r="J535" s="195"/>
      <c r="K535" s="196"/>
      <c r="L535" s="198">
        <f>IFERROR(__xludf.DUMMYFUNCTION("IMPORTRANGE(""https://docs.google.com/spreadsheets/d/1XL5vhW3sbDhbH9Cz0tuDiY8C3ctxq1tqvaCgkFb8cCA/edit?usp=sharing"",""มหาสารคาม!L430"")"),34340.0)</f>
        <v>34340</v>
      </c>
      <c r="M535" s="198"/>
      <c r="N535" s="203">
        <f>IFERROR(__xludf.DUMMYFUNCTION("IMPORTRANGE(""https://docs.google.com/spreadsheets/d/1XL5vhW3sbDhbH9Cz0tuDiY8C3ctxq1tqvaCgkFb8cCA/edit?usp=sharing"",""มหาสารคาม!M430"")"),0.0)</f>
        <v>0</v>
      </c>
      <c r="O535" s="203">
        <f t="shared" si="119"/>
        <v>0</v>
      </c>
      <c r="P535" s="203"/>
    </row>
    <row r="536" ht="21.75" customHeight="1">
      <c r="A536" s="189"/>
      <c r="B536" s="190"/>
      <c r="C536" s="190"/>
      <c r="D536" s="199"/>
      <c r="E536" s="192"/>
      <c r="F536" s="192"/>
      <c r="G536" s="407" t="s">
        <v>130</v>
      </c>
      <c r="H536" s="194" t="s">
        <v>13</v>
      </c>
      <c r="I536" s="195"/>
      <c r="J536" s="195"/>
      <c r="K536" s="196"/>
      <c r="L536" s="203">
        <f>IFERROR(__xludf.DUMMYFUNCTION("IMPORTRANGE(""https://docs.google.com/spreadsheets/d/1XL5vhW3sbDhbH9Cz0tuDiY8C3ctxq1tqvaCgkFb8cCA/edit?usp=sharing"",""มหาสารคาม!L431"")"),0.0)</f>
        <v>0</v>
      </c>
      <c r="M536" s="203"/>
      <c r="N536" s="203">
        <f>IFERROR(__xludf.DUMMYFUNCTION("IMPORTRANGE(""https://docs.google.com/spreadsheets/d/1XL5vhW3sbDhbH9Cz0tuDiY8C3ctxq1tqvaCgkFb8cCA/edit?usp=sharing"",""มหาสารคาม!M431"")"),0.0)</f>
        <v>0</v>
      </c>
      <c r="O536" s="203">
        <f t="shared" si="119"/>
        <v>0</v>
      </c>
      <c r="P536" s="203"/>
    </row>
    <row r="537" ht="21.75" customHeight="1">
      <c r="A537" s="189"/>
      <c r="B537" s="190"/>
      <c r="C537" s="190"/>
      <c r="D537" s="199"/>
      <c r="E537" s="192"/>
      <c r="F537" s="192"/>
      <c r="G537" s="407" t="s">
        <v>131</v>
      </c>
      <c r="H537" s="194" t="s">
        <v>13</v>
      </c>
      <c r="I537" s="195"/>
      <c r="J537" s="195"/>
      <c r="K537" s="196"/>
      <c r="L537" s="203">
        <f>IFERROR(__xludf.DUMMYFUNCTION("IMPORTRANGE(""https://docs.google.com/spreadsheets/d/1XL5vhW3sbDhbH9Cz0tuDiY8C3ctxq1tqvaCgkFb8cCA/edit?usp=sharing"",""มหาสารคาม!L432"")"),34340.0)</f>
        <v>34340</v>
      </c>
      <c r="M537" s="203"/>
      <c r="N537" s="203">
        <f>IFERROR(__xludf.DUMMYFUNCTION("IMPORTRANGE(""https://docs.google.com/spreadsheets/d/1XL5vhW3sbDhbH9Cz0tuDiY8C3ctxq1tqvaCgkFb8cCA/edit?usp=sharing"",""มหาสารคาม!M432"")"),0.0)</f>
        <v>0</v>
      </c>
      <c r="O537" s="203">
        <f t="shared" si="119"/>
        <v>0</v>
      </c>
      <c r="P537" s="203"/>
    </row>
    <row r="538" ht="21.75" customHeight="1">
      <c r="A538" s="408"/>
      <c r="B538" s="409"/>
      <c r="C538" s="190"/>
      <c r="D538" s="410"/>
      <c r="E538" s="192"/>
      <c r="F538" s="192"/>
      <c r="G538" s="411" t="s">
        <v>132</v>
      </c>
      <c r="H538" s="194" t="s">
        <v>13</v>
      </c>
      <c r="I538" s="222"/>
      <c r="J538" s="222"/>
      <c r="K538" s="258"/>
      <c r="L538" s="203"/>
      <c r="M538" s="203"/>
      <c r="N538" s="412">
        <f>IFERROR(__xludf.DUMMYFUNCTION("IMPORTRANGE(""https://docs.google.com/spreadsheets/d/1XL5vhW3sbDhbH9Cz0tuDiY8C3ctxq1tqvaCgkFb8cCA/edit?usp=sharing"",""มหาสารคาม!M433"")"),0.0)</f>
        <v>0</v>
      </c>
      <c r="O538" s="203"/>
      <c r="P538" s="203"/>
    </row>
    <row r="539" ht="21.75" customHeight="1">
      <c r="A539" s="408"/>
      <c r="B539" s="409"/>
      <c r="C539" s="190"/>
      <c r="D539" s="410"/>
      <c r="E539" s="192"/>
      <c r="F539" s="192"/>
      <c r="G539" s="411" t="s">
        <v>133</v>
      </c>
      <c r="H539" s="194" t="s">
        <v>13</v>
      </c>
      <c r="I539" s="222"/>
      <c r="J539" s="222"/>
      <c r="K539" s="258"/>
      <c r="L539" s="203"/>
      <c r="M539" s="203"/>
      <c r="N539" s="412">
        <f>IFERROR(__xludf.DUMMYFUNCTION("IMPORTRANGE(""https://docs.google.com/spreadsheets/d/1XL5vhW3sbDhbH9Cz0tuDiY8C3ctxq1tqvaCgkFb8cCA/edit?usp=sharing"",""มหาสารคาม!M434"")"),0.0)</f>
        <v>0</v>
      </c>
      <c r="O539" s="203"/>
      <c r="P539" s="203"/>
    </row>
    <row r="540" ht="21.75" customHeight="1">
      <c r="A540" s="408"/>
      <c r="B540" s="409"/>
      <c r="C540" s="190"/>
      <c r="D540" s="410"/>
      <c r="E540" s="192"/>
      <c r="F540" s="192"/>
      <c r="G540" s="411" t="s">
        <v>134</v>
      </c>
      <c r="H540" s="194" t="s">
        <v>13</v>
      </c>
      <c r="I540" s="222"/>
      <c r="J540" s="222"/>
      <c r="K540" s="258"/>
      <c r="L540" s="203"/>
      <c r="M540" s="203"/>
      <c r="N540" s="412">
        <f>IFERROR(__xludf.DUMMYFUNCTION("IMPORTRANGE(""https://docs.google.com/spreadsheets/d/1XL5vhW3sbDhbH9Cz0tuDiY8C3ctxq1tqvaCgkFb8cCA/edit?usp=sharing"",""มหาสารคาม!M435"")"),0.0)</f>
        <v>0</v>
      </c>
      <c r="O540" s="203"/>
      <c r="P540" s="203"/>
    </row>
    <row r="541" ht="21.75" customHeight="1">
      <c r="A541" s="408"/>
      <c r="B541" s="409"/>
      <c r="C541" s="190"/>
      <c r="D541" s="410"/>
      <c r="E541" s="192"/>
      <c r="F541" s="192"/>
      <c r="G541" s="411" t="s">
        <v>135</v>
      </c>
      <c r="H541" s="194" t="s">
        <v>13</v>
      </c>
      <c r="I541" s="222"/>
      <c r="J541" s="222"/>
      <c r="K541" s="258"/>
      <c r="L541" s="203"/>
      <c r="M541" s="203"/>
      <c r="N541" s="412">
        <f>IFERROR(__xludf.DUMMYFUNCTION("IMPORTRANGE(""https://docs.google.com/spreadsheets/d/1XL5vhW3sbDhbH9Cz0tuDiY8C3ctxq1tqvaCgkFb8cCA/edit?usp=sharing"",""มหาสารคาม!M436"")"),0.0)</f>
        <v>0</v>
      </c>
      <c r="O541" s="203"/>
      <c r="P541" s="203"/>
    </row>
    <row r="542" ht="21.75" customHeight="1">
      <c r="A542" s="210"/>
      <c r="B542" s="211"/>
      <c r="C542" s="190" t="s">
        <v>17</v>
      </c>
      <c r="D542" s="212" t="s">
        <v>45</v>
      </c>
      <c r="E542" s="213"/>
      <c r="F542" s="213"/>
      <c r="G542" s="214"/>
      <c r="H542" s="215"/>
      <c r="I542" s="195"/>
      <c r="J542" s="195"/>
      <c r="K542" s="196"/>
      <c r="L542" s="216"/>
      <c r="M542" s="216"/>
      <c r="N542" s="216"/>
      <c r="O542" s="216"/>
      <c r="P542" s="216"/>
    </row>
    <row r="543" ht="21.75" customHeight="1">
      <c r="A543" s="210"/>
      <c r="B543" s="211"/>
      <c r="C543" s="211"/>
      <c r="D543" s="217">
        <v>1.0</v>
      </c>
      <c r="E543" s="218" t="s">
        <v>46</v>
      </c>
      <c r="F543" s="219"/>
      <c r="G543" s="220"/>
      <c r="H543" s="221"/>
      <c r="I543" s="222"/>
      <c r="J543" s="232">
        <f>IFERROR(__xludf.DUMMYFUNCTION("IMPORTRANGE(""https://docs.google.com/spreadsheets/d/1XL5vhW3sbDhbH9Cz0tuDiY8C3ctxq1tqvaCgkFb8cCA/edit?usp=sharing"",""มหาสารคาม!J438"")"),1.0)</f>
        <v>1</v>
      </c>
      <c r="K543" s="196"/>
      <c r="L543" s="216"/>
      <c r="M543" s="216"/>
      <c r="N543" s="216"/>
      <c r="O543" s="216"/>
      <c r="P543" s="216"/>
    </row>
    <row r="544" ht="21.75" customHeight="1">
      <c r="A544" s="210"/>
      <c r="B544" s="211"/>
      <c r="C544" s="211"/>
      <c r="D544" s="224">
        <v>2.0</v>
      </c>
      <c r="E544" s="225" t="s">
        <v>47</v>
      </c>
      <c r="F544" s="226"/>
      <c r="G544" s="227"/>
      <c r="H544" s="221"/>
      <c r="I544" s="222"/>
      <c r="J544" s="223">
        <f>IFERROR(__xludf.DUMMYFUNCTION("IMPORTRANGE(""https://docs.google.com/spreadsheets/d/1XL5vhW3sbDhbH9Cz0tuDiY8C3ctxq1tqvaCgkFb8cCA/edit?usp=sharing"",""มหาสารคาม!J439"")"),0.0)</f>
        <v>0</v>
      </c>
      <c r="K544" s="196"/>
      <c r="L544" s="216" t="s">
        <v>41</v>
      </c>
      <c r="M544" s="216"/>
      <c r="N544" s="216" t="s">
        <v>41</v>
      </c>
      <c r="O544" s="216"/>
      <c r="P544" s="216"/>
    </row>
    <row r="545" ht="21.75" customHeight="1">
      <c r="A545" s="210"/>
      <c r="B545" s="211"/>
      <c r="C545" s="211"/>
      <c r="D545" s="228"/>
      <c r="E545" s="229" t="s">
        <v>48</v>
      </c>
      <c r="F545" s="230"/>
      <c r="G545" s="231"/>
      <c r="H545" s="221"/>
      <c r="I545" s="222"/>
      <c r="J545" s="223">
        <f>IFERROR(__xludf.DUMMYFUNCTION("IMPORTRANGE(""https://docs.google.com/spreadsheets/d/1XL5vhW3sbDhbH9Cz0tuDiY8C3ctxq1tqvaCgkFb8cCA/edit?usp=sharing"",""มหาสารคาม!J440"")"),0.0)</f>
        <v>0</v>
      </c>
      <c r="K545" s="196"/>
      <c r="L545" s="216"/>
      <c r="M545" s="216"/>
      <c r="N545" s="216"/>
      <c r="O545" s="216"/>
      <c r="P545" s="216"/>
    </row>
    <row r="546" ht="21.75" customHeight="1">
      <c r="A546" s="210"/>
      <c r="B546" s="211"/>
      <c r="C546" s="211"/>
      <c r="D546" s="228"/>
      <c r="E546" s="229" t="s">
        <v>49</v>
      </c>
      <c r="F546" s="230"/>
      <c r="G546" s="231"/>
      <c r="H546" s="221"/>
      <c r="I546" s="222"/>
      <c r="J546" s="232">
        <f>IFERROR(__xludf.DUMMYFUNCTION("IMPORTRANGE(""https://docs.google.com/spreadsheets/d/1XL5vhW3sbDhbH9Cz0tuDiY8C3ctxq1tqvaCgkFb8cCA/edit?usp=sharing"",""มหาสารคาม!J441"")"),0.0)</f>
        <v>0</v>
      </c>
      <c r="K546" s="196"/>
      <c r="L546" s="216"/>
      <c r="M546" s="216"/>
      <c r="N546" s="216"/>
      <c r="O546" s="216"/>
      <c r="P546" s="216"/>
    </row>
    <row r="547" ht="21.75" customHeight="1">
      <c r="A547" s="210"/>
      <c r="B547" s="211"/>
      <c r="C547" s="211"/>
      <c r="D547" s="228"/>
      <c r="E547" s="233"/>
      <c r="F547" s="230"/>
      <c r="G547" s="260" t="s">
        <v>204</v>
      </c>
      <c r="H547" s="221" t="s">
        <v>38</v>
      </c>
      <c r="I547" s="238">
        <f>IFERROR(__xludf.DUMMYFUNCTION("IMPORTRANGE(""https://docs.google.com/spreadsheets/d/1XL5vhW3sbDhbH9Cz0tuDiY8C3ctxq1tqvaCgkFb8cCA/edit?usp=sharing"",""มหาสารคาม!I442"")"),22.0)</f>
        <v>22</v>
      </c>
      <c r="J547" s="223">
        <f>IFERROR(__xludf.DUMMYFUNCTION("IMPORTRANGE(""https://docs.google.com/spreadsheets/d/1XL5vhW3sbDhbH9Cz0tuDiY8C3ctxq1tqvaCgkFb8cCA/edit?usp=sharing"",""มหาสารคาม!J442"")"),0.0)</f>
        <v>0</v>
      </c>
      <c r="K547" s="196">
        <f t="shared" ref="K547:K548" si="120">IF(I547&gt;0,J547*100/I547,0)</f>
        <v>0</v>
      </c>
      <c r="L547" s="216"/>
      <c r="M547" s="216"/>
      <c r="N547" s="216"/>
      <c r="O547" s="216"/>
      <c r="P547" s="216"/>
    </row>
    <row r="548" ht="21.75" hidden="1" customHeight="1">
      <c r="A548" s="210"/>
      <c r="B548" s="211"/>
      <c r="C548" s="211"/>
      <c r="D548" s="228"/>
      <c r="E548" s="233"/>
      <c r="F548" s="230"/>
      <c r="G548" s="260" t="s">
        <v>205</v>
      </c>
      <c r="H548" s="221" t="s">
        <v>38</v>
      </c>
      <c r="I548" s="374">
        <f>IFERROR(__xludf.DUMMYFUNCTION("IMPORTRANGE(""https://docs.google.com/spreadsheets/d/1C3CXT74ZlgGe6_JY_1olB1XN4rF0dxEuIIF-xsYjHgg/edit?usp=sharing"",""งบกองทุน!dr63"")"),0.0)</f>
        <v>0</v>
      </c>
      <c r="J548" s="232">
        <f>IFERROR(__xludf.DUMMYFUNCTION("IMPORTRANGE(""https://docs.google.com/spreadsheets/d/1XL5vhW3sbDhbH9Cz0tuDiY8C3ctxq1tqvaCgkFb8cCA/edit?usp=sharing"",""มหาสารคาม!J166"")"),0.0)</f>
        <v>0</v>
      </c>
      <c r="K548" s="196">
        <f t="shared" si="120"/>
        <v>0</v>
      </c>
      <c r="L548" s="216"/>
      <c r="M548" s="216"/>
      <c r="N548" s="216"/>
      <c r="O548" s="216"/>
      <c r="P548" s="216"/>
    </row>
    <row r="549" ht="21.75" customHeight="1">
      <c r="A549" s="210"/>
      <c r="B549" s="211"/>
      <c r="C549" s="211"/>
      <c r="D549" s="228"/>
      <c r="E549" s="229" t="s">
        <v>55</v>
      </c>
      <c r="F549" s="230"/>
      <c r="G549" s="231"/>
      <c r="H549" s="221"/>
      <c r="I549" s="222"/>
      <c r="J549" s="232">
        <f>IFERROR(__xludf.DUMMYFUNCTION("IMPORTRANGE(""https://docs.google.com/spreadsheets/d/1XL5vhW3sbDhbH9Cz0tuDiY8C3ctxq1tqvaCgkFb8cCA/edit?usp=sharing"",""มหาสารคาม!J444"")"),0.0)</f>
        <v>0</v>
      </c>
      <c r="K549" s="196"/>
      <c r="L549" s="216"/>
      <c r="M549" s="216"/>
      <c r="N549" s="216"/>
      <c r="O549" s="216"/>
      <c r="P549" s="216"/>
    </row>
    <row r="550" ht="21.75" customHeight="1">
      <c r="A550" s="492"/>
      <c r="B550" s="493"/>
      <c r="C550" s="493"/>
      <c r="D550" s="502">
        <v>3.0</v>
      </c>
      <c r="E550" s="503" t="s">
        <v>56</v>
      </c>
      <c r="F550" s="504"/>
      <c r="G550" s="505"/>
      <c r="H550" s="506"/>
      <c r="I550" s="498"/>
      <c r="J550" s="507">
        <f>IFERROR(__xludf.DUMMYFUNCTION("IMPORTRANGE(""https://docs.google.com/spreadsheets/d/1XL5vhW3sbDhbH9Cz0tuDiY8C3ctxq1tqvaCgkFb8cCA/edit?usp=sharing"",""มหาสารคาม!J445"")"),0.0)</f>
        <v>0</v>
      </c>
      <c r="K550" s="500"/>
      <c r="L550" s="501"/>
      <c r="M550" s="501"/>
      <c r="N550" s="501"/>
      <c r="O550" s="501"/>
      <c r="P550" s="501"/>
    </row>
    <row r="551" ht="21.75" customHeight="1">
      <c r="A551" s="438"/>
      <c r="B551" s="439">
        <v>7.0</v>
      </c>
      <c r="C551" s="440" t="s">
        <v>206</v>
      </c>
      <c r="D551" s="440"/>
      <c r="E551" s="440"/>
      <c r="F551" s="440"/>
      <c r="G551" s="441"/>
      <c r="H551" s="442" t="s">
        <v>123</v>
      </c>
      <c r="I551" s="443">
        <f>IFERROR(__xludf.DUMMYFUNCTION("IMPORTRANGE(""https://docs.google.com/spreadsheets/d/1XL5vhW3sbDhbH9Cz0tuDiY8C3ctxq1tqvaCgkFb8cCA/edit?usp=sharing"",""มหาสารคาม!I446"")"),0.0)</f>
        <v>0</v>
      </c>
      <c r="J551" s="443">
        <f>IFERROR(__xludf.DUMMYFUNCTION("IMPORTRANGE(""https://docs.google.com/spreadsheets/d/1XL5vhW3sbDhbH9Cz0tuDiY8C3ctxq1tqvaCgkFb8cCA/edit?usp=sharing"",""มหาสารคาม!J446"")"),0.0)</f>
        <v>0</v>
      </c>
      <c r="K551" s="444">
        <f>IF(I551&gt;0,J551*100/I551,0)</f>
        <v>0</v>
      </c>
      <c r="L551" s="445">
        <f>IFERROR(__xludf.DUMMYFUNCTION("IMPORTRANGE(""https://docs.google.com/spreadsheets/d/1XL5vhW3sbDhbH9Cz0tuDiY8C3ctxq1tqvaCgkFb8cCA/edit?usp=sharing"",""มหาสารคาม!L446"")"),0.0)</f>
        <v>0</v>
      </c>
      <c r="M551" s="445"/>
      <c r="N551" s="445">
        <f>IFERROR(__xludf.DUMMYFUNCTION("IMPORTRANGE(""https://docs.google.com/spreadsheets/d/1XL5vhW3sbDhbH9Cz0tuDiY8C3ctxq1tqvaCgkFb8cCA/edit?usp=sharing"",""มหาสารคาม!M446"")"),0.0)</f>
        <v>0</v>
      </c>
      <c r="O551" s="445">
        <f t="shared" ref="O551:O555" si="121">+IF(L551&gt;0,N551*100/L551,0)</f>
        <v>0</v>
      </c>
      <c r="P551" s="445"/>
    </row>
    <row r="552" ht="21.75" customHeight="1">
      <c r="A552" s="189"/>
      <c r="B552" s="190"/>
      <c r="C552" s="190" t="s">
        <v>17</v>
      </c>
      <c r="D552" s="191" t="s">
        <v>39</v>
      </c>
      <c r="E552" s="192"/>
      <c r="F552" s="192"/>
      <c r="G552" s="193" t="s">
        <v>40</v>
      </c>
      <c r="H552" s="194" t="s">
        <v>13</v>
      </c>
      <c r="I552" s="195" t="s">
        <v>41</v>
      </c>
      <c r="J552" s="195"/>
      <c r="K552" s="196"/>
      <c r="L552" s="197">
        <f>IFERROR(__xludf.DUMMYFUNCTION("IMPORTRANGE(""https://docs.google.com/spreadsheets/d/1XL5vhW3sbDhbH9Cz0tuDiY8C3ctxq1tqvaCgkFb8cCA/edit?usp=sharing"",""มหาสารคาม!L447"")"),0.0)</f>
        <v>0</v>
      </c>
      <c r="M552" s="197"/>
      <c r="N552" s="203">
        <f>IFERROR(__xludf.DUMMYFUNCTION("IMPORTRANGE(""https://docs.google.com/spreadsheets/d/1XL5vhW3sbDhbH9Cz0tuDiY8C3ctxq1tqvaCgkFb8cCA/edit?usp=sharing"",""มหาสารคาม!M447"")"),0.0)</f>
        <v>0</v>
      </c>
      <c r="O552" s="203">
        <f t="shared" si="121"/>
        <v>0</v>
      </c>
      <c r="P552" s="203"/>
    </row>
    <row r="553" ht="21.75" customHeight="1">
      <c r="A553" s="189"/>
      <c r="B553" s="190"/>
      <c r="C553" s="190"/>
      <c r="D553" s="199"/>
      <c r="E553" s="192"/>
      <c r="F553" s="192" t="s">
        <v>41</v>
      </c>
      <c r="G553" s="193" t="s">
        <v>42</v>
      </c>
      <c r="H553" s="194" t="s">
        <v>13</v>
      </c>
      <c r="I553" s="195"/>
      <c r="J553" s="195"/>
      <c r="K553" s="196"/>
      <c r="L553" s="198">
        <f>IFERROR(__xludf.DUMMYFUNCTION("IMPORTRANGE(""https://docs.google.com/spreadsheets/d/1XL5vhW3sbDhbH9Cz0tuDiY8C3ctxq1tqvaCgkFb8cCA/edit?usp=sharing"",""มหาสารคาม!L448"")"),0.0)</f>
        <v>0</v>
      </c>
      <c r="M553" s="198"/>
      <c r="N553" s="203">
        <f>IFERROR(__xludf.DUMMYFUNCTION("IMPORTRANGE(""https://docs.google.com/spreadsheets/d/1XL5vhW3sbDhbH9Cz0tuDiY8C3ctxq1tqvaCgkFb8cCA/edit?usp=sharing"",""มหาสารคาม!M448"")"),0.0)</f>
        <v>0</v>
      </c>
      <c r="O553" s="203">
        <f t="shared" si="121"/>
        <v>0</v>
      </c>
      <c r="P553" s="203"/>
    </row>
    <row r="554" ht="21.75" customHeight="1">
      <c r="A554" s="189"/>
      <c r="B554" s="190"/>
      <c r="C554" s="190"/>
      <c r="D554" s="199"/>
      <c r="E554" s="192"/>
      <c r="F554" s="192"/>
      <c r="G554" s="407" t="s">
        <v>130</v>
      </c>
      <c r="H554" s="194" t="s">
        <v>13</v>
      </c>
      <c r="I554" s="195"/>
      <c r="J554" s="195"/>
      <c r="K554" s="196"/>
      <c r="L554" s="203">
        <f>IFERROR(__xludf.DUMMYFUNCTION("IMPORTRANGE(""https://docs.google.com/spreadsheets/d/1XL5vhW3sbDhbH9Cz0tuDiY8C3ctxq1tqvaCgkFb8cCA/edit?usp=sharing"",""มหาสารคาม!L449"")"),0.0)</f>
        <v>0</v>
      </c>
      <c r="M554" s="203"/>
      <c r="N554" s="203">
        <f>IFERROR(__xludf.DUMMYFUNCTION("IMPORTRANGE(""https://docs.google.com/spreadsheets/d/1XL5vhW3sbDhbH9Cz0tuDiY8C3ctxq1tqvaCgkFb8cCA/edit?usp=sharing"",""มหาสารคาม!M449"")"),0.0)</f>
        <v>0</v>
      </c>
      <c r="O554" s="203">
        <f t="shared" si="121"/>
        <v>0</v>
      </c>
      <c r="P554" s="203"/>
    </row>
    <row r="555" ht="21.75" customHeight="1">
      <c r="A555" s="189"/>
      <c r="B555" s="190"/>
      <c r="C555" s="190"/>
      <c r="D555" s="199"/>
      <c r="E555" s="192"/>
      <c r="F555" s="192"/>
      <c r="G555" s="407" t="s">
        <v>131</v>
      </c>
      <c r="H555" s="194" t="s">
        <v>13</v>
      </c>
      <c r="I555" s="195"/>
      <c r="J555" s="195"/>
      <c r="K555" s="196"/>
      <c r="L555" s="203">
        <f>IFERROR(__xludf.DUMMYFUNCTION("IMPORTRANGE(""https://docs.google.com/spreadsheets/d/1XL5vhW3sbDhbH9Cz0tuDiY8C3ctxq1tqvaCgkFb8cCA/edit?usp=sharing"",""มหาสารคาม!L450"")"),0.0)</f>
        <v>0</v>
      </c>
      <c r="M555" s="203"/>
      <c r="N555" s="203">
        <f>IFERROR(__xludf.DUMMYFUNCTION("IMPORTRANGE(""https://docs.google.com/spreadsheets/d/1XL5vhW3sbDhbH9Cz0tuDiY8C3ctxq1tqvaCgkFb8cCA/edit?usp=sharing"",""มหาสารคาม!M450"")"),0.0)</f>
        <v>0</v>
      </c>
      <c r="O555" s="203">
        <f t="shared" si="121"/>
        <v>0</v>
      </c>
      <c r="P555" s="203"/>
    </row>
    <row r="556" ht="21.75" customHeight="1">
      <c r="A556" s="408"/>
      <c r="B556" s="409"/>
      <c r="C556" s="190"/>
      <c r="D556" s="410"/>
      <c r="E556" s="192"/>
      <c r="F556" s="192"/>
      <c r="G556" s="411" t="s">
        <v>132</v>
      </c>
      <c r="H556" s="194" t="s">
        <v>13</v>
      </c>
      <c r="I556" s="222"/>
      <c r="J556" s="222"/>
      <c r="K556" s="258"/>
      <c r="L556" s="203"/>
      <c r="M556" s="203"/>
      <c r="N556" s="200">
        <f>IFERROR(__xludf.DUMMYFUNCTION("IMPORTRANGE(""https://docs.google.com/spreadsheets/d/1XL5vhW3sbDhbH9Cz0tuDiY8C3ctxq1tqvaCgkFb8cCA/edit?usp=sharing"",""มหาสารคาม!M451"")"),0.0)</f>
        <v>0</v>
      </c>
      <c r="O556" s="203"/>
      <c r="P556" s="203"/>
    </row>
    <row r="557" ht="21.75" customHeight="1">
      <c r="A557" s="408"/>
      <c r="B557" s="409"/>
      <c r="C557" s="190"/>
      <c r="D557" s="410"/>
      <c r="E557" s="192"/>
      <c r="F557" s="192"/>
      <c r="G557" s="411" t="s">
        <v>133</v>
      </c>
      <c r="H557" s="194" t="s">
        <v>13</v>
      </c>
      <c r="I557" s="222"/>
      <c r="J557" s="222"/>
      <c r="K557" s="258"/>
      <c r="L557" s="203"/>
      <c r="M557" s="203"/>
      <c r="N557" s="200">
        <f>IFERROR(__xludf.DUMMYFUNCTION("IMPORTRANGE(""https://docs.google.com/spreadsheets/d/1XL5vhW3sbDhbH9Cz0tuDiY8C3ctxq1tqvaCgkFb8cCA/edit?usp=sharing"",""มหาสารคาม!M452"")"),0.0)</f>
        <v>0</v>
      </c>
      <c r="O557" s="203"/>
      <c r="P557" s="203"/>
    </row>
    <row r="558" ht="21.75" customHeight="1">
      <c r="A558" s="408"/>
      <c r="B558" s="409"/>
      <c r="C558" s="190"/>
      <c r="D558" s="410"/>
      <c r="E558" s="192"/>
      <c r="F558" s="192"/>
      <c r="G558" s="411" t="s">
        <v>134</v>
      </c>
      <c r="H558" s="194" t="s">
        <v>13</v>
      </c>
      <c r="I558" s="222"/>
      <c r="J558" s="222"/>
      <c r="K558" s="258"/>
      <c r="L558" s="203"/>
      <c r="M558" s="203"/>
      <c r="N558" s="200">
        <f>IFERROR(__xludf.DUMMYFUNCTION("IMPORTRANGE(""https://docs.google.com/spreadsheets/d/1XL5vhW3sbDhbH9Cz0tuDiY8C3ctxq1tqvaCgkFb8cCA/edit?usp=sharing"",""มหาสารคาม!M453"")"),0.0)</f>
        <v>0</v>
      </c>
      <c r="O558" s="203"/>
      <c r="P558" s="203"/>
    </row>
    <row r="559" ht="21.75" customHeight="1">
      <c r="A559" s="408"/>
      <c r="B559" s="409"/>
      <c r="C559" s="190"/>
      <c r="D559" s="410"/>
      <c r="E559" s="192"/>
      <c r="F559" s="192"/>
      <c r="G559" s="411" t="s">
        <v>135</v>
      </c>
      <c r="H559" s="194" t="s">
        <v>13</v>
      </c>
      <c r="I559" s="222"/>
      <c r="J559" s="222"/>
      <c r="K559" s="258"/>
      <c r="L559" s="203"/>
      <c r="M559" s="203"/>
      <c r="N559" s="200">
        <f>IFERROR(__xludf.DUMMYFUNCTION("IMPORTRANGE(""https://docs.google.com/spreadsheets/d/1XL5vhW3sbDhbH9Cz0tuDiY8C3ctxq1tqvaCgkFb8cCA/edit?usp=sharing"",""มหาสารคาม!M454"")"),0.0)</f>
        <v>0</v>
      </c>
      <c r="O559" s="203"/>
      <c r="P559" s="203"/>
    </row>
    <row r="560" ht="21.75" customHeight="1">
      <c r="A560" s="210"/>
      <c r="B560" s="211"/>
      <c r="C560" s="211"/>
      <c r="D560" s="228"/>
      <c r="E560" s="230"/>
      <c r="F560" s="312" t="s">
        <v>207</v>
      </c>
      <c r="G560" s="231"/>
      <c r="H560" s="508" t="s">
        <v>123</v>
      </c>
      <c r="I560" s="195">
        <f>IFERROR(__xludf.DUMMYFUNCTION("IMPORTRANGE(""https://docs.google.com/spreadsheets/d/1XL5vhW3sbDhbH9Cz0tuDiY8C3ctxq1tqvaCgkFb8cCA/edit?usp=sharing"",""มหาสารคาม!I455"")"),0.0)</f>
        <v>0</v>
      </c>
      <c r="J560" s="195">
        <f>IFERROR(__xludf.DUMMYFUNCTION("IMPORTRANGE(""https://docs.google.com/spreadsheets/d/1XL5vhW3sbDhbH9Cz0tuDiY8C3ctxq1tqvaCgkFb8cCA/edit?usp=sharing"",""มหาสารคาม!J455"")"),0.0)</f>
        <v>0</v>
      </c>
      <c r="K560" s="258">
        <f t="shared" ref="K560:K564" si="122">IF(I560&gt;0,J560*100/I560,0)</f>
        <v>0</v>
      </c>
      <c r="L560" s="203"/>
      <c r="M560" s="203"/>
      <c r="N560" s="203"/>
      <c r="O560" s="216"/>
      <c r="P560" s="216"/>
    </row>
    <row r="561" ht="21.75" customHeight="1">
      <c r="A561" s="210"/>
      <c r="B561" s="211"/>
      <c r="C561" s="211"/>
      <c r="D561" s="228"/>
      <c r="E561" s="230"/>
      <c r="F561" s="230"/>
      <c r="G561" s="231"/>
      <c r="H561" s="508" t="s">
        <v>37</v>
      </c>
      <c r="I561" s="195">
        <f>IFERROR(__xludf.DUMMYFUNCTION("IMPORTRANGE(""https://docs.google.com/spreadsheets/d/1XL5vhW3sbDhbH9Cz0tuDiY8C3ctxq1tqvaCgkFb8cCA/edit?usp=sharing"",""มหาสารคาม!I456"")"),0.0)</f>
        <v>0</v>
      </c>
      <c r="J561" s="238">
        <f>IFERROR(__xludf.DUMMYFUNCTION("IMPORTRANGE(""https://docs.google.com/spreadsheets/d/1XL5vhW3sbDhbH9Cz0tuDiY8C3ctxq1tqvaCgkFb8cCA/edit?usp=sharing"",""มหาสารคาม!J456"")"),0.0)</f>
        <v>0</v>
      </c>
      <c r="K561" s="258">
        <f t="shared" si="122"/>
        <v>0</v>
      </c>
      <c r="L561" s="203"/>
      <c r="M561" s="203"/>
      <c r="N561" s="203"/>
      <c r="O561" s="216"/>
      <c r="P561" s="216"/>
    </row>
    <row r="562" ht="21.75" customHeight="1">
      <c r="A562" s="210"/>
      <c r="B562" s="211"/>
      <c r="C562" s="211"/>
      <c r="D562" s="228"/>
      <c r="E562" s="230"/>
      <c r="F562" s="230" t="s">
        <v>208</v>
      </c>
      <c r="G562" s="231"/>
      <c r="H562" s="508" t="s">
        <v>123</v>
      </c>
      <c r="I562" s="195" t="str">
        <f>IFERROR(__xludf.DUMMYFUNCTION("IMPORTRANGE(""https://docs.google.com/spreadsheets/d/1XL5vhW3sbDhbH9Cz0tuDiY8C3ctxq1tqvaCgkFb8cCA/edit?usp=sharing"",""มหาสารคาม!I457"")"),"")</f>
        <v/>
      </c>
      <c r="J562" s="238" t="str">
        <f>IFERROR(__xludf.DUMMYFUNCTION("IMPORTRANGE(""https://docs.google.com/spreadsheets/d/1XL5vhW3sbDhbH9Cz0tuDiY8C3ctxq1tqvaCgkFb8cCA/edit?usp=sharing"",""มหาสารคาม!J457"")"),"")</f>
        <v/>
      </c>
      <c r="K562" s="196">
        <f t="shared" si="122"/>
        <v>0</v>
      </c>
      <c r="L562" s="216"/>
      <c r="M562" s="216"/>
      <c r="N562" s="216"/>
      <c r="O562" s="216"/>
      <c r="P562" s="216"/>
    </row>
    <row r="563" ht="21.75" customHeight="1">
      <c r="A563" s="210"/>
      <c r="B563" s="211"/>
      <c r="C563" s="211"/>
      <c r="D563" s="228"/>
      <c r="E563" s="230"/>
      <c r="F563" s="230"/>
      <c r="G563" s="231"/>
      <c r="H563" s="508" t="s">
        <v>37</v>
      </c>
      <c r="I563" s="195" t="str">
        <f>IFERROR(__xludf.DUMMYFUNCTION("IMPORTRANGE(""https://docs.google.com/spreadsheets/d/1XL5vhW3sbDhbH9Cz0tuDiY8C3ctxq1tqvaCgkFb8cCA/edit?usp=sharing"",""มหาสารคาม!I458"")"),"")</f>
        <v/>
      </c>
      <c r="J563" s="222" t="str">
        <f>IFERROR(__xludf.DUMMYFUNCTION("IMPORTRANGE(""https://docs.google.com/spreadsheets/d/1XL5vhW3sbDhbH9Cz0tuDiY8C3ctxq1tqvaCgkFb8cCA/edit?usp=sharing"",""มหาสารคาม!J458"")"),"")</f>
        <v/>
      </c>
      <c r="K563" s="196">
        <f t="shared" si="122"/>
        <v>0</v>
      </c>
      <c r="L563" s="216"/>
      <c r="M563" s="216"/>
      <c r="N563" s="216"/>
      <c r="O563" s="216"/>
      <c r="P563" s="216"/>
    </row>
    <row r="564" ht="21.75" customHeight="1">
      <c r="A564" s="399"/>
      <c r="B564" s="400">
        <v>8.0</v>
      </c>
      <c r="C564" s="401" t="s">
        <v>209</v>
      </c>
      <c r="D564" s="401"/>
      <c r="E564" s="401"/>
      <c r="F564" s="401"/>
      <c r="G564" s="402"/>
      <c r="H564" s="403" t="s">
        <v>38</v>
      </c>
      <c r="I564" s="404">
        <f>IFERROR(__xludf.DUMMYFUNCTION("IMPORTRANGE(""https://docs.google.com/spreadsheets/d/1XL5vhW3sbDhbH9Cz0tuDiY8C3ctxq1tqvaCgkFb8cCA/edit?usp=sharing"",""มหาสารคาม!I459"")"),950.0)</f>
        <v>950</v>
      </c>
      <c r="J564" s="404">
        <f>IFERROR(__xludf.DUMMYFUNCTION("IMPORTRANGE(""https://docs.google.com/spreadsheets/d/1XL5vhW3sbDhbH9Cz0tuDiY8C3ctxq1tqvaCgkFb8cCA/edit?usp=sharing"",""มหาสารคาม!J459"")"),279.0)</f>
        <v>279</v>
      </c>
      <c r="K564" s="405">
        <f t="shared" si="122"/>
        <v>29.36842105</v>
      </c>
      <c r="L564" s="406">
        <f>IFERROR(__xludf.DUMMYFUNCTION("IMPORTRANGE(""https://docs.google.com/spreadsheets/d/1XL5vhW3sbDhbH9Cz0tuDiY8C3ctxq1tqvaCgkFb8cCA/edit?usp=sharing"",""มหาสารคาม!L459"")"),126080.0)</f>
        <v>126080</v>
      </c>
      <c r="M564" s="406"/>
      <c r="N564" s="406">
        <f>IFERROR(__xludf.DUMMYFUNCTION("IMPORTRANGE(""https://docs.google.com/spreadsheets/d/1XL5vhW3sbDhbH9Cz0tuDiY8C3ctxq1tqvaCgkFb8cCA/edit?usp=sharing"",""มหาสารคาม!M459"")"),42815.479999999996)</f>
        <v>42815.48</v>
      </c>
      <c r="O564" s="406">
        <f t="shared" ref="O564:O568" si="123">+IF(L564&gt;0,N564*100/L564,0)</f>
        <v>33.95897843</v>
      </c>
      <c r="P564" s="406"/>
    </row>
    <row r="565" ht="21.75" customHeight="1">
      <c r="A565" s="189"/>
      <c r="B565" s="190"/>
      <c r="C565" s="190" t="s">
        <v>17</v>
      </c>
      <c r="D565" s="191" t="s">
        <v>39</v>
      </c>
      <c r="E565" s="192"/>
      <c r="F565" s="192"/>
      <c r="G565" s="193" t="s">
        <v>40</v>
      </c>
      <c r="H565" s="194" t="s">
        <v>13</v>
      </c>
      <c r="I565" s="195" t="s">
        <v>41</v>
      </c>
      <c r="J565" s="195"/>
      <c r="K565" s="196"/>
      <c r="L565" s="197">
        <f>IFERROR(__xludf.DUMMYFUNCTION("IMPORTRANGE(""https://docs.google.com/spreadsheets/d/1XL5vhW3sbDhbH9Cz0tuDiY8C3ctxq1tqvaCgkFb8cCA/edit?usp=sharing"",""มหาสารคาม!L460"")"),0.0)</f>
        <v>0</v>
      </c>
      <c r="M565" s="197"/>
      <c r="N565" s="203">
        <f>IFERROR(__xludf.DUMMYFUNCTION("IMPORTRANGE(""https://docs.google.com/spreadsheets/d/1XL5vhW3sbDhbH9Cz0tuDiY8C3ctxq1tqvaCgkFb8cCA/edit?usp=sharing"",""มหาสารคาม!M460"")"),0.0)</f>
        <v>0</v>
      </c>
      <c r="O565" s="203">
        <f t="shared" si="123"/>
        <v>0</v>
      </c>
      <c r="P565" s="203"/>
    </row>
    <row r="566" ht="21.75" customHeight="1">
      <c r="A566" s="189"/>
      <c r="B566" s="190"/>
      <c r="C566" s="190"/>
      <c r="D566" s="199"/>
      <c r="E566" s="192"/>
      <c r="F566" s="192" t="s">
        <v>41</v>
      </c>
      <c r="G566" s="193" t="s">
        <v>42</v>
      </c>
      <c r="H566" s="194" t="s">
        <v>13</v>
      </c>
      <c r="I566" s="195"/>
      <c r="J566" s="195"/>
      <c r="K566" s="196"/>
      <c r="L566" s="198">
        <f>IFERROR(__xludf.DUMMYFUNCTION("IMPORTRANGE(""https://docs.google.com/spreadsheets/d/1XL5vhW3sbDhbH9Cz0tuDiY8C3ctxq1tqvaCgkFb8cCA/edit?usp=sharing"",""มหาสารคาม!L461"")"),126080.0)</f>
        <v>126080</v>
      </c>
      <c r="M566" s="198"/>
      <c r="N566" s="203">
        <f>IFERROR(__xludf.DUMMYFUNCTION("IMPORTRANGE(""https://docs.google.com/spreadsheets/d/1XL5vhW3sbDhbH9Cz0tuDiY8C3ctxq1tqvaCgkFb8cCA/edit?usp=sharing"",""มหาสารคาม!M461"")"),42815.479999999996)</f>
        <v>42815.48</v>
      </c>
      <c r="O566" s="203">
        <f t="shared" si="123"/>
        <v>33.95897843</v>
      </c>
      <c r="P566" s="203"/>
    </row>
    <row r="567" ht="21.75" customHeight="1">
      <c r="A567" s="189"/>
      <c r="B567" s="190"/>
      <c r="C567" s="190"/>
      <c r="D567" s="199"/>
      <c r="E567" s="192"/>
      <c r="F567" s="192"/>
      <c r="G567" s="407" t="s">
        <v>130</v>
      </c>
      <c r="H567" s="194" t="s">
        <v>13</v>
      </c>
      <c r="I567" s="195"/>
      <c r="J567" s="195"/>
      <c r="K567" s="196"/>
      <c r="L567" s="203">
        <f>IFERROR(__xludf.DUMMYFUNCTION("IMPORTRANGE(""https://docs.google.com/spreadsheets/d/1XL5vhW3sbDhbH9Cz0tuDiY8C3ctxq1tqvaCgkFb8cCA/edit?usp=sharing"",""มหาสารคาม!L462"")"),0.0)</f>
        <v>0</v>
      </c>
      <c r="M567" s="203"/>
      <c r="N567" s="203">
        <f>IFERROR(__xludf.DUMMYFUNCTION("IMPORTRANGE(""https://docs.google.com/spreadsheets/d/1XL5vhW3sbDhbH9Cz0tuDiY8C3ctxq1tqvaCgkFb8cCA/edit?usp=sharing"",""มหาสารคาม!M462"")"),0.0)</f>
        <v>0</v>
      </c>
      <c r="O567" s="203">
        <f t="shared" si="123"/>
        <v>0</v>
      </c>
      <c r="P567" s="203"/>
    </row>
    <row r="568" ht="21.75" customHeight="1">
      <c r="A568" s="189"/>
      <c r="B568" s="190"/>
      <c r="C568" s="190"/>
      <c r="D568" s="199"/>
      <c r="E568" s="192"/>
      <c r="F568" s="192"/>
      <c r="G568" s="407" t="s">
        <v>131</v>
      </c>
      <c r="H568" s="194" t="s">
        <v>13</v>
      </c>
      <c r="I568" s="195"/>
      <c r="J568" s="195"/>
      <c r="K568" s="196"/>
      <c r="L568" s="203">
        <f>IFERROR(__xludf.DUMMYFUNCTION("IMPORTRANGE(""https://docs.google.com/spreadsheets/d/1XL5vhW3sbDhbH9Cz0tuDiY8C3ctxq1tqvaCgkFb8cCA/edit?usp=sharing"",""มหาสารคาม!L463"")"),126080.0)</f>
        <v>126080</v>
      </c>
      <c r="M568" s="203"/>
      <c r="N568" s="203">
        <f>IFERROR(__xludf.DUMMYFUNCTION("IMPORTRANGE(""https://docs.google.com/spreadsheets/d/1XL5vhW3sbDhbH9Cz0tuDiY8C3ctxq1tqvaCgkFb8cCA/edit?usp=sharing"",""มหาสารคาม!M463"")"),42815.479999999996)</f>
        <v>42815.48</v>
      </c>
      <c r="O568" s="203">
        <f t="shared" si="123"/>
        <v>33.95897843</v>
      </c>
      <c r="P568" s="203"/>
    </row>
    <row r="569" ht="21.75" customHeight="1">
      <c r="A569" s="408"/>
      <c r="B569" s="409"/>
      <c r="C569" s="190"/>
      <c r="D569" s="410"/>
      <c r="E569" s="192"/>
      <c r="F569" s="192"/>
      <c r="G569" s="411" t="s">
        <v>132</v>
      </c>
      <c r="H569" s="194" t="s">
        <v>13</v>
      </c>
      <c r="I569" s="222"/>
      <c r="J569" s="222"/>
      <c r="K569" s="258"/>
      <c r="L569" s="203"/>
      <c r="M569" s="203"/>
      <c r="N569" s="200">
        <f>IFERROR(__xludf.DUMMYFUNCTION("IMPORTRANGE(""https://docs.google.com/spreadsheets/d/1XL5vhW3sbDhbH9Cz0tuDiY8C3ctxq1tqvaCgkFb8cCA/edit?usp=sharing"",""มหาสารคาม!M464"")"),0.0)</f>
        <v>0</v>
      </c>
      <c r="O569" s="203"/>
      <c r="P569" s="203"/>
    </row>
    <row r="570" ht="21.75" customHeight="1">
      <c r="A570" s="408"/>
      <c r="B570" s="409"/>
      <c r="C570" s="190"/>
      <c r="D570" s="410"/>
      <c r="E570" s="192"/>
      <c r="F570" s="192"/>
      <c r="G570" s="411" t="s">
        <v>133</v>
      </c>
      <c r="H570" s="194" t="s">
        <v>13</v>
      </c>
      <c r="I570" s="222"/>
      <c r="J570" s="222"/>
      <c r="K570" s="258"/>
      <c r="L570" s="203"/>
      <c r="M570" s="203"/>
      <c r="N570" s="200">
        <f>IFERROR(__xludf.DUMMYFUNCTION("IMPORTRANGE(""https://docs.google.com/spreadsheets/d/1XL5vhW3sbDhbH9Cz0tuDiY8C3ctxq1tqvaCgkFb8cCA/edit?usp=sharing"",""มหาสารคาม!M465"")"),0.0)</f>
        <v>0</v>
      </c>
      <c r="O570" s="203"/>
      <c r="P570" s="203"/>
    </row>
    <row r="571" ht="21.75" customHeight="1">
      <c r="A571" s="408"/>
      <c r="B571" s="409"/>
      <c r="C571" s="190"/>
      <c r="D571" s="410"/>
      <c r="E571" s="192"/>
      <c r="F571" s="192"/>
      <c r="G571" s="411" t="s">
        <v>134</v>
      </c>
      <c r="H571" s="194" t="s">
        <v>13</v>
      </c>
      <c r="I571" s="222"/>
      <c r="J571" s="222"/>
      <c r="K571" s="258"/>
      <c r="L571" s="203"/>
      <c r="M571" s="203"/>
      <c r="N571" s="412">
        <f>IFERROR(__xludf.DUMMYFUNCTION("IMPORTRANGE(""https://docs.google.com/spreadsheets/d/1XL5vhW3sbDhbH9Cz0tuDiY8C3ctxq1tqvaCgkFb8cCA/edit?usp=sharing"",""มหาสารคาม!M466"")"),31935.48)</f>
        <v>31935.48</v>
      </c>
      <c r="O571" s="203"/>
      <c r="P571" s="203"/>
    </row>
    <row r="572" ht="21.75" customHeight="1">
      <c r="A572" s="408"/>
      <c r="B572" s="409"/>
      <c r="C572" s="190"/>
      <c r="D572" s="410"/>
      <c r="E572" s="192"/>
      <c r="F572" s="192"/>
      <c r="G572" s="411" t="s">
        <v>135</v>
      </c>
      <c r="H572" s="194" t="s">
        <v>13</v>
      </c>
      <c r="I572" s="222"/>
      <c r="J572" s="222"/>
      <c r="K572" s="258"/>
      <c r="L572" s="203"/>
      <c r="M572" s="203"/>
      <c r="N572" s="412">
        <f>IFERROR(__xludf.DUMMYFUNCTION("IMPORTRANGE(""https://docs.google.com/spreadsheets/d/1XL5vhW3sbDhbH9Cz0tuDiY8C3ctxq1tqvaCgkFb8cCA/edit?usp=sharing"",""มหาสารคาม!M467"")"),10880.0)</f>
        <v>10880</v>
      </c>
      <c r="O572" s="203"/>
      <c r="P572" s="203"/>
    </row>
    <row r="573" ht="21.75" customHeight="1">
      <c r="A573" s="210"/>
      <c r="B573" s="211"/>
      <c r="C573" s="211"/>
      <c r="D573" s="230"/>
      <c r="E573" s="229" t="s">
        <v>41</v>
      </c>
      <c r="F573" s="447" t="s">
        <v>210</v>
      </c>
      <c r="G573" s="421"/>
      <c r="H573" s="509" t="s">
        <v>38</v>
      </c>
      <c r="I573" s="453">
        <f>IFERROR(__xludf.DUMMYFUNCTION("IMPORTRANGE(""https://docs.google.com/spreadsheets/d/1XL5vhW3sbDhbH9Cz0tuDiY8C3ctxq1tqvaCgkFb8cCA/edit?usp=sharing"",""มหาสารคาม!I468"")"),950.0)</f>
        <v>950</v>
      </c>
      <c r="J573" s="453">
        <f>IFERROR(__xludf.DUMMYFUNCTION("IMPORTRANGE(""https://docs.google.com/spreadsheets/d/1XL5vhW3sbDhbH9Cz0tuDiY8C3ctxq1tqvaCgkFb8cCA/edit?usp=sharing"",""มหาสารคาม!J468"")"),279.0)</f>
        <v>279</v>
      </c>
      <c r="K573" s="236">
        <f>IF(I573&gt;0,J573*100/I573,0)</f>
        <v>29.36842105</v>
      </c>
      <c r="L573" s="216"/>
      <c r="M573" s="216"/>
      <c r="N573" s="216"/>
      <c r="O573" s="216"/>
      <c r="P573" s="216"/>
    </row>
    <row r="574" ht="21.75" customHeight="1">
      <c r="A574" s="210"/>
      <c r="B574" s="211"/>
      <c r="C574" s="211"/>
      <c r="D574" s="230"/>
      <c r="E574" s="230"/>
      <c r="F574" s="229" t="s">
        <v>211</v>
      </c>
      <c r="G574" s="231"/>
      <c r="H574" s="508"/>
      <c r="I574" s="195"/>
      <c r="J574" s="195"/>
      <c r="K574" s="196"/>
      <c r="L574" s="216"/>
      <c r="M574" s="216"/>
      <c r="N574" s="216"/>
      <c r="O574" s="216"/>
      <c r="P574" s="216"/>
    </row>
    <row r="575" ht="21.75" customHeight="1">
      <c r="A575" s="210"/>
      <c r="B575" s="211"/>
      <c r="C575" s="211"/>
      <c r="D575" s="230"/>
      <c r="E575" s="229" t="s">
        <v>41</v>
      </c>
      <c r="F575" s="229" t="s">
        <v>212</v>
      </c>
      <c r="G575" s="231"/>
      <c r="H575" s="508" t="s">
        <v>78</v>
      </c>
      <c r="I575" s="237">
        <f>IFERROR(__xludf.DUMMYFUNCTION("IMPORTRANGE(""https://docs.google.com/spreadsheets/d/1XL5vhW3sbDhbH9Cz0tuDiY8C3ctxq1tqvaCgkFb8cCA/edit?usp=sharing"",""มหาสารคาม!I470"")"),0.0)</f>
        <v>0</v>
      </c>
      <c r="J575" s="232">
        <f>IFERROR(__xludf.DUMMYFUNCTION("IMPORTRANGE(""https://docs.google.com/spreadsheets/d/1XL5vhW3sbDhbH9Cz0tuDiY8C3ctxq1tqvaCgkFb8cCA/edit?usp=sharing"",""มหาสารคาม!J470"")"),2.0)</f>
        <v>2</v>
      </c>
      <c r="K575" s="196">
        <f t="shared" ref="K575:K579" si="124">IF(I575&gt;0,J575*100/I575,0)</f>
        <v>0</v>
      </c>
      <c r="L575" s="216"/>
      <c r="M575" s="216"/>
      <c r="N575" s="216"/>
      <c r="O575" s="216"/>
      <c r="P575" s="216"/>
    </row>
    <row r="576" ht="21.75" customHeight="1">
      <c r="A576" s="210"/>
      <c r="B576" s="211"/>
      <c r="C576" s="211"/>
      <c r="D576" s="230"/>
      <c r="E576" s="230"/>
      <c r="F576" s="229" t="s">
        <v>213</v>
      </c>
      <c r="G576" s="231"/>
      <c r="H576" s="508" t="s">
        <v>38</v>
      </c>
      <c r="I576" s="237">
        <f>IFERROR(__xludf.DUMMYFUNCTION("IMPORTRANGE(""https://docs.google.com/spreadsheets/d/1XL5vhW3sbDhbH9Cz0tuDiY8C3ctxq1tqvaCgkFb8cCA/edit?usp=sharing"",""มหาสารคาม!I471"")"),0.0)</f>
        <v>0</v>
      </c>
      <c r="J576" s="232">
        <f>IFERROR(__xludf.DUMMYFUNCTION("IMPORTRANGE(""https://docs.google.com/spreadsheets/d/1XL5vhW3sbDhbH9Cz0tuDiY8C3ctxq1tqvaCgkFb8cCA/edit?usp=sharing"",""มหาสารคาม!J471"")"),51.0)</f>
        <v>51</v>
      </c>
      <c r="K576" s="196">
        <f t="shared" si="124"/>
        <v>0</v>
      </c>
      <c r="L576" s="216"/>
      <c r="M576" s="216"/>
      <c r="N576" s="216"/>
      <c r="O576" s="216"/>
      <c r="P576" s="216"/>
    </row>
    <row r="577" ht="21.75" customHeight="1">
      <c r="A577" s="210"/>
      <c r="B577" s="211"/>
      <c r="C577" s="211"/>
      <c r="D577" s="230"/>
      <c r="E577" s="230"/>
      <c r="F577" s="229" t="s">
        <v>214</v>
      </c>
      <c r="G577" s="231"/>
      <c r="H577" s="508" t="s">
        <v>38</v>
      </c>
      <c r="I577" s="237">
        <f>IFERROR(__xludf.DUMMYFUNCTION("IMPORTRANGE(""https://docs.google.com/spreadsheets/d/1XL5vhW3sbDhbH9Cz0tuDiY8C3ctxq1tqvaCgkFb8cCA/edit?usp=sharing"",""มหาสารคาม!I472"")"),0.0)</f>
        <v>0</v>
      </c>
      <c r="J577" s="223">
        <f>IFERROR(__xludf.DUMMYFUNCTION("IMPORTRANGE(""https://docs.google.com/spreadsheets/d/1XL5vhW3sbDhbH9Cz0tuDiY8C3ctxq1tqvaCgkFb8cCA/edit?usp=sharing"",""มหาสารคาม!J472"")"),228.0)</f>
        <v>228</v>
      </c>
      <c r="K577" s="196">
        <f t="shared" si="124"/>
        <v>0</v>
      </c>
      <c r="L577" s="216"/>
      <c r="M577" s="216"/>
      <c r="N577" s="216"/>
      <c r="O577" s="216"/>
      <c r="P577" s="216"/>
    </row>
    <row r="578" ht="21.75" customHeight="1">
      <c r="A578" s="210"/>
      <c r="B578" s="211"/>
      <c r="C578" s="211"/>
      <c r="D578" s="230"/>
      <c r="E578" s="230"/>
      <c r="F578" s="229" t="s">
        <v>215</v>
      </c>
      <c r="G578" s="454"/>
      <c r="H578" s="508" t="s">
        <v>38</v>
      </c>
      <c r="I578" s="237">
        <f>IFERROR(__xludf.DUMMYFUNCTION("IMPORTRANGE(""https://docs.google.com/spreadsheets/d/1XL5vhW3sbDhbH9Cz0tuDiY8C3ctxq1tqvaCgkFb8cCA/edit?usp=sharing"",""มหาสารคาม!I473"")"),0.0)</f>
        <v>0</v>
      </c>
      <c r="J578" s="232">
        <f>IFERROR(__xludf.DUMMYFUNCTION("IMPORTRANGE(""https://docs.google.com/spreadsheets/d/1XL5vhW3sbDhbH9Cz0tuDiY8C3ctxq1tqvaCgkFb8cCA/edit?usp=sharing"",""มหาสารคาม!J473"")"),0.0)</f>
        <v>0</v>
      </c>
      <c r="K578" s="196">
        <f t="shared" si="124"/>
        <v>0</v>
      </c>
      <c r="L578" s="216"/>
      <c r="M578" s="216"/>
      <c r="N578" s="216"/>
      <c r="O578" s="216"/>
      <c r="P578" s="216"/>
    </row>
    <row r="579" ht="21.75" customHeight="1">
      <c r="A579" s="210"/>
      <c r="B579" s="211"/>
      <c r="C579" s="211"/>
      <c r="D579" s="230"/>
      <c r="E579" s="230"/>
      <c r="F579" s="229" t="s">
        <v>216</v>
      </c>
      <c r="G579" s="454"/>
      <c r="H579" s="508" t="s">
        <v>38</v>
      </c>
      <c r="I579" s="237">
        <f>IFERROR(__xludf.DUMMYFUNCTION("IMPORTRANGE(""https://docs.google.com/spreadsheets/d/1XL5vhW3sbDhbH9Cz0tuDiY8C3ctxq1tqvaCgkFb8cCA/edit?usp=sharing"",""มหาสารคาม!I474"")"),0.0)</f>
        <v>0</v>
      </c>
      <c r="J579" s="232">
        <f>IFERROR(__xludf.DUMMYFUNCTION("IMPORTRANGE(""https://docs.google.com/spreadsheets/d/1XL5vhW3sbDhbH9Cz0tuDiY8C3ctxq1tqvaCgkFb8cCA/edit?usp=sharing"",""มหาสารคาม!J474"")"),0.0)</f>
        <v>0</v>
      </c>
      <c r="K579" s="196">
        <f t="shared" si="124"/>
        <v>0</v>
      </c>
      <c r="L579" s="216"/>
      <c r="M579" s="216"/>
      <c r="N579" s="216"/>
      <c r="O579" s="216"/>
      <c r="P579" s="216"/>
    </row>
    <row r="580" ht="21.75" customHeight="1">
      <c r="A580" s="399"/>
      <c r="B580" s="400">
        <v>9.0</v>
      </c>
      <c r="C580" s="510" t="s">
        <v>217</v>
      </c>
      <c r="D580" s="401"/>
      <c r="E580" s="401"/>
      <c r="F580" s="401"/>
      <c r="G580" s="402"/>
      <c r="H580" s="403" t="s">
        <v>38</v>
      </c>
      <c r="I580" s="404">
        <f>IFERROR(__xludf.DUMMYFUNCTION("IMPORTRANGE(""https://docs.google.com/spreadsheets/d/1XL5vhW3sbDhbH9Cz0tuDiY8C3ctxq1tqvaCgkFb8cCA/edit?usp=sharing"",""มหาสารคาม!I475"")"),0.0)</f>
        <v>0</v>
      </c>
      <c r="J580" s="404">
        <f>IFERROR(__xludf.DUMMYFUNCTION("IMPORTRANGE(""https://docs.google.com/spreadsheets/d/1XL5vhW3sbDhbH9Cz0tuDiY8C3ctxq1tqvaCgkFb8cCA/edit?usp=sharing"",""มหาสารคาม!J475"")"),0.0)</f>
        <v>0</v>
      </c>
      <c r="K580" s="405">
        <f>IF(I580&gt;0,J580*100/I580,0)</f>
        <v>0</v>
      </c>
      <c r="L580" s="406">
        <f>IFERROR(__xludf.DUMMYFUNCTION("IMPORTRANGE(""https://docs.google.com/spreadsheets/d/1XL5vhW3sbDhbH9Cz0tuDiY8C3ctxq1tqvaCgkFb8cCA/edit?usp=sharing"",""มหาสารคาม!L475"")"),0.0)</f>
        <v>0</v>
      </c>
      <c r="M580" s="406"/>
      <c r="N580" s="406">
        <f>IFERROR(__xludf.DUMMYFUNCTION("IMPORTRANGE(""https://docs.google.com/spreadsheets/d/1XL5vhW3sbDhbH9Cz0tuDiY8C3ctxq1tqvaCgkFb8cCA/edit?usp=sharing"",""มหาสารคาม!M475"")"),0.0)</f>
        <v>0</v>
      </c>
      <c r="O580" s="406">
        <f t="shared" ref="O580:O584" si="125">+IF(L580&gt;0,N580*100/L580,0)</f>
        <v>0</v>
      </c>
      <c r="P580" s="406"/>
    </row>
    <row r="581" ht="21.75" customHeight="1">
      <c r="A581" s="189"/>
      <c r="B581" s="190"/>
      <c r="C581" s="190" t="s">
        <v>17</v>
      </c>
      <c r="D581" s="191" t="s">
        <v>39</v>
      </c>
      <c r="E581" s="192"/>
      <c r="F581" s="192"/>
      <c r="G581" s="193" t="s">
        <v>40</v>
      </c>
      <c r="H581" s="194" t="s">
        <v>13</v>
      </c>
      <c r="I581" s="195" t="s">
        <v>41</v>
      </c>
      <c r="J581" s="195"/>
      <c r="K581" s="196"/>
      <c r="L581" s="197">
        <f>IFERROR(__xludf.DUMMYFUNCTION("IMPORTRANGE(""https://docs.google.com/spreadsheets/d/1XL5vhW3sbDhbH9Cz0tuDiY8C3ctxq1tqvaCgkFb8cCA/edit?usp=sharing"",""มหาสารคาม!L476"")"),0.0)</f>
        <v>0</v>
      </c>
      <c r="M581" s="197"/>
      <c r="N581" s="203">
        <f>IFERROR(__xludf.DUMMYFUNCTION("IMPORTRANGE(""https://docs.google.com/spreadsheets/d/1XL5vhW3sbDhbH9Cz0tuDiY8C3ctxq1tqvaCgkFb8cCA/edit?usp=sharing"",""มหาสารคาม!M476"")"),0.0)</f>
        <v>0</v>
      </c>
      <c r="O581" s="203">
        <f t="shared" si="125"/>
        <v>0</v>
      </c>
      <c r="P581" s="203"/>
    </row>
    <row r="582" ht="21.75" customHeight="1">
      <c r="A582" s="189"/>
      <c r="B582" s="190"/>
      <c r="C582" s="190"/>
      <c r="D582" s="199"/>
      <c r="E582" s="192"/>
      <c r="F582" s="192" t="s">
        <v>41</v>
      </c>
      <c r="G582" s="193" t="s">
        <v>42</v>
      </c>
      <c r="H582" s="194" t="s">
        <v>13</v>
      </c>
      <c r="I582" s="195"/>
      <c r="J582" s="195"/>
      <c r="K582" s="196"/>
      <c r="L582" s="198">
        <f>IFERROR(__xludf.DUMMYFUNCTION("IMPORTRANGE(""https://docs.google.com/spreadsheets/d/1XL5vhW3sbDhbH9Cz0tuDiY8C3ctxq1tqvaCgkFb8cCA/edit?usp=sharing"",""มหาสารคาม!L477"")"),0.0)</f>
        <v>0</v>
      </c>
      <c r="M582" s="198"/>
      <c r="N582" s="203">
        <f>IFERROR(__xludf.DUMMYFUNCTION("IMPORTRANGE(""https://docs.google.com/spreadsheets/d/1XL5vhW3sbDhbH9Cz0tuDiY8C3ctxq1tqvaCgkFb8cCA/edit?usp=sharing"",""มหาสารคาม!M477"")"),0.0)</f>
        <v>0</v>
      </c>
      <c r="O582" s="203">
        <f t="shared" si="125"/>
        <v>0</v>
      </c>
      <c r="P582" s="203"/>
    </row>
    <row r="583" ht="21.75" customHeight="1">
      <c r="A583" s="189"/>
      <c r="B583" s="190"/>
      <c r="C583" s="190"/>
      <c r="D583" s="199"/>
      <c r="E583" s="192"/>
      <c r="F583" s="192"/>
      <c r="G583" s="407" t="s">
        <v>130</v>
      </c>
      <c r="H583" s="194" t="s">
        <v>13</v>
      </c>
      <c r="I583" s="195"/>
      <c r="J583" s="195"/>
      <c r="K583" s="196"/>
      <c r="L583" s="203">
        <f>IFERROR(__xludf.DUMMYFUNCTION("IMPORTRANGE(""https://docs.google.com/spreadsheets/d/1XL5vhW3sbDhbH9Cz0tuDiY8C3ctxq1tqvaCgkFb8cCA/edit?usp=sharing"",""มหาสารคาม!L478"")"),0.0)</f>
        <v>0</v>
      </c>
      <c r="M583" s="203"/>
      <c r="N583" s="203">
        <f>IFERROR(__xludf.DUMMYFUNCTION("IMPORTRANGE(""https://docs.google.com/spreadsheets/d/1XL5vhW3sbDhbH9Cz0tuDiY8C3ctxq1tqvaCgkFb8cCA/edit?usp=sharing"",""มหาสารคาม!M478"")"),0.0)</f>
        <v>0</v>
      </c>
      <c r="O583" s="203">
        <f t="shared" si="125"/>
        <v>0</v>
      </c>
      <c r="P583" s="203"/>
    </row>
    <row r="584" ht="21.75" customHeight="1">
      <c r="A584" s="189"/>
      <c r="B584" s="190"/>
      <c r="C584" s="190"/>
      <c r="D584" s="199"/>
      <c r="E584" s="192"/>
      <c r="F584" s="192"/>
      <c r="G584" s="407" t="s">
        <v>131</v>
      </c>
      <c r="H584" s="194" t="s">
        <v>13</v>
      </c>
      <c r="I584" s="195"/>
      <c r="J584" s="195"/>
      <c r="K584" s="196"/>
      <c r="L584" s="203">
        <f>IFERROR(__xludf.DUMMYFUNCTION("IMPORTRANGE(""https://docs.google.com/spreadsheets/d/1XL5vhW3sbDhbH9Cz0tuDiY8C3ctxq1tqvaCgkFb8cCA/edit?usp=sharing"",""มหาสารคาม!L479"")"),0.0)</f>
        <v>0</v>
      </c>
      <c r="M584" s="203"/>
      <c r="N584" s="203">
        <f>IFERROR(__xludf.DUMMYFUNCTION("IMPORTRANGE(""https://docs.google.com/spreadsheets/d/1XL5vhW3sbDhbH9Cz0tuDiY8C3ctxq1tqvaCgkFb8cCA/edit?usp=sharing"",""มหาสารคาม!M479"")"),0.0)</f>
        <v>0</v>
      </c>
      <c r="O584" s="203">
        <f t="shared" si="125"/>
        <v>0</v>
      </c>
      <c r="P584" s="203"/>
    </row>
    <row r="585" ht="21.75" customHeight="1">
      <c r="A585" s="408"/>
      <c r="B585" s="409"/>
      <c r="C585" s="190"/>
      <c r="D585" s="410"/>
      <c r="E585" s="192"/>
      <c r="F585" s="192"/>
      <c r="G585" s="411" t="s">
        <v>132</v>
      </c>
      <c r="H585" s="194" t="s">
        <v>13</v>
      </c>
      <c r="I585" s="222"/>
      <c r="J585" s="222"/>
      <c r="K585" s="258"/>
      <c r="L585" s="203"/>
      <c r="M585" s="203"/>
      <c r="N585" s="200">
        <f>IFERROR(__xludf.DUMMYFUNCTION("IMPORTRANGE(""https://docs.google.com/spreadsheets/d/1XL5vhW3sbDhbH9Cz0tuDiY8C3ctxq1tqvaCgkFb8cCA/edit?usp=sharing"",""มหาสารคาม!M480"")"),0.0)</f>
        <v>0</v>
      </c>
      <c r="O585" s="203"/>
      <c r="P585" s="203"/>
    </row>
    <row r="586" ht="21.75" customHeight="1">
      <c r="A586" s="408"/>
      <c r="B586" s="409"/>
      <c r="C586" s="190"/>
      <c r="D586" s="410"/>
      <c r="E586" s="192"/>
      <c r="F586" s="192"/>
      <c r="G586" s="411" t="s">
        <v>133</v>
      </c>
      <c r="H586" s="194" t="s">
        <v>13</v>
      </c>
      <c r="I586" s="222"/>
      <c r="J586" s="222"/>
      <c r="K586" s="258"/>
      <c r="L586" s="203"/>
      <c r="M586" s="203"/>
      <c r="N586" s="200">
        <f>IFERROR(__xludf.DUMMYFUNCTION("IMPORTRANGE(""https://docs.google.com/spreadsheets/d/1XL5vhW3sbDhbH9Cz0tuDiY8C3ctxq1tqvaCgkFb8cCA/edit?usp=sharing"",""มหาสารคาม!M481"")"),0.0)</f>
        <v>0</v>
      </c>
      <c r="O586" s="203"/>
      <c r="P586" s="203"/>
    </row>
    <row r="587" ht="21.75" customHeight="1">
      <c r="A587" s="408"/>
      <c r="B587" s="409"/>
      <c r="C587" s="190"/>
      <c r="D587" s="410"/>
      <c r="E587" s="192"/>
      <c r="F587" s="192"/>
      <c r="G587" s="411" t="s">
        <v>134</v>
      </c>
      <c r="H587" s="194" t="s">
        <v>13</v>
      </c>
      <c r="I587" s="222"/>
      <c r="J587" s="222"/>
      <c r="K587" s="258"/>
      <c r="L587" s="203"/>
      <c r="M587" s="203"/>
      <c r="N587" s="200">
        <f>IFERROR(__xludf.DUMMYFUNCTION("IMPORTRANGE(""https://docs.google.com/spreadsheets/d/1XL5vhW3sbDhbH9Cz0tuDiY8C3ctxq1tqvaCgkFb8cCA/edit?usp=sharing"",""มหาสารคาม!M482"")"),0.0)</f>
        <v>0</v>
      </c>
      <c r="O587" s="203"/>
      <c r="P587" s="203"/>
    </row>
    <row r="588" ht="21.75" customHeight="1">
      <c r="A588" s="408"/>
      <c r="B588" s="409"/>
      <c r="C588" s="190"/>
      <c r="D588" s="410"/>
      <c r="E588" s="192"/>
      <c r="F588" s="192"/>
      <c r="G588" s="411" t="s">
        <v>135</v>
      </c>
      <c r="H588" s="194" t="s">
        <v>13</v>
      </c>
      <c r="I588" s="222"/>
      <c r="J588" s="222"/>
      <c r="K588" s="258"/>
      <c r="L588" s="203"/>
      <c r="M588" s="203"/>
      <c r="N588" s="200">
        <f>IFERROR(__xludf.DUMMYFUNCTION("IMPORTRANGE(""https://docs.google.com/spreadsheets/d/1XL5vhW3sbDhbH9Cz0tuDiY8C3ctxq1tqvaCgkFb8cCA/edit?usp=sharing"",""มหาสารคาม!M483"")"),0.0)</f>
        <v>0</v>
      </c>
      <c r="O588" s="203"/>
      <c r="P588" s="203"/>
    </row>
    <row r="589" ht="21.75" customHeight="1">
      <c r="A589" s="511"/>
      <c r="B589" s="199"/>
      <c r="C589" s="190"/>
      <c r="D589" s="324"/>
      <c r="E589" s="229" t="s">
        <v>218</v>
      </c>
      <c r="F589" s="230"/>
      <c r="G589" s="231"/>
      <c r="H589" s="215" t="s">
        <v>37</v>
      </c>
      <c r="I589" s="374">
        <f>IFERROR(__xludf.DUMMYFUNCTION("IMPORTRANGE(""https://docs.google.com/spreadsheets/d/1XL5vhW3sbDhbH9Cz0tuDiY8C3ctxq1tqvaCgkFb8cCA/edit?usp=sharing"",""มหาสารคาม!I484"")"),0.0)</f>
        <v>0</v>
      </c>
      <c r="J589" s="222">
        <f>IFERROR(__xludf.DUMMYFUNCTION("IMPORTRANGE(""https://docs.google.com/spreadsheets/d/1XL5vhW3sbDhbH9Cz0tuDiY8C3ctxq1tqvaCgkFb8cCA/edit?usp=sharing"",""มหาสารคาม!J484"")"),0.0)</f>
        <v>0</v>
      </c>
      <c r="K589" s="196">
        <f t="shared" ref="K589:K596" si="126">IF(I589&gt;0,J589*100/I589,0)</f>
        <v>0</v>
      </c>
      <c r="L589" s="216"/>
      <c r="M589" s="216"/>
      <c r="N589" s="203"/>
      <c r="O589" s="216"/>
      <c r="P589" s="216"/>
    </row>
    <row r="590" ht="21.75" customHeight="1">
      <c r="A590" s="511"/>
      <c r="B590" s="199"/>
      <c r="C590" s="190"/>
      <c r="D590" s="324"/>
      <c r="E590" s="230"/>
      <c r="F590" s="230"/>
      <c r="G590" s="231"/>
      <c r="H590" s="215" t="s">
        <v>123</v>
      </c>
      <c r="I590" s="378">
        <f>IFERROR(__xludf.DUMMYFUNCTION("IMPORTRANGE(""https://docs.google.com/spreadsheets/d/1XL5vhW3sbDhbH9Cz0tuDiY8C3ctxq1tqvaCgkFb8cCA/edit?usp=sharing"",""มหาสารคาม!I485"")"),0.0)</f>
        <v>0</v>
      </c>
      <c r="J590" s="222">
        <f>IFERROR(__xludf.DUMMYFUNCTION("IMPORTRANGE(""https://docs.google.com/spreadsheets/d/1XL5vhW3sbDhbH9Cz0tuDiY8C3ctxq1tqvaCgkFb8cCA/edit?usp=sharing"",""มหาสารคาม!J485"")"),0.0)</f>
        <v>0</v>
      </c>
      <c r="K590" s="512">
        <f t="shared" si="126"/>
        <v>0</v>
      </c>
      <c r="L590" s="216"/>
      <c r="M590" s="216"/>
      <c r="N590" s="203"/>
      <c r="O590" s="216"/>
      <c r="P590" s="216"/>
    </row>
    <row r="591" ht="21.75" customHeight="1">
      <c r="A591" s="511"/>
      <c r="B591" s="199"/>
      <c r="C591" s="190"/>
      <c r="D591" s="324"/>
      <c r="E591" s="229" t="s">
        <v>124</v>
      </c>
      <c r="F591" s="230"/>
      <c r="G591" s="231"/>
      <c r="H591" s="215" t="s">
        <v>38</v>
      </c>
      <c r="I591" s="374">
        <f>IFERROR(__xludf.DUMMYFUNCTION("IMPORTRANGE(""https://docs.google.com/spreadsheets/d/1XL5vhW3sbDhbH9Cz0tuDiY8C3ctxq1tqvaCgkFb8cCA/edit?usp=sharing"",""มหาสารคาม!I486"")"),0.0)</f>
        <v>0</v>
      </c>
      <c r="J591" s="222">
        <f>IFERROR(__xludf.DUMMYFUNCTION("IMPORTRANGE(""https://docs.google.com/spreadsheets/d/1XL5vhW3sbDhbH9Cz0tuDiY8C3ctxq1tqvaCgkFb8cCA/edit?usp=sharing"",""มหาสารคาม!J486"")"),0.0)</f>
        <v>0</v>
      </c>
      <c r="K591" s="196">
        <f t="shared" si="126"/>
        <v>0</v>
      </c>
      <c r="L591" s="216"/>
      <c r="M591" s="216"/>
      <c r="N591" s="216"/>
      <c r="O591" s="216"/>
      <c r="P591" s="216"/>
    </row>
    <row r="592" ht="21.75" customHeight="1">
      <c r="A592" s="511"/>
      <c r="B592" s="199"/>
      <c r="C592" s="190"/>
      <c r="D592" s="324"/>
      <c r="E592" s="230"/>
      <c r="F592" s="230"/>
      <c r="G592" s="231"/>
      <c r="H592" s="215" t="s">
        <v>123</v>
      </c>
      <c r="I592" s="378">
        <f>IFERROR(__xludf.DUMMYFUNCTION("IMPORTRANGE(""https://docs.google.com/spreadsheets/d/1XL5vhW3sbDhbH9Cz0tuDiY8C3ctxq1tqvaCgkFb8cCA/edit?usp=sharing"",""มหาสารคาม!I487"")"),0.0)</f>
        <v>0</v>
      </c>
      <c r="J592" s="222">
        <f>IFERROR(__xludf.DUMMYFUNCTION("IMPORTRANGE(""https://docs.google.com/spreadsheets/d/1XL5vhW3sbDhbH9Cz0tuDiY8C3ctxq1tqvaCgkFb8cCA/edit?usp=sharing"",""มหาสารคาม!J487"")"),0.0)</f>
        <v>0</v>
      </c>
      <c r="K592" s="375">
        <f t="shared" si="126"/>
        <v>0</v>
      </c>
      <c r="L592" s="216"/>
      <c r="M592" s="216"/>
      <c r="N592" s="216"/>
      <c r="O592" s="216"/>
      <c r="P592" s="216"/>
    </row>
    <row r="593" ht="21.75" customHeight="1">
      <c r="A593" s="511"/>
      <c r="B593" s="199"/>
      <c r="C593" s="190"/>
      <c r="D593" s="324"/>
      <c r="E593" s="229" t="s">
        <v>125</v>
      </c>
      <c r="F593" s="230"/>
      <c r="G593" s="231"/>
      <c r="H593" s="215" t="s">
        <v>38</v>
      </c>
      <c r="I593" s="374">
        <f>IFERROR(__xludf.DUMMYFUNCTION("IMPORTRANGE(""https://docs.google.com/spreadsheets/d/1XL5vhW3sbDhbH9Cz0tuDiY8C3ctxq1tqvaCgkFb8cCA/edit?usp=sharing"",""มหาสารคาม!I488"")"),0.0)</f>
        <v>0</v>
      </c>
      <c r="J593" s="222">
        <f>IFERROR(__xludf.DUMMYFUNCTION("IMPORTRANGE(""https://docs.google.com/spreadsheets/d/1XL5vhW3sbDhbH9Cz0tuDiY8C3ctxq1tqvaCgkFb8cCA/edit?usp=sharing"",""มหาสารคาม!J488"")"),0.0)</f>
        <v>0</v>
      </c>
      <c r="K593" s="196">
        <f t="shared" si="126"/>
        <v>0</v>
      </c>
      <c r="L593" s="216"/>
      <c r="M593" s="216"/>
      <c r="N593" s="216"/>
      <c r="O593" s="216"/>
      <c r="P593" s="216"/>
    </row>
    <row r="594" ht="21.75" customHeight="1">
      <c r="A594" s="511"/>
      <c r="B594" s="199"/>
      <c r="C594" s="190"/>
      <c r="D594" s="324"/>
      <c r="E594" s="230"/>
      <c r="F594" s="230"/>
      <c r="G594" s="231"/>
      <c r="H594" s="215" t="s">
        <v>123</v>
      </c>
      <c r="I594" s="378">
        <f>IFERROR(__xludf.DUMMYFUNCTION("IMPORTRANGE(""https://docs.google.com/spreadsheets/d/1XL5vhW3sbDhbH9Cz0tuDiY8C3ctxq1tqvaCgkFb8cCA/edit?usp=sharing"",""มหาสารคาม!I489"")"),0.0)</f>
        <v>0</v>
      </c>
      <c r="J594" s="222">
        <f>IFERROR(__xludf.DUMMYFUNCTION("IMPORTRANGE(""https://docs.google.com/spreadsheets/d/1XL5vhW3sbDhbH9Cz0tuDiY8C3ctxq1tqvaCgkFb8cCA/edit?usp=sharing"",""มหาสารคาม!J489"")"),0.0)</f>
        <v>0</v>
      </c>
      <c r="K594" s="375">
        <f t="shared" si="126"/>
        <v>0</v>
      </c>
      <c r="L594" s="216"/>
      <c r="M594" s="216"/>
      <c r="N594" s="216"/>
      <c r="O594" s="216"/>
      <c r="P594" s="216"/>
    </row>
    <row r="595" ht="21.75" customHeight="1">
      <c r="A595" s="511"/>
      <c r="B595" s="199"/>
      <c r="C595" s="190"/>
      <c r="D595" s="324"/>
      <c r="E595" s="229" t="s">
        <v>126</v>
      </c>
      <c r="F595" s="230"/>
      <c r="G595" s="231"/>
      <c r="H595" s="215" t="s">
        <v>38</v>
      </c>
      <c r="I595" s="374">
        <f>IFERROR(__xludf.DUMMYFUNCTION("IMPORTRANGE(""https://docs.google.com/spreadsheets/d/1XL5vhW3sbDhbH9Cz0tuDiY8C3ctxq1tqvaCgkFb8cCA/edit?usp=sharing"",""มหาสารคาม!I490"")"),0.0)</f>
        <v>0</v>
      </c>
      <c r="J595" s="222">
        <f>IFERROR(__xludf.DUMMYFUNCTION("IMPORTRANGE(""https://docs.google.com/spreadsheets/d/1XL5vhW3sbDhbH9Cz0tuDiY8C3ctxq1tqvaCgkFb8cCA/edit?usp=sharing"",""มหาสารคาม!J490"")"),0.0)</f>
        <v>0</v>
      </c>
      <c r="K595" s="196">
        <f t="shared" si="126"/>
        <v>0</v>
      </c>
      <c r="L595" s="216"/>
      <c r="M595" s="216"/>
      <c r="N595" s="216"/>
      <c r="O595" s="216"/>
      <c r="P595" s="216"/>
    </row>
    <row r="596" ht="21.75" customHeight="1">
      <c r="A596" s="513"/>
      <c r="B596" s="514"/>
      <c r="C596" s="515"/>
      <c r="D596" s="516"/>
      <c r="E596" s="495"/>
      <c r="F596" s="495"/>
      <c r="G596" s="496"/>
      <c r="H596" s="517" t="s">
        <v>123</v>
      </c>
      <c r="I596" s="518">
        <f>IFERROR(__xludf.DUMMYFUNCTION("IMPORTRANGE(""https://docs.google.com/spreadsheets/d/1XL5vhW3sbDhbH9Cz0tuDiY8C3ctxq1tqvaCgkFb8cCA/edit?usp=sharing"",""มหาสารคาม!I491"")"),0.0)</f>
        <v>0</v>
      </c>
      <c r="J596" s="275">
        <f>IFERROR(__xludf.DUMMYFUNCTION("IMPORTRANGE(""https://docs.google.com/spreadsheets/d/1XL5vhW3sbDhbH9Cz0tuDiY8C3ctxq1tqvaCgkFb8cCA/edit?usp=sharing"",""มหาสารคาม!J491"")"),0.0)</f>
        <v>0</v>
      </c>
      <c r="K596" s="519">
        <f t="shared" si="126"/>
        <v>0</v>
      </c>
      <c r="L596" s="501"/>
      <c r="M596" s="501"/>
      <c r="N596" s="501"/>
      <c r="O596" s="501"/>
      <c r="P596" s="501"/>
    </row>
    <row r="597" ht="21.75" customHeight="1">
      <c r="A597" s="438"/>
      <c r="B597" s="439">
        <v>10.0</v>
      </c>
      <c r="C597" s="440" t="s">
        <v>219</v>
      </c>
      <c r="D597" s="440"/>
      <c r="E597" s="440"/>
      <c r="F597" s="440"/>
      <c r="G597" s="441"/>
      <c r="H597" s="442" t="s">
        <v>123</v>
      </c>
      <c r="I597" s="443">
        <f>IFERROR(__xludf.DUMMYFUNCTION("IMPORTRANGE(""https://docs.google.com/spreadsheets/d/1XL5vhW3sbDhbH9Cz0tuDiY8C3ctxq1tqvaCgkFb8cCA/edit?usp=sharing"",""มหาสารคาม!I492"")"),100.0)</f>
        <v>100</v>
      </c>
      <c r="J597" s="520">
        <f>IFERROR(__xludf.DUMMYFUNCTION("IMPORTRANGE(""https://docs.google.com/spreadsheets/d/1XL5vhW3sbDhbH9Cz0tuDiY8C3ctxq1tqvaCgkFb8cCA/edit?usp=sharing"",""มหาสารคาม!J492"")"),0.0)</f>
        <v>0</v>
      </c>
      <c r="K597" s="444">
        <f>IF(I597&gt;0,J597*100/I597,0)</f>
        <v>0</v>
      </c>
      <c r="L597" s="445">
        <f>IFERROR(__xludf.DUMMYFUNCTION("IMPORTRANGE(""https://docs.google.com/spreadsheets/d/1XL5vhW3sbDhbH9Cz0tuDiY8C3ctxq1tqvaCgkFb8cCA/edit?usp=sharing"",""มหาสารคาม!L492"")"),15300.0)</f>
        <v>15300</v>
      </c>
      <c r="M597" s="445"/>
      <c r="N597" s="445">
        <f>IFERROR(__xludf.DUMMYFUNCTION("IMPORTRANGE(""https://docs.google.com/spreadsheets/d/1XL5vhW3sbDhbH9Cz0tuDiY8C3ctxq1tqvaCgkFb8cCA/edit?usp=sharing"",""มหาสารคาม!M492"")"),6200.0)</f>
        <v>6200</v>
      </c>
      <c r="O597" s="445">
        <f t="shared" ref="O597:O601" si="127">+IF(L597&gt;0,N597*100/L597,0)</f>
        <v>40.52287582</v>
      </c>
      <c r="P597" s="445"/>
    </row>
    <row r="598" ht="21.75" customHeight="1">
      <c r="A598" s="189"/>
      <c r="B598" s="190"/>
      <c r="C598" s="190" t="s">
        <v>17</v>
      </c>
      <c r="D598" s="191" t="s">
        <v>39</v>
      </c>
      <c r="E598" s="192"/>
      <c r="F598" s="192"/>
      <c r="G598" s="193" t="s">
        <v>40</v>
      </c>
      <c r="H598" s="194" t="s">
        <v>13</v>
      </c>
      <c r="I598" s="195" t="s">
        <v>41</v>
      </c>
      <c r="J598" s="195"/>
      <c r="K598" s="196"/>
      <c r="L598" s="197">
        <f>IFERROR(__xludf.DUMMYFUNCTION("IMPORTRANGE(""https://docs.google.com/spreadsheets/d/1XL5vhW3sbDhbH9Cz0tuDiY8C3ctxq1tqvaCgkFb8cCA/edit?usp=sharing"",""มหาสารคาม!L493"")"),0.0)</f>
        <v>0</v>
      </c>
      <c r="M598" s="197"/>
      <c r="N598" s="203">
        <f>IFERROR(__xludf.DUMMYFUNCTION("IMPORTRANGE(""https://docs.google.com/spreadsheets/d/1XL5vhW3sbDhbH9Cz0tuDiY8C3ctxq1tqvaCgkFb8cCA/edit?usp=sharing"",""มหาสารคาม!M493"")"),0.0)</f>
        <v>0</v>
      </c>
      <c r="O598" s="203">
        <f t="shared" si="127"/>
        <v>0</v>
      </c>
      <c r="P598" s="203"/>
    </row>
    <row r="599" ht="21.75" customHeight="1">
      <c r="A599" s="189"/>
      <c r="B599" s="190"/>
      <c r="C599" s="190"/>
      <c r="D599" s="199"/>
      <c r="E599" s="192"/>
      <c r="F599" s="192" t="s">
        <v>41</v>
      </c>
      <c r="G599" s="193" t="s">
        <v>42</v>
      </c>
      <c r="H599" s="194" t="s">
        <v>13</v>
      </c>
      <c r="I599" s="195"/>
      <c r="J599" s="195"/>
      <c r="K599" s="196"/>
      <c r="L599" s="198">
        <f>IFERROR(__xludf.DUMMYFUNCTION("IMPORTRANGE(""https://docs.google.com/spreadsheets/d/1XL5vhW3sbDhbH9Cz0tuDiY8C3ctxq1tqvaCgkFb8cCA/edit?usp=sharing"",""มหาสารคาม!L494"")"),15300.0)</f>
        <v>15300</v>
      </c>
      <c r="M599" s="198"/>
      <c r="N599" s="203">
        <f>IFERROR(__xludf.DUMMYFUNCTION("IMPORTRANGE(""https://docs.google.com/spreadsheets/d/1XL5vhW3sbDhbH9Cz0tuDiY8C3ctxq1tqvaCgkFb8cCA/edit?usp=sharing"",""มหาสารคาม!M494"")"),6200.0)</f>
        <v>6200</v>
      </c>
      <c r="O599" s="203">
        <f t="shared" si="127"/>
        <v>40.52287582</v>
      </c>
      <c r="P599" s="203"/>
    </row>
    <row r="600" ht="21.75" customHeight="1">
      <c r="A600" s="189"/>
      <c r="B600" s="190"/>
      <c r="C600" s="190"/>
      <c r="D600" s="199"/>
      <c r="E600" s="192"/>
      <c r="F600" s="192"/>
      <c r="G600" s="407" t="s">
        <v>130</v>
      </c>
      <c r="H600" s="194" t="s">
        <v>13</v>
      </c>
      <c r="I600" s="195"/>
      <c r="J600" s="195"/>
      <c r="K600" s="196"/>
      <c r="L600" s="203">
        <f>IFERROR(__xludf.DUMMYFUNCTION("IMPORTRANGE(""https://docs.google.com/spreadsheets/d/1XL5vhW3sbDhbH9Cz0tuDiY8C3ctxq1tqvaCgkFb8cCA/edit?usp=sharing"",""มหาสารคาม!L495"")"),0.0)</f>
        <v>0</v>
      </c>
      <c r="M600" s="203"/>
      <c r="N600" s="203">
        <f>IFERROR(__xludf.DUMMYFUNCTION("IMPORTRANGE(""https://docs.google.com/spreadsheets/d/1XL5vhW3sbDhbH9Cz0tuDiY8C3ctxq1tqvaCgkFb8cCA/edit?usp=sharing"",""มหาสารคาม!M495"")"),0.0)</f>
        <v>0</v>
      </c>
      <c r="O600" s="203">
        <f t="shared" si="127"/>
        <v>0</v>
      </c>
      <c r="P600" s="203"/>
    </row>
    <row r="601" ht="21.75" customHeight="1">
      <c r="A601" s="189"/>
      <c r="B601" s="190"/>
      <c r="C601" s="190"/>
      <c r="D601" s="199"/>
      <c r="E601" s="192"/>
      <c r="F601" s="192"/>
      <c r="G601" s="407" t="s">
        <v>131</v>
      </c>
      <c r="H601" s="194" t="s">
        <v>13</v>
      </c>
      <c r="I601" s="195"/>
      <c r="J601" s="195"/>
      <c r="K601" s="196"/>
      <c r="L601" s="203">
        <f>IFERROR(__xludf.DUMMYFUNCTION("IMPORTRANGE(""https://docs.google.com/spreadsheets/d/1XL5vhW3sbDhbH9Cz0tuDiY8C3ctxq1tqvaCgkFb8cCA/edit?usp=sharing"",""มหาสารคาม!L496"")"),15300.0)</f>
        <v>15300</v>
      </c>
      <c r="M601" s="203"/>
      <c r="N601" s="203">
        <f>IFERROR(__xludf.DUMMYFUNCTION("IMPORTRANGE(""https://docs.google.com/spreadsheets/d/1XL5vhW3sbDhbH9Cz0tuDiY8C3ctxq1tqvaCgkFb8cCA/edit?usp=sharing"",""มหาสารคาม!M496"")"),6200.0)</f>
        <v>6200</v>
      </c>
      <c r="O601" s="203">
        <f t="shared" si="127"/>
        <v>40.52287582</v>
      </c>
      <c r="P601" s="203"/>
    </row>
    <row r="602" ht="21.75" customHeight="1">
      <c r="A602" s="408"/>
      <c r="B602" s="409"/>
      <c r="C602" s="190"/>
      <c r="D602" s="410"/>
      <c r="E602" s="192"/>
      <c r="F602" s="192"/>
      <c r="G602" s="411" t="s">
        <v>132</v>
      </c>
      <c r="H602" s="194" t="s">
        <v>13</v>
      </c>
      <c r="I602" s="222"/>
      <c r="J602" s="222"/>
      <c r="K602" s="258"/>
      <c r="L602" s="203"/>
      <c r="M602" s="203"/>
      <c r="N602" s="200">
        <f>IFERROR(__xludf.DUMMYFUNCTION("IMPORTRANGE(""https://docs.google.com/spreadsheets/d/1XL5vhW3sbDhbH9Cz0tuDiY8C3ctxq1tqvaCgkFb8cCA/edit?usp=sharing"",""มหาสารคาม!M497"")"),0.0)</f>
        <v>0</v>
      </c>
      <c r="O602" s="203"/>
      <c r="P602" s="203"/>
    </row>
    <row r="603" ht="21.75" customHeight="1">
      <c r="A603" s="408"/>
      <c r="B603" s="409"/>
      <c r="C603" s="190"/>
      <c r="D603" s="410"/>
      <c r="E603" s="192"/>
      <c r="F603" s="192"/>
      <c r="G603" s="411" t="s">
        <v>133</v>
      </c>
      <c r="H603" s="194" t="s">
        <v>13</v>
      </c>
      <c r="I603" s="222"/>
      <c r="J603" s="222"/>
      <c r="K603" s="258"/>
      <c r="L603" s="203"/>
      <c r="M603" s="203"/>
      <c r="N603" s="200">
        <f>IFERROR(__xludf.DUMMYFUNCTION("IMPORTRANGE(""https://docs.google.com/spreadsheets/d/1XL5vhW3sbDhbH9Cz0tuDiY8C3ctxq1tqvaCgkFb8cCA/edit?usp=sharing"",""มหาสารคาม!M498"")"),0.0)</f>
        <v>0</v>
      </c>
      <c r="O603" s="203"/>
      <c r="P603" s="203"/>
    </row>
    <row r="604" ht="21.75" customHeight="1">
      <c r="A604" s="408"/>
      <c r="B604" s="409"/>
      <c r="C604" s="190"/>
      <c r="D604" s="410"/>
      <c r="E604" s="192"/>
      <c r="F604" s="192"/>
      <c r="G604" s="411" t="s">
        <v>134</v>
      </c>
      <c r="H604" s="194" t="s">
        <v>13</v>
      </c>
      <c r="I604" s="222"/>
      <c r="J604" s="222"/>
      <c r="K604" s="258"/>
      <c r="L604" s="203"/>
      <c r="M604" s="203"/>
      <c r="N604" s="412">
        <f>IFERROR(__xludf.DUMMYFUNCTION("IMPORTRANGE(""https://docs.google.com/spreadsheets/d/1XL5vhW3sbDhbH9Cz0tuDiY8C3ctxq1tqvaCgkFb8cCA/edit?usp=sharing"",""มหาสารคาม!M499"")"),0.0)</f>
        <v>0</v>
      </c>
      <c r="O604" s="203"/>
      <c r="P604" s="203"/>
    </row>
    <row r="605" ht="21.75" customHeight="1">
      <c r="A605" s="408"/>
      <c r="B605" s="409"/>
      <c r="C605" s="190"/>
      <c r="D605" s="410"/>
      <c r="E605" s="192"/>
      <c r="F605" s="192"/>
      <c r="G605" s="411" t="s">
        <v>135</v>
      </c>
      <c r="H605" s="194" t="s">
        <v>13</v>
      </c>
      <c r="I605" s="222"/>
      <c r="J605" s="222"/>
      <c r="K605" s="258"/>
      <c r="L605" s="203"/>
      <c r="M605" s="203"/>
      <c r="N605" s="412">
        <f>IFERROR(__xludf.DUMMYFUNCTION("IMPORTRANGE(""https://docs.google.com/spreadsheets/d/1XL5vhW3sbDhbH9Cz0tuDiY8C3ctxq1tqvaCgkFb8cCA/edit?usp=sharing"",""มหาสารคาม!M500"")"),6200.0)</f>
        <v>6200</v>
      </c>
      <c r="O605" s="203"/>
      <c r="P605" s="203"/>
    </row>
    <row r="606" ht="21.75" customHeight="1">
      <c r="A606" s="210"/>
      <c r="B606" s="211"/>
      <c r="C606" s="190" t="s">
        <v>17</v>
      </c>
      <c r="D606" s="212" t="s">
        <v>45</v>
      </c>
      <c r="E606" s="213"/>
      <c r="F606" s="213"/>
      <c r="G606" s="214"/>
      <c r="H606" s="215"/>
      <c r="I606" s="195"/>
      <c r="J606" s="195"/>
      <c r="K606" s="196"/>
      <c r="L606" s="216"/>
      <c r="M606" s="216"/>
      <c r="N606" s="216"/>
      <c r="O606" s="216"/>
      <c r="P606" s="216"/>
    </row>
    <row r="607" ht="21.75" customHeight="1">
      <c r="A607" s="210"/>
      <c r="B607" s="211"/>
      <c r="C607" s="211"/>
      <c r="D607" s="217">
        <v>1.0</v>
      </c>
      <c r="E607" s="218" t="s">
        <v>46</v>
      </c>
      <c r="F607" s="219"/>
      <c r="G607" s="220"/>
      <c r="H607" s="221"/>
      <c r="I607" s="222"/>
      <c r="J607" s="232">
        <f>IFERROR(__xludf.DUMMYFUNCTION("IMPORTRANGE(""https://docs.google.com/spreadsheets/d/1XL5vhW3sbDhbH9Cz0tuDiY8C3ctxq1tqvaCgkFb8cCA/edit?usp=sharing"",""มหาสารคาม!J502"")"),0.0)</f>
        <v>0</v>
      </c>
      <c r="K607" s="196"/>
      <c r="L607" s="216"/>
      <c r="M607" s="216"/>
      <c r="N607" s="216"/>
      <c r="O607" s="216"/>
      <c r="P607" s="216"/>
    </row>
    <row r="608" ht="21.75" customHeight="1">
      <c r="A608" s="210"/>
      <c r="B608" s="211"/>
      <c r="C608" s="211"/>
      <c r="D608" s="224">
        <v>2.0</v>
      </c>
      <c r="E608" s="225" t="s">
        <v>47</v>
      </c>
      <c r="F608" s="226"/>
      <c r="G608" s="227"/>
      <c r="H608" s="221"/>
      <c r="I608" s="222"/>
      <c r="J608" s="232">
        <f>IFERROR(__xludf.DUMMYFUNCTION("IMPORTRANGE(""https://docs.google.com/spreadsheets/d/1XL5vhW3sbDhbH9Cz0tuDiY8C3ctxq1tqvaCgkFb8cCA/edit?usp=sharing"",""มหาสารคาม!J503"")"),1.0)</f>
        <v>1</v>
      </c>
      <c r="K608" s="196"/>
      <c r="L608" s="216" t="s">
        <v>41</v>
      </c>
      <c r="M608" s="216"/>
      <c r="N608" s="216" t="s">
        <v>41</v>
      </c>
      <c r="O608" s="216"/>
      <c r="P608" s="216"/>
    </row>
    <row r="609" ht="21.75" hidden="1" customHeight="1">
      <c r="A609" s="521"/>
      <c r="B609" s="522"/>
      <c r="C609" s="522"/>
      <c r="D609" s="523"/>
      <c r="E609" s="524" t="s">
        <v>48</v>
      </c>
      <c r="F609" s="525"/>
      <c r="G609" s="526"/>
      <c r="H609" s="527"/>
      <c r="I609" s="528"/>
      <c r="J609" s="528">
        <f>IFERROR(__xludf.DUMMYFUNCTION("IMPORTRANGE(""https://docs.google.com/spreadsheets/d/1XL5vhW3sbDhbH9Cz0tuDiY8C3ctxq1tqvaCgkFb8cCA/edit?usp=sharing"",""มหาสารคาม!J166"")"),0.0)</f>
        <v>0</v>
      </c>
      <c r="K609" s="529"/>
      <c r="L609" s="530"/>
      <c r="M609" s="530"/>
      <c r="N609" s="530"/>
      <c r="O609" s="530"/>
      <c r="P609" s="530"/>
    </row>
    <row r="610" ht="21.75" hidden="1" customHeight="1">
      <c r="A610" s="521"/>
      <c r="B610" s="522"/>
      <c r="C610" s="522"/>
      <c r="D610" s="523"/>
      <c r="E610" s="524" t="s">
        <v>49</v>
      </c>
      <c r="F610" s="525"/>
      <c r="G610" s="526"/>
      <c r="H610" s="527"/>
      <c r="I610" s="528"/>
      <c r="J610" s="528">
        <f>IFERROR(__xludf.DUMMYFUNCTION("IMPORTRANGE(""https://docs.google.com/spreadsheets/d/1XL5vhW3sbDhbH9Cz0tuDiY8C3ctxq1tqvaCgkFb8cCA/edit?usp=sharing"",""มหาสารคาม!J166"")"),0.0)</f>
        <v>0</v>
      </c>
      <c r="K610" s="529"/>
      <c r="L610" s="530"/>
      <c r="M610" s="530"/>
      <c r="N610" s="530"/>
      <c r="O610" s="530"/>
      <c r="P610" s="530"/>
    </row>
    <row r="611" ht="21.75" customHeight="1">
      <c r="A611" s="210"/>
      <c r="B611" s="211"/>
      <c r="C611" s="211"/>
      <c r="D611" s="228"/>
      <c r="E611" s="230"/>
      <c r="F611" s="230" t="s">
        <v>220</v>
      </c>
      <c r="G611" s="231"/>
      <c r="H611" s="215" t="s">
        <v>123</v>
      </c>
      <c r="I611" s="222">
        <f>IFERROR(__xludf.DUMMYFUNCTION("IMPORTRANGE(""https://docs.google.com/spreadsheets/d/1XL5vhW3sbDhbH9Cz0tuDiY8C3ctxq1tqvaCgkFb8cCA/edit?usp=sharing"",""มหาสารคาม!I506"")"),100.0)</f>
        <v>100</v>
      </c>
      <c r="J611" s="195">
        <f>IFERROR(__xludf.DUMMYFUNCTION("IMPORTRANGE(""https://docs.google.com/spreadsheets/d/1XL5vhW3sbDhbH9Cz0tuDiY8C3ctxq1tqvaCgkFb8cCA/edit?usp=sharing"",""มหาสารคาม!J506"")"),0.0)</f>
        <v>0</v>
      </c>
      <c r="K611" s="196">
        <f t="shared" ref="K611:K619" si="128">IF(I$611&gt;0,J611*100/I$611,0)</f>
        <v>0</v>
      </c>
      <c r="L611" s="216"/>
      <c r="M611" s="216"/>
      <c r="N611" s="216"/>
      <c r="O611" s="216"/>
      <c r="P611" s="216"/>
    </row>
    <row r="612" ht="21.75" customHeight="1">
      <c r="A612" s="210"/>
      <c r="B612" s="211"/>
      <c r="C612" s="211"/>
      <c r="D612" s="228"/>
      <c r="E612" s="233"/>
      <c r="F612" s="230"/>
      <c r="G612" s="260" t="s">
        <v>221</v>
      </c>
      <c r="H612" s="215" t="s">
        <v>123</v>
      </c>
      <c r="I612" s="238">
        <f>IFERROR(__xludf.DUMMYFUNCTION("IMPORTRANGE(""https://docs.google.com/spreadsheets/d/1XL5vhW3sbDhbH9Cz0tuDiY8C3ctxq1tqvaCgkFb8cCA/edit?usp=sharing"",""มหาสารคาม!I507"")"),0.0)</f>
        <v>0</v>
      </c>
      <c r="J612" s="232">
        <f>IFERROR(__xludf.DUMMYFUNCTION("IMPORTRANGE(""https://docs.google.com/spreadsheets/d/1XL5vhW3sbDhbH9Cz0tuDiY8C3ctxq1tqvaCgkFb8cCA/edit?usp=sharing"",""มหาสารคาม!J507"")"),77.0)</f>
        <v>77</v>
      </c>
      <c r="K612" s="196">
        <f t="shared" si="128"/>
        <v>77</v>
      </c>
      <c r="L612" s="216"/>
      <c r="M612" s="216"/>
      <c r="N612" s="216"/>
      <c r="O612" s="216"/>
      <c r="P612" s="216"/>
    </row>
    <row r="613" ht="21.75" customHeight="1">
      <c r="A613" s="210"/>
      <c r="B613" s="211"/>
      <c r="C613" s="211"/>
      <c r="D613" s="228"/>
      <c r="E613" s="233"/>
      <c r="F613" s="230"/>
      <c r="G613" s="260" t="s">
        <v>222</v>
      </c>
      <c r="H613" s="215" t="s">
        <v>123</v>
      </c>
      <c r="I613" s="238">
        <f>IFERROR(__xludf.DUMMYFUNCTION("IMPORTRANGE(""https://docs.google.com/spreadsheets/d/1XL5vhW3sbDhbH9Cz0tuDiY8C3ctxq1tqvaCgkFb8cCA/edit?usp=sharing"",""มหาสารคาม!I508"")"),0.0)</f>
        <v>0</v>
      </c>
      <c r="J613" s="232">
        <f>IFERROR(__xludf.DUMMYFUNCTION("IMPORTRANGE(""https://docs.google.com/spreadsheets/d/1XL5vhW3sbDhbH9Cz0tuDiY8C3ctxq1tqvaCgkFb8cCA/edit?usp=sharing"",""มหาสารคาม!J508"")"),77.0)</f>
        <v>77</v>
      </c>
      <c r="K613" s="196">
        <f t="shared" si="128"/>
        <v>77</v>
      </c>
      <c r="L613" s="216"/>
      <c r="M613" s="216"/>
      <c r="N613" s="216"/>
      <c r="O613" s="216"/>
      <c r="P613" s="216"/>
    </row>
    <row r="614" ht="21.75" customHeight="1">
      <c r="A614" s="210"/>
      <c r="B614" s="211"/>
      <c r="C614" s="211"/>
      <c r="D614" s="228"/>
      <c r="E614" s="233"/>
      <c r="F614" s="230"/>
      <c r="G614" s="260" t="s">
        <v>223</v>
      </c>
      <c r="H614" s="215" t="s">
        <v>123</v>
      </c>
      <c r="I614" s="238">
        <f>IFERROR(__xludf.DUMMYFUNCTION("IMPORTRANGE(""https://docs.google.com/spreadsheets/d/1XL5vhW3sbDhbH9Cz0tuDiY8C3ctxq1tqvaCgkFb8cCA/edit?usp=sharing"",""มหาสารคาม!I509"")"),0.0)</f>
        <v>0</v>
      </c>
      <c r="J614" s="232">
        <f>IFERROR(__xludf.DUMMYFUNCTION("IMPORTRANGE(""https://docs.google.com/spreadsheets/d/1XL5vhW3sbDhbH9Cz0tuDiY8C3ctxq1tqvaCgkFb8cCA/edit?usp=sharing"",""มหาสารคาม!J509"")"),0.0)</f>
        <v>0</v>
      </c>
      <c r="K614" s="196">
        <f t="shared" si="128"/>
        <v>0</v>
      </c>
      <c r="L614" s="216"/>
      <c r="M614" s="216"/>
      <c r="N614" s="216"/>
      <c r="O614" s="216"/>
      <c r="P614" s="216"/>
    </row>
    <row r="615" ht="21.75" customHeight="1">
      <c r="A615" s="210"/>
      <c r="B615" s="211"/>
      <c r="C615" s="211"/>
      <c r="D615" s="228"/>
      <c r="E615" s="233"/>
      <c r="F615" s="230"/>
      <c r="G615" s="260" t="s">
        <v>224</v>
      </c>
      <c r="H615" s="215" t="s">
        <v>123</v>
      </c>
      <c r="I615" s="238">
        <f>IFERROR(__xludf.DUMMYFUNCTION("IMPORTRANGE(""https://docs.google.com/spreadsheets/d/1XL5vhW3sbDhbH9Cz0tuDiY8C3ctxq1tqvaCgkFb8cCA/edit?usp=sharing"",""มหาสารคาม!I510"")"),0.0)</f>
        <v>0</v>
      </c>
      <c r="J615" s="232">
        <f>IFERROR(__xludf.DUMMYFUNCTION("IMPORTRANGE(""https://docs.google.com/spreadsheets/d/1XL5vhW3sbDhbH9Cz0tuDiY8C3ctxq1tqvaCgkFb8cCA/edit?usp=sharing"",""มหาสารคาม!J510"")"),0.0)</f>
        <v>0</v>
      </c>
      <c r="K615" s="196">
        <f t="shared" si="128"/>
        <v>0</v>
      </c>
      <c r="L615" s="216"/>
      <c r="M615" s="216"/>
      <c r="N615" s="216"/>
      <c r="O615" s="216"/>
      <c r="P615" s="216"/>
    </row>
    <row r="616" ht="21.75" customHeight="1">
      <c r="A616" s="210"/>
      <c r="B616" s="211"/>
      <c r="C616" s="211"/>
      <c r="D616" s="228"/>
      <c r="E616" s="233"/>
      <c r="F616" s="230"/>
      <c r="G616" s="229" t="s">
        <v>225</v>
      </c>
      <c r="H616" s="215" t="s">
        <v>123</v>
      </c>
      <c r="I616" s="238">
        <f>IFERROR(__xludf.DUMMYFUNCTION("IMPORTRANGE(""https://docs.google.com/spreadsheets/d/1XL5vhW3sbDhbH9Cz0tuDiY8C3ctxq1tqvaCgkFb8cCA/edit?usp=sharing"",""มหาสารคาม!I511"")"),0.0)</f>
        <v>0</v>
      </c>
      <c r="J616" s="232">
        <f>IFERROR(__xludf.DUMMYFUNCTION("IMPORTRANGE(""https://docs.google.com/spreadsheets/d/1XL5vhW3sbDhbH9Cz0tuDiY8C3ctxq1tqvaCgkFb8cCA/edit?usp=sharing"",""มหาสารคาม!J511"")"),0.0)</f>
        <v>0</v>
      </c>
      <c r="K616" s="196">
        <f t="shared" si="128"/>
        <v>0</v>
      </c>
      <c r="L616" s="216"/>
      <c r="M616" s="216"/>
      <c r="N616" s="216"/>
      <c r="O616" s="216"/>
      <c r="P616" s="216"/>
    </row>
    <row r="617" ht="21.75" customHeight="1">
      <c r="A617" s="210"/>
      <c r="B617" s="211"/>
      <c r="C617" s="211"/>
      <c r="D617" s="228"/>
      <c r="E617" s="233"/>
      <c r="F617" s="230"/>
      <c r="G617" s="229" t="s">
        <v>226</v>
      </c>
      <c r="H617" s="215" t="s">
        <v>123</v>
      </c>
      <c r="I617" s="222">
        <f>IFERROR(__xludf.DUMMYFUNCTION("IMPORTRANGE(""https://docs.google.com/spreadsheets/d/1XL5vhW3sbDhbH9Cz0tuDiY8C3ctxq1tqvaCgkFb8cCA/edit?usp=sharing"",""มหาสารคาม!I512"")"),0.0)</f>
        <v>0</v>
      </c>
      <c r="J617" s="222">
        <f>IFERROR(__xludf.DUMMYFUNCTION("IMPORTRANGE(""https://docs.google.com/spreadsheets/d/1XL5vhW3sbDhbH9Cz0tuDiY8C3ctxq1tqvaCgkFb8cCA/edit?usp=sharing"",""มหาสารคาม!J512"")"),0.0)</f>
        <v>0</v>
      </c>
      <c r="K617" s="196">
        <f t="shared" si="128"/>
        <v>0</v>
      </c>
      <c r="L617" s="216"/>
      <c r="M617" s="216"/>
      <c r="N617" s="216"/>
      <c r="O617" s="216"/>
      <c r="P617" s="216"/>
    </row>
    <row r="618" ht="21.75" customHeight="1">
      <c r="A618" s="210"/>
      <c r="B618" s="211"/>
      <c r="C618" s="211"/>
      <c r="D618" s="228"/>
      <c r="E618" s="233"/>
      <c r="F618" s="230"/>
      <c r="G618" s="531" t="s">
        <v>227</v>
      </c>
      <c r="H618" s="215" t="s">
        <v>123</v>
      </c>
      <c r="I618" s="238">
        <f>IFERROR(__xludf.DUMMYFUNCTION("IMPORTRANGE(""https://docs.google.com/spreadsheets/d/1XL5vhW3sbDhbH9Cz0tuDiY8C3ctxq1tqvaCgkFb8cCA/edit?usp=sharing"",""มหาสารคาม!I513"")"),0.0)</f>
        <v>0</v>
      </c>
      <c r="J618" s="223">
        <f>IFERROR(__xludf.DUMMYFUNCTION("IMPORTRANGE(""https://docs.google.com/spreadsheets/d/1XL5vhW3sbDhbH9Cz0tuDiY8C3ctxq1tqvaCgkFb8cCA/edit?usp=sharing"",""มหาสารคาม!J513"")"),0.0)</f>
        <v>0</v>
      </c>
      <c r="K618" s="196">
        <f t="shared" si="128"/>
        <v>0</v>
      </c>
      <c r="L618" s="216"/>
      <c r="M618" s="216"/>
      <c r="N618" s="216"/>
      <c r="O618" s="216"/>
      <c r="P618" s="216"/>
    </row>
    <row r="619" ht="21.75" customHeight="1">
      <c r="A619" s="210"/>
      <c r="B619" s="211"/>
      <c r="C619" s="211"/>
      <c r="D619" s="228"/>
      <c r="E619" s="233"/>
      <c r="F619" s="230"/>
      <c r="G619" s="531" t="s">
        <v>228</v>
      </c>
      <c r="H619" s="215" t="s">
        <v>123</v>
      </c>
      <c r="I619" s="238">
        <f>IFERROR(__xludf.DUMMYFUNCTION("IMPORTRANGE(""https://docs.google.com/spreadsheets/d/1XL5vhW3sbDhbH9Cz0tuDiY8C3ctxq1tqvaCgkFb8cCA/edit?usp=sharing"",""มหาสารคาม!I514"")"),0.0)</f>
        <v>0</v>
      </c>
      <c r="J619" s="223">
        <f>IFERROR(__xludf.DUMMYFUNCTION("IMPORTRANGE(""https://docs.google.com/spreadsheets/d/1XL5vhW3sbDhbH9Cz0tuDiY8C3ctxq1tqvaCgkFb8cCA/edit?usp=sharing"",""มหาสารคาม!J514"")"),0.0)</f>
        <v>0</v>
      </c>
      <c r="K619" s="196">
        <f t="shared" si="128"/>
        <v>0</v>
      </c>
      <c r="L619" s="216"/>
      <c r="M619" s="216"/>
      <c r="N619" s="216"/>
      <c r="O619" s="216"/>
      <c r="P619" s="216"/>
    </row>
    <row r="620" ht="21.75" customHeight="1">
      <c r="A620" s="210"/>
      <c r="B620" s="211"/>
      <c r="C620" s="211"/>
      <c r="D620" s="228"/>
      <c r="E620" s="230"/>
      <c r="F620" s="229" t="s">
        <v>229</v>
      </c>
      <c r="G620" s="231"/>
      <c r="H620" s="215" t="s">
        <v>123</v>
      </c>
      <c r="I620" s="222">
        <f>IFERROR(__xludf.DUMMYFUNCTION("IMPORTRANGE(""https://docs.google.com/spreadsheets/d/1XL5vhW3sbDhbH9Cz0tuDiY8C3ctxq1tqvaCgkFb8cCA/edit?usp=sharing"",""มหาสารคาม!I515"")"),0.0)</f>
        <v>0</v>
      </c>
      <c r="J620" s="237">
        <f>IFERROR(__xludf.DUMMYFUNCTION("IMPORTRANGE(""https://docs.google.com/spreadsheets/d/1XL5vhW3sbDhbH9Cz0tuDiY8C3ctxq1tqvaCgkFb8cCA/edit?usp=sharing"",""มหาสารคาม!J515"")"),0.0)</f>
        <v>0</v>
      </c>
      <c r="K620" s="196">
        <f t="shared" ref="K620:K626" si="129">IF(I$620&gt;0,J620*100/I$620,0)</f>
        <v>0</v>
      </c>
      <c r="L620" s="216"/>
      <c r="M620" s="216"/>
      <c r="N620" s="216"/>
      <c r="O620" s="216"/>
      <c r="P620" s="216"/>
    </row>
    <row r="621" ht="21.75" customHeight="1">
      <c r="A621" s="210"/>
      <c r="B621" s="211"/>
      <c r="C621" s="211"/>
      <c r="D621" s="228"/>
      <c r="E621" s="233"/>
      <c r="F621" s="230"/>
      <c r="G621" s="260" t="s">
        <v>226</v>
      </c>
      <c r="H621" s="215" t="s">
        <v>123</v>
      </c>
      <c r="I621" s="237">
        <f>IFERROR(__xludf.DUMMYFUNCTION("IMPORTRANGE(""https://docs.google.com/spreadsheets/d/1XL5vhW3sbDhbH9Cz0tuDiY8C3ctxq1tqvaCgkFb8cCA/edit?usp=sharing"",""มหาสารคาม!I516"")"),0.0)</f>
        <v>0</v>
      </c>
      <c r="J621" s="237">
        <f>IFERROR(__xludf.DUMMYFUNCTION("IMPORTRANGE(""https://docs.google.com/spreadsheets/d/1XL5vhW3sbDhbH9Cz0tuDiY8C3ctxq1tqvaCgkFb8cCA/edit?usp=sharing"",""มหาสารคาม!J516"")"),0.0)</f>
        <v>0</v>
      </c>
      <c r="K621" s="196">
        <f t="shared" si="129"/>
        <v>0</v>
      </c>
      <c r="L621" s="216"/>
      <c r="M621" s="216"/>
      <c r="N621" s="216"/>
      <c r="O621" s="216"/>
      <c r="P621" s="216"/>
    </row>
    <row r="622" ht="21.75" customHeight="1">
      <c r="A622" s="210"/>
      <c r="B622" s="211"/>
      <c r="C622" s="211"/>
      <c r="D622" s="228"/>
      <c r="E622" s="233"/>
      <c r="F622" s="230"/>
      <c r="G622" s="531" t="s">
        <v>227</v>
      </c>
      <c r="H622" s="215" t="s">
        <v>123</v>
      </c>
      <c r="I622" s="238">
        <f>IFERROR(__xludf.DUMMYFUNCTION("IMPORTRANGE(""https://docs.google.com/spreadsheets/d/1XL5vhW3sbDhbH9Cz0tuDiY8C3ctxq1tqvaCgkFb8cCA/edit?usp=sharing"",""มหาสารคาม!I517"")"),0.0)</f>
        <v>0</v>
      </c>
      <c r="J622" s="223">
        <f>IFERROR(__xludf.DUMMYFUNCTION("IMPORTRANGE(""https://docs.google.com/spreadsheets/d/1XL5vhW3sbDhbH9Cz0tuDiY8C3ctxq1tqvaCgkFb8cCA/edit?usp=sharing"",""มหาสารคาม!J517"")"),0.0)</f>
        <v>0</v>
      </c>
      <c r="K622" s="196">
        <f t="shared" si="129"/>
        <v>0</v>
      </c>
      <c r="L622" s="216"/>
      <c r="M622" s="216"/>
      <c r="N622" s="216"/>
      <c r="O622" s="216"/>
      <c r="P622" s="216"/>
    </row>
    <row r="623" ht="21.75" customHeight="1">
      <c r="A623" s="210"/>
      <c r="B623" s="211"/>
      <c r="C623" s="211"/>
      <c r="D623" s="228"/>
      <c r="E623" s="233"/>
      <c r="F623" s="230"/>
      <c r="G623" s="531" t="s">
        <v>228</v>
      </c>
      <c r="H623" s="215" t="s">
        <v>123</v>
      </c>
      <c r="I623" s="238">
        <f>IFERROR(__xludf.DUMMYFUNCTION("IMPORTRANGE(""https://docs.google.com/spreadsheets/d/1XL5vhW3sbDhbH9Cz0tuDiY8C3ctxq1tqvaCgkFb8cCA/edit?usp=sharing"",""มหาสารคาม!I518"")"),0.0)</f>
        <v>0</v>
      </c>
      <c r="J623" s="223">
        <f>IFERROR(__xludf.DUMMYFUNCTION("IMPORTRANGE(""https://docs.google.com/spreadsheets/d/1XL5vhW3sbDhbH9Cz0tuDiY8C3ctxq1tqvaCgkFb8cCA/edit?usp=sharing"",""มหาสารคาม!J518"")"),0.0)</f>
        <v>0</v>
      </c>
      <c r="K623" s="196">
        <f t="shared" si="129"/>
        <v>0</v>
      </c>
      <c r="L623" s="216"/>
      <c r="M623" s="216"/>
      <c r="N623" s="216"/>
      <c r="O623" s="216"/>
      <c r="P623" s="216"/>
    </row>
    <row r="624" ht="21.75" customHeight="1">
      <c r="A624" s="210"/>
      <c r="B624" s="211"/>
      <c r="C624" s="211"/>
      <c r="D624" s="228"/>
      <c r="E624" s="233"/>
      <c r="F624" s="230"/>
      <c r="G624" s="260" t="s">
        <v>230</v>
      </c>
      <c r="H624" s="215" t="s">
        <v>123</v>
      </c>
      <c r="I624" s="222">
        <f>IFERROR(__xludf.DUMMYFUNCTION("IMPORTRANGE(""https://docs.google.com/spreadsheets/d/1XL5vhW3sbDhbH9Cz0tuDiY8C3ctxq1tqvaCgkFb8cCA/edit?usp=sharing"",""มหาสารคาม!I519"")"),0.0)</f>
        <v>0</v>
      </c>
      <c r="J624" s="222">
        <f>IFERROR(__xludf.DUMMYFUNCTION("IMPORTRANGE(""https://docs.google.com/spreadsheets/d/1XL5vhW3sbDhbH9Cz0tuDiY8C3ctxq1tqvaCgkFb8cCA/edit?usp=sharing"",""มหาสารคาม!J519"")"),0.0)</f>
        <v>0</v>
      </c>
      <c r="K624" s="196">
        <f t="shared" si="129"/>
        <v>0</v>
      </c>
      <c r="L624" s="216"/>
      <c r="M624" s="216"/>
      <c r="N624" s="216"/>
      <c r="O624" s="216"/>
      <c r="P624" s="216"/>
    </row>
    <row r="625" ht="21.75" customHeight="1">
      <c r="A625" s="210"/>
      <c r="B625" s="211"/>
      <c r="C625" s="211"/>
      <c r="D625" s="228"/>
      <c r="E625" s="233"/>
      <c r="F625" s="230"/>
      <c r="G625" s="531" t="s">
        <v>231</v>
      </c>
      <c r="H625" s="215" t="s">
        <v>123</v>
      </c>
      <c r="I625" s="238">
        <f>IFERROR(__xludf.DUMMYFUNCTION("IMPORTRANGE(""https://docs.google.com/spreadsheets/d/1XL5vhW3sbDhbH9Cz0tuDiY8C3ctxq1tqvaCgkFb8cCA/edit?usp=sharing"",""มหาสารคาม!I520"")"),0.0)</f>
        <v>0</v>
      </c>
      <c r="J625" s="223">
        <f>IFERROR(__xludf.DUMMYFUNCTION("IMPORTRANGE(""https://docs.google.com/spreadsheets/d/1XL5vhW3sbDhbH9Cz0tuDiY8C3ctxq1tqvaCgkFb8cCA/edit?usp=sharing"",""มหาสารคาม!J520"")"),0.0)</f>
        <v>0</v>
      </c>
      <c r="K625" s="196">
        <f t="shared" si="129"/>
        <v>0</v>
      </c>
      <c r="L625" s="216"/>
      <c r="M625" s="216"/>
      <c r="N625" s="216"/>
      <c r="O625" s="216"/>
      <c r="P625" s="216"/>
    </row>
    <row r="626" ht="21.75" customHeight="1">
      <c r="A626" s="210"/>
      <c r="B626" s="211"/>
      <c r="C626" s="211"/>
      <c r="D626" s="228"/>
      <c r="E626" s="233"/>
      <c r="F626" s="230"/>
      <c r="G626" s="531" t="s">
        <v>232</v>
      </c>
      <c r="H626" s="215" t="s">
        <v>123</v>
      </c>
      <c r="I626" s="238">
        <f>IFERROR(__xludf.DUMMYFUNCTION("IMPORTRANGE(""https://docs.google.com/spreadsheets/d/1XL5vhW3sbDhbH9Cz0tuDiY8C3ctxq1tqvaCgkFb8cCA/edit?usp=sharing"",""มหาสารคาม!I521"")"),0.0)</f>
        <v>0</v>
      </c>
      <c r="J626" s="223">
        <f>IFERROR(__xludf.DUMMYFUNCTION("IMPORTRANGE(""https://docs.google.com/spreadsheets/d/1XL5vhW3sbDhbH9Cz0tuDiY8C3ctxq1tqvaCgkFb8cCA/edit?usp=sharing"",""มหาสารคาม!J521"")"),0.0)</f>
        <v>0</v>
      </c>
      <c r="K626" s="196">
        <f t="shared" si="129"/>
        <v>0</v>
      </c>
      <c r="L626" s="216"/>
      <c r="M626" s="216"/>
      <c r="N626" s="216"/>
      <c r="O626" s="216"/>
      <c r="P626" s="216"/>
    </row>
    <row r="627" ht="21.75" customHeight="1">
      <c r="A627" s="532" t="s">
        <v>233</v>
      </c>
      <c r="B627" s="533"/>
      <c r="C627" s="533"/>
      <c r="D627" s="533"/>
      <c r="E627" s="533"/>
      <c r="F627" s="533"/>
      <c r="G627" s="534"/>
      <c r="H627" s="535"/>
      <c r="I627" s="536"/>
      <c r="J627" s="536"/>
      <c r="K627" s="537"/>
      <c r="L627" s="537"/>
      <c r="M627" s="537"/>
      <c r="N627" s="537"/>
      <c r="O627" s="538"/>
      <c r="P627" s="538"/>
    </row>
    <row r="628" ht="21.75" customHeight="1">
      <c r="A628" s="511"/>
      <c r="B628" s="539" t="s">
        <v>234</v>
      </c>
      <c r="C628" s="190"/>
      <c r="D628" s="199"/>
      <c r="E628" s="192"/>
      <c r="F628" s="192"/>
      <c r="G628" s="193"/>
      <c r="H628" s="540" t="s">
        <v>13</v>
      </c>
      <c r="I628" s="374">
        <f>IFERROR(__xludf.DUMMYFUNCTION("IMPORTRANGE(""https://docs.google.com/spreadsheets/d/1XL5vhW3sbDhbH9Cz0tuDiY8C3ctxq1tqvaCgkFb8cCA/edit?usp=sharing"",""มหาสารคาม!I523"")"),1.488528457E7)</f>
        <v>14885284.57</v>
      </c>
      <c r="J628" s="374">
        <f>IFERROR(__xludf.DUMMYFUNCTION("IMPORTRANGE(""https://docs.google.com/spreadsheets/d/1XL5vhW3sbDhbH9Cz0tuDiY8C3ctxq1tqvaCgkFb8cCA/edit?usp=sharing"",""มหาสารคาม!J523"")"),850334.78)</f>
        <v>850334.78</v>
      </c>
      <c r="K628" s="375">
        <f t="shared" ref="K628:K635" si="130">IF(I628&gt;0,J628*100/I628,0)</f>
        <v>5.712586656</v>
      </c>
      <c r="L628" s="375"/>
      <c r="M628" s="375"/>
      <c r="N628" s="375"/>
      <c r="O628" s="203"/>
      <c r="P628" s="203"/>
    </row>
    <row r="629" ht="21.75" customHeight="1">
      <c r="A629" s="511"/>
      <c r="B629" s="190"/>
      <c r="C629" s="190"/>
      <c r="D629" s="199"/>
      <c r="E629" s="192"/>
      <c r="F629" s="192"/>
      <c r="G629" s="193"/>
      <c r="H629" s="540" t="s">
        <v>38</v>
      </c>
      <c r="I629" s="374">
        <f>IFERROR(__xludf.DUMMYFUNCTION("IMPORTRANGE(""https://docs.google.com/spreadsheets/d/1XL5vhW3sbDhbH9Cz0tuDiY8C3ctxq1tqvaCgkFb8cCA/edit?usp=sharing"",""มหาสารคาม!I524"")"),1487.0)</f>
        <v>1487</v>
      </c>
      <c r="J629" s="374">
        <f>IFERROR(__xludf.DUMMYFUNCTION("IMPORTRANGE(""https://docs.google.com/spreadsheets/d/1XL5vhW3sbDhbH9Cz0tuDiY8C3ctxq1tqvaCgkFb8cCA/edit?usp=sharing"",""มหาสารคาม!J524"")"),74.0)</f>
        <v>74</v>
      </c>
      <c r="K629" s="375">
        <f t="shared" si="130"/>
        <v>4.976462677</v>
      </c>
      <c r="L629" s="375"/>
      <c r="M629" s="375"/>
      <c r="N629" s="375"/>
      <c r="O629" s="203"/>
      <c r="P629" s="203"/>
    </row>
    <row r="630" ht="21.75" customHeight="1">
      <c r="A630" s="511"/>
      <c r="B630" s="539" t="s">
        <v>235</v>
      </c>
      <c r="C630" s="190"/>
      <c r="D630" s="199"/>
      <c r="E630" s="192"/>
      <c r="F630" s="192"/>
      <c r="G630" s="193"/>
      <c r="H630" s="540" t="s">
        <v>13</v>
      </c>
      <c r="I630" s="374">
        <f>IFERROR(__xludf.DUMMYFUNCTION("IMPORTRANGE(""https://docs.google.com/spreadsheets/d/1XL5vhW3sbDhbH9Cz0tuDiY8C3ctxq1tqvaCgkFb8cCA/edit?usp=sharing"",""มหาสารคาม!I525"")"),6639216.94)</f>
        <v>6639216.94</v>
      </c>
      <c r="J630" s="374">
        <f>IFERROR(__xludf.DUMMYFUNCTION("IMPORTRANGE(""https://docs.google.com/spreadsheets/d/1XL5vhW3sbDhbH9Cz0tuDiY8C3ctxq1tqvaCgkFb8cCA/edit?usp=sharing"",""มหาสารคาม!J525"")"),574338.27)</f>
        <v>574338.27</v>
      </c>
      <c r="K630" s="375">
        <f t="shared" si="130"/>
        <v>8.650692923</v>
      </c>
      <c r="L630" s="375"/>
      <c r="M630" s="375"/>
      <c r="N630" s="375"/>
      <c r="O630" s="203"/>
      <c r="P630" s="203"/>
    </row>
    <row r="631" ht="21.75" customHeight="1">
      <c r="A631" s="511"/>
      <c r="B631" s="190"/>
      <c r="C631" s="190"/>
      <c r="D631" s="199"/>
      <c r="E631" s="192"/>
      <c r="F631" s="192"/>
      <c r="G631" s="193"/>
      <c r="H631" s="540" t="s">
        <v>38</v>
      </c>
      <c r="I631" s="374">
        <f>IFERROR(__xludf.DUMMYFUNCTION("IMPORTRANGE(""https://docs.google.com/spreadsheets/d/1XL5vhW3sbDhbH9Cz0tuDiY8C3ctxq1tqvaCgkFb8cCA/edit?usp=sharing"",""มหาสารคาม!I526"")"),300.0)</f>
        <v>300</v>
      </c>
      <c r="J631" s="374">
        <f>IFERROR(__xludf.DUMMYFUNCTION("IMPORTRANGE(""https://docs.google.com/spreadsheets/d/1XL5vhW3sbDhbH9Cz0tuDiY8C3ctxq1tqvaCgkFb8cCA/edit?usp=sharing"",""มหาสารคาม!J526"")"),73.0)</f>
        <v>73</v>
      </c>
      <c r="K631" s="375">
        <f t="shared" si="130"/>
        <v>24.33333333</v>
      </c>
      <c r="L631" s="375"/>
      <c r="M631" s="375"/>
      <c r="N631" s="375"/>
      <c r="O631" s="203"/>
      <c r="P631" s="203"/>
    </row>
    <row r="632" ht="21.75" customHeight="1">
      <c r="A632" s="511"/>
      <c r="B632" s="539" t="s">
        <v>236</v>
      </c>
      <c r="C632" s="190"/>
      <c r="D632" s="199"/>
      <c r="E632" s="192"/>
      <c r="F632" s="192"/>
      <c r="G632" s="193"/>
      <c r="H632" s="540" t="s">
        <v>13</v>
      </c>
      <c r="I632" s="374">
        <f>IFERROR(__xludf.DUMMYFUNCTION("IMPORTRANGE(""https://docs.google.com/spreadsheets/d/1XL5vhW3sbDhbH9Cz0tuDiY8C3ctxq1tqvaCgkFb8cCA/edit?usp=sharing"",""มหาสารคาม!I527"")"),0.0)</f>
        <v>0</v>
      </c>
      <c r="J632" s="374">
        <f>IFERROR(__xludf.DUMMYFUNCTION("IMPORTRANGE(""https://docs.google.com/spreadsheets/d/1XL5vhW3sbDhbH9Cz0tuDiY8C3ctxq1tqvaCgkFb8cCA/edit?usp=sharing"",""มหาสารคาม!J527"")"),0.0)</f>
        <v>0</v>
      </c>
      <c r="K632" s="375">
        <f t="shared" si="130"/>
        <v>0</v>
      </c>
      <c r="L632" s="375"/>
      <c r="M632" s="375"/>
      <c r="N632" s="375"/>
      <c r="O632" s="203"/>
      <c r="P632" s="203"/>
    </row>
    <row r="633" ht="21.75" customHeight="1">
      <c r="A633" s="511"/>
      <c r="B633" s="539"/>
      <c r="C633" s="190"/>
      <c r="D633" s="199"/>
      <c r="E633" s="192"/>
      <c r="F633" s="192"/>
      <c r="G633" s="193"/>
      <c r="H633" s="540" t="s">
        <v>38</v>
      </c>
      <c r="I633" s="374">
        <f>IFERROR(__xludf.DUMMYFUNCTION("IMPORTRANGE(""https://docs.google.com/spreadsheets/d/1XL5vhW3sbDhbH9Cz0tuDiY8C3ctxq1tqvaCgkFb8cCA/edit?usp=sharing"",""มหาสารคาม!I528"")"),0.0)</f>
        <v>0</v>
      </c>
      <c r="J633" s="374">
        <f>IFERROR(__xludf.DUMMYFUNCTION("IMPORTRANGE(""https://docs.google.com/spreadsheets/d/1XL5vhW3sbDhbH9Cz0tuDiY8C3ctxq1tqvaCgkFb8cCA/edit?usp=sharing"",""มหาสารคาม!J528"")"),0.0)</f>
        <v>0</v>
      </c>
      <c r="K633" s="375">
        <f t="shared" si="130"/>
        <v>0</v>
      </c>
      <c r="L633" s="375"/>
      <c r="M633" s="375"/>
      <c r="N633" s="375"/>
      <c r="O633" s="203"/>
      <c r="P633" s="203"/>
    </row>
    <row r="634" ht="21.75" customHeight="1">
      <c r="A634" s="511"/>
      <c r="B634" s="539" t="s">
        <v>237</v>
      </c>
      <c r="C634" s="190"/>
      <c r="D634" s="199"/>
      <c r="E634" s="192"/>
      <c r="F634" s="192"/>
      <c r="G634" s="193"/>
      <c r="H634" s="540" t="s">
        <v>13</v>
      </c>
      <c r="I634" s="374">
        <f>IFERROR(__xludf.DUMMYFUNCTION("IMPORTRANGE(""https://docs.google.com/spreadsheets/d/1XL5vhW3sbDhbH9Cz0tuDiY8C3ctxq1tqvaCgkFb8cCA/edit?usp=sharing"",""มหาสารคาม!I529"")"),2.0E7)</f>
        <v>20000000</v>
      </c>
      <c r="J634" s="374">
        <f>IFERROR(__xludf.DUMMYFUNCTION("IMPORTRANGE(""https://docs.google.com/spreadsheets/d/1XL5vhW3sbDhbH9Cz0tuDiY8C3ctxq1tqvaCgkFb8cCA/edit?usp=sharing"",""มหาสารคาม!J529"")"),0.0)</f>
        <v>0</v>
      </c>
      <c r="K634" s="375">
        <f t="shared" si="130"/>
        <v>0</v>
      </c>
      <c r="L634" s="375"/>
      <c r="M634" s="375"/>
      <c r="N634" s="375"/>
      <c r="O634" s="203"/>
      <c r="P634" s="203"/>
    </row>
    <row r="635" ht="21.75" customHeight="1">
      <c r="A635" s="513"/>
      <c r="B635" s="515"/>
      <c r="C635" s="515"/>
      <c r="D635" s="514"/>
      <c r="E635" s="541"/>
      <c r="F635" s="541"/>
      <c r="G635" s="542"/>
      <c r="H635" s="543" t="s">
        <v>38</v>
      </c>
      <c r="I635" s="544">
        <f>IFERROR(__xludf.DUMMYFUNCTION("IMPORTRANGE(""https://docs.google.com/spreadsheets/d/1XL5vhW3sbDhbH9Cz0tuDiY8C3ctxq1tqvaCgkFb8cCA/edit?usp=sharing"",""มหาสารคาม!I530"")"),400.0)</f>
        <v>400</v>
      </c>
      <c r="J635" s="544">
        <f>IFERROR(__xludf.DUMMYFUNCTION("IMPORTRANGE(""https://docs.google.com/spreadsheets/d/1XL5vhW3sbDhbH9Cz0tuDiY8C3ctxq1tqvaCgkFb8cCA/edit?usp=sharing"",""มหาสารคาม!J530"")"),0.0)</f>
        <v>0</v>
      </c>
      <c r="K635" s="519">
        <f t="shared" si="130"/>
        <v>0</v>
      </c>
      <c r="L635" s="519"/>
      <c r="M635" s="519"/>
      <c r="N635" s="519"/>
      <c r="O635" s="545"/>
      <c r="P635" s="545"/>
    </row>
    <row r="636" ht="21.75" customHeight="1">
      <c r="A636" s="546"/>
      <c r="B636" s="546"/>
      <c r="C636" s="546"/>
      <c r="D636" s="546"/>
      <c r="E636" s="547" t="s">
        <v>238</v>
      </c>
      <c r="F636" s="547"/>
      <c r="G636" s="548"/>
      <c r="H636" s="549"/>
      <c r="I636" s="549"/>
      <c r="J636" s="549"/>
      <c r="K636" s="550"/>
      <c r="L636" s="551"/>
      <c r="M636" s="551"/>
      <c r="N636" s="551"/>
      <c r="O636" s="552"/>
      <c r="P636" s="552"/>
    </row>
    <row r="637" ht="21.75" customHeight="1">
      <c r="A637" s="546"/>
      <c r="B637" s="546"/>
      <c r="C637" s="546"/>
      <c r="D637" s="546"/>
      <c r="E637" s="549"/>
      <c r="F637" s="549"/>
      <c r="G637" s="549"/>
      <c r="H637" s="549"/>
      <c r="I637" s="549"/>
      <c r="J637" s="549"/>
      <c r="K637" s="550"/>
      <c r="L637" s="551"/>
      <c r="M637" s="551"/>
      <c r="N637" s="551"/>
      <c r="O637" s="552"/>
      <c r="P637" s="552"/>
    </row>
    <row r="638" ht="21.75" customHeight="1">
      <c r="A638" s="546"/>
      <c r="B638" s="546"/>
      <c r="C638" s="546"/>
      <c r="D638" s="546"/>
      <c r="E638" s="549"/>
      <c r="F638" s="549"/>
      <c r="G638" s="549"/>
      <c r="H638" s="549"/>
      <c r="I638" s="549"/>
      <c r="J638" s="549"/>
      <c r="K638" s="550"/>
      <c r="L638" s="551"/>
      <c r="M638" s="551"/>
      <c r="N638" s="551"/>
      <c r="O638" s="552"/>
      <c r="P638" s="552"/>
    </row>
    <row r="639" ht="21.75" customHeight="1">
      <c r="A639" s="546"/>
      <c r="B639" s="546"/>
      <c r="C639" s="546"/>
      <c r="D639" s="546"/>
      <c r="E639" s="549"/>
      <c r="F639" s="549"/>
      <c r="G639" s="549"/>
      <c r="H639" s="549"/>
      <c r="I639" s="549"/>
      <c r="J639" s="549"/>
      <c r="K639" s="550"/>
      <c r="L639" s="551"/>
      <c r="M639" s="551"/>
      <c r="N639" s="551"/>
      <c r="O639" s="552"/>
      <c r="P639" s="552"/>
    </row>
    <row r="640" ht="21.75" customHeight="1">
      <c r="A640" s="546"/>
      <c r="B640" s="546"/>
      <c r="C640" s="546"/>
      <c r="D640" s="546"/>
      <c r="E640" s="549"/>
      <c r="F640" s="549"/>
      <c r="G640" s="549"/>
      <c r="H640" s="549"/>
      <c r="I640" s="549"/>
      <c r="J640" s="549"/>
      <c r="K640" s="550"/>
      <c r="L640" s="551"/>
      <c r="M640" s="551"/>
      <c r="N640" s="551"/>
      <c r="O640" s="552"/>
      <c r="P640" s="552"/>
    </row>
    <row r="641" ht="21.75" customHeight="1">
      <c r="A641" s="546"/>
      <c r="B641" s="546"/>
      <c r="C641" s="546"/>
      <c r="D641" s="546"/>
      <c r="E641" s="549"/>
      <c r="F641" s="549"/>
      <c r="G641" s="549"/>
      <c r="H641" s="549"/>
      <c r="I641" s="549"/>
      <c r="J641" s="549"/>
      <c r="K641" s="550"/>
      <c r="L641" s="551"/>
      <c r="M641" s="551"/>
      <c r="N641" s="551"/>
      <c r="O641" s="552"/>
      <c r="P641" s="552"/>
    </row>
    <row r="642" ht="21.75" customHeight="1">
      <c r="A642" s="546"/>
      <c r="B642" s="546"/>
      <c r="C642" s="546"/>
      <c r="D642" s="546"/>
      <c r="E642" s="549"/>
      <c r="F642" s="549"/>
      <c r="G642" s="549"/>
      <c r="H642" s="549"/>
      <c r="I642" s="549"/>
      <c r="J642" s="549"/>
      <c r="K642" s="550"/>
      <c r="L642" s="551"/>
      <c r="M642" s="551"/>
      <c r="N642" s="551"/>
      <c r="O642" s="552"/>
      <c r="P642" s="552"/>
    </row>
    <row r="643" ht="21.75" customHeight="1">
      <c r="A643" s="546"/>
      <c r="B643" s="546"/>
      <c r="C643" s="546"/>
      <c r="D643" s="546"/>
      <c r="E643" s="549"/>
      <c r="F643" s="549"/>
      <c r="G643" s="549"/>
      <c r="H643" s="549"/>
      <c r="I643" s="549"/>
      <c r="J643" s="549"/>
      <c r="K643" s="550"/>
      <c r="L643" s="551"/>
      <c r="M643" s="551"/>
      <c r="N643" s="551"/>
      <c r="O643" s="552"/>
      <c r="P643" s="552"/>
    </row>
    <row r="644" ht="21.75" customHeight="1">
      <c r="A644" s="546"/>
      <c r="B644" s="546"/>
      <c r="C644" s="546"/>
      <c r="D644" s="546"/>
      <c r="E644" s="549"/>
      <c r="F644" s="549"/>
      <c r="G644" s="549"/>
      <c r="H644" s="549"/>
      <c r="I644" s="549"/>
      <c r="J644" s="549"/>
      <c r="K644" s="550"/>
      <c r="L644" s="551"/>
      <c r="M644" s="551"/>
      <c r="N644" s="551"/>
      <c r="O644" s="552"/>
      <c r="P644" s="552"/>
    </row>
    <row r="645" ht="21.75" customHeight="1">
      <c r="A645" s="546"/>
      <c r="B645" s="546"/>
      <c r="C645" s="546"/>
      <c r="D645" s="546"/>
      <c r="E645" s="549"/>
      <c r="F645" s="549"/>
      <c r="G645" s="549"/>
      <c r="H645" s="549"/>
      <c r="I645" s="549"/>
      <c r="J645" s="549"/>
      <c r="K645" s="550"/>
      <c r="L645" s="551"/>
      <c r="M645" s="551"/>
      <c r="N645" s="551"/>
      <c r="O645" s="552"/>
      <c r="P645" s="552"/>
    </row>
    <row r="646" ht="21.75" customHeight="1">
      <c r="A646" s="546"/>
      <c r="B646" s="546"/>
      <c r="C646" s="546"/>
      <c r="D646" s="546"/>
      <c r="E646" s="549"/>
      <c r="F646" s="549"/>
      <c r="G646" s="549"/>
      <c r="H646" s="549"/>
      <c r="I646" s="549"/>
      <c r="J646" s="549"/>
      <c r="K646" s="550"/>
      <c r="L646" s="551"/>
      <c r="M646" s="551"/>
      <c r="N646" s="551"/>
      <c r="O646" s="552"/>
      <c r="P646" s="552"/>
    </row>
    <row r="647" ht="21.75" customHeight="1">
      <c r="A647" s="546"/>
      <c r="B647" s="546"/>
      <c r="C647" s="546"/>
      <c r="D647" s="546"/>
      <c r="E647" s="549"/>
      <c r="F647" s="549"/>
      <c r="G647" s="549"/>
      <c r="H647" s="549"/>
      <c r="I647" s="549"/>
      <c r="J647" s="549"/>
      <c r="K647" s="550"/>
      <c r="L647" s="551"/>
      <c r="M647" s="551"/>
      <c r="N647" s="551"/>
      <c r="O647" s="552"/>
      <c r="P647" s="552"/>
    </row>
    <row r="648" ht="21.75" customHeight="1">
      <c r="A648" s="546"/>
      <c r="B648" s="546"/>
      <c r="C648" s="546"/>
      <c r="D648" s="546"/>
      <c r="E648" s="549"/>
      <c r="F648" s="549"/>
      <c r="G648" s="549"/>
      <c r="H648" s="549"/>
      <c r="I648" s="549"/>
      <c r="J648" s="549"/>
      <c r="K648" s="550"/>
      <c r="L648" s="551"/>
      <c r="M648" s="551"/>
      <c r="N648" s="551"/>
      <c r="O648" s="552"/>
      <c r="P648" s="552"/>
    </row>
    <row r="649" ht="21.75" customHeight="1">
      <c r="A649" s="546"/>
      <c r="B649" s="546"/>
      <c r="C649" s="546"/>
      <c r="D649" s="546"/>
      <c r="E649" s="549"/>
      <c r="F649" s="549"/>
      <c r="G649" s="549"/>
      <c r="H649" s="549"/>
      <c r="I649" s="549"/>
      <c r="J649" s="549"/>
      <c r="K649" s="550"/>
      <c r="L649" s="551"/>
      <c r="M649" s="551"/>
      <c r="N649" s="551"/>
      <c r="O649" s="552"/>
      <c r="P649" s="552"/>
    </row>
    <row r="650" ht="21.75" customHeight="1">
      <c r="A650" s="546"/>
      <c r="B650" s="546"/>
      <c r="C650" s="546"/>
      <c r="D650" s="546"/>
      <c r="E650" s="549"/>
      <c r="F650" s="549"/>
      <c r="G650" s="549"/>
      <c r="H650" s="549"/>
      <c r="I650" s="549"/>
      <c r="J650" s="549"/>
      <c r="K650" s="550"/>
      <c r="L650" s="551"/>
      <c r="M650" s="551"/>
      <c r="N650" s="551"/>
      <c r="O650" s="552"/>
      <c r="P650" s="552"/>
    </row>
    <row r="651" ht="21.75" customHeight="1">
      <c r="A651" s="546"/>
      <c r="B651" s="546"/>
      <c r="C651" s="546"/>
      <c r="D651" s="546"/>
      <c r="E651" s="549"/>
      <c r="F651" s="549"/>
      <c r="G651" s="549"/>
      <c r="H651" s="549"/>
      <c r="I651" s="549"/>
      <c r="J651" s="549"/>
      <c r="K651" s="550"/>
      <c r="L651" s="551"/>
      <c r="M651" s="551"/>
      <c r="N651" s="551"/>
      <c r="O651" s="552"/>
      <c r="P651" s="552"/>
    </row>
    <row r="652" ht="21.75" customHeight="1">
      <c r="A652" s="546"/>
      <c r="B652" s="546"/>
      <c r="C652" s="546"/>
      <c r="D652" s="546"/>
      <c r="E652" s="549"/>
      <c r="F652" s="549"/>
      <c r="G652" s="549"/>
      <c r="H652" s="549"/>
      <c r="I652" s="549"/>
      <c r="J652" s="549"/>
      <c r="K652" s="550"/>
      <c r="L652" s="551"/>
      <c r="M652" s="551"/>
      <c r="N652" s="551"/>
      <c r="O652" s="552"/>
      <c r="P652" s="552"/>
    </row>
    <row r="653" ht="21.75" customHeight="1">
      <c r="A653" s="546"/>
      <c r="B653" s="546"/>
      <c r="C653" s="546"/>
      <c r="D653" s="546"/>
      <c r="E653" s="549"/>
      <c r="F653" s="549"/>
      <c r="G653" s="549"/>
      <c r="H653" s="549"/>
      <c r="I653" s="549"/>
      <c r="J653" s="549"/>
      <c r="K653" s="550"/>
      <c r="L653" s="551"/>
      <c r="M653" s="551"/>
      <c r="N653" s="551"/>
      <c r="O653" s="552"/>
      <c r="P653" s="552"/>
    </row>
    <row r="654" ht="21.75" customHeight="1">
      <c r="A654" s="546"/>
      <c r="B654" s="546"/>
      <c r="C654" s="546"/>
      <c r="D654" s="546"/>
      <c r="E654" s="549"/>
      <c r="F654" s="549"/>
      <c r="G654" s="549"/>
      <c r="H654" s="549"/>
      <c r="I654" s="549"/>
      <c r="J654" s="549"/>
      <c r="K654" s="550"/>
      <c r="L654" s="551"/>
      <c r="M654" s="551"/>
      <c r="N654" s="551"/>
      <c r="O654" s="552"/>
      <c r="P654" s="552"/>
    </row>
    <row r="655" ht="21.75" customHeight="1">
      <c r="A655" s="546"/>
      <c r="B655" s="546"/>
      <c r="C655" s="546"/>
      <c r="D655" s="546"/>
      <c r="E655" s="549"/>
      <c r="F655" s="549"/>
      <c r="G655" s="549"/>
      <c r="H655" s="549"/>
      <c r="I655" s="549"/>
      <c r="J655" s="549"/>
      <c r="K655" s="550"/>
      <c r="L655" s="551"/>
      <c r="M655" s="551"/>
      <c r="N655" s="551"/>
      <c r="O655" s="552"/>
      <c r="P655" s="552"/>
    </row>
    <row r="656" ht="21.75" customHeight="1">
      <c r="A656" s="546"/>
      <c r="B656" s="546"/>
      <c r="C656" s="546"/>
      <c r="D656" s="546"/>
      <c r="E656" s="549"/>
      <c r="F656" s="549"/>
      <c r="G656" s="549"/>
      <c r="H656" s="549"/>
      <c r="I656" s="549"/>
      <c r="J656" s="549"/>
      <c r="K656" s="550"/>
      <c r="L656" s="551"/>
      <c r="M656" s="551"/>
      <c r="N656" s="551"/>
      <c r="O656" s="552"/>
      <c r="P656" s="552"/>
    </row>
    <row r="657" ht="21.75" customHeight="1">
      <c r="A657" s="546"/>
      <c r="B657" s="546"/>
      <c r="C657" s="546"/>
      <c r="D657" s="546"/>
      <c r="E657" s="549"/>
      <c r="F657" s="549"/>
      <c r="G657" s="549"/>
      <c r="H657" s="549"/>
      <c r="I657" s="549"/>
      <c r="J657" s="549"/>
      <c r="K657" s="550"/>
      <c r="L657" s="551"/>
      <c r="M657" s="551"/>
      <c r="N657" s="551"/>
      <c r="O657" s="552"/>
      <c r="P657" s="552"/>
    </row>
    <row r="658" ht="21.75" customHeight="1">
      <c r="A658" s="546"/>
      <c r="B658" s="546"/>
      <c r="C658" s="546"/>
      <c r="D658" s="546"/>
      <c r="E658" s="549"/>
      <c r="F658" s="549"/>
      <c r="G658" s="549"/>
      <c r="H658" s="549"/>
      <c r="I658" s="549"/>
      <c r="J658" s="549"/>
      <c r="K658" s="550"/>
      <c r="L658" s="551"/>
      <c r="M658" s="551"/>
      <c r="N658" s="551"/>
      <c r="O658" s="552"/>
      <c r="P658" s="552"/>
    </row>
    <row r="659" ht="21.75" customHeight="1">
      <c r="A659" s="546"/>
      <c r="B659" s="546"/>
      <c r="C659" s="546"/>
      <c r="D659" s="546"/>
      <c r="E659" s="549"/>
      <c r="F659" s="549"/>
      <c r="G659" s="549"/>
      <c r="H659" s="549"/>
      <c r="I659" s="549"/>
      <c r="J659" s="549"/>
      <c r="K659" s="550"/>
      <c r="L659" s="551"/>
      <c r="M659" s="551"/>
      <c r="N659" s="551"/>
      <c r="O659" s="552"/>
      <c r="P659" s="552"/>
    </row>
    <row r="660" ht="21.75" customHeight="1">
      <c r="A660" s="546"/>
      <c r="B660" s="546"/>
      <c r="C660" s="546"/>
      <c r="D660" s="546"/>
      <c r="E660" s="549"/>
      <c r="F660" s="549"/>
      <c r="G660" s="549"/>
      <c r="H660" s="549"/>
      <c r="I660" s="549"/>
      <c r="J660" s="549"/>
      <c r="K660" s="550"/>
      <c r="L660" s="551"/>
      <c r="M660" s="551"/>
      <c r="N660" s="551"/>
      <c r="O660" s="552"/>
      <c r="P660" s="552"/>
    </row>
    <row r="661" ht="21.75" customHeight="1">
      <c r="A661" s="546"/>
      <c r="B661" s="546"/>
      <c r="C661" s="546"/>
      <c r="D661" s="546"/>
      <c r="E661" s="549"/>
      <c r="F661" s="549"/>
      <c r="G661" s="549"/>
      <c r="H661" s="549"/>
      <c r="I661" s="549"/>
      <c r="J661" s="549"/>
      <c r="K661" s="550"/>
      <c r="L661" s="551"/>
      <c r="M661" s="551"/>
      <c r="N661" s="551"/>
      <c r="O661" s="552"/>
      <c r="P661" s="552"/>
    </row>
    <row r="662" ht="21.75" customHeight="1">
      <c r="A662" s="546"/>
      <c r="B662" s="546"/>
      <c r="C662" s="546"/>
      <c r="D662" s="546"/>
      <c r="E662" s="549"/>
      <c r="F662" s="549"/>
      <c r="G662" s="549"/>
      <c r="H662" s="549"/>
      <c r="I662" s="549"/>
      <c r="J662" s="549"/>
      <c r="K662" s="550"/>
      <c r="L662" s="551"/>
      <c r="M662" s="551"/>
      <c r="N662" s="551"/>
      <c r="O662" s="552"/>
      <c r="P662" s="552"/>
    </row>
    <row r="663" ht="21.75" customHeight="1">
      <c r="A663" s="546"/>
      <c r="B663" s="546"/>
      <c r="C663" s="546"/>
      <c r="D663" s="546"/>
      <c r="E663" s="549"/>
      <c r="F663" s="549"/>
      <c r="G663" s="549"/>
      <c r="H663" s="549"/>
      <c r="I663" s="549"/>
      <c r="J663" s="549"/>
      <c r="K663" s="550"/>
      <c r="L663" s="551"/>
      <c r="M663" s="551"/>
      <c r="N663" s="551"/>
      <c r="O663" s="552"/>
      <c r="P663" s="552"/>
    </row>
    <row r="664" ht="21.75" customHeight="1">
      <c r="A664" s="546"/>
      <c r="B664" s="546"/>
      <c r="C664" s="546"/>
      <c r="D664" s="546"/>
      <c r="E664" s="549"/>
      <c r="F664" s="549"/>
      <c r="G664" s="549"/>
      <c r="H664" s="549"/>
      <c r="I664" s="549"/>
      <c r="J664" s="549"/>
      <c r="K664" s="550"/>
      <c r="L664" s="551"/>
      <c r="M664" s="551"/>
      <c r="N664" s="551"/>
      <c r="O664" s="552"/>
      <c r="P664" s="552"/>
    </row>
    <row r="665" ht="21.75" customHeight="1">
      <c r="A665" s="546"/>
      <c r="B665" s="546"/>
      <c r="C665" s="546"/>
      <c r="D665" s="546"/>
      <c r="E665" s="549"/>
      <c r="F665" s="549"/>
      <c r="G665" s="549"/>
      <c r="H665" s="549"/>
      <c r="I665" s="549"/>
      <c r="J665" s="549"/>
      <c r="K665" s="550"/>
      <c r="L665" s="551"/>
      <c r="M665" s="551"/>
      <c r="N665" s="551"/>
      <c r="O665" s="552"/>
      <c r="P665" s="552"/>
    </row>
    <row r="666" ht="21.75" customHeight="1">
      <c r="A666" s="546"/>
      <c r="B666" s="546"/>
      <c r="C666" s="546"/>
      <c r="D666" s="546"/>
      <c r="E666" s="549"/>
      <c r="F666" s="549"/>
      <c r="G666" s="549"/>
      <c r="H666" s="549"/>
      <c r="I666" s="549"/>
      <c r="J666" s="549"/>
      <c r="K666" s="550"/>
      <c r="L666" s="551"/>
      <c r="M666" s="551"/>
      <c r="N666" s="551"/>
      <c r="O666" s="552"/>
      <c r="P666" s="552"/>
    </row>
    <row r="667" ht="21.75" customHeight="1">
      <c r="A667" s="546"/>
      <c r="B667" s="546"/>
      <c r="C667" s="546"/>
      <c r="D667" s="546"/>
      <c r="E667" s="549"/>
      <c r="F667" s="549"/>
      <c r="G667" s="549"/>
      <c r="H667" s="549"/>
      <c r="I667" s="549"/>
      <c r="J667" s="549"/>
      <c r="K667" s="550"/>
      <c r="L667" s="551"/>
      <c r="M667" s="551"/>
      <c r="N667" s="551"/>
      <c r="O667" s="552"/>
      <c r="P667" s="552"/>
    </row>
    <row r="668" ht="21.75" customHeight="1">
      <c r="A668" s="546"/>
      <c r="B668" s="546"/>
      <c r="C668" s="546"/>
      <c r="D668" s="546"/>
      <c r="E668" s="549"/>
      <c r="F668" s="549"/>
      <c r="G668" s="549"/>
      <c r="H668" s="549"/>
      <c r="I668" s="549"/>
      <c r="J668" s="549"/>
      <c r="K668" s="550"/>
      <c r="L668" s="551"/>
      <c r="M668" s="551"/>
      <c r="N668" s="551"/>
      <c r="O668" s="552"/>
      <c r="P668" s="552"/>
    </row>
    <row r="669" ht="21.75" customHeight="1">
      <c r="A669" s="546"/>
      <c r="B669" s="546"/>
      <c r="C669" s="546"/>
      <c r="D669" s="546"/>
      <c r="E669" s="549"/>
      <c r="F669" s="549"/>
      <c r="G669" s="549"/>
      <c r="H669" s="549"/>
      <c r="I669" s="549"/>
      <c r="J669" s="549"/>
      <c r="K669" s="550"/>
      <c r="L669" s="551"/>
      <c r="M669" s="551"/>
      <c r="N669" s="551"/>
      <c r="O669" s="552"/>
      <c r="P669" s="552"/>
    </row>
    <row r="670" ht="21.75" customHeight="1">
      <c r="A670" s="546"/>
      <c r="B670" s="546"/>
      <c r="C670" s="546"/>
      <c r="D670" s="546"/>
      <c r="E670" s="549"/>
      <c r="F670" s="549"/>
      <c r="G670" s="549"/>
      <c r="H670" s="549"/>
      <c r="I670" s="549"/>
      <c r="J670" s="549"/>
      <c r="K670" s="550"/>
      <c r="L670" s="551"/>
      <c r="M670" s="551"/>
      <c r="N670" s="551"/>
      <c r="O670" s="552"/>
      <c r="P670" s="552"/>
    </row>
    <row r="671" ht="21.75" customHeight="1">
      <c r="A671" s="546"/>
      <c r="B671" s="546"/>
      <c r="C671" s="546"/>
      <c r="D671" s="546"/>
      <c r="E671" s="549"/>
      <c r="F671" s="549"/>
      <c r="G671" s="549"/>
      <c r="H671" s="549"/>
      <c r="I671" s="549"/>
      <c r="J671" s="549"/>
      <c r="K671" s="550"/>
      <c r="L671" s="551"/>
      <c r="M671" s="551"/>
      <c r="N671" s="551"/>
      <c r="O671" s="552"/>
      <c r="P671" s="552"/>
    </row>
    <row r="672" ht="21.75" customHeight="1">
      <c r="A672" s="546"/>
      <c r="B672" s="546"/>
      <c r="C672" s="546"/>
      <c r="D672" s="546"/>
      <c r="E672" s="549"/>
      <c r="F672" s="549"/>
      <c r="G672" s="549"/>
      <c r="H672" s="549"/>
      <c r="I672" s="549"/>
      <c r="J672" s="549"/>
      <c r="K672" s="550"/>
      <c r="L672" s="551"/>
      <c r="M672" s="551"/>
      <c r="N672" s="551"/>
      <c r="O672" s="552"/>
      <c r="P672" s="552"/>
    </row>
    <row r="673" ht="21.75" customHeight="1">
      <c r="A673" s="546"/>
      <c r="B673" s="546"/>
      <c r="C673" s="546"/>
      <c r="D673" s="546"/>
      <c r="E673" s="549"/>
      <c r="F673" s="549"/>
      <c r="G673" s="549"/>
      <c r="H673" s="549"/>
      <c r="I673" s="549"/>
      <c r="J673" s="549"/>
      <c r="K673" s="550"/>
      <c r="L673" s="551"/>
      <c r="M673" s="551"/>
      <c r="N673" s="551"/>
      <c r="O673" s="552"/>
      <c r="P673" s="552"/>
    </row>
    <row r="674" ht="21.75" customHeight="1">
      <c r="A674" s="546"/>
      <c r="B674" s="546"/>
      <c r="C674" s="546"/>
      <c r="D674" s="546"/>
      <c r="E674" s="549"/>
      <c r="F674" s="549"/>
      <c r="G674" s="549"/>
      <c r="H674" s="549"/>
      <c r="I674" s="549"/>
      <c r="J674" s="549"/>
      <c r="K674" s="550"/>
      <c r="L674" s="551"/>
      <c r="M674" s="551"/>
      <c r="N674" s="551"/>
      <c r="O674" s="552"/>
      <c r="P674" s="552"/>
    </row>
    <row r="675" ht="21.75" customHeight="1">
      <c r="A675" s="546"/>
      <c r="B675" s="546"/>
      <c r="C675" s="546"/>
      <c r="D675" s="546"/>
      <c r="E675" s="549"/>
      <c r="F675" s="549"/>
      <c r="G675" s="549"/>
      <c r="H675" s="549"/>
      <c r="I675" s="549"/>
      <c r="J675" s="549"/>
      <c r="K675" s="550"/>
      <c r="L675" s="551"/>
      <c r="M675" s="551"/>
      <c r="N675" s="551"/>
      <c r="O675" s="552"/>
      <c r="P675" s="552"/>
    </row>
    <row r="676" ht="21.75" customHeight="1">
      <c r="A676" s="546"/>
      <c r="B676" s="546"/>
      <c r="C676" s="546"/>
      <c r="D676" s="546"/>
      <c r="E676" s="549"/>
      <c r="F676" s="549"/>
      <c r="G676" s="549"/>
      <c r="H676" s="549"/>
      <c r="I676" s="549"/>
      <c r="J676" s="549"/>
      <c r="K676" s="550"/>
      <c r="L676" s="551"/>
      <c r="M676" s="551"/>
      <c r="N676" s="551"/>
      <c r="O676" s="552"/>
      <c r="P676" s="552"/>
    </row>
    <row r="677" ht="21.75" customHeight="1">
      <c r="A677" s="546"/>
      <c r="B677" s="546"/>
      <c r="C677" s="546"/>
      <c r="D677" s="546"/>
      <c r="E677" s="549"/>
      <c r="F677" s="549"/>
      <c r="G677" s="549"/>
      <c r="H677" s="549"/>
      <c r="I677" s="549"/>
      <c r="J677" s="549"/>
      <c r="K677" s="550"/>
      <c r="L677" s="551"/>
      <c r="M677" s="551"/>
      <c r="N677" s="551"/>
      <c r="O677" s="552"/>
      <c r="P677" s="552"/>
    </row>
    <row r="678" ht="21.75" customHeight="1">
      <c r="A678" s="546"/>
      <c r="B678" s="546"/>
      <c r="C678" s="546"/>
      <c r="D678" s="546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ht="21.75" customHeight="1">
      <c r="A679" s="546"/>
      <c r="B679" s="546"/>
      <c r="C679" s="546"/>
      <c r="D679" s="546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ht="21.75" customHeight="1">
      <c r="A680" s="546"/>
      <c r="B680" s="546"/>
      <c r="C680" s="546"/>
      <c r="D680" s="546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ht="21.75" customHeight="1">
      <c r="A681" s="546"/>
      <c r="B681" s="546"/>
      <c r="C681" s="546"/>
      <c r="D681" s="546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ht="21.75" customHeight="1">
      <c r="A682" s="546"/>
      <c r="B682" s="546"/>
      <c r="C682" s="546"/>
      <c r="D682" s="546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ht="21.75" customHeight="1">
      <c r="A683" s="546"/>
      <c r="B683" s="546"/>
      <c r="C683" s="546"/>
      <c r="D683" s="546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ht="21.75" customHeight="1">
      <c r="A684" s="546"/>
      <c r="B684" s="546"/>
      <c r="C684" s="546"/>
      <c r="D684" s="546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ht="21.75" customHeight="1">
      <c r="A685" s="546"/>
      <c r="B685" s="546"/>
      <c r="C685" s="546"/>
      <c r="D685" s="546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ht="21.75" customHeight="1">
      <c r="A686" s="546"/>
      <c r="B686" s="546"/>
      <c r="C686" s="546"/>
      <c r="D686" s="546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ht="21.75" customHeight="1">
      <c r="A687" s="546"/>
      <c r="B687" s="546"/>
      <c r="C687" s="546"/>
      <c r="D687" s="546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ht="21.75" customHeight="1">
      <c r="A688" s="546"/>
      <c r="B688" s="546"/>
      <c r="C688" s="546"/>
      <c r="D688" s="546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ht="21.75" customHeight="1">
      <c r="A689" s="546"/>
      <c r="B689" s="546"/>
      <c r="C689" s="546"/>
      <c r="D689" s="546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ht="21.75" customHeight="1">
      <c r="A690" s="546"/>
      <c r="B690" s="546"/>
      <c r="C690" s="546"/>
      <c r="D690" s="546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ht="21.75" customHeight="1">
      <c r="A691" s="546"/>
      <c r="B691" s="546"/>
      <c r="C691" s="546"/>
      <c r="D691" s="546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ht="21.75" customHeight="1">
      <c r="A692" s="546"/>
      <c r="B692" s="546"/>
      <c r="C692" s="546"/>
      <c r="D692" s="546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ht="21.75" customHeight="1">
      <c r="A693" s="546"/>
      <c r="B693" s="546"/>
      <c r="C693" s="546"/>
      <c r="D693" s="546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ht="21.75" customHeight="1">
      <c r="A694" s="546"/>
      <c r="B694" s="546"/>
      <c r="C694" s="546"/>
      <c r="D694" s="546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ht="21.75" customHeight="1">
      <c r="A695" s="546"/>
      <c r="B695" s="546"/>
      <c r="C695" s="546"/>
      <c r="D695" s="546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ht="21.75" customHeight="1">
      <c r="A696" s="546"/>
      <c r="B696" s="546"/>
      <c r="C696" s="546"/>
      <c r="D696" s="546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ht="21.75" customHeight="1">
      <c r="A697" s="546"/>
      <c r="B697" s="546"/>
      <c r="C697" s="546"/>
      <c r="D697" s="546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ht="21.75" customHeight="1">
      <c r="A698" s="546"/>
      <c r="B698" s="546"/>
      <c r="C698" s="546"/>
      <c r="D698" s="546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ht="21.75" customHeight="1">
      <c r="A699" s="546"/>
      <c r="B699" s="546"/>
      <c r="C699" s="546"/>
      <c r="D699" s="546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ht="21.75" customHeight="1">
      <c r="A700" s="546"/>
      <c r="B700" s="546"/>
      <c r="C700" s="546"/>
      <c r="D700" s="546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ht="21.75" customHeight="1">
      <c r="A701" s="546"/>
      <c r="B701" s="546"/>
      <c r="C701" s="546"/>
      <c r="D701" s="546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ht="21.75" customHeight="1">
      <c r="A702" s="546"/>
      <c r="B702" s="546"/>
      <c r="C702" s="546"/>
      <c r="D702" s="546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ht="21.75" customHeight="1">
      <c r="A703" s="546"/>
      <c r="B703" s="546"/>
      <c r="C703" s="546"/>
      <c r="D703" s="546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ht="21.75" customHeight="1">
      <c r="A704" s="546"/>
      <c r="B704" s="546"/>
      <c r="C704" s="546"/>
      <c r="D704" s="546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ht="21.75" customHeight="1">
      <c r="A705" s="546"/>
      <c r="B705" s="546"/>
      <c r="C705" s="546"/>
      <c r="D705" s="546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ht="21.75" customHeight="1">
      <c r="A706" s="546"/>
      <c r="B706" s="546"/>
      <c r="C706" s="546"/>
      <c r="D706" s="546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ht="21.75" customHeight="1">
      <c r="A707" s="546"/>
      <c r="B707" s="546"/>
      <c r="C707" s="546"/>
      <c r="D707" s="546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ht="21.75" customHeight="1">
      <c r="A708" s="546"/>
      <c r="B708" s="546"/>
      <c r="C708" s="546"/>
      <c r="D708" s="546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ht="21.75" customHeight="1">
      <c r="A709" s="546"/>
      <c r="B709" s="546"/>
      <c r="C709" s="546"/>
      <c r="D709" s="546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ht="21.75" customHeight="1">
      <c r="A710" s="546"/>
      <c r="B710" s="546"/>
      <c r="C710" s="546"/>
      <c r="D710" s="546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ht="21.75" customHeight="1">
      <c r="A711" s="546"/>
      <c r="B711" s="546"/>
      <c r="C711" s="546"/>
      <c r="D711" s="546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ht="21.75" customHeight="1">
      <c r="A712" s="546"/>
      <c r="B712" s="546"/>
      <c r="C712" s="546"/>
      <c r="D712" s="546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ht="21.75" customHeight="1">
      <c r="A713" s="546"/>
      <c r="B713" s="546"/>
      <c r="C713" s="546"/>
      <c r="D713" s="546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ht="21.75" customHeight="1">
      <c r="A714" s="546"/>
      <c r="B714" s="546"/>
      <c r="C714" s="546"/>
      <c r="D714" s="546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ht="21.75" customHeight="1">
      <c r="A715" s="546"/>
      <c r="B715" s="546"/>
      <c r="C715" s="546"/>
      <c r="D715" s="546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ht="21.75" customHeight="1">
      <c r="A716" s="546"/>
      <c r="B716" s="546"/>
      <c r="C716" s="546"/>
      <c r="D716" s="546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ht="21.75" customHeight="1">
      <c r="A717" s="546"/>
      <c r="B717" s="546"/>
      <c r="C717" s="546"/>
      <c r="D717" s="546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ht="21.75" customHeight="1">
      <c r="A718" s="546"/>
      <c r="B718" s="546"/>
      <c r="C718" s="546"/>
      <c r="D718" s="546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ht="21.75" customHeight="1">
      <c r="A719" s="546"/>
      <c r="B719" s="546"/>
      <c r="C719" s="546"/>
      <c r="D719" s="546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ht="21.75" customHeight="1">
      <c r="A720" s="546"/>
      <c r="B720" s="546"/>
      <c r="C720" s="546"/>
      <c r="D720" s="546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ht="21.75" customHeight="1">
      <c r="A721" s="546"/>
      <c r="B721" s="546"/>
      <c r="C721" s="546"/>
      <c r="D721" s="546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ht="21.75" customHeight="1">
      <c r="A722" s="546"/>
      <c r="B722" s="546"/>
      <c r="C722" s="546"/>
      <c r="D722" s="546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ht="21.75" customHeight="1">
      <c r="A723" s="546"/>
      <c r="B723" s="546"/>
      <c r="C723" s="546"/>
      <c r="D723" s="546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ht="21.75" customHeight="1">
      <c r="A724" s="546"/>
      <c r="B724" s="546"/>
      <c r="C724" s="546"/>
      <c r="D724" s="546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ht="21.75" customHeight="1">
      <c r="A725" s="546"/>
      <c r="B725" s="546"/>
      <c r="C725" s="546"/>
      <c r="D725" s="546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ht="21.75" customHeight="1">
      <c r="A726" s="546"/>
      <c r="B726" s="546"/>
      <c r="C726" s="546"/>
      <c r="D726" s="546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ht="21.75" customHeight="1">
      <c r="A727" s="546"/>
      <c r="B727" s="546"/>
      <c r="C727" s="546"/>
      <c r="D727" s="546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ht="21.75" customHeight="1">
      <c r="A728" s="546"/>
      <c r="B728" s="546"/>
      <c r="C728" s="546"/>
      <c r="D728" s="546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ht="21.75" customHeight="1">
      <c r="A729" s="546"/>
      <c r="B729" s="546"/>
      <c r="C729" s="546"/>
      <c r="D729" s="546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ht="21.75" customHeight="1">
      <c r="A730" s="546"/>
      <c r="B730" s="546"/>
      <c r="C730" s="546"/>
      <c r="D730" s="546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ht="21.75" customHeight="1">
      <c r="A731" s="546"/>
      <c r="B731" s="546"/>
      <c r="C731" s="546"/>
      <c r="D731" s="546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ht="21.75" customHeight="1">
      <c r="A732" s="546"/>
      <c r="B732" s="546"/>
      <c r="C732" s="546"/>
      <c r="D732" s="546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ht="21.75" customHeight="1">
      <c r="A733" s="546"/>
      <c r="B733" s="546"/>
      <c r="C733" s="546"/>
      <c r="D733" s="546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ht="21.75" customHeight="1">
      <c r="A734" s="546"/>
      <c r="B734" s="546"/>
      <c r="C734" s="546"/>
      <c r="D734" s="546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ht="21.75" customHeight="1">
      <c r="A735" s="546"/>
      <c r="B735" s="546"/>
      <c r="C735" s="546"/>
      <c r="D735" s="546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ht="21.75" customHeight="1">
      <c r="A736" s="546"/>
      <c r="B736" s="546"/>
      <c r="C736" s="546"/>
      <c r="D736" s="546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ht="21.75" customHeight="1">
      <c r="A737" s="546"/>
      <c r="B737" s="546"/>
      <c r="C737" s="546"/>
      <c r="D737" s="546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ht="21.75" customHeight="1">
      <c r="A738" s="546"/>
      <c r="B738" s="546"/>
      <c r="C738" s="546"/>
      <c r="D738" s="546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ht="21.75" customHeight="1">
      <c r="A739" s="546"/>
      <c r="B739" s="546"/>
      <c r="C739" s="546"/>
      <c r="D739" s="546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ht="21.75" customHeight="1">
      <c r="A740" s="546"/>
      <c r="B740" s="546"/>
      <c r="C740" s="546"/>
      <c r="D740" s="546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ht="21.75" customHeight="1">
      <c r="A741" s="546"/>
      <c r="B741" s="546"/>
      <c r="C741" s="546"/>
      <c r="D741" s="546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ht="21.75" customHeight="1">
      <c r="A742" s="546"/>
      <c r="B742" s="546"/>
      <c r="C742" s="546"/>
      <c r="D742" s="546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ht="21.75" customHeight="1">
      <c r="A743" s="546"/>
      <c r="B743" s="546"/>
      <c r="C743" s="546"/>
      <c r="D743" s="546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ht="21.75" customHeight="1">
      <c r="A744" s="546"/>
      <c r="B744" s="546"/>
      <c r="C744" s="546"/>
      <c r="D744" s="546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ht="21.75" customHeight="1">
      <c r="A745" s="546"/>
      <c r="B745" s="546"/>
      <c r="C745" s="546"/>
      <c r="D745" s="546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ht="21.75" customHeight="1">
      <c r="A746" s="546"/>
      <c r="B746" s="546"/>
      <c r="C746" s="546"/>
      <c r="D746" s="546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ht="21.75" customHeight="1">
      <c r="A747" s="546"/>
      <c r="B747" s="546"/>
      <c r="C747" s="546"/>
      <c r="D747" s="546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ht="21.75" customHeight="1">
      <c r="A748" s="546"/>
      <c r="B748" s="546"/>
      <c r="C748" s="546"/>
      <c r="D748" s="546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ht="21.75" customHeight="1">
      <c r="A749" s="546"/>
      <c r="B749" s="546"/>
      <c r="C749" s="546"/>
      <c r="D749" s="546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ht="21.75" customHeight="1">
      <c r="A750" s="546"/>
      <c r="B750" s="546"/>
      <c r="C750" s="546"/>
      <c r="D750" s="546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ht="21.75" customHeight="1">
      <c r="A751" s="546"/>
      <c r="B751" s="546"/>
      <c r="C751" s="546"/>
      <c r="D751" s="546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ht="21.75" customHeight="1">
      <c r="A752" s="546"/>
      <c r="B752" s="546"/>
      <c r="C752" s="546"/>
      <c r="D752" s="546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ht="21.75" customHeight="1">
      <c r="A753" s="546"/>
      <c r="B753" s="546"/>
      <c r="C753" s="546"/>
      <c r="D753" s="546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ht="21.75" customHeight="1">
      <c r="A754" s="546"/>
      <c r="B754" s="546"/>
      <c r="C754" s="546"/>
      <c r="D754" s="546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ht="21.75" customHeight="1">
      <c r="A755" s="546"/>
      <c r="B755" s="546"/>
      <c r="C755" s="546"/>
      <c r="D755" s="546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ht="21.75" customHeight="1">
      <c r="A756" s="546"/>
      <c r="B756" s="546"/>
      <c r="C756" s="546"/>
      <c r="D756" s="546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ht="21.75" customHeight="1">
      <c r="A757" s="546"/>
      <c r="B757" s="546"/>
      <c r="C757" s="546"/>
      <c r="D757" s="546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ht="21.75" customHeight="1">
      <c r="A758" s="546"/>
      <c r="B758" s="546"/>
      <c r="C758" s="546"/>
      <c r="D758" s="546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ht="21.75" customHeight="1">
      <c r="A759" s="546"/>
      <c r="B759" s="546"/>
      <c r="C759" s="546"/>
      <c r="D759" s="546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ht="21.75" customHeight="1">
      <c r="A760" s="546"/>
      <c r="B760" s="546"/>
      <c r="C760" s="546"/>
      <c r="D760" s="546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ht="21.75" customHeight="1">
      <c r="A761" s="546"/>
      <c r="B761" s="546"/>
      <c r="C761" s="546"/>
      <c r="D761" s="546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ht="21.75" customHeight="1">
      <c r="A762" s="546"/>
      <c r="B762" s="546"/>
      <c r="C762" s="546"/>
      <c r="D762" s="546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ht="21.75" customHeight="1">
      <c r="A763" s="546"/>
      <c r="B763" s="546"/>
      <c r="C763" s="546"/>
      <c r="D763" s="546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ht="21.75" customHeight="1">
      <c r="A764" s="546"/>
      <c r="B764" s="546"/>
      <c r="C764" s="546"/>
      <c r="D764" s="546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ht="21.75" customHeight="1">
      <c r="A765" s="546"/>
      <c r="B765" s="546"/>
      <c r="C765" s="546"/>
      <c r="D765" s="546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ht="21.75" customHeight="1">
      <c r="A766" s="546"/>
      <c r="B766" s="546"/>
      <c r="C766" s="546"/>
      <c r="D766" s="546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ht="21.75" customHeight="1">
      <c r="A767" s="546"/>
      <c r="B767" s="546"/>
      <c r="C767" s="546"/>
      <c r="D767" s="546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ht="21.75" customHeight="1">
      <c r="A768" s="546"/>
      <c r="B768" s="546"/>
      <c r="C768" s="546"/>
      <c r="D768" s="546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ht="21.75" customHeight="1">
      <c r="A769" s="546"/>
      <c r="B769" s="546"/>
      <c r="C769" s="546"/>
      <c r="D769" s="546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ht="21.75" customHeight="1">
      <c r="A770" s="546"/>
      <c r="B770" s="546"/>
      <c r="C770" s="546"/>
      <c r="D770" s="546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ht="21.75" customHeight="1">
      <c r="A771" s="546"/>
      <c r="B771" s="546"/>
      <c r="C771" s="546"/>
      <c r="D771" s="546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ht="21.75" customHeight="1">
      <c r="A772" s="546"/>
      <c r="B772" s="546"/>
      <c r="C772" s="546"/>
      <c r="D772" s="546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ht="21.75" customHeight="1">
      <c r="A773" s="546"/>
      <c r="B773" s="546"/>
      <c r="C773" s="546"/>
      <c r="D773" s="546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ht="21.75" customHeight="1">
      <c r="A774" s="546"/>
      <c r="B774" s="546"/>
      <c r="C774" s="546"/>
      <c r="D774" s="546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ht="21.75" customHeight="1">
      <c r="A775" s="546"/>
      <c r="B775" s="546"/>
      <c r="C775" s="546"/>
      <c r="D775" s="546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ht="21.75" customHeight="1">
      <c r="A776" s="546"/>
      <c r="B776" s="546"/>
      <c r="C776" s="546"/>
      <c r="D776" s="546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ht="21.75" customHeight="1">
      <c r="A777" s="546"/>
      <c r="B777" s="546"/>
      <c r="C777" s="546"/>
      <c r="D777" s="546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ht="21.75" customHeight="1">
      <c r="A778" s="546"/>
      <c r="B778" s="546"/>
      <c r="C778" s="546"/>
      <c r="D778" s="546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ht="21.75" customHeight="1">
      <c r="A779" s="546"/>
      <c r="B779" s="546"/>
      <c r="C779" s="546"/>
      <c r="D779" s="546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ht="21.75" customHeight="1">
      <c r="A780" s="546"/>
      <c r="B780" s="546"/>
      <c r="C780" s="546"/>
      <c r="D780" s="546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ht="21.75" customHeight="1">
      <c r="A781" s="546"/>
      <c r="B781" s="546"/>
      <c r="C781" s="546"/>
      <c r="D781" s="546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ht="21.75" customHeight="1">
      <c r="A782" s="546"/>
      <c r="B782" s="546"/>
      <c r="C782" s="546"/>
      <c r="D782" s="546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ht="21.75" customHeight="1">
      <c r="A783" s="546"/>
      <c r="B783" s="546"/>
      <c r="C783" s="546"/>
      <c r="D783" s="546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ht="21.75" customHeight="1">
      <c r="A784" s="546"/>
      <c r="B784" s="546"/>
      <c r="C784" s="546"/>
      <c r="D784" s="546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ht="21.75" customHeight="1">
      <c r="A785" s="546"/>
      <c r="B785" s="546"/>
      <c r="C785" s="546"/>
      <c r="D785" s="546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ht="21.75" customHeight="1">
      <c r="A786" s="546"/>
      <c r="B786" s="546"/>
      <c r="C786" s="546"/>
      <c r="D786" s="546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ht="21.75" customHeight="1">
      <c r="A787" s="546"/>
      <c r="B787" s="546"/>
      <c r="C787" s="546"/>
      <c r="D787" s="546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ht="21.75" customHeight="1">
      <c r="A788" s="546"/>
      <c r="B788" s="546"/>
      <c r="C788" s="546"/>
      <c r="D788" s="546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ht="21.75" customHeight="1">
      <c r="A789" s="546"/>
      <c r="B789" s="546"/>
      <c r="C789" s="546"/>
      <c r="D789" s="546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ht="21.75" customHeight="1">
      <c r="A790" s="546"/>
      <c r="B790" s="546"/>
      <c r="C790" s="546"/>
      <c r="D790" s="546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ht="21.75" customHeight="1">
      <c r="A791" s="546"/>
      <c r="B791" s="546"/>
      <c r="C791" s="546"/>
      <c r="D791" s="546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ht="21.75" customHeight="1">
      <c r="A792" s="546"/>
      <c r="B792" s="546"/>
      <c r="C792" s="546"/>
      <c r="D792" s="546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ht="21.75" customHeight="1">
      <c r="A793" s="546"/>
      <c r="B793" s="546"/>
      <c r="C793" s="546"/>
      <c r="D793" s="546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ht="21.75" customHeight="1">
      <c r="A794" s="546"/>
      <c r="B794" s="546"/>
      <c r="C794" s="546"/>
      <c r="D794" s="546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ht="21.75" customHeight="1">
      <c r="A795" s="546"/>
      <c r="B795" s="546"/>
      <c r="C795" s="546"/>
      <c r="D795" s="546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ht="21.75" customHeight="1">
      <c r="A796" s="546"/>
      <c r="B796" s="546"/>
      <c r="C796" s="546"/>
      <c r="D796" s="546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ht="21.75" customHeight="1">
      <c r="A797" s="546"/>
      <c r="B797" s="546"/>
      <c r="C797" s="546"/>
      <c r="D797" s="546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ht="21.75" customHeight="1">
      <c r="A798" s="546"/>
      <c r="B798" s="546"/>
      <c r="C798" s="546"/>
      <c r="D798" s="546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ht="21.75" customHeight="1">
      <c r="A799" s="546"/>
      <c r="B799" s="546"/>
      <c r="C799" s="546"/>
      <c r="D799" s="546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ht="21.75" customHeight="1">
      <c r="A800" s="546"/>
      <c r="B800" s="546"/>
      <c r="C800" s="546"/>
      <c r="D800" s="546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ht="21.75" customHeight="1">
      <c r="A801" s="546"/>
      <c r="B801" s="546"/>
      <c r="C801" s="546"/>
      <c r="D801" s="546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ht="21.75" customHeight="1">
      <c r="A802" s="546"/>
      <c r="B802" s="546"/>
      <c r="C802" s="546"/>
      <c r="D802" s="546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ht="21.75" customHeight="1">
      <c r="A803" s="546"/>
      <c r="B803" s="546"/>
      <c r="C803" s="546"/>
      <c r="D803" s="546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ht="21.75" customHeight="1">
      <c r="A804" s="546"/>
      <c r="B804" s="546"/>
      <c r="C804" s="546"/>
      <c r="D804" s="546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ht="21.75" customHeight="1">
      <c r="A805" s="546"/>
      <c r="B805" s="546"/>
      <c r="C805" s="546"/>
      <c r="D805" s="546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ht="21.75" customHeight="1">
      <c r="A806" s="546"/>
      <c r="B806" s="546"/>
      <c r="C806" s="546"/>
      <c r="D806" s="546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ht="21.75" customHeight="1">
      <c r="A807" s="546"/>
      <c r="B807" s="546"/>
      <c r="C807" s="546"/>
      <c r="D807" s="546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ht="21.75" customHeight="1">
      <c r="A808" s="546"/>
      <c r="B808" s="546"/>
      <c r="C808" s="546"/>
      <c r="D808" s="546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ht="21.75" customHeight="1">
      <c r="A809" s="546"/>
      <c r="B809" s="546"/>
      <c r="C809" s="546"/>
      <c r="D809" s="546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ht="21.75" customHeight="1">
      <c r="A810" s="546"/>
      <c r="B810" s="546"/>
      <c r="C810" s="546"/>
      <c r="D810" s="546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ht="21.75" customHeight="1">
      <c r="A811" s="546"/>
      <c r="B811" s="546"/>
      <c r="C811" s="546"/>
      <c r="D811" s="546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ht="21.75" customHeight="1">
      <c r="A812" s="546"/>
      <c r="B812" s="546"/>
      <c r="C812" s="546"/>
      <c r="D812" s="546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ht="21.75" customHeight="1">
      <c r="A813" s="546"/>
      <c r="B813" s="546"/>
      <c r="C813" s="546"/>
      <c r="D813" s="546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ht="21.75" customHeight="1">
      <c r="A814" s="546"/>
      <c r="B814" s="546"/>
      <c r="C814" s="546"/>
      <c r="D814" s="546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ht="21.75" customHeight="1">
      <c r="A815" s="546"/>
      <c r="B815" s="546"/>
      <c r="C815" s="546"/>
      <c r="D815" s="546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ht="21.75" customHeight="1">
      <c r="A816" s="546"/>
      <c r="B816" s="546"/>
      <c r="C816" s="546"/>
      <c r="D816" s="546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ht="21.75" customHeight="1">
      <c r="A817" s="546"/>
      <c r="B817" s="546"/>
      <c r="C817" s="546"/>
      <c r="D817" s="546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ht="21.75" customHeight="1">
      <c r="A818" s="546"/>
      <c r="B818" s="546"/>
      <c r="C818" s="546"/>
      <c r="D818" s="546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ht="21.75" customHeight="1">
      <c r="A819" s="546"/>
      <c r="B819" s="546"/>
      <c r="C819" s="546"/>
      <c r="D819" s="546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ht="21.75" customHeight="1">
      <c r="A820" s="546"/>
      <c r="B820" s="546"/>
      <c r="C820" s="546"/>
      <c r="D820" s="546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ht="21.75" customHeight="1">
      <c r="A821" s="546"/>
      <c r="B821" s="546"/>
      <c r="C821" s="546"/>
      <c r="D821" s="546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ht="21.75" customHeight="1">
      <c r="A822" s="546"/>
      <c r="B822" s="546"/>
      <c r="C822" s="546"/>
      <c r="D822" s="546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ht="21.75" customHeight="1">
      <c r="A823" s="546"/>
      <c r="B823" s="546"/>
      <c r="C823" s="546"/>
      <c r="D823" s="546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ht="21.75" customHeight="1">
      <c r="A824" s="546"/>
      <c r="B824" s="546"/>
      <c r="C824" s="546"/>
      <c r="D824" s="546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ht="21.75" customHeight="1">
      <c r="A825" s="546"/>
      <c r="B825" s="546"/>
      <c r="C825" s="546"/>
      <c r="D825" s="546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ht="21.75" customHeight="1">
      <c r="A826" s="546"/>
      <c r="B826" s="546"/>
      <c r="C826" s="546"/>
      <c r="D826" s="546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ht="21.75" customHeight="1">
      <c r="A827" s="546"/>
      <c r="B827" s="546"/>
      <c r="C827" s="546"/>
      <c r="D827" s="546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ht="21.75" customHeight="1">
      <c r="A828" s="546"/>
      <c r="B828" s="546"/>
      <c r="C828" s="546"/>
      <c r="D828" s="546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ht="21.75" customHeight="1">
      <c r="A829" s="546"/>
      <c r="B829" s="546"/>
      <c r="C829" s="546"/>
      <c r="D829" s="546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ht="21.75" customHeight="1">
      <c r="A830" s="546"/>
      <c r="B830" s="546"/>
      <c r="C830" s="546"/>
      <c r="D830" s="546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ht="21.75" customHeight="1">
      <c r="A831" s="546"/>
      <c r="B831" s="546"/>
      <c r="C831" s="546"/>
      <c r="D831" s="546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ht="21.75" customHeight="1">
      <c r="A832" s="546"/>
      <c r="B832" s="546"/>
      <c r="C832" s="546"/>
      <c r="D832" s="546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ht="21.75" customHeight="1">
      <c r="A833" s="546"/>
      <c r="B833" s="546"/>
      <c r="C833" s="546"/>
      <c r="D833" s="546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ht="21.75" customHeight="1">
      <c r="A834" s="546"/>
      <c r="B834" s="546"/>
      <c r="C834" s="546"/>
      <c r="D834" s="546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ht="21.75" customHeight="1">
      <c r="A835" s="546"/>
      <c r="B835" s="546"/>
      <c r="C835" s="546"/>
      <c r="D835" s="546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ht="21.75" customHeight="1">
      <c r="A836" s="546"/>
      <c r="B836" s="546"/>
      <c r="C836" s="546"/>
      <c r="D836" s="546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ht="21.75" customHeight="1">
      <c r="A837" s="546"/>
      <c r="B837" s="546"/>
      <c r="C837" s="546"/>
      <c r="D837" s="546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ht="21.75" customHeight="1">
      <c r="A838" s="546"/>
      <c r="B838" s="546"/>
      <c r="C838" s="546"/>
      <c r="D838" s="546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ht="21.75" customHeight="1">
      <c r="A839" s="546"/>
      <c r="B839" s="546"/>
      <c r="C839" s="546"/>
      <c r="D839" s="546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ht="21.75" customHeight="1">
      <c r="A840" s="546"/>
      <c r="B840" s="546"/>
      <c r="C840" s="546"/>
      <c r="D840" s="546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ht="21.75" customHeight="1">
      <c r="A841" s="546"/>
      <c r="B841" s="546"/>
      <c r="C841" s="546"/>
      <c r="D841" s="546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ht="21.75" customHeight="1">
      <c r="A842" s="546"/>
      <c r="B842" s="546"/>
      <c r="C842" s="546"/>
      <c r="D842" s="546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ht="21.75" customHeight="1">
      <c r="A843" s="546"/>
      <c r="B843" s="546"/>
      <c r="C843" s="546"/>
      <c r="D843" s="546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ht="21.75" customHeight="1">
      <c r="A844" s="546"/>
      <c r="B844" s="546"/>
      <c r="C844" s="546"/>
      <c r="D844" s="546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ht="21.75" customHeight="1">
      <c r="A845" s="546"/>
      <c r="B845" s="546"/>
      <c r="C845" s="546"/>
      <c r="D845" s="546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ht="21.75" customHeight="1">
      <c r="A846" s="546"/>
      <c r="B846" s="546"/>
      <c r="C846" s="546"/>
      <c r="D846" s="546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ht="21.75" customHeight="1">
      <c r="A847" s="546"/>
      <c r="B847" s="546"/>
      <c r="C847" s="546"/>
      <c r="D847" s="546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ht="21.75" customHeight="1">
      <c r="A848" s="546"/>
      <c r="B848" s="546"/>
      <c r="C848" s="546"/>
      <c r="D848" s="546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ht="21.75" customHeight="1">
      <c r="A849" s="546"/>
      <c r="B849" s="546"/>
      <c r="C849" s="546"/>
      <c r="D849" s="546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ht="21.75" customHeight="1">
      <c r="A850" s="546"/>
      <c r="B850" s="546"/>
      <c r="C850" s="546"/>
      <c r="D850" s="546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ht="21.75" customHeight="1">
      <c r="A851" s="546"/>
      <c r="B851" s="546"/>
      <c r="C851" s="546"/>
      <c r="D851" s="546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ht="21.75" customHeight="1">
      <c r="A852" s="546"/>
      <c r="B852" s="546"/>
      <c r="C852" s="546"/>
      <c r="D852" s="546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ht="21.75" customHeight="1">
      <c r="A853" s="546"/>
      <c r="B853" s="546"/>
      <c r="C853" s="546"/>
      <c r="D853" s="546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ht="21.75" customHeight="1">
      <c r="A854" s="546"/>
      <c r="B854" s="546"/>
      <c r="C854" s="546"/>
      <c r="D854" s="546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ht="21.75" customHeight="1">
      <c r="A855" s="546"/>
      <c r="B855" s="546"/>
      <c r="C855" s="546"/>
      <c r="D855" s="546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ht="21.75" customHeight="1">
      <c r="A856" s="546"/>
      <c r="B856" s="546"/>
      <c r="C856" s="546"/>
      <c r="D856" s="546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ht="21.75" customHeight="1">
      <c r="A857" s="546"/>
      <c r="B857" s="546"/>
      <c r="C857" s="546"/>
      <c r="D857" s="546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ht="21.75" customHeight="1">
      <c r="A858" s="546"/>
      <c r="B858" s="546"/>
      <c r="C858" s="546"/>
      <c r="D858" s="546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ht="21.75" customHeight="1">
      <c r="A859" s="546"/>
      <c r="B859" s="546"/>
      <c r="C859" s="546"/>
      <c r="D859" s="546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ht="21.75" customHeight="1">
      <c r="A860" s="546"/>
      <c r="B860" s="546"/>
      <c r="C860" s="546"/>
      <c r="D860" s="546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ht="21.75" customHeight="1">
      <c r="A861" s="546"/>
      <c r="B861" s="546"/>
      <c r="C861" s="546"/>
      <c r="D861" s="546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ht="21.75" customHeight="1">
      <c r="A862" s="546"/>
      <c r="B862" s="546"/>
      <c r="C862" s="546"/>
      <c r="D862" s="546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ht="21.75" customHeight="1">
      <c r="A863" s="546"/>
      <c r="B863" s="546"/>
      <c r="C863" s="546"/>
      <c r="D863" s="546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ht="21.75" customHeight="1">
      <c r="A864" s="546"/>
      <c r="B864" s="546"/>
      <c r="C864" s="546"/>
      <c r="D864" s="546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ht="21.75" customHeight="1">
      <c r="A865" s="546"/>
      <c r="B865" s="546"/>
      <c r="C865" s="546"/>
      <c r="D865" s="546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ht="21.75" customHeight="1">
      <c r="A866" s="546"/>
      <c r="B866" s="546"/>
      <c r="C866" s="546"/>
      <c r="D866" s="546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ht="21.75" customHeight="1">
      <c r="A867" s="546"/>
      <c r="B867" s="546"/>
      <c r="C867" s="546"/>
      <c r="D867" s="546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ht="21.75" customHeight="1">
      <c r="A868" s="546"/>
      <c r="B868" s="546"/>
      <c r="C868" s="546"/>
      <c r="D868" s="546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ht="21.75" customHeight="1">
      <c r="A869" s="546"/>
      <c r="B869" s="546"/>
      <c r="C869" s="546"/>
      <c r="D869" s="546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ht="21.75" customHeight="1">
      <c r="A870" s="546"/>
      <c r="B870" s="546"/>
      <c r="C870" s="546"/>
      <c r="D870" s="546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ht="21.75" customHeight="1">
      <c r="A871" s="546"/>
      <c r="B871" s="546"/>
      <c r="C871" s="546"/>
      <c r="D871" s="546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ht="21.75" customHeight="1">
      <c r="A872" s="546"/>
      <c r="B872" s="546"/>
      <c r="C872" s="546"/>
      <c r="D872" s="546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ht="21.75" customHeight="1">
      <c r="A873" s="546"/>
      <c r="B873" s="546"/>
      <c r="C873" s="546"/>
      <c r="D873" s="546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ht="21.75" customHeight="1">
      <c r="A874" s="546"/>
      <c r="B874" s="546"/>
      <c r="C874" s="546"/>
      <c r="D874" s="546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ht="21.75" customHeight="1">
      <c r="A875" s="546"/>
      <c r="B875" s="546"/>
      <c r="C875" s="546"/>
      <c r="D875" s="546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ht="21.75" customHeight="1">
      <c r="A876" s="546"/>
      <c r="B876" s="546"/>
      <c r="C876" s="546"/>
      <c r="D876" s="546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ht="21.75" customHeight="1">
      <c r="A877" s="546"/>
      <c r="B877" s="546"/>
      <c r="C877" s="546"/>
      <c r="D877" s="546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ht="21.75" customHeight="1">
      <c r="A878" s="546"/>
      <c r="B878" s="546"/>
      <c r="C878" s="546"/>
      <c r="D878" s="546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ht="21.75" customHeight="1">
      <c r="A879" s="546"/>
      <c r="B879" s="546"/>
      <c r="C879" s="546"/>
      <c r="D879" s="546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ht="21.75" customHeight="1">
      <c r="A880" s="546"/>
      <c r="B880" s="546"/>
      <c r="C880" s="546"/>
      <c r="D880" s="546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ht="21.75" customHeight="1">
      <c r="A881" s="546"/>
      <c r="B881" s="546"/>
      <c r="C881" s="546"/>
      <c r="D881" s="546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ht="21.75" customHeight="1">
      <c r="A882" s="546"/>
      <c r="B882" s="546"/>
      <c r="C882" s="546"/>
      <c r="D882" s="546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ht="21.75" customHeight="1">
      <c r="A883" s="546"/>
      <c r="B883" s="546"/>
      <c r="C883" s="546"/>
      <c r="D883" s="546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ht="21.75" customHeight="1">
      <c r="A884" s="546"/>
      <c r="B884" s="546"/>
      <c r="C884" s="546"/>
      <c r="D884" s="546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ht="21.75" customHeight="1">
      <c r="A885" s="546"/>
      <c r="B885" s="546"/>
      <c r="C885" s="546"/>
      <c r="D885" s="546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ht="21.75" customHeight="1">
      <c r="A886" s="546"/>
      <c r="B886" s="546"/>
      <c r="C886" s="546"/>
      <c r="D886" s="546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ht="21.75" customHeight="1">
      <c r="A887" s="546"/>
      <c r="B887" s="546"/>
      <c r="C887" s="546"/>
      <c r="D887" s="546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ht="21.75" customHeight="1">
      <c r="A888" s="546"/>
      <c r="B888" s="546"/>
      <c r="C888" s="546"/>
      <c r="D888" s="546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ht="21.75" customHeight="1">
      <c r="A889" s="546"/>
      <c r="B889" s="546"/>
      <c r="C889" s="546"/>
      <c r="D889" s="546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ht="21.75" customHeight="1">
      <c r="A890" s="546"/>
      <c r="B890" s="546"/>
      <c r="C890" s="546"/>
      <c r="D890" s="546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ht="21.75" customHeight="1">
      <c r="A891" s="546"/>
      <c r="B891" s="546"/>
      <c r="C891" s="546"/>
      <c r="D891" s="546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ht="21.75" customHeight="1">
      <c r="A892" s="546"/>
      <c r="B892" s="546"/>
      <c r="C892" s="546"/>
      <c r="D892" s="546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ht="21.75" customHeight="1">
      <c r="A893" s="546"/>
      <c r="B893" s="546"/>
      <c r="C893" s="546"/>
      <c r="D893" s="546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ht="21.75" customHeight="1">
      <c r="A894" s="546"/>
      <c r="B894" s="546"/>
      <c r="C894" s="546"/>
      <c r="D894" s="546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ht="21.75" customHeight="1">
      <c r="A895" s="546"/>
      <c r="B895" s="546"/>
      <c r="C895" s="546"/>
      <c r="D895" s="546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ht="21.75" customHeight="1">
      <c r="A896" s="546"/>
      <c r="B896" s="546"/>
      <c r="C896" s="546"/>
      <c r="D896" s="546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ht="21.75" customHeight="1">
      <c r="A897" s="546"/>
      <c r="B897" s="546"/>
      <c r="C897" s="546"/>
      <c r="D897" s="546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ht="21.75" customHeight="1">
      <c r="A898" s="546"/>
      <c r="B898" s="546"/>
      <c r="C898" s="546"/>
      <c r="D898" s="546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ht="21.75" customHeight="1">
      <c r="A899" s="546"/>
      <c r="B899" s="546"/>
      <c r="C899" s="546"/>
      <c r="D899" s="546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ht="21.75" customHeight="1">
      <c r="A900" s="546"/>
      <c r="B900" s="546"/>
      <c r="C900" s="546"/>
      <c r="D900" s="546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ht="21.75" customHeight="1">
      <c r="A901" s="546"/>
      <c r="B901" s="546"/>
      <c r="C901" s="546"/>
      <c r="D901" s="546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ht="21.75" customHeight="1">
      <c r="A902" s="546"/>
      <c r="B902" s="546"/>
      <c r="C902" s="546"/>
      <c r="D902" s="546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ht="21.75" customHeight="1">
      <c r="A903" s="546"/>
      <c r="B903" s="546"/>
      <c r="C903" s="546"/>
      <c r="D903" s="546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ht="21.75" customHeight="1">
      <c r="A904" s="546"/>
      <c r="B904" s="546"/>
      <c r="C904" s="546"/>
      <c r="D904" s="546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ht="21.75" customHeight="1">
      <c r="A905" s="546"/>
      <c r="B905" s="546"/>
      <c r="C905" s="546"/>
      <c r="D905" s="546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ht="21.75" customHeight="1">
      <c r="A906" s="546"/>
      <c r="B906" s="546"/>
      <c r="C906" s="546"/>
      <c r="D906" s="546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ht="21.75" customHeight="1">
      <c r="A907" s="546"/>
      <c r="B907" s="546"/>
      <c r="C907" s="546"/>
      <c r="D907" s="546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ht="21.75" customHeight="1">
      <c r="A908" s="546"/>
      <c r="B908" s="546"/>
      <c r="C908" s="546"/>
      <c r="D908" s="546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ht="21.75" customHeight="1">
      <c r="A909" s="546"/>
      <c r="B909" s="546"/>
      <c r="C909" s="546"/>
      <c r="D909" s="546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ht="21.75" customHeight="1">
      <c r="A910" s="546"/>
      <c r="B910" s="546"/>
      <c r="C910" s="546"/>
      <c r="D910" s="546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ht="21.75" customHeight="1">
      <c r="A911" s="546"/>
      <c r="B911" s="546"/>
      <c r="C911" s="546"/>
      <c r="D911" s="546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ht="21.75" customHeight="1">
      <c r="A912" s="546"/>
      <c r="B912" s="546"/>
      <c r="C912" s="546"/>
      <c r="D912" s="546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ht="21.75" customHeight="1">
      <c r="A913" s="546"/>
      <c r="B913" s="546"/>
      <c r="C913" s="546"/>
      <c r="D913" s="546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ht="21.75" customHeight="1">
      <c r="A914" s="546"/>
      <c r="B914" s="546"/>
      <c r="C914" s="546"/>
      <c r="D914" s="546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ht="21.75" customHeight="1">
      <c r="A915" s="546"/>
      <c r="B915" s="546"/>
      <c r="C915" s="546"/>
      <c r="D915" s="546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ht="21.75" customHeight="1">
      <c r="A916" s="546"/>
      <c r="B916" s="546"/>
      <c r="C916" s="546"/>
      <c r="D916" s="546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ht="21.75" customHeight="1">
      <c r="A917" s="546"/>
      <c r="B917" s="546"/>
      <c r="C917" s="546"/>
      <c r="D917" s="546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ht="21.75" customHeight="1">
      <c r="A918" s="546"/>
      <c r="B918" s="546"/>
      <c r="C918" s="546"/>
      <c r="D918" s="546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ht="21.75" customHeight="1">
      <c r="A919" s="546"/>
      <c r="B919" s="546"/>
      <c r="C919" s="546"/>
      <c r="D919" s="546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ht="21.75" customHeight="1">
      <c r="A920" s="546"/>
      <c r="B920" s="546"/>
      <c r="C920" s="546"/>
      <c r="D920" s="546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ht="21.75" customHeight="1">
      <c r="A921" s="546"/>
      <c r="B921" s="546"/>
      <c r="C921" s="546"/>
      <c r="D921" s="546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ht="21.75" customHeight="1">
      <c r="A922" s="546"/>
      <c r="B922" s="546"/>
      <c r="C922" s="546"/>
      <c r="D922" s="546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ht="21.75" customHeight="1">
      <c r="A923" s="546"/>
      <c r="B923" s="546"/>
      <c r="C923" s="546"/>
      <c r="D923" s="546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ht="21.75" customHeight="1">
      <c r="A924" s="546"/>
      <c r="B924" s="546"/>
      <c r="C924" s="546"/>
      <c r="D924" s="546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ht="21.75" customHeight="1">
      <c r="A925" s="546"/>
      <c r="B925" s="546"/>
      <c r="C925" s="546"/>
      <c r="D925" s="546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ht="21.75" customHeight="1">
      <c r="A926" s="546"/>
      <c r="B926" s="546"/>
      <c r="C926" s="546"/>
      <c r="D926" s="546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ht="21.75" customHeight="1">
      <c r="A927" s="546"/>
      <c r="B927" s="546"/>
      <c r="C927" s="546"/>
      <c r="D927" s="546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ht="21.75" customHeight="1">
      <c r="A928" s="546"/>
      <c r="B928" s="546"/>
      <c r="C928" s="546"/>
      <c r="D928" s="546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ht="21.75" customHeight="1">
      <c r="A929" s="546"/>
      <c r="B929" s="546"/>
      <c r="C929" s="546"/>
      <c r="D929" s="546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ht="21.75" customHeight="1">
      <c r="A930" s="546"/>
      <c r="B930" s="546"/>
      <c r="C930" s="546"/>
      <c r="D930" s="546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ht="21.75" customHeight="1">
      <c r="A931" s="546"/>
      <c r="B931" s="546"/>
      <c r="C931" s="546"/>
      <c r="D931" s="546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ht="21.75" customHeight="1">
      <c r="A932" s="546"/>
      <c r="B932" s="546"/>
      <c r="C932" s="546"/>
      <c r="D932" s="546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ht="21.75" customHeight="1">
      <c r="A933" s="546"/>
      <c r="B933" s="546"/>
      <c r="C933" s="546"/>
      <c r="D933" s="546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ht="21.75" customHeight="1">
      <c r="A934" s="546"/>
      <c r="B934" s="546"/>
      <c r="C934" s="546"/>
      <c r="D934" s="546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ht="21.75" customHeight="1">
      <c r="A935" s="546"/>
      <c r="B935" s="546"/>
      <c r="C935" s="546"/>
      <c r="D935" s="546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ht="21.75" customHeight="1">
      <c r="A936" s="546"/>
      <c r="B936" s="546"/>
      <c r="C936" s="546"/>
      <c r="D936" s="546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ht="21.75" customHeight="1">
      <c r="A937" s="546"/>
      <c r="B937" s="546"/>
      <c r="C937" s="546"/>
      <c r="D937" s="546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ht="21.75" customHeight="1">
      <c r="A938" s="546"/>
      <c r="B938" s="546"/>
      <c r="C938" s="546"/>
      <c r="D938" s="546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ht="21.75" customHeight="1">
      <c r="A939" s="546"/>
      <c r="B939" s="546"/>
      <c r="C939" s="546"/>
      <c r="D939" s="546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ht="21.75" customHeight="1">
      <c r="A940" s="546"/>
      <c r="B940" s="546"/>
      <c r="C940" s="546"/>
      <c r="D940" s="546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ht="21.75" customHeight="1">
      <c r="A941" s="546"/>
      <c r="B941" s="546"/>
      <c r="C941" s="546"/>
      <c r="D941" s="546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ht="21.75" customHeight="1">
      <c r="A942" s="546"/>
      <c r="B942" s="546"/>
      <c r="C942" s="546"/>
      <c r="D942" s="546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ht="21.75" customHeight="1">
      <c r="A943" s="546"/>
      <c r="B943" s="546"/>
      <c r="C943" s="546"/>
      <c r="D943" s="546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ht="21.75" customHeight="1">
      <c r="A944" s="546"/>
      <c r="B944" s="546"/>
      <c r="C944" s="546"/>
      <c r="D944" s="546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ht="21.75" customHeight="1">
      <c r="A945" s="546"/>
      <c r="B945" s="546"/>
      <c r="C945" s="546"/>
      <c r="D945" s="546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ht="21.75" customHeight="1">
      <c r="A946" s="546"/>
      <c r="B946" s="546"/>
      <c r="C946" s="546"/>
      <c r="D946" s="546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ht="21.75" customHeight="1">
      <c r="A947" s="546"/>
      <c r="B947" s="546"/>
      <c r="C947" s="546"/>
      <c r="D947" s="546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ht="21.75" customHeight="1">
      <c r="A948" s="546"/>
      <c r="B948" s="546"/>
      <c r="C948" s="546"/>
      <c r="D948" s="546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ht="21.75" customHeight="1">
      <c r="A949" s="546"/>
      <c r="B949" s="546"/>
      <c r="C949" s="546"/>
      <c r="D949" s="546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ht="21.75" customHeight="1">
      <c r="A950" s="546"/>
      <c r="B950" s="546"/>
      <c r="C950" s="546"/>
      <c r="D950" s="546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ht="21.75" customHeight="1">
      <c r="A951" s="546"/>
      <c r="B951" s="546"/>
      <c r="C951" s="546"/>
      <c r="D951" s="546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ht="21.75" customHeight="1">
      <c r="A952" s="546"/>
      <c r="B952" s="546"/>
      <c r="C952" s="546"/>
      <c r="D952" s="546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ht="21.75" customHeight="1">
      <c r="A953" s="546"/>
      <c r="B953" s="546"/>
      <c r="C953" s="546"/>
      <c r="D953" s="546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ht="21.75" customHeight="1">
      <c r="A954" s="546"/>
      <c r="B954" s="546"/>
      <c r="C954" s="546"/>
      <c r="D954" s="546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ht="21.75" customHeight="1">
      <c r="A955" s="546"/>
      <c r="B955" s="546"/>
      <c r="C955" s="546"/>
      <c r="D955" s="546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ht="21.75" customHeight="1">
      <c r="A956" s="546"/>
      <c r="B956" s="546"/>
      <c r="C956" s="546"/>
      <c r="D956" s="546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ht="21.75" customHeight="1">
      <c r="A957" s="546"/>
      <c r="B957" s="546"/>
      <c r="C957" s="546"/>
      <c r="D957" s="546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ht="21.75" customHeight="1">
      <c r="A958" s="546"/>
      <c r="B958" s="546"/>
      <c r="C958" s="546"/>
      <c r="D958" s="546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ht="21.75" customHeight="1">
      <c r="A959" s="546"/>
      <c r="B959" s="546"/>
      <c r="C959" s="546"/>
      <c r="D959" s="546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ht="21.75" customHeight="1">
      <c r="A960" s="546"/>
      <c r="B960" s="546"/>
      <c r="C960" s="546"/>
      <c r="D960" s="546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ht="21.75" customHeight="1">
      <c r="A961" s="546"/>
      <c r="B961" s="546"/>
      <c r="C961" s="546"/>
      <c r="D961" s="546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ht="21.75" customHeight="1">
      <c r="A962" s="546"/>
      <c r="B962" s="546"/>
      <c r="C962" s="546"/>
      <c r="D962" s="546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ht="21.75" customHeight="1">
      <c r="A963" s="546"/>
      <c r="B963" s="546"/>
      <c r="C963" s="546"/>
      <c r="D963" s="546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ht="21.75" customHeight="1">
      <c r="A964" s="546"/>
      <c r="B964" s="546"/>
      <c r="C964" s="546"/>
      <c r="D964" s="546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ht="21.75" customHeight="1">
      <c r="A965" s="546"/>
      <c r="B965" s="546"/>
      <c r="C965" s="546"/>
      <c r="D965" s="546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ht="21.75" customHeight="1">
      <c r="A966" s="546"/>
      <c r="B966" s="546"/>
      <c r="C966" s="546"/>
      <c r="D966" s="546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ht="21.75" customHeight="1">
      <c r="A967" s="546"/>
      <c r="B967" s="546"/>
      <c r="C967" s="546"/>
      <c r="D967" s="546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ht="21.75" customHeight="1">
      <c r="A968" s="546"/>
      <c r="B968" s="546"/>
      <c r="C968" s="546"/>
      <c r="D968" s="546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ht="21.75" customHeight="1">
      <c r="A969" s="546"/>
      <c r="B969" s="546"/>
      <c r="C969" s="546"/>
      <c r="D969" s="546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ht="21.75" customHeight="1">
      <c r="A970" s="546"/>
      <c r="B970" s="546"/>
      <c r="C970" s="546"/>
      <c r="D970" s="546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ht="21.75" customHeight="1">
      <c r="A971" s="546"/>
      <c r="B971" s="546"/>
      <c r="C971" s="546"/>
      <c r="D971" s="546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ht="21.75" customHeight="1">
      <c r="A972" s="546"/>
      <c r="B972" s="546"/>
      <c r="C972" s="546"/>
      <c r="D972" s="546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ht="21.75" customHeight="1">
      <c r="A973" s="546"/>
      <c r="B973" s="546"/>
      <c r="C973" s="546"/>
      <c r="D973" s="546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ht="21.75" customHeight="1">
      <c r="A974" s="546"/>
      <c r="B974" s="546"/>
      <c r="C974" s="546"/>
      <c r="D974" s="546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ht="21.75" customHeight="1">
      <c r="A975" s="546"/>
      <c r="B975" s="546"/>
      <c r="C975" s="546"/>
      <c r="D975" s="546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ht="21.75" customHeight="1">
      <c r="A976" s="546"/>
      <c r="B976" s="546"/>
      <c r="C976" s="546"/>
      <c r="D976" s="546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ht="21.75" customHeight="1">
      <c r="A977" s="546"/>
      <c r="B977" s="546"/>
      <c r="C977" s="546"/>
      <c r="D977" s="546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ht="21.75" customHeight="1">
      <c r="A978" s="546"/>
      <c r="B978" s="546"/>
      <c r="C978" s="546"/>
      <c r="D978" s="546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ht="21.75" customHeight="1">
      <c r="A979" s="546"/>
      <c r="B979" s="546"/>
      <c r="C979" s="546"/>
      <c r="D979" s="546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ht="21.75" customHeight="1">
      <c r="A980" s="546"/>
      <c r="B980" s="546"/>
      <c r="C980" s="546"/>
      <c r="D980" s="546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ht="21.75" customHeight="1">
      <c r="A981" s="546"/>
      <c r="B981" s="546"/>
      <c r="C981" s="546"/>
      <c r="D981" s="546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ht="21.75" customHeight="1">
      <c r="A982" s="546"/>
      <c r="B982" s="546"/>
      <c r="C982" s="546"/>
      <c r="D982" s="546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ht="21.75" customHeight="1">
      <c r="A983" s="546"/>
      <c r="B983" s="546"/>
      <c r="C983" s="546"/>
      <c r="D983" s="546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ht="21.75" customHeight="1">
      <c r="A984" s="546"/>
      <c r="B984" s="546"/>
      <c r="C984" s="546"/>
      <c r="D984" s="546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ht="21.75" customHeight="1">
      <c r="A985" s="546"/>
      <c r="B985" s="546"/>
      <c r="C985" s="546"/>
      <c r="D985" s="546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ht="21.75" customHeight="1">
      <c r="A986" s="546"/>
      <c r="B986" s="546"/>
      <c r="C986" s="546"/>
      <c r="D986" s="546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ht="21.75" customHeight="1">
      <c r="A987" s="546"/>
      <c r="B987" s="546"/>
      <c r="C987" s="546"/>
      <c r="D987" s="546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ht="21.75" customHeight="1">
      <c r="A988" s="546"/>
      <c r="B988" s="546"/>
      <c r="C988" s="546"/>
      <c r="D988" s="546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ht="21.75" customHeight="1">
      <c r="A989" s="546"/>
      <c r="B989" s="546"/>
      <c r="C989" s="546"/>
      <c r="D989" s="546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ht="21.75" customHeight="1">
      <c r="A990" s="546"/>
      <c r="B990" s="546"/>
      <c r="C990" s="546"/>
      <c r="D990" s="546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ht="21.75" customHeight="1">
      <c r="A991" s="546"/>
      <c r="B991" s="546"/>
      <c r="C991" s="546"/>
      <c r="D991" s="546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ht="21.75" customHeight="1">
      <c r="A992" s="546"/>
      <c r="B992" s="546"/>
      <c r="C992" s="546"/>
      <c r="D992" s="546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ht="21.75" customHeight="1">
      <c r="A993" s="546"/>
      <c r="B993" s="546"/>
      <c r="C993" s="546"/>
      <c r="D993" s="546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ht="21.75" customHeight="1">
      <c r="A994" s="546"/>
      <c r="B994" s="546"/>
      <c r="C994" s="546"/>
      <c r="D994" s="546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ht="21.75" customHeight="1">
      <c r="A995" s="546"/>
      <c r="B995" s="546"/>
      <c r="C995" s="546"/>
      <c r="D995" s="546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ht="21.75" customHeight="1">
      <c r="A996" s="546"/>
      <c r="B996" s="546"/>
      <c r="C996" s="546"/>
      <c r="D996" s="546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ht="21.75" customHeight="1">
      <c r="A997" s="546"/>
      <c r="B997" s="546"/>
      <c r="C997" s="546"/>
      <c r="D997" s="546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ht="21.75" customHeight="1">
      <c r="A998" s="546"/>
      <c r="B998" s="546"/>
      <c r="C998" s="546"/>
      <c r="D998" s="546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ht="21.75" customHeight="1">
      <c r="A999" s="546"/>
      <c r="B999" s="546"/>
      <c r="C999" s="546"/>
      <c r="D999" s="546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ht="21.75" customHeight="1">
      <c r="A1000" s="546"/>
      <c r="B1000" s="546"/>
      <c r="C1000" s="546"/>
      <c r="D1000" s="546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ht="21.75" customHeight="1">
      <c r="A1001" s="546"/>
      <c r="B1001" s="546"/>
      <c r="C1001" s="546"/>
      <c r="D1001" s="546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ht="21.75" customHeight="1">
      <c r="A1002" s="546"/>
      <c r="B1002" s="546"/>
      <c r="C1002" s="546"/>
      <c r="D1002" s="546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ht="21.75" customHeight="1">
      <c r="A1003" s="546"/>
      <c r="B1003" s="546"/>
      <c r="C1003" s="546"/>
      <c r="D1003" s="546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ht="21.75" customHeight="1">
      <c r="A1004" s="546"/>
      <c r="B1004" s="546"/>
      <c r="C1004" s="546"/>
      <c r="D1004" s="546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ht="21.75" customHeight="1">
      <c r="A1005" s="546"/>
      <c r="B1005" s="546"/>
      <c r="C1005" s="546"/>
      <c r="D1005" s="546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ht="21.75" customHeight="1">
      <c r="A1006" s="546"/>
      <c r="B1006" s="546"/>
      <c r="C1006" s="546"/>
      <c r="D1006" s="546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ht="21.75" customHeight="1">
      <c r="A1007" s="546"/>
      <c r="B1007" s="546"/>
      <c r="C1007" s="546"/>
      <c r="D1007" s="546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ht="21.75" customHeight="1">
      <c r="A1008" s="546"/>
      <c r="B1008" s="546"/>
      <c r="C1008" s="546"/>
      <c r="D1008" s="546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ht="21.75" customHeight="1">
      <c r="A1009" s="546"/>
      <c r="B1009" s="546"/>
      <c r="C1009" s="546"/>
      <c r="D1009" s="546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ht="21.75" customHeight="1">
      <c r="A1010" s="546"/>
      <c r="B1010" s="546"/>
      <c r="C1010" s="546"/>
      <c r="D1010" s="546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ht="21.75" customHeight="1">
      <c r="A1011" s="546"/>
      <c r="B1011" s="546"/>
      <c r="C1011" s="546"/>
      <c r="D1011" s="546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ht="21.75" customHeight="1">
      <c r="A1012" s="546"/>
      <c r="B1012" s="546"/>
      <c r="C1012" s="546"/>
      <c r="D1012" s="546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ht="21.75" customHeight="1">
      <c r="A1013" s="546"/>
      <c r="B1013" s="546"/>
      <c r="C1013" s="546"/>
      <c r="D1013" s="546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ht="21.75" customHeight="1">
      <c r="A1014" s="546"/>
      <c r="B1014" s="546"/>
      <c r="C1014" s="546"/>
      <c r="D1014" s="546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ht="21.75" customHeight="1">
      <c r="A1015" s="546"/>
      <c r="B1015" s="546"/>
      <c r="C1015" s="546"/>
      <c r="D1015" s="546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ht="21.75" customHeight="1">
      <c r="A1016" s="546"/>
      <c r="B1016" s="546"/>
      <c r="C1016" s="546"/>
      <c r="D1016" s="546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ht="21.75" customHeight="1">
      <c r="A1017" s="546"/>
      <c r="B1017" s="546"/>
      <c r="C1017" s="546"/>
      <c r="D1017" s="546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ht="21.75" customHeight="1">
      <c r="A1018" s="546"/>
      <c r="B1018" s="546"/>
      <c r="C1018" s="546"/>
      <c r="D1018" s="546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ht="21.75" customHeight="1">
      <c r="A1019" s="546"/>
      <c r="B1019" s="546"/>
      <c r="C1019" s="546"/>
      <c r="D1019" s="546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ht="21.75" customHeight="1">
      <c r="A1020" s="546"/>
      <c r="B1020" s="546"/>
      <c r="C1020" s="546"/>
      <c r="D1020" s="546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ht="21.75" customHeight="1">
      <c r="A1021" s="546"/>
      <c r="B1021" s="546"/>
      <c r="C1021" s="546"/>
      <c r="D1021" s="546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ht="21.75" customHeight="1">
      <c r="A1022" s="546"/>
      <c r="B1022" s="546"/>
      <c r="C1022" s="546"/>
      <c r="D1022" s="546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ht="21.75" customHeight="1">
      <c r="A1023" s="546"/>
      <c r="B1023" s="546"/>
      <c r="C1023" s="546"/>
      <c r="D1023" s="546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ht="21.75" customHeight="1">
      <c r="A1024" s="546"/>
      <c r="B1024" s="546"/>
      <c r="C1024" s="546"/>
      <c r="D1024" s="546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ht="21.75" customHeight="1">
      <c r="A1025" s="546"/>
      <c r="B1025" s="546"/>
      <c r="C1025" s="546"/>
      <c r="D1025" s="546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ht="21.75" customHeight="1">
      <c r="A1026" s="546"/>
      <c r="B1026" s="546"/>
      <c r="C1026" s="546"/>
      <c r="D1026" s="546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ht="21.75" customHeight="1">
      <c r="A1027" s="546"/>
      <c r="B1027" s="546"/>
      <c r="C1027" s="546"/>
      <c r="D1027" s="546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ht="21.75" customHeight="1">
      <c r="A1028" s="546"/>
      <c r="B1028" s="546"/>
      <c r="C1028" s="546"/>
      <c r="D1028" s="546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ht="21.75" customHeight="1">
      <c r="A1029" s="546"/>
      <c r="B1029" s="546"/>
      <c r="C1029" s="546"/>
      <c r="D1029" s="546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ht="21.75" customHeight="1">
      <c r="A1030" s="546"/>
      <c r="B1030" s="546"/>
      <c r="C1030" s="546"/>
      <c r="D1030" s="546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ht="21.75" customHeight="1">
      <c r="A1031" s="546"/>
      <c r="B1031" s="546"/>
      <c r="C1031" s="546"/>
      <c r="D1031" s="546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ht="21.75" customHeight="1">
      <c r="A1032" s="546"/>
      <c r="B1032" s="546"/>
      <c r="C1032" s="546"/>
      <c r="D1032" s="546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ht="21.75" customHeight="1">
      <c r="A1033" s="546"/>
      <c r="B1033" s="546"/>
      <c r="C1033" s="546"/>
      <c r="D1033" s="546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ht="21.75" customHeight="1">
      <c r="A1034" s="546"/>
      <c r="B1034" s="546"/>
      <c r="C1034" s="546"/>
      <c r="D1034" s="546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ht="21.75" customHeight="1">
      <c r="A1035" s="546"/>
      <c r="B1035" s="546"/>
      <c r="C1035" s="546"/>
      <c r="D1035" s="546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ht="21.75" customHeight="1">
      <c r="A1036" s="546"/>
      <c r="B1036" s="546"/>
      <c r="C1036" s="546"/>
      <c r="D1036" s="546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ht="21.75" customHeight="1">
      <c r="A1037" s="546"/>
      <c r="B1037" s="546"/>
      <c r="C1037" s="546"/>
      <c r="D1037" s="546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ht="21.75" customHeight="1">
      <c r="A1038" s="546"/>
      <c r="B1038" s="546"/>
      <c r="C1038" s="546"/>
      <c r="D1038" s="546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ht="21.75" customHeight="1">
      <c r="A1039" s="546"/>
      <c r="B1039" s="546"/>
      <c r="C1039" s="546"/>
      <c r="D1039" s="546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ht="21.75" customHeight="1">
      <c r="A1040" s="546"/>
      <c r="B1040" s="546"/>
      <c r="C1040" s="546"/>
      <c r="D1040" s="546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ht="21.75" customHeight="1">
      <c r="A1041" s="546"/>
      <c r="B1041" s="546"/>
      <c r="C1041" s="546"/>
      <c r="D1041" s="546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ht="21.75" customHeight="1">
      <c r="A1042" s="546"/>
      <c r="B1042" s="546"/>
      <c r="C1042" s="546"/>
      <c r="D1042" s="546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ht="21.75" customHeight="1">
      <c r="A1043" s="546"/>
      <c r="B1043" s="546"/>
      <c r="C1043" s="546"/>
      <c r="D1043" s="546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ht="21.75" customHeight="1">
      <c r="A1044" s="546"/>
      <c r="B1044" s="546"/>
      <c r="C1044" s="546"/>
      <c r="D1044" s="546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ht="21.75" customHeight="1">
      <c r="A1045" s="546"/>
      <c r="B1045" s="546"/>
      <c r="C1045" s="546"/>
      <c r="D1045" s="546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ht="21.75" customHeight="1">
      <c r="A1046" s="546"/>
      <c r="B1046" s="546"/>
      <c r="C1046" s="546"/>
      <c r="D1046" s="546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ht="21.75" customHeight="1">
      <c r="A1047" s="546"/>
      <c r="B1047" s="546"/>
      <c r="C1047" s="546"/>
      <c r="D1047" s="546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ht="21.75" customHeight="1">
      <c r="A1048" s="546"/>
      <c r="B1048" s="546"/>
      <c r="C1048" s="546"/>
      <c r="D1048" s="546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ht="21.75" customHeight="1">
      <c r="A1049" s="546"/>
      <c r="B1049" s="546"/>
      <c r="C1049" s="546"/>
      <c r="D1049" s="546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ht="21.75" customHeight="1">
      <c r="A1050" s="546"/>
      <c r="B1050" s="546"/>
      <c r="C1050" s="546"/>
      <c r="D1050" s="546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ht="21.75" customHeight="1">
      <c r="A1051" s="546"/>
      <c r="B1051" s="546"/>
      <c r="C1051" s="546"/>
      <c r="D1051" s="546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ht="21.75" customHeight="1">
      <c r="A1052" s="546"/>
      <c r="B1052" s="546"/>
      <c r="C1052" s="546"/>
      <c r="D1052" s="546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ht="21.75" customHeight="1">
      <c r="A1053" s="546"/>
      <c r="B1053" s="546"/>
      <c r="C1053" s="546"/>
      <c r="D1053" s="546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ht="21.75" customHeight="1">
      <c r="A1054" s="546"/>
      <c r="B1054" s="546"/>
      <c r="C1054" s="546"/>
      <c r="D1054" s="546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ht="21.75" customHeight="1">
      <c r="A1055" s="546"/>
      <c r="B1055" s="546"/>
      <c r="C1055" s="546"/>
      <c r="D1055" s="546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ht="21.75" customHeight="1">
      <c r="A1056" s="546"/>
      <c r="B1056" s="546"/>
      <c r="C1056" s="546"/>
      <c r="D1056" s="546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ht="21.75" customHeight="1">
      <c r="A1057" s="546"/>
      <c r="B1057" s="546"/>
      <c r="C1057" s="546"/>
      <c r="D1057" s="546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ht="21.75" customHeight="1">
      <c r="A1058" s="546"/>
      <c r="B1058" s="546"/>
      <c r="C1058" s="546"/>
      <c r="D1058" s="546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ht="21.75" customHeight="1">
      <c r="A1059" s="546"/>
      <c r="B1059" s="546"/>
      <c r="C1059" s="546"/>
      <c r="D1059" s="546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ht="21.75" customHeight="1">
      <c r="A1060" s="546"/>
      <c r="B1060" s="546"/>
      <c r="C1060" s="546"/>
      <c r="D1060" s="546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ht="21.75" customHeight="1">
      <c r="A1061" s="546"/>
      <c r="B1061" s="546"/>
      <c r="C1061" s="546"/>
      <c r="D1061" s="546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ht="21.75" customHeight="1">
      <c r="A1062" s="546"/>
      <c r="B1062" s="546"/>
      <c r="C1062" s="546"/>
      <c r="D1062" s="546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ht="21.75" customHeight="1">
      <c r="A1063" s="546"/>
      <c r="B1063" s="546"/>
      <c r="C1063" s="546"/>
      <c r="D1063" s="546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ht="21.75" customHeight="1">
      <c r="A1064" s="546"/>
      <c r="B1064" s="546"/>
      <c r="C1064" s="546"/>
      <c r="D1064" s="546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ht="21.75" customHeight="1">
      <c r="A1065" s="546"/>
      <c r="B1065" s="546"/>
      <c r="C1065" s="546"/>
      <c r="D1065" s="546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ht="21.75" customHeight="1">
      <c r="A1066" s="546"/>
      <c r="B1066" s="546"/>
      <c r="C1066" s="546"/>
      <c r="D1066" s="546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ht="21.75" customHeight="1">
      <c r="A1067" s="546"/>
      <c r="B1067" s="546"/>
      <c r="C1067" s="546"/>
      <c r="D1067" s="546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ht="21.75" customHeight="1">
      <c r="A1068" s="546"/>
      <c r="B1068" s="546"/>
      <c r="C1068" s="546"/>
      <c r="D1068" s="546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ht="21.75" customHeight="1">
      <c r="A1069" s="546"/>
      <c r="B1069" s="546"/>
      <c r="C1069" s="546"/>
      <c r="D1069" s="546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ht="21.75" customHeight="1">
      <c r="A1070" s="546"/>
      <c r="B1070" s="546"/>
      <c r="C1070" s="546"/>
      <c r="D1070" s="546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ht="21.75" customHeight="1">
      <c r="A1071" s="546"/>
      <c r="B1071" s="546"/>
      <c r="C1071" s="546"/>
      <c r="D1071" s="546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ht="21.75" customHeight="1">
      <c r="A1072" s="546"/>
      <c r="B1072" s="546"/>
      <c r="C1072" s="546"/>
      <c r="D1072" s="546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ht="21.75" customHeight="1">
      <c r="A1073" s="546"/>
      <c r="B1073" s="546"/>
      <c r="C1073" s="546"/>
      <c r="D1073" s="546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ht="21.75" customHeight="1">
      <c r="A1074" s="546"/>
      <c r="B1074" s="546"/>
      <c r="C1074" s="546"/>
      <c r="D1074" s="546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ht="21.75" customHeight="1">
      <c r="A1075" s="546"/>
      <c r="B1075" s="546"/>
      <c r="C1075" s="546"/>
      <c r="D1075" s="546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ht="21.75" customHeight="1">
      <c r="A1076" s="546"/>
      <c r="B1076" s="546"/>
      <c r="C1076" s="546"/>
      <c r="D1076" s="546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ht="21.75" customHeight="1">
      <c r="A1077" s="546"/>
      <c r="B1077" s="546"/>
      <c r="C1077" s="546"/>
      <c r="D1077" s="546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ht="21.75" customHeight="1">
      <c r="A1078" s="546"/>
      <c r="B1078" s="546"/>
      <c r="C1078" s="546"/>
      <c r="D1078" s="546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ht="21.75" customHeight="1">
      <c r="A1079" s="546"/>
      <c r="B1079" s="546"/>
      <c r="C1079" s="546"/>
      <c r="D1079" s="546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ht="21.75" customHeight="1">
      <c r="A1080" s="546"/>
      <c r="B1080" s="546"/>
      <c r="C1080" s="546"/>
      <c r="D1080" s="546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ht="21.75" customHeight="1">
      <c r="A1081" s="546"/>
      <c r="B1081" s="546"/>
      <c r="C1081" s="546"/>
      <c r="D1081" s="546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ht="21.75" customHeight="1">
      <c r="A1082" s="546"/>
      <c r="B1082" s="546"/>
      <c r="C1082" s="546"/>
      <c r="D1082" s="546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ht="21.75" customHeight="1">
      <c r="A1083" s="546"/>
      <c r="B1083" s="546"/>
      <c r="C1083" s="546"/>
      <c r="D1083" s="546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ht="21.75" customHeight="1">
      <c r="A1084" s="546"/>
      <c r="B1084" s="546"/>
      <c r="C1084" s="546"/>
      <c r="D1084" s="546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ht="21.75" customHeight="1">
      <c r="A1085" s="546"/>
      <c r="B1085" s="546"/>
      <c r="C1085" s="546"/>
      <c r="D1085" s="546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ht="21.75" customHeight="1">
      <c r="A1086" s="546"/>
      <c r="B1086" s="546"/>
      <c r="C1086" s="546"/>
      <c r="D1086" s="546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ht="21.75" customHeight="1">
      <c r="A1087" s="546"/>
      <c r="B1087" s="546"/>
      <c r="C1087" s="546"/>
      <c r="D1087" s="546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ht="21.75" customHeight="1">
      <c r="A1088" s="546"/>
      <c r="B1088" s="546"/>
      <c r="C1088" s="546"/>
      <c r="D1088" s="546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ht="21.75" customHeight="1">
      <c r="A1089" s="546"/>
      <c r="B1089" s="546"/>
      <c r="C1089" s="546"/>
      <c r="D1089" s="546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ht="21.75" customHeight="1">
      <c r="A1090" s="546"/>
      <c r="B1090" s="546"/>
      <c r="C1090" s="546"/>
      <c r="D1090" s="546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ht="21.75" customHeight="1">
      <c r="A1091" s="546"/>
      <c r="B1091" s="546"/>
      <c r="C1091" s="546"/>
      <c r="D1091" s="546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ht="21.75" customHeight="1">
      <c r="A1092" s="546"/>
      <c r="B1092" s="546"/>
      <c r="C1092" s="546"/>
      <c r="D1092" s="546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ht="21.75" customHeight="1">
      <c r="A1093" s="546"/>
      <c r="B1093" s="546"/>
      <c r="C1093" s="546"/>
      <c r="D1093" s="546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ht="21.75" customHeight="1">
      <c r="A1094" s="546"/>
      <c r="B1094" s="546"/>
      <c r="C1094" s="546"/>
      <c r="D1094" s="546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ht="21.75" customHeight="1">
      <c r="A1095" s="546"/>
      <c r="B1095" s="546"/>
      <c r="C1095" s="546"/>
      <c r="D1095" s="546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ht="21.75" customHeight="1">
      <c r="A1096" s="546"/>
      <c r="B1096" s="546"/>
      <c r="C1096" s="546"/>
      <c r="D1096" s="546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ht="21.75" customHeight="1">
      <c r="A1097" s="546"/>
      <c r="B1097" s="546"/>
      <c r="C1097" s="546"/>
      <c r="D1097" s="546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ht="21.75" customHeight="1">
      <c r="A1098" s="546"/>
      <c r="B1098" s="546"/>
      <c r="C1098" s="546"/>
      <c r="D1098" s="546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ht="21.75" customHeight="1">
      <c r="A1099" s="546"/>
      <c r="B1099" s="546"/>
      <c r="C1099" s="546"/>
      <c r="D1099" s="546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ht="21.75" customHeight="1">
      <c r="A1100" s="546"/>
      <c r="B1100" s="546"/>
      <c r="C1100" s="546"/>
      <c r="D1100" s="546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ht="21.75" customHeight="1">
      <c r="A1101" s="546"/>
      <c r="B1101" s="546"/>
      <c r="C1101" s="546"/>
      <c r="D1101" s="546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ht="21.75" customHeight="1">
      <c r="A1102" s="546"/>
      <c r="B1102" s="546"/>
      <c r="C1102" s="546"/>
      <c r="D1102" s="546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ht="21.75" customHeight="1">
      <c r="A1103" s="546"/>
      <c r="B1103" s="546"/>
      <c r="C1103" s="546"/>
      <c r="D1103" s="546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ht="21.75" customHeight="1">
      <c r="A1104" s="546"/>
      <c r="B1104" s="546"/>
      <c r="C1104" s="546"/>
      <c r="D1104" s="546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ht="21.75" customHeight="1">
      <c r="A1105" s="546"/>
      <c r="B1105" s="546"/>
      <c r="C1105" s="546"/>
      <c r="D1105" s="546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ht="21.75" customHeight="1">
      <c r="A1106" s="546"/>
      <c r="B1106" s="546"/>
      <c r="C1106" s="546"/>
      <c r="D1106" s="546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ht="21.75" customHeight="1">
      <c r="A1107" s="546"/>
      <c r="B1107" s="546"/>
      <c r="C1107" s="546"/>
      <c r="D1107" s="546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ht="21.75" customHeight="1">
      <c r="A1108" s="546"/>
      <c r="B1108" s="546"/>
      <c r="C1108" s="546"/>
      <c r="D1108" s="546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ht="21.75" customHeight="1">
      <c r="A1109" s="546"/>
      <c r="B1109" s="546"/>
      <c r="C1109" s="546"/>
      <c r="D1109" s="546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ht="21.75" customHeight="1">
      <c r="A1110" s="546"/>
      <c r="B1110" s="546"/>
      <c r="C1110" s="546"/>
      <c r="D1110" s="546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ht="21.75" customHeight="1">
      <c r="A1111" s="546"/>
      <c r="B1111" s="546"/>
      <c r="C1111" s="546"/>
      <c r="D1111" s="546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ht="21.75" customHeight="1">
      <c r="A1112" s="546"/>
      <c r="B1112" s="546"/>
      <c r="C1112" s="546"/>
      <c r="D1112" s="546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ht="21.75" customHeight="1">
      <c r="A1113" s="546"/>
      <c r="B1113" s="546"/>
      <c r="C1113" s="546"/>
      <c r="D1113" s="546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ht="21.75" customHeight="1">
      <c r="A1114" s="546"/>
      <c r="B1114" s="546"/>
      <c r="C1114" s="546"/>
      <c r="D1114" s="546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ht="21.75" customHeight="1">
      <c r="A1115" s="546"/>
      <c r="B1115" s="546"/>
      <c r="C1115" s="546"/>
      <c r="D1115" s="546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ht="21.75" customHeight="1">
      <c r="A1116" s="546"/>
      <c r="B1116" s="546"/>
      <c r="C1116" s="546"/>
      <c r="D1116" s="546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ht="21.75" customHeight="1">
      <c r="A1117" s="546"/>
      <c r="B1117" s="546"/>
      <c r="C1117" s="546"/>
      <c r="D1117" s="546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ht="21.75" customHeight="1">
      <c r="A1118" s="546"/>
      <c r="B1118" s="546"/>
      <c r="C1118" s="546"/>
      <c r="D1118" s="546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ht="21.75" customHeight="1">
      <c r="A1119" s="546"/>
      <c r="B1119" s="546"/>
      <c r="C1119" s="546"/>
      <c r="D1119" s="546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ht="21.75" customHeight="1">
      <c r="A1120" s="546"/>
      <c r="B1120" s="546"/>
      <c r="C1120" s="546"/>
      <c r="D1120" s="546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ht="21.75" customHeight="1">
      <c r="A1121" s="546"/>
      <c r="B1121" s="546"/>
      <c r="C1121" s="546"/>
      <c r="D1121" s="546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ht="21.75" customHeight="1">
      <c r="A1122" s="546"/>
      <c r="B1122" s="546"/>
      <c r="C1122" s="546"/>
      <c r="D1122" s="546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ht="21.75" customHeight="1">
      <c r="A1123" s="546"/>
      <c r="B1123" s="546"/>
      <c r="C1123" s="546"/>
      <c r="D1123" s="546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ht="21.75" customHeight="1">
      <c r="A1124" s="546"/>
      <c r="B1124" s="546"/>
      <c r="C1124" s="546"/>
      <c r="D1124" s="546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ht="21.75" customHeight="1">
      <c r="A1125" s="546"/>
      <c r="B1125" s="546"/>
      <c r="C1125" s="546"/>
      <c r="D1125" s="546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ht="21.75" customHeight="1">
      <c r="A1126" s="546"/>
      <c r="B1126" s="546"/>
      <c r="C1126" s="546"/>
      <c r="D1126" s="546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ht="21.75" customHeight="1">
      <c r="A1127" s="546"/>
      <c r="B1127" s="546"/>
      <c r="C1127" s="546"/>
      <c r="D1127" s="546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ht="21.75" customHeight="1">
      <c r="A1128" s="546"/>
      <c r="B1128" s="546"/>
      <c r="C1128" s="546"/>
      <c r="D1128" s="546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ht="21.75" customHeight="1">
      <c r="A1129" s="546"/>
      <c r="B1129" s="546"/>
      <c r="C1129" s="546"/>
      <c r="D1129" s="546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ht="21.75" customHeight="1">
      <c r="A1130" s="546"/>
      <c r="B1130" s="546"/>
      <c r="C1130" s="546"/>
      <c r="D1130" s="546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ht="21.75" customHeight="1">
      <c r="A1131" s="546"/>
      <c r="B1131" s="546"/>
      <c r="C1131" s="546"/>
      <c r="D1131" s="546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ht="21.75" customHeight="1">
      <c r="A1132" s="546"/>
      <c r="B1132" s="546"/>
      <c r="C1132" s="546"/>
      <c r="D1132" s="546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ht="21.75" customHeight="1">
      <c r="A1133" s="546"/>
      <c r="B1133" s="546"/>
      <c r="C1133" s="546"/>
      <c r="D1133" s="546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ht="21.75" customHeight="1">
      <c r="A1134" s="546"/>
      <c r="B1134" s="546"/>
      <c r="C1134" s="546"/>
      <c r="D1134" s="546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ht="21.75" customHeight="1">
      <c r="A1135" s="546"/>
      <c r="B1135" s="546"/>
      <c r="C1135" s="546"/>
      <c r="D1135" s="546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ht="21.75" customHeight="1">
      <c r="A1136" s="546"/>
      <c r="B1136" s="546"/>
      <c r="C1136" s="546"/>
      <c r="D1136" s="546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ht="21.75" customHeight="1">
      <c r="A1137" s="546"/>
      <c r="B1137" s="546"/>
      <c r="C1137" s="546"/>
      <c r="D1137" s="546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ht="21.75" customHeight="1">
      <c r="A1138" s="546"/>
      <c r="B1138" s="546"/>
      <c r="C1138" s="546"/>
      <c r="D1138" s="546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ht="21.75" customHeight="1">
      <c r="A1139" s="546"/>
      <c r="B1139" s="546"/>
      <c r="C1139" s="546"/>
      <c r="D1139" s="546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ht="21.75" customHeight="1">
      <c r="A1140" s="546"/>
      <c r="B1140" s="546"/>
      <c r="C1140" s="546"/>
      <c r="D1140" s="546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ht="21.75" customHeight="1">
      <c r="A1141" s="546"/>
      <c r="B1141" s="546"/>
      <c r="C1141" s="546"/>
      <c r="D1141" s="546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ht="21.75" customHeight="1">
      <c r="A1142" s="546"/>
      <c r="B1142" s="546"/>
      <c r="C1142" s="546"/>
      <c r="D1142" s="546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ht="21.75" customHeight="1">
      <c r="A1143" s="546"/>
      <c r="B1143" s="546"/>
      <c r="C1143" s="546"/>
      <c r="D1143" s="546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bottom="0.3937007874015748" footer="0.0" header="0.0" left="0.22768238307560956" right="0.2846029788445119" top="0.31496062992125984"/>
  <pageSetup fitToHeight="0" paperSize="9" orientation="portrait"/>
  <headerFooter>
    <oddHeader>&amp;R </oddHeader>
    <oddFooter>&amp;Lหน้า &amp;P/&amp;R&amp;F</oddFooter>
  </headerFooter>
  <drawing r:id="rId1"/>
</worksheet>
</file>